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showInkAnnotation="0" codeName="ThisWorkbook" defaultThemeVersion="124226"/>
  <mc:AlternateContent xmlns:mc="http://schemas.openxmlformats.org/markup-compatibility/2006">
    <mc:Choice Requires="x15">
      <x15ac:absPath xmlns:x15ac="http://schemas.microsoft.com/office/spreadsheetml/2010/11/ac" url="S:\Portfolio\Coral Blossom - Elk Grove\8.0 Financing\8.07 TCAC\8.7.2 Application\Working Docs\"/>
    </mc:Choice>
  </mc:AlternateContent>
  <xr:revisionPtr revIDLastSave="0" documentId="13_ncr:1_{32BCE42C-329A-42E0-B4B6-7D4855ACA825}" xr6:coauthVersionLast="47" xr6:coauthVersionMax="47" xr10:uidLastSave="{00000000-0000-0000-0000-000000000000}"/>
  <bookViews>
    <workbookView xWindow="-98" yWindow="-98" windowWidth="21795" windowHeight="13996"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55" i="3" l="1"/>
  <c r="C91" i="4"/>
  <c r="S69" i="4" l="1"/>
  <c r="S52" i="4"/>
  <c r="E94" i="4"/>
  <c r="E93" i="4"/>
  <c r="E92" i="4"/>
  <c r="E90" i="4"/>
  <c r="E89" i="4"/>
  <c r="E88" i="4"/>
  <c r="E85" i="4"/>
  <c r="E84" i="4"/>
  <c r="E80" i="4"/>
  <c r="E79" i="4"/>
  <c r="E76" i="4"/>
  <c r="E75" i="4"/>
  <c r="E69" i="4"/>
  <c r="E58" i="4"/>
  <c r="E57" i="4"/>
  <c r="E46" i="4"/>
  <c r="E47" i="4"/>
  <c r="E50" i="4"/>
  <c r="E51" i="4"/>
  <c r="E45" i="4"/>
  <c r="E37" i="4"/>
  <c r="E36" i="4"/>
  <c r="E35" i="4"/>
  <c r="E33" i="4"/>
  <c r="E32" i="4"/>
  <c r="E31" i="4"/>
  <c r="E29" i="4"/>
  <c r="E13" i="4"/>
  <c r="E10" i="4"/>
  <c r="E86" i="4"/>
  <c r="E91" i="4"/>
  <c r="E52" i="4" l="1"/>
  <c r="E49" i="4"/>
  <c r="E83" i="4"/>
  <c r="E65" i="4"/>
  <c r="E43" i="4"/>
  <c r="E40" i="4"/>
  <c r="M960" i="3" l="1"/>
  <c r="M961" i="3" s="1"/>
  <c r="AG442" i="3"/>
  <c r="AG443" i="3" l="1"/>
  <c r="BE103" i="3" l="1"/>
  <c r="AC216" i="23"/>
  <c r="Y216" i="23"/>
  <c r="U216" i="23"/>
  <c r="BQ102" i="23"/>
  <c r="BQ101" i="23"/>
  <c r="N11" i="23"/>
  <c r="W879" i="3"/>
  <c r="W855" i="3"/>
  <c r="W847" i="3"/>
  <c r="W862" i="3"/>
  <c r="W872" i="3"/>
  <c r="L44" i="21"/>
  <c r="M44" i="21"/>
  <c r="R44" i="21" s="1" a="1"/>
  <c r="R44" i="21" s="1"/>
  <c r="N44" i="21"/>
  <c r="L45" i="21"/>
  <c r="M45" i="21"/>
  <c r="O45" i="21" s="1"/>
  <c r="N45" i="21"/>
  <c r="S45" i="21"/>
  <c r="T45" i="21"/>
  <c r="U45" i="21"/>
  <c r="L46" i="21"/>
  <c r="M46" i="21"/>
  <c r="O46" i="21" s="1"/>
  <c r="N46" i="21"/>
  <c r="S46" i="21"/>
  <c r="T46" i="21"/>
  <c r="U46" i="21"/>
  <c r="L47" i="21"/>
  <c r="M47" i="21"/>
  <c r="O47" i="21" s="1"/>
  <c r="N47" i="21"/>
  <c r="R47" i="21" a="1"/>
  <c r="R47" i="21" s="1"/>
  <c r="S47" i="21"/>
  <c r="T47" i="21"/>
  <c r="U47" i="21"/>
  <c r="L48" i="21"/>
  <c r="M48" i="21"/>
  <c r="O48" i="21" s="1"/>
  <c r="N48" i="21"/>
  <c r="P48" i="21" a="1"/>
  <c r="P48" i="21" s="1"/>
  <c r="R48" i="21" a="1"/>
  <c r="R48" i="21" s="1"/>
  <c r="S48" i="21"/>
  <c r="T48" i="21"/>
  <c r="U48" i="21"/>
  <c r="L49" i="21"/>
  <c r="M49" i="21"/>
  <c r="N49" i="21"/>
  <c r="O49" i="21"/>
  <c r="P49" i="21" a="1"/>
  <c r="P49" i="21" s="1"/>
  <c r="R49" i="21" a="1"/>
  <c r="R49" i="21" s="1"/>
  <c r="S49" i="21"/>
  <c r="T49" i="21"/>
  <c r="U49" i="21"/>
  <c r="L50" i="21"/>
  <c r="M50" i="21"/>
  <c r="T50" i="21" s="1"/>
  <c r="N50" i="21"/>
  <c r="O50" i="21"/>
  <c r="P50" i="21" a="1"/>
  <c r="P50" i="21" s="1"/>
  <c r="S50" i="21"/>
  <c r="U50" i="21"/>
  <c r="L51" i="21"/>
  <c r="M51" i="21"/>
  <c r="N51" i="21"/>
  <c r="O51" i="21"/>
  <c r="P51" i="21" a="1"/>
  <c r="P51" i="21" s="1"/>
  <c r="R51" i="21" a="1"/>
  <c r="R51" i="21" s="1"/>
  <c r="S51" i="21"/>
  <c r="T51" i="21"/>
  <c r="U51" i="21"/>
  <c r="L52" i="21"/>
  <c r="M52" i="21"/>
  <c r="R52" i="21" s="1" a="1"/>
  <c r="R52" i="21" s="1"/>
  <c r="N52" i="21"/>
  <c r="P52" i="21" a="1"/>
  <c r="P52" i="21" s="1"/>
  <c r="S52" i="21"/>
  <c r="L53" i="21"/>
  <c r="M53" i="21"/>
  <c r="P53" i="21" s="1" a="1"/>
  <c r="P53" i="21" s="1"/>
  <c r="N53" i="21"/>
  <c r="R53" i="21" a="1"/>
  <c r="R53" i="21" s="1"/>
  <c r="T53" i="21"/>
  <c r="U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44" i="21" l="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E40" i="7"/>
  <c r="A40" i="7"/>
  <c r="E33" i="7"/>
  <c r="E32" i="7"/>
  <c r="E31" i="7"/>
  <c r="E30" i="7"/>
  <c r="E29" i="7"/>
  <c r="E28" i="7"/>
  <c r="G28" i="7" s="1"/>
  <c r="I28" i="7" s="1"/>
  <c r="K28" i="7" s="1"/>
  <c r="M28" i="7" s="1"/>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C26" i="4"/>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F36" i="13" s="1"/>
  <c r="B36" i="13"/>
  <c r="C36" i="13" s="1"/>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B59" i="4"/>
  <c r="C80" i="11"/>
  <c r="C81" i="11"/>
  <c r="B80" i="11"/>
  <c r="B81" i="11"/>
  <c r="I96" i="13"/>
  <c r="J96" i="13"/>
  <c r="J81" i="13"/>
  <c r="I81" i="13"/>
  <c r="G81" i="13"/>
  <c r="D81" i="13"/>
  <c r="H80" i="13"/>
  <c r="E80" i="13"/>
  <c r="F80" i="13" s="1"/>
  <c r="B80" i="13"/>
  <c r="C80" i="13" s="1"/>
  <c r="R80" i="4"/>
  <c r="R79" i="4"/>
  <c r="S79" i="4" s="1"/>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2" i="13"/>
  <c r="E91" i="13"/>
  <c r="F91" i="13" s="1"/>
  <c r="E87" i="13"/>
  <c r="E84" i="13"/>
  <c r="F84" i="13" s="1"/>
  <c r="E79" i="13"/>
  <c r="F79" i="13" s="1"/>
  <c r="F81" i="13" s="1"/>
  <c r="E65" i="13"/>
  <c r="F65" i="13" s="1"/>
  <c r="E53" i="13"/>
  <c r="E52" i="13"/>
  <c r="F52" i="13" s="1"/>
  <c r="E51" i="13"/>
  <c r="F51" i="13" s="1"/>
  <c r="E49" i="13"/>
  <c r="E45" i="13"/>
  <c r="F45" i="13" s="1"/>
  <c r="E41" i="13"/>
  <c r="E34" i="13"/>
  <c r="E27" i="13"/>
  <c r="E25" i="13"/>
  <c r="E23" i="13"/>
  <c r="E22" i="13"/>
  <c r="E21" i="13"/>
  <c r="E20" i="13"/>
  <c r="E19" i="13"/>
  <c r="E18" i="13"/>
  <c r="E17" i="13"/>
  <c r="E15" i="13"/>
  <c r="E14" i="13"/>
  <c r="E13" i="13"/>
  <c r="E10" i="13"/>
  <c r="F10" i="13" s="1"/>
  <c r="B99" i="13"/>
  <c r="C99" i="13" s="1"/>
  <c r="B95" i="13"/>
  <c r="B94" i="13"/>
  <c r="C94" i="13" s="1"/>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C81" i="13" s="1"/>
  <c r="B76" i="13"/>
  <c r="C76" i="13" s="1"/>
  <c r="B75" i="13"/>
  <c r="C75" i="13" s="1"/>
  <c r="B74" i="13"/>
  <c r="B73" i="13"/>
  <c r="B72" i="13"/>
  <c r="B65" i="13"/>
  <c r="C65" i="13" s="1"/>
  <c r="B61" i="13"/>
  <c r="B60" i="13"/>
  <c r="B59" i="13"/>
  <c r="B58" i="13"/>
  <c r="C58" i="13" s="1"/>
  <c r="B57" i="13"/>
  <c r="C57" i="13" s="1"/>
  <c r="B56" i="13"/>
  <c r="B53" i="13"/>
  <c r="B52" i="13"/>
  <c r="C52" i="13" s="1"/>
  <c r="B51" i="13"/>
  <c r="C51" i="13" s="1"/>
  <c r="B50" i="13"/>
  <c r="C50" i="13" s="1"/>
  <c r="B49" i="13"/>
  <c r="C49" i="13" s="1"/>
  <c r="B48" i="13"/>
  <c r="B47" i="13"/>
  <c r="C47" i="13" s="1"/>
  <c r="B46" i="13"/>
  <c r="C46" i="13" s="1"/>
  <c r="B45" i="13"/>
  <c r="C45" i="13" s="1"/>
  <c r="B43" i="13"/>
  <c r="C43" i="13" s="1"/>
  <c r="C42" i="4"/>
  <c r="B42" i="13" s="1"/>
  <c r="B41" i="13"/>
  <c r="B40" i="13"/>
  <c r="C40" i="13" s="1"/>
  <c r="B37" i="13"/>
  <c r="C37" i="13" s="1"/>
  <c r="B35" i="13"/>
  <c r="C35" i="13" s="1"/>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C10" i="13" s="1"/>
  <c r="B13" i="13"/>
  <c r="C13" i="13" s="1"/>
  <c r="B14" i="13"/>
  <c r="B15" i="13"/>
  <c r="B4" i="13"/>
  <c r="C4" i="13" s="1"/>
  <c r="J104" i="13"/>
  <c r="I104" i="13"/>
  <c r="G104" i="13"/>
  <c r="D104" i="13"/>
  <c r="C104" i="13"/>
  <c r="G96" i="13"/>
  <c r="D96" i="13"/>
  <c r="C96" i="13"/>
  <c r="D77" i="13"/>
  <c r="C77" i="13"/>
  <c r="J70" i="13"/>
  <c r="I70" i="13"/>
  <c r="G70" i="13"/>
  <c r="F70" i="13"/>
  <c r="D70" i="13"/>
  <c r="C70" i="13"/>
  <c r="D62" i="13"/>
  <c r="C62" i="13"/>
  <c r="J54" i="13"/>
  <c r="I54" i="13"/>
  <c r="G54" i="13"/>
  <c r="D54" i="13"/>
  <c r="C54" i="13"/>
  <c r="J42" i="13"/>
  <c r="I42" i="13"/>
  <c r="G42" i="13"/>
  <c r="F26"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F99" i="13" s="1"/>
  <c r="F104" i="13" s="1"/>
  <c r="R95" i="4"/>
  <c r="R94" i="4"/>
  <c r="S94" i="4" s="1"/>
  <c r="E94" i="13" s="1"/>
  <c r="F94" i="13" s="1"/>
  <c r="R93" i="4"/>
  <c r="S93" i="4" s="1"/>
  <c r="E93" i="13" s="1"/>
  <c r="F93" i="13" s="1"/>
  <c r="R92" i="4"/>
  <c r="R90" i="4"/>
  <c r="S90" i="4" s="1"/>
  <c r="E90" i="13" s="1"/>
  <c r="F90" i="13" s="1"/>
  <c r="R89" i="4"/>
  <c r="S89" i="4" s="1"/>
  <c r="E89" i="13" s="1"/>
  <c r="F89" i="13" s="1"/>
  <c r="R88" i="4"/>
  <c r="R87" i="4"/>
  <c r="R86" i="4"/>
  <c r="S86" i="4" s="1"/>
  <c r="E86" i="13" s="1"/>
  <c r="F86" i="13" s="1"/>
  <c r="R85" i="4"/>
  <c r="S85" i="4" s="1"/>
  <c r="E85" i="13" s="1"/>
  <c r="F85" i="13" s="1"/>
  <c r="F96" i="13" s="1"/>
  <c r="R83" i="4"/>
  <c r="R76" i="4"/>
  <c r="R75" i="4"/>
  <c r="R72" i="4"/>
  <c r="R73" i="4"/>
  <c r="R74" i="4"/>
  <c r="R69" i="4"/>
  <c r="R65" i="4"/>
  <c r="R61" i="4"/>
  <c r="R60" i="4"/>
  <c r="R59" i="4"/>
  <c r="R58" i="4"/>
  <c r="R57" i="4"/>
  <c r="R56" i="4"/>
  <c r="R53" i="4"/>
  <c r="R52" i="4"/>
  <c r="R51" i="4"/>
  <c r="R50" i="4"/>
  <c r="S50" i="4" s="1"/>
  <c r="E50" i="13" s="1"/>
  <c r="F50" i="13" s="1"/>
  <c r="R49" i="4"/>
  <c r="R48" i="4"/>
  <c r="S48" i="4" s="1"/>
  <c r="E48" i="13" s="1"/>
  <c r="R47" i="4"/>
  <c r="S47" i="4" s="1"/>
  <c r="E47" i="13" s="1"/>
  <c r="F47" i="13" s="1"/>
  <c r="R46" i="4"/>
  <c r="S46" i="4" s="1"/>
  <c r="E46" i="13" s="1"/>
  <c r="F46" i="13" s="1"/>
  <c r="F54" i="13" s="1"/>
  <c r="R45" i="4"/>
  <c r="R43" i="4"/>
  <c r="S43" i="4" s="1"/>
  <c r="E43" i="13" s="1"/>
  <c r="F43" i="13" s="1"/>
  <c r="R41" i="4"/>
  <c r="R40" i="4"/>
  <c r="S40" i="4" s="1"/>
  <c r="E40" i="13" s="1"/>
  <c r="F40" i="13" s="1"/>
  <c r="F42" i="13" s="1"/>
  <c r="R37" i="4"/>
  <c r="S37" i="4" s="1"/>
  <c r="E37" i="13" s="1"/>
  <c r="F37" i="13" s="1"/>
  <c r="R35" i="4"/>
  <c r="S35" i="4" s="1"/>
  <c r="E35" i="13" s="1"/>
  <c r="F35" i="13" s="1"/>
  <c r="R34" i="4"/>
  <c r="R33" i="4"/>
  <c r="S33" i="4" s="1"/>
  <c r="E33" i="13" s="1"/>
  <c r="F33" i="13" s="1"/>
  <c r="R32" i="4"/>
  <c r="S32" i="4" s="1"/>
  <c r="E32" i="13" s="1"/>
  <c r="F32" i="13" s="1"/>
  <c r="R31" i="4"/>
  <c r="S31" i="4" s="1"/>
  <c r="E31" i="13" s="1"/>
  <c r="F31" i="13" s="1"/>
  <c r="R30" i="4"/>
  <c r="S30" i="4" s="1"/>
  <c r="E30" i="13" s="1"/>
  <c r="F30" i="13" s="1"/>
  <c r="R29" i="4"/>
  <c r="S29" i="4" s="1"/>
  <c r="E29" i="13" s="1"/>
  <c r="F29" i="13" s="1"/>
  <c r="F38"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J4" i="8" s="1"/>
  <c r="A5" i="8"/>
  <c r="D5" i="8"/>
  <c r="I5" i="8" s="1"/>
  <c r="J5" i="8" s="1"/>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E26" i="13"/>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D35" i="11"/>
  <c r="O28" i="7" l="1"/>
  <c r="Q28" i="7" s="1"/>
  <c r="S28" i="7" s="1"/>
  <c r="U28" i="7" s="1"/>
  <c r="W28" i="7" s="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O641" i="3"/>
  <c r="K29" i="7"/>
  <c r="S29"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Y28" i="7" l="1"/>
  <c r="AA28" i="7" s="1"/>
  <c r="AC28" i="7" s="1"/>
  <c r="AE28" i="7" s="1"/>
  <c r="AG28" i="7"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O20" i="21"/>
  <c r="O21" i="21"/>
  <c r="D64" i="11"/>
  <c r="B105" i="4"/>
  <c r="BE101" i="3"/>
  <c r="AK84" i="20"/>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P21" i="21" a="1"/>
  <c r="P21" i="21" s="1"/>
  <c r="S21" i="21" s="1"/>
  <c r="DU755" i="3"/>
  <c r="O756" i="3" s="1"/>
  <c r="BG753" i="3"/>
  <c r="BU753" i="3"/>
  <c r="AH753" i="3" s="1"/>
  <c r="BE43" i="3" s="1"/>
  <c r="AB47" i="15"/>
  <c r="E35" i="7"/>
  <c r="BT753" i="3"/>
  <c r="AX695" i="20"/>
  <c r="AO695" i="20" s="1"/>
  <c r="BH718" i="3"/>
  <c r="DX670" i="3"/>
  <c r="E130" i="20" s="1"/>
  <c r="E133" i="20" s="1"/>
  <c r="E136" i="20" s="1"/>
  <c r="AW122" i="20"/>
  <c r="AK191" i="20"/>
  <c r="T811" i="20" s="1"/>
  <c r="AF811" i="20" s="1"/>
  <c r="BE76" i="3" s="1"/>
  <c r="T805" i="20"/>
  <c r="AF805" i="20" s="1"/>
  <c r="BE72"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C454" i="3"/>
  <c r="N185" i="23"/>
  <c r="BE22" i="3"/>
  <c r="AB49" i="15"/>
  <c r="AB54" i="15" s="1"/>
  <c r="AB55" i="15" s="1"/>
  <c r="S107" i="4"/>
  <c r="E105" i="13"/>
  <c r="BA1056" i="3"/>
  <c r="AZ1051" i="3"/>
  <c r="H105" i="13"/>
  <c r="T107" i="4"/>
  <c r="H107" i="13" s="1"/>
  <c r="Q58" i="7"/>
  <c r="S53" i="7"/>
  <c r="AG270" i="20"/>
  <c r="AK273" i="20" s="1"/>
  <c r="T812" i="20" s="1"/>
  <c r="AF812" i="20" s="1"/>
  <c r="BE77" i="3" s="1"/>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41" i="3" l="1"/>
  <c r="AJ1016" i="3"/>
  <c r="AJ994" i="3"/>
  <c r="AJ1013" i="3"/>
  <c r="AJ1029" i="3"/>
  <c r="AD11" i="15"/>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U58" i="7"/>
  <c r="W53" i="7"/>
  <c r="AJ1053" i="3"/>
  <c r="AA1057" i="3" s="1"/>
  <c r="G1058" i="3" s="1"/>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K11" i="7"/>
  <c r="K37" i="7" s="1"/>
  <c r="K45" i="7" s="1"/>
  <c r="E66" i="7"/>
  <c r="O5" i="7"/>
  <c r="Q4" i="7"/>
  <c r="M7" i="7"/>
  <c r="M11" i="7" s="1"/>
  <c r="M37" i="7" s="1"/>
  <c r="O6" i="7"/>
  <c r="G62" i="7"/>
  <c r="G66" i="7"/>
  <c r="I48" i="7"/>
  <c r="I60" i="7"/>
  <c r="I47" i="7"/>
  <c r="G101" i="21"/>
  <c r="G113" i="21"/>
  <c r="G97" i="21"/>
  <c r="S22" i="7"/>
  <c r="S35" i="7" s="1"/>
  <c r="U15" i="7"/>
  <c r="U8" i="7"/>
  <c r="S9" i="7"/>
  <c r="BE81" i="3" l="1"/>
  <c r="AA53" i="7"/>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AP95" i="20" s="1"/>
  <c r="AK109" i="20" s="1"/>
  <c r="T806" i="20" s="1"/>
  <c r="AF806" i="20" s="1"/>
  <c r="E103" i="20"/>
  <c r="E1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<sst xmlns="http://schemas.openxmlformats.org/spreadsheetml/2006/main" count="5036" uniqueCount="2759">
  <si>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</si>
  <si>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</si>
  <si>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</si>
  <si>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</si>
  <si>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</si>
  <si>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</si>
  <si>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</si>
  <si>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</si>
  <si>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</si>
  <si>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</si>
  <si>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</si>
  <si>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</si>
  <si>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</si>
  <si>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</si>
  <si>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</si>
  <si>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</si>
  <si>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</si>
  <si>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</si>
  <si>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</si>
  <si>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</si>
  <si>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</si>
  <si>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</si>
  <si>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</si>
  <si>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</si>
  <si>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</si>
  <si>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</si>
  <si>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</si>
  <si>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</si>
  <si>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</si>
  <si>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</si>
  <si>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</si>
  <si>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</si>
  <si>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</si>
  <si>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</si>
  <si>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</si>
  <si>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</si>
  <si>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</si>
  <si>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</si>
  <si>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</si>
  <si>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</si>
  <si>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</si>
  <si>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</si>
  <si>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</si>
  <si>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</si>
  <si>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</si>
  <si>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</si>
  <si>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</si>
  <si>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</si>
  <si>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</si>
  <si>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</si>
  <si>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</si>
  <si>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</si>
  <si>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</si>
  <si>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</si>
  <si>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</si>
  <si>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</si>
  <si>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</si>
  <si>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</si>
  <si>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</si>
  <si>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</si>
  <si>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</si>
  <si>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</si>
  <si>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</si>
  <si>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</si>
  <si>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</si>
  <si>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</si>
  <si>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</si>
  <si>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</si>
  <si>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</si>
  <si>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</si>
  <si>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</si>
  <si>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</si>
  <si>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</si>
  <si>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</si>
  <si>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</si>
  <si>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</si>
  <si>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</si>
  <si>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</si>
  <si>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</si>
  <si>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</si>
  <si>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</si>
  <si>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</si>
  <si>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</si>
  <si>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</si>
  <si>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</si>
  <si>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</si>
  <si>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</si>
  <si>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</si>
  <si>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</si>
  <si>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</si>
  <si>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</si>
  <si>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</si>
  <si>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</si>
  <si>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</si>
  <si>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</si>
  <si>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</si>
  <si>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</si>
  <si>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</si>
  <si>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</si>
  <si>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</si>
  <si>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</si>
  <si>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</si>
  <si>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</si>
  <si>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</si>
  <si>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</si>
  <si>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</si>
  <si>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</si>
  <si>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</si>
  <si>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</si>
  <si>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</si>
  <si>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</si>
  <si>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</si>
  <si>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</si>
  <si>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</si>
  <si>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</si>
  <si>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</si>
  <si>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</si>
  <si>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</si>
  <si>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</si>
  <si>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</si>
  <si>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</si>
  <si>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</si>
  <si>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</si>
  <si>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</si>
  <si>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</si>
  <si>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</si>
  <si>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</si>
  <si>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</si>
  <si>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</si>
  <si>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</si>
  <si>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</si>
  <si>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</si>
  <si>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</si>
  <si>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</si>
  <si>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</si>
  <si>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</si>
  <si>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</si>
  <si>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</si>
  <si>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</si>
  <si>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</si>
  <si>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</si>
  <si>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</si>
  <si>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</si>
  <si>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</si>
  <si>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</si>
  <si>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</si>
  <si>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</si>
  <si>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</si>
  <si>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</si>
  <si>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</si>
  <si>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</si>
  <si>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</si>
  <si>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</si>
  <si>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</si>
  <si>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</si>
  <si>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</si>
  <si>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</si>
  <si>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</si>
  <si>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</si>
  <si>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</si>
  <si>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</si>
  <si>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</si>
  <si>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</si>
  <si>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</si>
  <si>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</si>
  <si>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</si>
  <si>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</si>
  <si>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</si>
  <si>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</si>
  <si>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</si>
  <si>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</si>
  <si>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</si>
  <si>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</si>
  <si>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</si>
  <si>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</si>
  <si>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</si>
  <si>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</si>
  <si>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</si>
  <si>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</si>
  <si>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</si>
  <si>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</si>
  <si>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</si>
  <si>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</si>
  <si>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</si>
  <si>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</si>
  <si>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</si>
  <si>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</si>
  <si>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</si>
  <si>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</si>
  <si>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</si>
  <si>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</si>
  <si>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</si>
  <si>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</si>
  <si>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</si>
  <si>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</si>
  <si>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</si>
  <si>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</si>
  <si>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</si>
  <si>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</si>
  <si>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</si>
  <si>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</si>
  <si>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</si>
  <si>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</si>
  <si>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</si>
  <si>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</si>
  <si>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</si>
  <si>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</si>
  <si>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</si>
  <si>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</si>
  <si>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</si>
  <si>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</si>
  <si>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</si>
  <si>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</si>
  <si>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</si>
  <si>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</si>
  <si>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</si>
  <si>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</si>
  <si>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</si>
  <si>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</si>
  <si>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</si>
  <si>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</si>
  <si>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</si>
  <si>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</si>
  <si>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</si>
  <si>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</si>
  <si>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</si>
  <si>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</si>
  <si>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</si>
  <si>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</si>
  <si>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</si>
  <si>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</si>
  <si>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</si>
  <si>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</si>
  <si>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</si>
  <si>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</si>
  <si>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</si>
  <si>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</si>
  <si>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</si>
  <si>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</si>
  <si>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</si>
  <si>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</si>
  <si>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</si>
  <si>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</si>
  <si>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</si>
  <si>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</si>
  <si>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</si>
  <si>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</si>
  <si>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</si>
  <si>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</si>
  <si>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</si>
  <si>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</si>
  <si>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</si>
  <si>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</si>
  <si>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</si>
  <si>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</si>
  <si>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</si>
  <si>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</si>
  <si>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</si>
  <si>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</si>
  <si>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</si>
  <si>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</si>
  <si>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</si>
  <si>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</si>
  <si>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</si>
  <si>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</si>
  <si>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</si>
  <si>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</si>
  <si>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</si>
  <si>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</si>
  <si>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</si>
  <si>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</si>
  <si>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</si>
  <si>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</si>
  <si>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</si>
  <si>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</si>
  <si>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</si>
  <si>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</si>
  <si>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</si>
  <si>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</si>
  <si>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</si>
  <si>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</si>
  <si>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</si>
  <si>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</si>
  <si>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</si>
  <si>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</si>
  <si>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</si>
  <si>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</si>
  <si>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</si>
  <si>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</si>
  <si>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</si>
  <si>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</si>
  <si>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</si>
  <si>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</si>
  <si>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</si>
  <si>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</si>
  <si>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</si>
  <si>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</si>
  <si>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</si>
  <si>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</si>
  <si>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</si>
  <si>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</si>
  <si>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</si>
  <si>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</si>
  <si>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</si>
  <si>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</si>
  <si>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</si>
  <si>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</si>
  <si>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</si>
  <si>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</si>
  <si>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</si>
  <si>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</si>
  <si>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</si>
  <si>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</si>
  <si>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</si>
  <si>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</si>
  <si>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</si>
  <si>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</si>
  <si>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</si>
  <si>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</si>
  <si>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</si>
  <si>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</si>
  <si>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</si>
  <si>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</si>
  <si>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</si>
  <si>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</si>
  <si>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</si>
  <si>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</si>
  <si>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</si>
  <si>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</si>
  <si>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</si>
  <si>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</si>
  <si>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</si>
  <si>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</si>
  <si>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</si>
  <si>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</si>
  <si>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</si>
  <si>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</si>
  <si>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</si>
  <si>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</si>
  <si>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</si>
  <si>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</si>
  <si>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</si>
  <si>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</si>
  <si>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</si>
  <si>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</si>
  <si>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</si>
  <si>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</si>
  <si>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</si>
  <si>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</si>
  <si>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</si>
  <si>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</si>
  <si>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</si>
  <si>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</si>
  <si>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</si>
  <si>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</si>
  <si>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</si>
  <si>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</si>
  <si>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</si>
  <si>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</si>
  <si>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</si>
  <si>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</si>
  <si>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</si>
  <si>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</si>
  <si>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</si>
  <si>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</si>
  <si>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</si>
  <si>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</si>
  <si>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</si>
  <si>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</si>
  <si>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</si>
  <si>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</si>
  <si>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</si>
  <si>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</si>
  <si>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</si>
  <si>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</si>
  <si>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</si>
  <si>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</si>
  <si>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</si>
  <si>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</si>
  <si>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</si>
  <si>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</si>
  <si>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</si>
  <si>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</si>
  <si>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</si>
  <si>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</si>
  <si>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</si>
  <si>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</si>
  <si>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</si>
  <si>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</si>
  <si>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</si>
  <si>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</si>
  <si>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</si>
  <si>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</si>
  <si>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</si>
  <si>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</si>
  <si>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</si>
  <si>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</si>
  <si>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</si>
  <si>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</si>
  <si>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</si>
  <si>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</si>
  <si>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</si>
  <si>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</si>
  <si>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</si>
  <si>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</si>
  <si>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</si>
  <si>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</si>
  <si>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</si>
  <si>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</si>
  <si>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</si>
  <si>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</si>
  <si>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</si>
  <si>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</si>
  <si>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</si>
  <si>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</si>
  <si>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</si>
  <si>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</si>
  <si>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</si>
  <si>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</si>
  <si>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</si>
  <si>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</si>
  <si>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</si>
  <si>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</si>
  <si>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</si>
  <si>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</si>
  <si>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</si>
  <si>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</si>
  <si>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</si>
  <si>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</si>
  <si>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</si>
  <si>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</si>
  <si>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</si>
  <si>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</si>
  <si>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</si>
  <si>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</si>
  <si>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</si>
  <si>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</si>
  <si>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</si>
  <si>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</si>
  <si>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</si>
  <si>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</si>
  <si>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</si>
  <si>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</si>
  <si>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</si>
  <si>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</si>
  <si>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</si>
  <si>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</si>
  <si>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</si>
  <si>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</si>
  <si>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</si>
  <si>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</si>
  <si>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</si>
  <si>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</si>
  <si>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</si>
  <si>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</si>
  <si>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</si>
  <si>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</si>
  <si>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</si>
  <si>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</si>
  <si>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</si>
  <si>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</si>
  <si>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</si>
  <si>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</si>
  <si>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</si>
  <si>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</si>
  <si>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</si>
  <si>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</si>
  <si>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</si>
  <si>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</si>
  <si>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</si>
  <si>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</si>
  <si>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</si>
  <si>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</si>
  <si>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</si>
  <si>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</si>
  <si>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</si>
  <si>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</si>
  <si>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</si>
  <si>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</si>
  <si>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</si>
  <si>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</si>
  <si>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</si>
  <si>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</si>
  <si>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</si>
  <si>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</si>
  <si>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</si>
  <si>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</si>
  <si>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</si>
  <si>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</si>
  <si>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</si>
  <si>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</si>
  <si>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</si>
  <si>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</si>
  <si>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</si>
  <si>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</si>
  <si>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</si>
  <si>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</si>
  <si>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</si>
  <si>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</si>
  <si>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</si>
  <si>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</si>
  <si>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</si>
  <si>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</si>
  <si>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</si>
  <si>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</si>
  <si>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</si>
  <si>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</si>
  <si>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</si>
  <si>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</si>
  <si>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</si>
  <si>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</si>
  <si>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</si>
  <si>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</si>
  <si>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</si>
  <si>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</si>
  <si>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</si>
  <si>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</si>
  <si>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</si>
  <si>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</si>
  <si>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</si>
  <si>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</si>
  <si>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</si>
  <si>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</si>
  <si>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</si>
  <si>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</si>
  <si>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</si>
  <si>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</si>
  <si>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</si>
  <si>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</si>
  <si>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</si>
  <si>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</si>
  <si>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</si>
  <si>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</si>
  <si>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</si>
  <si>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</si>
  <si>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</si>
  <si>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</si>
  <si>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</si>
  <si>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</si>
  <si>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</si>
  <si>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</si>
  <si>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</si>
  <si>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</si>
  <si>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</si>
  <si>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</si>
  <si>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</si>
  <si>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</si>
  <si>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</si>
  <si>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</si>
  <si>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</si>
  <si>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</si>
  <si>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</si>
  <si>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</si>
  <si>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</si>
  <si>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</si>
  <si>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</si>
  <si>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</si>
  <si>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</si>
  <si>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</si>
  <si>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</si>
  <si>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</si>
  <si>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</si>
  <si>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</si>
  <si>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</si>
  <si>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</si>
  <si>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</si>
  <si>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</si>
  <si>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</si>
  <si>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</si>
  <si>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</si>
  <si>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</si>
  <si>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</si>
  <si>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</si>
  <si>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</si>
  <si>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</si>
  <si>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</si>
  <si>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</si>
  <si>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</si>
  <si>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</si>
  <si>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</si>
  <si>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</si>
  <si>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</si>
  <si>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</si>
  <si>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</si>
  <si>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</si>
  <si>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</si>
  <si>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</si>
  <si>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</si>
  <si>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</si>
  <si>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</si>
  <si>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</si>
  <si>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</si>
  <si>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</si>
  <si>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</si>
  <si>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</si>
  <si>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</si>
  <si>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</si>
  <si>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</si>
  <si>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</si>
  <si>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</si>
  <si>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</si>
  <si>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</si>
  <si>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</si>
  <si>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</si>
  <si>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</si>
  <si>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</si>
  <si>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</si>
  <si>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</si>
  <si>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</si>
  <si>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</si>
  <si>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</si>
  <si>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</si>
  <si>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</si>
  <si>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</si>
  <si>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</si>
  <si>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</si>
  <si>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</si>
  <si>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</si>
  <si>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</si>
  <si>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</si>
  <si>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</si>
  <si>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</si>
  <si>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</si>
  <si>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</si>
  <si>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</si>
  <si>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</si>
  <si>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</si>
  <si>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</si>
  <si>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</si>
  <si>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</si>
  <si>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</si>
  <si>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</si>
  <si>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</si>
  <si>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</si>
  <si>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</si>
  <si>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</si>
  <si>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</si>
  <si>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</si>
  <si>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</si>
  <si>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</si>
  <si>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</si>
  <si>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</si>
  <si>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</si>
  <si>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</si>
  <si>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</si>
  <si>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</si>
  <si>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</si>
  <si>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</si>
  <si>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</si>
  <si>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</si>
  <si>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</si>
  <si>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</si>
  <si>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</si>
  <si>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</si>
  <si>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</si>
  <si>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</si>
  <si>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</si>
  <si>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</si>
  <si>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</si>
  <si>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</si>
  <si>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</si>
  <si>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</si>
  <si>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</si>
  <si>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</si>
  <si>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</si>
  <si>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</si>
  <si>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</si>
  <si>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</si>
  <si>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</si>
  <si>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</si>
  <si>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</si>
  <si>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</si>
  <si>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</si>
  <si>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</si>
  <si>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</si>
  <si>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</si>
  <si>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</si>
  <si>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</si>
  <si>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</si>
  <si>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</si>
  <si>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</si>
  <si>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</si>
  <si>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</si>
  <si>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</si>
  <si>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</si>
  <si>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</si>
  <si>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</si>
  <si>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</si>
  <si>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</si>
  <si>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</si>
  <si>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</si>
  <si>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</si>
  <si>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</si>
  <si>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</si>
  <si>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</si>
  <si>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</si>
  <si>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</si>
  <si>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</si>
  <si>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</si>
  <si>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</si>
  <si>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</si>
  <si>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</si>
  <si>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</si>
  <si>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</si>
  <si>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</si>
  <si>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</si>
  <si>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</si>
  <si>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</si>
  <si>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</si>
  <si>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</si>
  <si>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</si>
  <si>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</si>
  <si>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</si>
  <si>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</si>
  <si>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</si>
  <si>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</si>
  <si>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</si>
  <si>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</si>
  <si>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</si>
  <si>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</si>
  <si>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</si>
  <si>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</si>
  <si>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</si>
  <si>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</si>
  <si>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</si>
  <si>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</si>
  <si>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</si>
  <si>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</si>
  <si>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</si>
  <si>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</si>
  <si>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</si>
  <si>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</si>
  <si>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</si>
  <si>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</si>
  <si>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</si>
  <si>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</si>
  <si>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</si>
  <si>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</si>
  <si>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</si>
  <si>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</si>
  <si>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</si>
  <si>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</si>
  <si>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</si>
  <si>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</si>
  <si>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</si>
  <si>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</si>
  <si>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</si>
  <si>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</si>
  <si>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</si>
  <si>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</si>
  <si>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</si>
  <si>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</si>
  <si>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</si>
  <si>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</si>
  <si>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</si>
  <si>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</si>
  <si>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</si>
  <si>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</si>
  <si>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</si>
  <si>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</si>
  <si>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</si>
  <si>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</si>
  <si>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</si>
  <si>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</si>
  <si>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</si>
  <si>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</si>
  <si>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</si>
  <si>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</si>
  <si>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</si>
  <si>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</si>
  <si>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</si>
  <si>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</si>
  <si>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</si>
  <si>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</si>
  <si>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</si>
  <si>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</si>
  <si>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</si>
  <si>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</si>
  <si>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</si>
  <si>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</si>
  <si>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</si>
  <si>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</si>
  <si>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</si>
  <si>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</si>
  <si>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</si>
  <si>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</si>
  <si>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</si>
  <si>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</si>
  <si>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</si>
  <si>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</si>
  <si>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</si>
  <si>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</si>
  <si>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</si>
  <si>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</si>
  <si>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</si>
  <si>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</si>
  <si>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</si>
  <si>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</si>
  <si>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</si>
  <si>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</si>
  <si>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</si>
  <si>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</si>
  <si>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</si>
  <si>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</si>
  <si>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</si>
  <si>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</si>
  <si>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</si>
  <si>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</si>
  <si>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</si>
  <si>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</si>
  <si>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</si>
  <si>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</si>
  <si>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</si>
  <si>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</si>
  <si>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</si>
  <si>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</si>
  <si>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</si>
  <si>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</si>
  <si>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</si>
  <si>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</si>
  <si>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</si>
  <si>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</si>
  <si>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</si>
  <si>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</si>
  <si>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</si>
  <si>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</si>
  <si>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</si>
  <si>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</si>
  <si>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</si>
  <si>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</si>
  <si>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</si>
  <si>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</si>
  <si>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</si>
  <si>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</si>
  <si>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</si>
  <si>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</si>
  <si>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</si>
  <si>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</si>
  <si>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</si>
  <si>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</si>
  <si>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</si>
  <si>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</si>
  <si>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</si>
  <si>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</si>
  <si>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</si>
  <si>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</si>
  <si>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</si>
  <si>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</si>
  <si>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</si>
  <si>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</si>
  <si>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</si>
  <si>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</si>
  <si>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</si>
  <si>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</si>
  <si>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</si>
  <si>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</si>
  <si>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</si>
  <si>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</si>
  <si>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</si>
  <si>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</si>
  <si>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</si>
  <si>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</si>
  <si>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</si>
  <si>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</si>
  <si>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</si>
  <si>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</si>
  <si>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</si>
  <si>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</si>
  <si>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</si>
  <si>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</si>
  <si>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</si>
  <si>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</si>
  <si>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</si>
  <si>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</si>
  <si>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</si>
  <si>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</si>
  <si>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</si>
  <si>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</si>
  <si>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</si>
  <si>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</si>
  <si>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</si>
  <si>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</si>
  <si>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</si>
  <si>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</si>
  <si>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</si>
  <si>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</si>
  <si>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</si>
  <si>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</si>
  <si>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</si>
  <si>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</si>
  <si>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</si>
  <si>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</si>
  <si>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</si>
  <si>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</si>
  <si>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</si>
  <si>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</si>
  <si>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</si>
  <si>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</si>
  <si>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</si>
  <si>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</si>
  <si>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</si>
  <si>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</si>
  <si>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</si>
  <si>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</si>
  <si>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</si>
  <si>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</si>
  <si>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</si>
  <si>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</si>
  <si>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</si>
  <si>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</si>
  <si>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</si>
  <si>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</si>
  <si>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</si>
  <si>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</si>
  <si>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</si>
  <si>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</si>
  <si>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</si>
  <si>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</si>
  <si>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</si>
  <si>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</si>
  <si>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</si>
  <si>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</si>
  <si>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</si>
  <si>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</si>
  <si>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</si>
  <si>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</si>
  <si>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</si>
  <si>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</si>
  <si>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</si>
  <si>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</si>
  <si>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</si>
  <si>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</si>
  <si>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</si>
  <si>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</si>
  <si>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</si>
  <si>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</si>
  <si>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</si>
  <si>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</si>
  <si>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</si>
  <si>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</si>
  <si>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</si>
  <si>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</si>
  <si>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</si>
  <si>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</si>
  <si>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</si>
  <si>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</si>
  <si>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</si>
  <si>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</si>
  <si>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</si>
  <si>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</si>
  <si>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</si>
  <si>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</si>
  <si>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</si>
  <si>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</si>
  <si>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</si>
  <si>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</si>
  <si>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</si>
  <si>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</si>
  <si>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</si>
  <si>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</si>
  <si>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</si>
  <si>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</si>
  <si>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</si>
  <si>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</si>
  <si>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</si>
  <si>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</si>
  <si>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</si>
  <si>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</si>
  <si>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</si>
  <si>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</si>
  <si>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</si>
  <si>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</si>
  <si>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</si>
  <si>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</si>
  <si>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</si>
  <si>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</si>
  <si>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</si>
  <si>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</si>
  <si>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</si>
  <si>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</si>
  <si>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</si>
  <si>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</si>
  <si>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</si>
  <si>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</si>
  <si>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</si>
  <si>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</si>
  <si>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</si>
  <si>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</si>
  <si>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</si>
  <si>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</si>
  <si>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</si>
  <si>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</si>
  <si>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</si>
  <si>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</si>
  <si>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</si>
  <si>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</si>
  <si>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</si>
  <si>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</si>
  <si>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</si>
  <si>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</si>
  <si>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</si>
  <si>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</si>
  <si>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</si>
  <si>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</si>
  <si>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</si>
  <si>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</si>
  <si>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</si>
  <si>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</si>
  <si>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</si>
  <si>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</si>
  <si>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</si>
  <si>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</si>
  <si>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</si>
  <si>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</si>
  <si>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</si>
  <si>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</si>
  <si>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</si>
  <si>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</si>
  <si>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</si>
  <si>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</si>
  <si>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</si>
  <si>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</si>
  <si>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</si>
  <si>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</si>
  <si>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</si>
  <si>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</si>
  <si>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</si>
  <si>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</si>
  <si>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</si>
  <si>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</si>
  <si>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</si>
  <si>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</si>
  <si>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</si>
  <si>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</si>
  <si>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</si>
  <si>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</si>
  <si>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</si>
  <si>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</si>
  <si>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</si>
  <si>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</si>
  <si>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</si>
  <si>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</si>
  <si>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</si>
  <si>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</si>
  <si>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</si>
  <si>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</si>
  <si>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</si>
  <si>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</si>
  <si>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</si>
  <si>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</si>
  <si>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</si>
  <si>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</si>
  <si>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</si>
  <si>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</si>
  <si>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</si>
  <si>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</si>
  <si>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</si>
  <si>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</si>
  <si>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</si>
  <si>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</si>
  <si>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</si>
  <si>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</si>
  <si>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</si>
  <si>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</si>
  <si>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</si>
  <si>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</si>
  <si>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</si>
  <si>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</si>
  <si>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</si>
  <si>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</si>
  <si>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</si>
  <si>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</si>
  <si>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</si>
  <si>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</si>
  <si>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</si>
  <si>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</si>
  <si>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</si>
  <si>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</si>
  <si>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</si>
  <si>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</si>
  <si>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</si>
  <si>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</si>
  <si>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</si>
  <si>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</si>
  <si>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</si>
  <si>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</si>
  <si>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</si>
  <si>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</si>
  <si>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</si>
  <si>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</si>
  <si>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</si>
  <si>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</si>
  <si>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</si>
  <si>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</si>
  <si>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</si>
  <si>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</si>
  <si>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</si>
  <si>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</si>
  <si>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</si>
  <si>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</si>
  <si>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</si>
  <si>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</si>
  <si>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</si>
  <si>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</si>
  <si>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</si>
  <si>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</si>
  <si>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</si>
  <si>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</si>
  <si>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</si>
  <si>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</si>
  <si>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</si>
  <si>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</si>
  <si>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</si>
  <si>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</si>
  <si>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</si>
  <si>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</si>
  <si>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</si>
  <si>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</si>
  <si>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</si>
  <si>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</si>
  <si>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</si>
  <si>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</si>
  <si>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</si>
  <si>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</si>
  <si>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</si>
  <si>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</si>
  <si>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</si>
  <si>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</si>
  <si>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</si>
  <si>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</si>
  <si>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</si>
  <si>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</si>
  <si>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</si>
  <si>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</si>
  <si>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</si>
  <si>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</si>
  <si>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</si>
  <si>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</si>
  <si>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</si>
  <si>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</si>
  <si>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</si>
  <si>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</si>
  <si>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</si>
  <si>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</si>
  <si>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</si>
  <si>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</si>
  <si>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</si>
  <si>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</si>
  <si>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</si>
  <si>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</si>
  <si>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</si>
  <si>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</si>
  <si>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</si>
  <si>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</si>
  <si>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</si>
  <si>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</si>
  <si>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</si>
  <si>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</si>
  <si>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</si>
  <si>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</si>
  <si>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</si>
  <si>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</si>
  <si>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</si>
  <si>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</si>
  <si>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</si>
  <si>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</si>
  <si>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</si>
  <si>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</si>
  <si>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</si>
  <si>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</si>
  <si>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</si>
  <si>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</si>
  <si>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</si>
  <si>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</si>
  <si>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</si>
  <si>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</si>
  <si>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</si>
  <si>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</si>
  <si>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</si>
  <si>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</si>
  <si>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</si>
  <si>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</si>
  <si>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</si>
  <si>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</si>
  <si>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</si>
  <si>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</si>
  <si>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</si>
  <si>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</si>
  <si>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</si>
  <si>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</si>
  <si>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</si>
  <si>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</si>
  <si>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</si>
  <si>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</si>
  <si>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</si>
  <si>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</si>
  <si>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</si>
  <si>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</si>
  <si>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</si>
  <si>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</si>
  <si>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</si>
  <si>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</si>
  <si>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</si>
  <si>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</si>
  <si>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</si>
  <si>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</si>
  <si>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</si>
  <si>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</si>
  <si>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</si>
  <si>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</si>
  <si>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</si>
  <si>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</si>
  <si>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</si>
  <si>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</si>
  <si>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</si>
  <si>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</si>
  <si>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</si>
  <si>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</si>
  <si>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</si>
  <si>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</si>
  <si>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</si>
  <si>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</si>
  <si>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</si>
  <si>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</si>
  <si>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</si>
  <si>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</si>
  <si>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</si>
  <si>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</si>
  <si>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</si>
  <si>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</si>
  <si>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</si>
  <si>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</si>
  <si>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</si>
  <si>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</si>
  <si>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</si>
  <si>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</si>
  <si>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</si>
  <si>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</si>
  <si>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</si>
  <si>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</si>
  <si>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</si>
  <si>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</si>
  <si>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</si>
  <si>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</si>
  <si>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</si>
  <si>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</si>
  <si>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</si>
  <si>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</si>
  <si>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</si>
  <si>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</si>
  <si>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</si>
  <si>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</si>
  <si>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</si>
  <si>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</si>
  <si>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</si>
  <si>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</si>
  <si>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</si>
  <si>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</si>
  <si>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</si>
  <si>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</si>
  <si>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</si>
  <si>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</si>
  <si>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</si>
  <si>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</si>
  <si>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</si>
  <si>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</si>
  <si>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</si>
  <si>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</si>
  <si>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</si>
  <si>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</si>
  <si>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</si>
  <si>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</si>
  <si>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</si>
  <si>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</si>
  <si>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</si>
  <si>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</si>
  <si>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</si>
  <si>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</si>
  <si>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</si>
  <si>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</si>
  <si>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</si>
  <si>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</si>
  <si>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</si>
  <si>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</si>
  <si>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</si>
  <si>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</si>
  <si>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</si>
  <si>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</si>
  <si>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</si>
  <si>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</si>
  <si>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</si>
  <si>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</si>
  <si>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</si>
  <si>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</si>
  <si>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</si>
  <si>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</si>
  <si>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</si>
  <si>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</si>
  <si>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</si>
  <si>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</si>
  <si>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</si>
  <si>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</si>
  <si>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</si>
  <si>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</si>
  <si>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</si>
  <si>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</si>
  <si>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</si>
  <si>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</si>
  <si>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</si>
  <si>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</si>
  <si>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</si>
  <si>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</si>
  <si>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</si>
  <si>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</si>
  <si>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</si>
  <si>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</si>
  <si>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</si>
  <si>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</si>
  <si>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</si>
  <si>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</si>
  <si>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</si>
  <si>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</si>
  <si>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</si>
  <si>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</si>
  <si>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</si>
  <si>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</si>
  <si>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</si>
  <si>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</si>
  <si>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</si>
  <si>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</si>
  <si>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</si>
  <si>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</si>
  <si>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</si>
  <si>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</si>
  <si>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</si>
  <si>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</si>
  <si>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</si>
  <si>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</si>
  <si>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</si>
  <si>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</si>
  <si>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</si>
  <si>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</si>
  <si>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</si>
  <si>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</si>
  <si>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</si>
  <si>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</si>
  <si>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</si>
  <si>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</si>
  <si>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</si>
  <si>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</si>
  <si>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</si>
  <si>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</si>
  <si>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</si>
  <si>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</si>
  <si>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</si>
  <si>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</si>
  <si>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</si>
  <si>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</si>
  <si>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</si>
  <si>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</si>
  <si>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</si>
  <si>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</si>
  <si>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</si>
  <si>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</si>
  <si>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</si>
  <si>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</si>
  <si>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</si>
  <si>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</si>
  <si>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</si>
  <si>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</si>
  <si>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</si>
  <si>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</si>
  <si>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</si>
  <si>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</si>
  <si>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</si>
  <si>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</si>
  <si>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</si>
  <si>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</si>
  <si>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</si>
  <si>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</si>
  <si>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</si>
  <si>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</si>
  <si>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</si>
  <si>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</si>
  <si>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</si>
  <si>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</si>
  <si>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</si>
  <si>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</si>
  <si>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</si>
  <si>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</si>
  <si>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</si>
  <si>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</si>
  <si>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</si>
  <si>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</si>
  <si>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</si>
  <si>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</si>
  <si>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</si>
  <si>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</si>
  <si>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</si>
  <si>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</si>
  <si>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</si>
  <si>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</si>
  <si>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</si>
  <si>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</si>
  <si>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</si>
  <si>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</si>
  <si>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</si>
  <si>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</si>
  <si>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</si>
  <si>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</si>
  <si>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</si>
  <si>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</si>
  <si>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</si>
  <si>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</si>
  <si>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</si>
  <si>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</si>
  <si>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</si>
  <si>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</si>
  <si>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</si>
  <si>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</si>
  <si>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</si>
  <si>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</si>
  <si>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</si>
  <si>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</si>
  <si>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</si>
  <si>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</si>
  <si>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</si>
  <si>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</si>
  <si>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</si>
  <si>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</si>
  <si>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</si>
  <si>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</si>
  <si>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</si>
  <si>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</si>
  <si>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</si>
  <si>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</si>
  <si>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</si>
  <si>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</si>
  <si>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</si>
  <si>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</si>
  <si>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</si>
  <si>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</si>
  <si>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</si>
  <si>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</si>
  <si>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</si>
  <si>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</si>
  <si>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</si>
  <si>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</si>
  <si>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</si>
  <si>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</si>
  <si>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</si>
  <si>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</si>
  <si>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</si>
  <si>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</si>
  <si>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</si>
  <si>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</si>
  <si>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</si>
  <si>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</si>
  <si>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</si>
  <si>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</si>
  <si>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</si>
  <si>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</si>
  <si>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</si>
  <si>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</si>
  <si>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</si>
  <si>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</si>
  <si>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</si>
  <si>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</si>
  <si>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</si>
  <si>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</si>
  <si>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</si>
  <si>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</si>
  <si>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</si>
  <si>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</si>
  <si>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</si>
  <si>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</si>
  <si>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</si>
  <si>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</si>
  <si>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</si>
  <si>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</si>
  <si>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</si>
  <si>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</si>
  <si>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</si>
  <si>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</si>
  <si>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</si>
  <si>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</si>
  <si>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</si>
  <si>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</si>
  <si>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</si>
  <si>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</si>
  <si>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</si>
  <si>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</si>
  <si>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</si>
  <si>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</si>
  <si>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</si>
  <si>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</si>
  <si>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</si>
  <si>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</si>
  <si>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</si>
  <si>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</si>
  <si>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</si>
  <si>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</si>
  <si>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</si>
  <si>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</si>
  <si>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</si>
  <si>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</si>
  <si>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</si>
  <si>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</si>
  <si>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</si>
  <si>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</si>
  <si>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</si>
  <si>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</si>
  <si>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</si>
  <si>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</si>
  <si>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</si>
  <si>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</si>
  <si>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</si>
  <si>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</si>
  <si>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</si>
  <si>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</si>
  <si>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</si>
  <si>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</si>
  <si>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</si>
  <si>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</si>
  <si>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</si>
  <si>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</si>
  <si>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</si>
  <si>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</si>
  <si>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</si>
  <si>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</si>
  <si>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</si>
  <si>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</si>
  <si>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</si>
  <si>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</si>
  <si>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</si>
  <si>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</si>
  <si>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</si>
  <si>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</si>
  <si>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</si>
  <si>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</si>
  <si>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</si>
  <si>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</si>
  <si>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</si>
  <si>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</si>
  <si>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</si>
  <si>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</si>
  <si>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</si>
  <si>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</si>
  <si>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</si>
  <si>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</si>
  <si>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</si>
  <si>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</si>
  <si>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</si>
  <si>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</si>
  <si>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</si>
  <si>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</si>
  <si>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</si>
  <si>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</si>
  <si>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</si>
  <si>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</si>
  <si>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</si>
  <si>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</si>
  <si>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</si>
  <si>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</si>
  <si>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</si>
  <si>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</si>
  <si>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</si>
  <si>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</si>
  <si>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</si>
  <si>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</si>
  <si>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</si>
  <si>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</si>
  <si>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</si>
  <si>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</si>
  <si>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</si>
  <si>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</si>
  <si>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</si>
  <si>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</si>
  <si>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</si>
  <si>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</si>
  <si>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</si>
  <si>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</si>
  <si>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</si>
  <si>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</si>
  <si>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</si>
  <si>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</si>
  <si>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</si>
  <si>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</si>
  <si>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</si>
  <si>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</si>
  <si>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</si>
  <si>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</si>
  <si>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</si>
  <si>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</si>
  <si>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</si>
  <si>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</si>
  <si>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</si>
  <si>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</si>
  <si>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</si>
  <si>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</si>
  <si>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</si>
  <si>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</si>
  <si>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</si>
  <si>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</si>
  <si>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</si>
  <si>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</si>
  <si>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</si>
  <si>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</si>
  <si>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</si>
  <si>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</si>
  <si>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</si>
  <si>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</si>
  <si>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</si>
  <si>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</si>
  <si>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</si>
  <si>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</si>
  <si>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</si>
  <si>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</si>
  <si>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</si>
  <si>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</si>
  <si>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</si>
  <si>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</si>
  <si>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</si>
  <si>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</si>
  <si>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</si>
  <si>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</si>
  <si>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</si>
  <si>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</si>
  <si>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</si>
  <si>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</si>
  <si>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</si>
  <si>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</si>
  <si>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</si>
  <si>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</si>
  <si>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</si>
  <si>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</si>
  <si>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</si>
  <si>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</si>
  <si>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</si>
  <si>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</si>
  <si>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</si>
  <si>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</si>
  <si>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</si>
  <si>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</si>
  <si>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</si>
  <si>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</si>
  <si>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</si>
  <si>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</si>
  <si>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</si>
  <si>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</si>
  <si>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</si>
  <si>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</si>
  <si>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</si>
  <si>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</si>
  <si>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</si>
  <si>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</si>
  <si>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</si>
  <si>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</si>
  <si>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</si>
  <si>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</si>
  <si>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</si>
  <si>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</si>
  <si>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</si>
  <si>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</si>
  <si>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</si>
  <si>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</si>
  <si>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</si>
  <si>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</si>
  <si>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</si>
  <si>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</si>
  <si>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</si>
  <si>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</si>
  <si>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</si>
  <si>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</si>
  <si>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</si>
  <si>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</si>
  <si>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</si>
  <si>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</si>
  <si>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</si>
  <si>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</si>
  <si>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</si>
  <si>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</si>
  <si>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</si>
  <si>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</si>
  <si>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</si>
  <si>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</si>
  <si>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</si>
  <si>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</si>
  <si>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</si>
  <si>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</si>
  <si>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</si>
  <si>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</si>
  <si>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</si>
  <si>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</si>
  <si>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</si>
  <si>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</si>
  <si>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</si>
  <si>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</si>
  <si>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</si>
  <si>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</si>
  <si>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</si>
  <si>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</si>
  <si>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</si>
  <si>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</si>
  <si>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</si>
  <si>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</si>
  <si>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</si>
  <si>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</si>
  <si>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</si>
  <si>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</si>
  <si>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</si>
  <si>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</si>
  <si>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</si>
  <si>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</si>
  <si>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</si>
  <si>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</si>
  <si>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</si>
  <si>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</si>
  <si>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</si>
  <si>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</si>
  <si>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</si>
  <si>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</si>
  <si>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</si>
  <si>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</si>
  <si>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</si>
  <si>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</si>
  <si>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</si>
  <si>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</si>
  <si>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</si>
  <si>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</si>
  <si>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</si>
  <si>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</si>
  <si>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</si>
  <si>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</si>
  <si>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</si>
  <si>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</si>
  <si>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</si>
  <si>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</si>
  <si>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</si>
  <si>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</si>
  <si>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</si>
  <si>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</si>
  <si>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</si>
  <si>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</si>
  <si>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</si>
  <si>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</si>
  <si>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</si>
  <si>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</si>
  <si>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</si>
  <si>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</si>
  <si>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</si>
  <si>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</si>
  <si>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</si>
  <si>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</si>
  <si>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</si>
  <si>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</si>
  <si>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</si>
  <si>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</si>
  <si>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</si>
  <si>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</si>
  <si>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</si>
  <si>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</si>
  <si>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</si>
  <si>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</si>
  <si>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</si>
  <si>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</si>
  <si>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</si>
  <si>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</si>
  <si>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</si>
  <si>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</si>
  <si>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</si>
  <si>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</si>
  <si>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</si>
  <si>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</si>
  <si>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</si>
  <si>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</si>
  <si>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</si>
  <si>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</si>
  <si>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</si>
  <si>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</si>
  <si>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</si>
  <si>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</si>
  <si>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</si>
  <si>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</si>
  <si>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</si>
  <si>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</si>
  <si>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</si>
  <si>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</si>
  <si>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</si>
  <si>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</si>
  <si>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</si>
  <si>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</si>
  <si>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</si>
  <si>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</si>
  <si>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</si>
  <si>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</si>
  <si>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</si>
  <si>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</si>
  <si>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</si>
  <si>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</si>
  <si>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</si>
  <si>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</si>
  <si>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</si>
  <si>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</si>
  <si>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</si>
  <si>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</si>
  <si>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</si>
  <si>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</si>
  <si>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</si>
  <si>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</si>
  <si>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</si>
  <si>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</si>
  <si>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</si>
  <si>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</si>
  <si>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</si>
  <si>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</si>
  <si>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</si>
  <si>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</si>
  <si>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</si>
  <si>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</si>
  <si>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</si>
  <si>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</si>
  <si>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</si>
  <si>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</si>
  <si>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</si>
  <si>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</si>
  <si>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</si>
  <si>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</si>
  <si>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</si>
  <si>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</si>
  <si>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</si>
  <si>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</si>
  <si>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</si>
  <si>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</si>
  <si>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</si>
  <si>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</si>
  <si>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</si>
  <si>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</si>
  <si>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</si>
  <si>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</si>
  <si>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</si>
  <si>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</si>
  <si>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</si>
  <si>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</si>
  <si>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</si>
  <si>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</si>
  <si>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</si>
  <si>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</si>
  <si>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</si>
  <si>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</si>
  <si>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</si>
  <si>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</si>
  <si>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</si>
  <si>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</si>
  <si>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</si>
  <si>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</si>
  <si>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</si>
  <si>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</si>
  <si>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</si>
  <si>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</si>
  <si>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</si>
  <si>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</si>
  <si>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</si>
  <si>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</si>
  <si>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</si>
  <si>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</si>
  <si>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</si>
  <si>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</si>
  <si>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</si>
  <si>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</si>
  <si>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</si>
  <si>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</si>
  <si>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</si>
  <si>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</si>
  <si>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</si>
  <si>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</si>
  <si>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</si>
  <si>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</si>
  <si>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</si>
  <si>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</si>
  <si>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</si>
  <si>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</si>
  <si>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</si>
  <si>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</si>
  <si>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</si>
  <si>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</si>
  <si>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</si>
  <si>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</si>
  <si>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</si>
  <si>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</si>
  <si>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</si>
  <si>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</si>
  <si>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</si>
  <si>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</si>
  <si>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</si>
  <si>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</si>
  <si>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</si>
  <si>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</si>
  <si>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</si>
  <si>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</si>
  <si>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</si>
  <si>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</si>
  <si>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</si>
  <si>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</si>
  <si>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</si>
  <si>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</si>
  <si>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</si>
  <si>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</si>
  <si>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</si>
  <si>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</si>
  <si>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</si>
  <si>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</si>
  <si>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</si>
  <si>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</si>
  <si>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</si>
  <si>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</si>
  <si>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</si>
  <si>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</si>
  <si>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</si>
  <si>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</si>
  <si>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</si>
  <si>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</si>
  <si>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</si>
  <si>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</si>
  <si>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</si>
  <si>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</si>
  <si>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</si>
  <si>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</si>
  <si>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</si>
  <si>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</si>
  <si>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</si>
  <si>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</si>
  <si>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</si>
  <si>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</si>
  <si>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</si>
  <si>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</si>
  <si>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</si>
  <si>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</si>
  <si>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</si>
  <si>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</si>
  <si>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</si>
  <si>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</si>
  <si>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</si>
  <si>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</si>
  <si>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</si>
  <si>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</si>
  <si>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</si>
  <si>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</si>
  <si>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</si>
  <si>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</si>
  <si>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</si>
  <si>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</si>
  <si>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</si>
  <si>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</si>
  <si>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</si>
  <si>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</si>
  <si>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</si>
  <si>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</si>
  <si>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</si>
  <si>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</si>
  <si>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</si>
  <si>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</si>
  <si>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</si>
  <si>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</si>
  <si>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</si>
  <si>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</si>
  <si>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</si>
  <si>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</si>
  <si>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</si>
  <si>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</si>
  <si>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</si>
  <si>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</si>
  <si>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</si>
  <si>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</si>
  <si>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</si>
  <si>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</si>
  <si>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</si>
  <si>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</si>
  <si>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</si>
  <si>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</si>
  <si>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</si>
  <si>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</si>
  <si>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</si>
  <si>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</si>
  <si>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</si>
  <si>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</si>
  <si>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</si>
  <si>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</si>
  <si>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</si>
  <si>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</si>
  <si>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</si>
  <si>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</si>
  <si>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</si>
  <si>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</si>
  <si>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</si>
  <si>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</si>
  <si>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</si>
  <si>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</si>
  <si>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</si>
  <si>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</si>
  <si>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</si>
  <si>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</si>
  <si>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</si>
  <si>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</si>
  <si>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</si>
  <si>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</si>
  <si>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</si>
  <si>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</si>
  <si>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</si>
  <si>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</si>
  <si>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</si>
  <si>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</si>
  <si>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</si>
  <si>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</si>
  <si>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</si>
  <si>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</si>
  <si>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</si>
  <si>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</si>
  <si>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</si>
  <si>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</si>
  <si>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</si>
  <si>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</si>
  <si>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</si>
  <si>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</si>
  <si>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</si>
  <si>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</si>
  <si>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</si>
  <si>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</si>
  <si>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</si>
  <si>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</si>
  <si>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</si>
  <si>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</si>
  <si>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</si>
  <si>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</si>
  <si>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</si>
  <si>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</si>
  <si>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</si>
  <si>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</si>
  <si>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</si>
  <si>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</si>
  <si>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</si>
  <si>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</si>
  <si>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</si>
  <si>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</si>
  <si>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</si>
  <si>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</si>
  <si>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</si>
  <si>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</si>
  <si>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</si>
  <si>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</si>
  <si>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</si>
  <si>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</si>
  <si>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</si>
  <si>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</si>
  <si>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</si>
  <si>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</si>
  <si>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</si>
  <si>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</si>
  <si>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</si>
  <si>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</si>
  <si>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</si>
  <si>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</si>
  <si>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</si>
  <si>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</si>
  <si>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</si>
  <si>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</si>
  <si>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</si>
  <si>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</si>
  <si>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</si>
  <si>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</si>
  <si>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</si>
  <si>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</si>
  <si>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</si>
  <si>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</si>
  <si>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</si>
  <si>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</si>
  <si>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</si>
  <si>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</si>
  <si>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</si>
  <si>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</si>
  <si>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</si>
  <si>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</si>
  <si>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</si>
  <si>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</si>
  <si>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</si>
  <si>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</si>
  <si>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</si>
  <si>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</si>
  <si>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</si>
  <si>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</si>
  <si>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</si>
  <si>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</si>
  <si>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</si>
  <si>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</si>
  <si>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</si>
  <si>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</si>
  <si>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</si>
  <si>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</si>
  <si>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</si>
  <si>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</si>
  <si>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</si>
  <si>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</si>
  <si>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</si>
  <si>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</si>
  <si>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</si>
  <si>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</si>
  <si>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</si>
  <si>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</si>
  <si>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</si>
  <si>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</si>
  <si>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</si>
  <si>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</si>
  <si>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</si>
  <si>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</si>
  <si>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</si>
  <si>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</si>
  <si>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</si>
  <si>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</si>
  <si>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</si>
  <si>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</si>
  <si>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</si>
  <si>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</si>
  <si>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</si>
  <si>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</si>
  <si>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</si>
  <si>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</si>
  <si>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</si>
  <si>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</si>
  <si>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</si>
  <si>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</si>
  <si>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</si>
  <si>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</si>
  <si>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</si>
  <si>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</si>
  <si>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</si>
  <si>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</si>
  <si>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</si>
  <si>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</si>
  <si>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</si>
  <si>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</si>
  <si>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</si>
  <si>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</si>
  <si>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</si>
  <si>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</si>
  <si>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</si>
  <si>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</si>
  <si>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</si>
  <si>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</si>
  <si>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</si>
  <si>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</si>
  <si>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</si>
  <si>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</si>
  <si>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</si>
  <si>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</si>
  <si>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</si>
  <si>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</si>
  <si>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</si>
  <si>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</si>
  <si>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</si>
  <si>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</si>
  <si>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</si>
  <si>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</si>
  <si>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</si>
  <si>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</si>
  <si>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</si>
  <si>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</si>
  <si>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</si>
  <si>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</si>
  <si>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</si>
  <si>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</si>
  <si>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</si>
  <si>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</si>
  <si>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</si>
  <si>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</si>
  <si>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</si>
  <si>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</si>
  <si>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</si>
  <si>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</si>
  <si>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</si>
  <si>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</si>
  <si>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</si>
  <si>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</si>
  <si>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</si>
  <si>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</si>
  <si>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</si>
  <si>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</si>
  <si>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</si>
  <si>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</si>
  <si>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</si>
  <si>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</si>
  <si>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</si>
  <si>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</si>
  <si>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</si>
  <si>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</si>
  <si>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</si>
  <si>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</si>
  <si>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</si>
  <si>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</si>
  <si>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</si>
  <si>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</si>
  <si>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</si>
  <si>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</si>
  <si>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</si>
  <si>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</si>
  <si>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</si>
  <si>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</si>
  <si>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</si>
  <si>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</si>
  <si>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</si>
  <si>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</si>
  <si>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</si>
  <si>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</si>
  <si>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</si>
  <si>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</si>
  <si>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</si>
  <si>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</si>
  <si>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</si>
  <si>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</si>
  <si>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</si>
  <si>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</si>
  <si>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</si>
  <si>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</si>
  <si>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</si>
  <si>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</si>
  <si>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</si>
  <si>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</si>
  <si>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</si>
  <si>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</si>
  <si>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</si>
  <si>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</si>
  <si>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</si>
  <si>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</si>
  <si>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</si>
  <si>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</si>
  <si>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</si>
  <si>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</si>
  <si>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</si>
  <si>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</si>
  <si>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</si>
  <si>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</si>
  <si>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</si>
  <si>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</si>
  <si>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</si>
  <si>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</si>
  <si>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</si>
  <si>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</si>
  <si>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</si>
  <si>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</si>
  <si>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</si>
  <si>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</si>
  <si>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</si>
  <si>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</si>
  <si>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</si>
  <si>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</si>
  <si>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</si>
  <si>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</si>
  <si>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</si>
  <si>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</si>
  <si>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</si>
  <si>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</si>
  <si>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</si>
  <si>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</si>
  <si>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</si>
  <si>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</si>
  <si>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</si>
  <si>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</si>
  <si>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</si>
  <si>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</si>
  <si>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</si>
  <si>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</si>
  <si>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</si>
  <si>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</si>
  <si>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</si>
  <si>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</si>
  <si>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</si>
  <si>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</si>
  <si>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</si>
  <si>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</si>
  <si>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</si>
  <si>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</si>
  <si>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</si>
  <si>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</si>
  <si>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</si>
  <si>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</si>
  <si>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</si>
  <si>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</si>
  <si>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</si>
  <si>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</si>
  <si>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</si>
  <si>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</si>
  <si>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</si>
  <si>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</si>
  <si>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</si>
  <si>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</si>
  <si>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</si>
  <si>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</si>
  <si>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</si>
  <si>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</si>
  <si>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</si>
  <si>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</si>
  <si>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</si>
  <si>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</si>
  <si>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</si>
  <si>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</si>
  <si>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</si>
  <si>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</si>
  <si>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</si>
  <si>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</si>
  <si>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</si>
  <si>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</si>
  <si>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</si>
  <si>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</si>
  <si>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</si>
  <si>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</si>
  <si>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</si>
  <si>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</si>
  <si>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</si>
  <si>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</si>
  <si>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</si>
  <si>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</si>
  <si>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</si>
  <si>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</si>
  <si>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</si>
  <si>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</si>
  <si>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</si>
  <si>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</si>
  <si>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</si>
  <si>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</si>
  <si>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</si>
  <si>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</si>
  <si>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</si>
  <si>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</si>
  <si>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</si>
  <si>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</si>
  <si>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</si>
  <si>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</si>
  <si>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</si>
  <si>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</si>
  <si>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</si>
  <si>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</si>
  <si>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</si>
  <si>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</si>
  <si>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</si>
  <si>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</si>
  <si>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</si>
  <si>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</si>
  <si>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</si>
  <si>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</si>
  <si>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</si>
  <si>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</si>
  <si>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</si>
  <si>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</si>
  <si>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</si>
  <si>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</si>
  <si>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</si>
  <si>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</si>
  <si>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</si>
  <si>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</si>
  <si>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</si>
  <si>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</si>
  <si>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</si>
  <si>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</si>
  <si>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</si>
  <si>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</si>
  <si>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</si>
  <si>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</si>
  <si>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</si>
  <si>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</si>
  <si>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</si>
  <si>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</si>
  <si>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</si>
  <si>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</si>
  <si>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</si>
  <si>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</si>
  <si>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</si>
  <si>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</si>
  <si>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</si>
  <si>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</si>
  <si>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</si>
  <si>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</si>
  <si>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</si>
  <si>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</si>
  <si>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</si>
  <si>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</si>
  <si>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</si>
  <si>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</si>
  <si>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</si>
  <si>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</si>
  <si>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</si>
  <si>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</si>
  <si>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</si>
  <si>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</si>
  <si>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</si>
  <si>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</si>
  <si>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</si>
  <si>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</si>
  <si>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</si>
  <si>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</si>
  <si>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</si>
  <si>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</si>
  <si>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</si>
  <si>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</si>
  <si>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</si>
  <si>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</si>
  <si>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</si>
  <si>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</si>
  <si>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</si>
  <si>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</si>
  <si>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</si>
  <si>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</si>
  <si>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</si>
  <si>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</si>
  <si>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</si>
  <si>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</si>
  <si>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</si>
  <si>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</si>
  <si>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</si>
  <si>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</si>
  <si>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</si>
  <si>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</si>
  <si>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</si>
  <si>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</si>
  <si>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</si>
  <si>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</si>
  <si>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</si>
  <si>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</si>
  <si>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</si>
  <si>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</si>
  <si>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</si>
  <si>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</si>
  <si>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</si>
  <si>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</si>
  <si>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</si>
  <si>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</si>
  <si>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</si>
  <si>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</si>
  <si>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</si>
  <si>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</si>
  <si>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</si>
  <si>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</si>
  <si>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</si>
  <si>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</si>
  <si>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</si>
  <si>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</si>
  <si>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</si>
  <si>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</si>
  <si>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</si>
  <si>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</si>
  <si>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</si>
  <si>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</si>
  <si>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</si>
  <si>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</si>
  <si>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</si>
  <si>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</si>
  <si>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</si>
  <si>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</si>
  <si>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</si>
  <si>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</si>
  <si>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</si>
  <si>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</si>
  <si>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</si>
  <si>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</si>
  <si>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</si>
  <si>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</si>
  <si>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</si>
  <si>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</si>
  <si>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</si>
  <si>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</si>
  <si>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</si>
  <si>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</si>
  <si>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</si>
  <si>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</si>
  <si>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</si>
  <si>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</si>
  <si>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</si>
  <si>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</si>
  <si>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</si>
  <si>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</si>
  <si>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</si>
  <si>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</si>
  <si>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</si>
  <si>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</si>
  <si>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</si>
  <si>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</si>
  <si>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</si>
  <si>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</si>
  <si>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</si>
  <si>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</si>
  <si>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</si>
  <si>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</si>
  <si>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</si>
  <si>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</si>
  <si>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</si>
  <si>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</si>
  <si>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</si>
  <si>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</si>
  <si>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</si>
  <si>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</si>
  <si>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</si>
  <si>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</si>
  <si>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</si>
  <si>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</si>
  <si>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</si>
  <si>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</si>
  <si>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</si>
  <si>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</si>
  <si>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</si>
  <si>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</si>
  <si>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</si>
  <si>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</si>
  <si>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</si>
  <si>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</si>
  <si>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</si>
  <si>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</si>
  <si>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</si>
  <si>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</si>
  <si>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</si>
  <si>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</si>
  <si>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</si>
  <si>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</si>
  <si>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</si>
  <si>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</si>
  <si>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</si>
  <si>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</si>
  <si>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</si>
  <si>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</si>
  <si>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</si>
  <si>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</si>
  <si>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</si>
  <si>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</si>
  <si>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</si>
  <si>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</si>
  <si>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</si>
  <si>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</si>
  <si>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</si>
  <si>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</si>
  <si>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</si>
  <si>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</si>
  <si>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</si>
  <si>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</si>
  <si>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</si>
  <si>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</si>
  <si>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</si>
  <si>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</si>
  <si>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</si>
  <si>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</si>
  <si>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</si>
  <si>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</si>
  <si>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</si>
  <si>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</si>
  <si>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</si>
  <si>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</si>
  <si>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</si>
  <si>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</si>
  <si>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</si>
  <si>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</si>
  <si>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</si>
  <si>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</si>
  <si>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</si>
  <si>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</si>
  <si>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</si>
  <si>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</si>
  <si>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</si>
  <si>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</si>
  <si>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</si>
  <si>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</si>
  <si>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</si>
  <si>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</si>
  <si>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</si>
  <si>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</si>
  <si>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</si>
  <si>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</si>
  <si>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</si>
  <si>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</si>
  <si>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</si>
  <si>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</si>
  <si>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</si>
  <si>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</si>
  <si>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</si>
  <si>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</si>
  <si>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</si>
  <si>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</si>
  <si>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</si>
  <si>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</si>
  <si>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</si>
  <si>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</si>
  <si>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</si>
  <si>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</si>
  <si>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</si>
  <si>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</si>
  <si>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</si>
  <si>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</si>
  <si>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</si>
  <si>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</si>
  <si>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</si>
  <si>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</si>
  <si>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</si>
  <si>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</si>
  <si>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</si>
  <si>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</si>
  <si>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</si>
  <si>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</si>
  <si>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</si>
  <si>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</si>
  <si>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</si>
  <si>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</si>
  <si>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</si>
  <si>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</si>
  <si>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</si>
  <si>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</si>
  <si>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</si>
  <si>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</si>
  <si>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Coral Blossom Apartments LP</t>
  </si>
  <si>
    <t>Coral Blossom Apartments</t>
  </si>
  <si>
    <t>Elk Grove</t>
  </si>
  <si>
    <t>8484 Elk Grove Florin Rd</t>
  </si>
  <si>
    <t>40%/60%</t>
  </si>
  <si>
    <t>Other (Specify below)</t>
  </si>
  <si>
    <t>Project Based Vouchers</t>
  </si>
  <si>
    <t>1 bedroom</t>
  </si>
  <si>
    <t>jbehrmann@elkgrovecity.org</t>
  </si>
  <si>
    <t>City of Elk Grove</t>
  </si>
  <si>
    <t>Jason Behrmann</t>
  </si>
  <si>
    <t>8401 Laguna Palms Way</t>
  </si>
  <si>
    <t>916-478-2200</t>
  </si>
  <si>
    <t>115-0180-013</t>
  </si>
  <si>
    <t>3910 Cover Street</t>
  </si>
  <si>
    <t>CA</t>
  </si>
  <si>
    <t>Long Beach</t>
  </si>
  <si>
    <t>Dana Trujillo</t>
  </si>
  <si>
    <t>562-268-2700</t>
  </si>
  <si>
    <t>dana@ehghousing.com</t>
  </si>
  <si>
    <t>Excelerate Housing Group LLC</t>
  </si>
  <si>
    <t>Coral Blossom GP LLC</t>
  </si>
  <si>
    <t>Administrative GP</t>
  </si>
  <si>
    <t>TLCS, Inc. dba Hope Cooperative</t>
  </si>
  <si>
    <t>650 Howe Ave. BDG 400-A</t>
  </si>
  <si>
    <t>April Ludwig</t>
  </si>
  <si>
    <t>Peter Enzminger</t>
  </si>
  <si>
    <t>peter@ehghousing.com</t>
  </si>
  <si>
    <t>Developer</t>
  </si>
  <si>
    <t>Long Beach, CA 90808</t>
  </si>
  <si>
    <t>Nathaniel Sebok</t>
  </si>
  <si>
    <t>279-221-7202</t>
  </si>
  <si>
    <t>555 Capitol Mall Ste 575</t>
  </si>
  <si>
    <t>Sacramento, CA 95814</t>
  </si>
  <si>
    <t>nates@whainc.com</t>
  </si>
  <si>
    <t>William Hezmalhalch Architects dba WHA</t>
  </si>
  <si>
    <t>Bocarsly Emden Cowan Esmail &amp; Arndt</t>
  </si>
  <si>
    <t>633 W 5th St. 64th Floor</t>
  </si>
  <si>
    <t>Los Angeles, CA 90071</t>
  </si>
  <si>
    <t>Nicole Deddens</t>
  </si>
  <si>
    <t>Novogradac &amp; Company LLP</t>
  </si>
  <si>
    <t>211 E Ocean Blvd., 6th Floor</t>
  </si>
  <si>
    <t>Long Beach, CA 90802</t>
  </si>
  <si>
    <t>Diana Letsinger</t>
  </si>
  <si>
    <t>213-239-8029</t>
  </si>
  <si>
    <t>ndeddens@bocarsly.com</t>
  </si>
  <si>
    <t>diana.letsinger@novoco.com</t>
  </si>
  <si>
    <t>562-256-2350</t>
  </si>
  <si>
    <t>National Equity Fund, Inc.</t>
  </si>
  <si>
    <t>500 S Grand Ave, Ste 2300</t>
  </si>
  <si>
    <t>Todd Fabian</t>
  </si>
  <si>
    <t>213-240-3144</t>
  </si>
  <si>
    <t>tfabian@nefinc.com</t>
  </si>
  <si>
    <t>Kinetic Valuation Group</t>
  </si>
  <si>
    <t>11060 Oak Street, Suite 6</t>
  </si>
  <si>
    <t>Omaha, NA 68144</t>
  </si>
  <si>
    <t>Jay Wortman</t>
  </si>
  <si>
    <t>jay@kvgteam.com</t>
  </si>
  <si>
    <t>402-884-3153</t>
  </si>
  <si>
    <t>John Stewart Company, Inc.</t>
  </si>
  <si>
    <t>1455 Response Road Ste 140</t>
  </si>
  <si>
    <t>Sacramento, CA 95815</t>
  </si>
  <si>
    <t>Tracy Esposito</t>
  </si>
  <si>
    <t>tesposito@jsco.net</t>
  </si>
  <si>
    <t>916-561-0323</t>
  </si>
  <si>
    <t>California Municipal Finance Authority</t>
  </si>
  <si>
    <t>2111 Palomar Airport Rd, Suite 320</t>
  </si>
  <si>
    <t>Carlsbad, CA 92011</t>
  </si>
  <si>
    <t>Anthony Stubbs</t>
  </si>
  <si>
    <t>(760) 930-1333</t>
  </si>
  <si>
    <t>astubbs@cmfa-ca.com</t>
  </si>
  <si>
    <t xml:space="preserve">275 E. Hillcrest Drive, Suite 160-126 </t>
  </si>
  <si>
    <t>Thousand Oaks, CA  91360</t>
  </si>
  <si>
    <t>The Bronstein Company, Inc.</t>
  </si>
  <si>
    <t>Cary Bronstein</t>
  </si>
  <si>
    <t>818-483-6309</t>
  </si>
  <si>
    <t>cary@tbcappraisal.com</t>
  </si>
  <si>
    <t>8401 Laguna Palms Way, Elk Grove CA 95758</t>
  </si>
  <si>
    <t>NA</t>
  </si>
  <si>
    <t>RD-30, 30 du/acre</t>
  </si>
  <si>
    <t>RD-30, 37.33</t>
  </si>
  <si>
    <t>40 feet</t>
  </si>
  <si>
    <t>1:1 for 1-bd; 1.75:1 for 2-bed; 1 guest space:6 units; 96 spaces</t>
  </si>
  <si>
    <t>Residential</t>
  </si>
  <si>
    <t>Donated Land</t>
  </si>
  <si>
    <t>Sacramento Housing and Redevelopment Agency</t>
  </si>
  <si>
    <t>Project-based vouchers (PBVs)</t>
  </si>
  <si>
    <t>Sacramento Housing Authority</t>
  </si>
  <si>
    <t>Other: Performance and Payment Bond</t>
  </si>
  <si>
    <t>Other: Utility Connection Fees</t>
  </si>
  <si>
    <t>Other: Deputy Inspector</t>
  </si>
  <si>
    <t>Other: Owner/Developer Legal</t>
  </si>
  <si>
    <t>Other: Replacement Reserve</t>
  </si>
  <si>
    <t>Citibank, N.A.</t>
  </si>
  <si>
    <t>Excelerate Housing Group - GP Equity</t>
  </si>
  <si>
    <t>Excelerate Housing Group - Deferred Developer Fee</t>
  </si>
  <si>
    <t>Fixed</t>
  </si>
  <si>
    <t>NEF - LP Equity</t>
  </si>
  <si>
    <t>Deferred Costs</t>
  </si>
  <si>
    <t>Pacific West Builders, Inc.</t>
  </si>
  <si>
    <t>430 E State Street, Ste 100</t>
  </si>
  <si>
    <t>Eagle, ID 83616</t>
  </si>
  <si>
    <t>Brad Glenn</t>
  </si>
  <si>
    <t>208-461-0022</t>
  </si>
  <si>
    <t>bradg@tpchousing.com</t>
  </si>
  <si>
    <t>Office Expenses</t>
  </si>
  <si>
    <t>Payroll taxes, benefits, worker's comp</t>
  </si>
  <si>
    <t>HVAC Maintenance</t>
  </si>
  <si>
    <t>Business Tax and License</t>
  </si>
  <si>
    <t>Below residual receipts line for cash flow</t>
  </si>
  <si>
    <t>300 South Grand Avenue, Suite 3110</t>
  </si>
  <si>
    <t>Hao Li</t>
  </si>
  <si>
    <t>213-239-1914</t>
  </si>
  <si>
    <t>Tax Exempt Construction Loan</t>
  </si>
  <si>
    <t>GP Equity</t>
  </si>
  <si>
    <t>Loan of Recycled TE Bonds</t>
  </si>
  <si>
    <t>Permanent mortgage</t>
  </si>
  <si>
    <t xml:space="preserve">333 Bush Street, Suite 2700 </t>
  </si>
  <si>
    <t>Alyssa Thunberg</t>
  </si>
  <si>
    <t>415-616-2687</t>
  </si>
  <si>
    <t>Deferred payment loan</t>
  </si>
  <si>
    <t>City of Elk Grove - Donated Land</t>
  </si>
  <si>
    <t>Managing GP</t>
  </si>
  <si>
    <t>916-291-8621</t>
  </si>
  <si>
    <t>aludwig@hopecoop.org</t>
  </si>
  <si>
    <t>Bonneville Multifamily Capital</t>
  </si>
  <si>
    <t>LP Equity</t>
  </si>
  <si>
    <t>111 Main Street, Suite 1600</t>
  </si>
  <si>
    <t>Salt Lake City, UT 84111</t>
  </si>
  <si>
    <t>Brent H Peterson</t>
  </si>
  <si>
    <t>801-323-1000</t>
  </si>
  <si>
    <t>33 spaces as approved per GC Sec 65915</t>
  </si>
  <si>
    <t>Loan of Recycled TE B-Bonds</t>
  </si>
  <si>
    <t>Recycled TE B-Bonds R. Receipts Loan</t>
  </si>
  <si>
    <t>City of Elk Grove - Grant</t>
  </si>
  <si>
    <t>Manager / President &amp; CEO</t>
  </si>
  <si>
    <t>May</t>
  </si>
  <si>
    <t>Value of Donated Land</t>
  </si>
  <si>
    <t>City of Elk Grove - Land</t>
  </si>
  <si>
    <t>17 units @ 50% AMI; 16 at 75%; and 47 at 80% AMI</t>
  </si>
  <si>
    <t>SOFR</t>
  </si>
  <si>
    <t>Variable</t>
  </si>
  <si>
    <t>Excelerate Housing Group</t>
  </si>
  <si>
    <t>Bonneville Capital - Recycled TE Bonds</t>
  </si>
  <si>
    <t>Recycled Bond Lenders</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</si>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</sst>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71" fontId="25" fillId="0" borderId="0" xfId="0" applyNumberFormat="1" applyFont="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24"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166" fontId="16" fillId="5" borderId="6" xfId="271" applyNumberFormat="1"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3" fontId="16" fillId="5" borderId="11"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40">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 formatCode="0"/>
    </dxf>
    <dxf>
      <font>
        <b val="0"/>
        <i val="0"/>
        <strike val="0"/>
        <condense val="0"/>
        <extend val="0"/>
        <outline val="0"/>
        <shadow val="0"/>
        <u val="none"/>
        <vertAlign val="baseline"/>
        <sz val="10"/>
        <color auto="1"/>
        <name val="Arial"/>
        <family val="2"/>
        <scheme val="none"/>
      </font>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84137</xdr:colOff>
      <xdr:row>7</xdr:row>
      <xdr:rowOff>7716</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02">
  <autoFilter ref="BD2:BF103" xr:uid="{20D12FE9-D671-46AE-8E74-697FC9E00D36}"/>
  <tableColumns count="3">
    <tableColumn id="1" xr3:uid="{6D57456F-8765-4265-AAB0-1C6229D75231}" name="Key"/>
    <tableColumn id="2" xr3:uid="{364B4D43-EEAF-424D-B3F3-B1165A9E3181}" name="Value" dataDxfId="10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32" dataDxfId="31" headerRowCellStyle="Normal 16 3" dataCellStyle="Normal 16 3">
  <autoFilter ref="BM8:BM13" xr:uid="{EC5E3245-E94C-4732-9264-A1FF7840F5A2}"/>
  <tableColumns count="1">
    <tableColumn id="1" xr3:uid="{E87F798D-9094-4F6E-94EB-ABEE95220A01}" name="Construction Type" dataDxfId="30"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 dataDxfId="10"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9" dataCellStyle="Normal 15">
      <calculatedColumnFormula>IFERROR(MIN(4,MATCH(Application!B718,UnitSizes,0)-1),"")</calculatedColumnFormula>
    </tableColumn>
    <tableColumn id="3" xr3:uid="{3C170205-C158-4CBB-8CF5-9AF725351349}" name="Quantity" dataDxfId="8" dataCellStyle="Normal 15">
      <calculatedColumnFormula>Application!G718</calculatedColumnFormula>
    </tableColumn>
    <tableColumn id="6" xr3:uid="{7C05B4DE-3AC1-47F3-9C25-D16553367CFA}" name="iAMI" dataDxfId="7" dataCellStyle="Percent">
      <calculatedColumnFormula>Application!AC718</calculatedColumnFormula>
    </tableColumn>
    <tableColumn id="7" xr3:uid="{2B6706B4-1A54-4104-A649-2FE0A4FF8E92}" name="AMI" dataDxfId="6" dataCellStyle="Percent">
      <calculatedColumnFormula>IF(Cdlac[[#This Row],[Quantity]]&gt;0,IF(Cdlac[[#This Row],[Federal]],30%,IF(AND(OR(NOT($G$38),$G$38=""),$G$43),40%,Cdlac[[#This Row],[iAMI]])),"")</calculatedColumnFormula>
    </tableColumn>
    <tableColumn id="8" xr3:uid="{A8EB42BE-4789-45EE-A11C-67C20CB0D91B}" name="Restricted Rent" dataDxfId="5" dataCellStyle="Normal 15">
      <calculatedColumnFormula array="1">IF(Cdlac[[#This Row],[Quantity]]&gt;0,INDEX(TcacRents,$P$18,Cdlac[[#This Row],[Bedrooms]]+1)*Cdlac[[#This Row],[AMI]],"")</calculatedColumnFormula>
    </tableColumn>
    <tableColumn id="1" xr3:uid="{DB79DEA5-8C58-4800-B67F-14CBEB0E0B62}" name="Preservation Rent" dataDxfId="4" dataCellStyle="Normal 15"/>
    <tableColumn id="9" xr3:uid="{E7AC364D-B07B-4A38-B74E-DAE64921E290}" name="Fair Market Rent" dataDxfId="3" dataCellStyle="Normal 15">
      <calculatedColumnFormula array="1">IF(Cdlac[[#This Row],[Quantity]]&gt;0,INDEX(HudFmrs,$P$18,Cdlac[[#This Row],[Bedrooms]]+1),"")</calculatedColumnFormula>
    </tableColumn>
    <tableColumn id="10" xr3:uid="{630C504C-0251-4207-88FB-451973BE380A}" name="Delta" dataDxfId="2"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 dataCellStyle="Normal 15">
      <calculatedColumnFormula>IF(Cdlac[[#This Row],[Quantity]]&gt;0,AND(Application!AK718&lt;&gt;"N/A",Application!AK718&lt;&gt;"")*Cdlac[[#This Row],[Quantity]],"")</calculatedColumnFormula>
    </tableColumn>
    <tableColumn id="4" xr3:uid="{5D52F6BE-992B-4621-8785-ED1E8B62A78F}" name="Federal" dataDxfId="0"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9765625" customWidth="1"/>
    <col min="6" max="6" width="3" customWidth="1"/>
    <col min="7" max="36" width="2.59765625" customWidth="1"/>
    <col min="37" max="38" width="2.73046875" customWidth="1"/>
    <col min="39" max="16384" width="2.59765625" hidden="1"/>
  </cols>
  <sheetData>
    <row r="1" spans="1:38">
      <c r="A1" s="1261" t="s">
        <v>550</v>
      </c>
      <c r="B1" s="1261"/>
      <c r="C1" s="1261"/>
      <c r="D1" s="1261"/>
      <c r="E1" s="1261"/>
      <c r="F1" s="1261"/>
      <c r="G1" s="1261"/>
      <c r="H1" s="1261"/>
      <c r="I1" s="1261"/>
      <c r="J1" s="1261"/>
      <c r="K1" s="1261"/>
      <c r="L1" s="1261"/>
      <c r="M1" s="1261"/>
      <c r="N1" s="1261"/>
      <c r="O1" s="1261"/>
      <c r="P1" s="1261"/>
      <c r="Q1" s="1261"/>
      <c r="R1" s="1261"/>
      <c r="S1" s="1261"/>
      <c r="T1" s="1261"/>
      <c r="U1" s="1261"/>
      <c r="V1" s="1261"/>
      <c r="W1" s="1261"/>
      <c r="X1" s="1261"/>
      <c r="Y1" s="1261"/>
      <c r="Z1" s="1261"/>
      <c r="AA1" s="1261"/>
      <c r="AB1" s="1261"/>
      <c r="AC1" s="1261"/>
      <c r="AD1" s="1261"/>
      <c r="AE1" s="1261"/>
      <c r="AF1" s="1261"/>
      <c r="AG1" s="1261"/>
      <c r="AH1" s="1261"/>
      <c r="AI1" s="1261"/>
      <c r="AJ1" s="1261"/>
      <c r="AK1" s="1261"/>
      <c r="AL1" s="1261"/>
    </row>
    <row r="2" spans="1:38" ht="13.15" thickBot="1">
      <c r="A2" s="1262"/>
      <c r="B2" s="1262"/>
      <c r="C2" s="1262"/>
      <c r="D2" s="1262"/>
      <c r="E2" s="1262"/>
      <c r="F2" s="1262"/>
      <c r="G2" s="1262"/>
      <c r="H2" s="1262"/>
      <c r="I2" s="1262"/>
      <c r="J2" s="1262"/>
      <c r="K2" s="1262"/>
      <c r="L2" s="1262"/>
      <c r="M2" s="1262"/>
      <c r="N2" s="1262"/>
      <c r="O2" s="1262"/>
      <c r="P2" s="1262"/>
      <c r="Q2" s="1262"/>
      <c r="R2" s="1262"/>
      <c r="S2" s="1262"/>
      <c r="T2" s="1262"/>
      <c r="U2" s="1262"/>
      <c r="V2" s="1262"/>
      <c r="W2" s="1262"/>
      <c r="X2" s="1262"/>
      <c r="Y2" s="1262"/>
      <c r="Z2" s="1262"/>
      <c r="AA2" s="1262"/>
      <c r="AB2" s="1262"/>
      <c r="AC2" s="1262"/>
      <c r="AD2" s="1262"/>
      <c r="AE2" s="1262"/>
      <c r="AF2" s="1262"/>
      <c r="AG2" s="1262"/>
      <c r="AH2" s="1262"/>
      <c r="AI2" s="1262"/>
      <c r="AJ2" s="1262"/>
      <c r="AK2" s="1262"/>
      <c r="AL2" s="1262"/>
    </row>
    <row r="3" spans="1:38" ht="13.15" thickTop="1"/>
    <row r="4" spans="1:38" s="5" customFormat="1" ht="13.15">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15">
      <c r="B5" s="2"/>
      <c r="C5" s="2"/>
      <c r="D5" s="4"/>
      <c r="E5" s="4"/>
      <c r="F5" s="4"/>
      <c r="G5" s="4"/>
      <c r="H5" s="4"/>
      <c r="I5" s="4"/>
      <c r="J5" s="4"/>
      <c r="K5" s="4"/>
      <c r="L5" s="4"/>
      <c r="M5" s="4"/>
      <c r="N5" s="4"/>
      <c r="O5" s="4"/>
      <c r="P5" s="4"/>
      <c r="Q5" s="4"/>
      <c r="R5" s="4"/>
      <c r="S5" s="4"/>
      <c r="T5" s="4"/>
      <c r="U5" s="4"/>
      <c r="V5" s="4"/>
      <c r="W5" s="4"/>
      <c r="X5" s="4"/>
      <c r="Y5" s="4"/>
      <c r="Z5" s="4"/>
      <c r="AA5" s="4"/>
      <c r="AB5" s="4"/>
    </row>
    <row r="6" spans="1:38" ht="13.15">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3" t="s">
        <v>2035</v>
      </c>
      <c r="E7" s="1263"/>
      <c r="F7" s="1263"/>
      <c r="G7" s="1263"/>
      <c r="H7" s="1263"/>
      <c r="I7" s="1263"/>
      <c r="J7" s="1263"/>
      <c r="K7" s="1263"/>
      <c r="L7" s="1263"/>
      <c r="M7" s="1263"/>
      <c r="N7" s="1263"/>
      <c r="O7" s="1263"/>
      <c r="P7" s="1263"/>
      <c r="Q7" s="1263"/>
      <c r="R7" s="1263"/>
      <c r="S7" s="1263"/>
      <c r="T7" s="1263"/>
      <c r="U7" s="1263"/>
      <c r="V7" s="1263"/>
      <c r="W7" s="1263"/>
      <c r="X7" s="1263"/>
      <c r="Y7" s="1263"/>
      <c r="Z7" s="1263"/>
      <c r="AA7" s="1263"/>
      <c r="AB7" s="1263"/>
      <c r="AC7" s="1263"/>
      <c r="AD7" s="1263"/>
      <c r="AE7" s="1263"/>
      <c r="AF7" s="1263"/>
      <c r="AG7" s="1263"/>
      <c r="AH7" s="1263"/>
      <c r="AI7" s="1263"/>
      <c r="AJ7" s="1263"/>
      <c r="AK7" s="1263"/>
      <c r="AL7" s="455"/>
    </row>
    <row r="8" spans="1:38" ht="13.15">
      <c r="A8" s="204"/>
      <c r="B8" s="204"/>
      <c r="C8" s="205"/>
      <c r="D8" s="1263"/>
      <c r="E8" s="1263"/>
      <c r="F8" s="1263"/>
      <c r="G8" s="1263"/>
      <c r="H8" s="1263"/>
      <c r="I8" s="1263"/>
      <c r="J8" s="1263"/>
      <c r="K8" s="1263"/>
      <c r="L8" s="1263"/>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263"/>
      <c r="AL8" s="455"/>
    </row>
    <row r="9" spans="1:38" ht="13.15">
      <c r="A9" s="204"/>
      <c r="B9" s="204"/>
      <c r="C9" s="205"/>
      <c r="D9" s="1263"/>
      <c r="E9" s="1263"/>
      <c r="F9" s="1263"/>
      <c r="G9" s="1263"/>
      <c r="H9" s="1263"/>
      <c r="I9" s="1263"/>
      <c r="J9" s="1263"/>
      <c r="K9" s="1263"/>
      <c r="L9" s="1263"/>
      <c r="M9" s="1263"/>
      <c r="N9" s="1263"/>
      <c r="O9" s="1263"/>
      <c r="P9" s="1263"/>
      <c r="Q9" s="1263"/>
      <c r="R9" s="1263"/>
      <c r="S9" s="1263"/>
      <c r="T9" s="1263"/>
      <c r="U9" s="1263"/>
      <c r="V9" s="1263"/>
      <c r="W9" s="1263"/>
      <c r="X9" s="1263"/>
      <c r="Y9" s="1263"/>
      <c r="Z9" s="1263"/>
      <c r="AA9" s="1263"/>
      <c r="AB9" s="1263"/>
      <c r="AC9" s="1263"/>
      <c r="AD9" s="1263"/>
      <c r="AE9" s="1263"/>
      <c r="AF9" s="1263"/>
      <c r="AG9" s="1263"/>
      <c r="AH9" s="1263"/>
      <c r="AI9" s="1263"/>
      <c r="AJ9" s="1263"/>
      <c r="AK9" s="1263"/>
      <c r="AL9" s="455"/>
    </row>
    <row r="10" spans="1:38" ht="13.15">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3" t="s">
        <v>2036</v>
      </c>
      <c r="E11" s="1263"/>
      <c r="F11" s="1263"/>
      <c r="G11" s="1263"/>
      <c r="H11" s="1263"/>
      <c r="I11" s="1263"/>
      <c r="J11" s="1263"/>
      <c r="K11" s="1263"/>
      <c r="L11" s="1263"/>
      <c r="M11" s="1263"/>
      <c r="N11" s="1263"/>
      <c r="O11" s="1263"/>
      <c r="P11" s="1263"/>
      <c r="Q11" s="1263"/>
      <c r="R11" s="1263"/>
      <c r="S11" s="1263"/>
      <c r="T11" s="1263"/>
      <c r="U11" s="1263"/>
      <c r="V11" s="1263"/>
      <c r="W11" s="1263"/>
      <c r="X11" s="1263"/>
      <c r="Y11" s="1263"/>
      <c r="Z11" s="1263"/>
      <c r="AA11" s="1263"/>
      <c r="AB11" s="1263"/>
      <c r="AC11" s="1263"/>
      <c r="AD11" s="1263"/>
      <c r="AE11" s="1263"/>
      <c r="AF11" s="1263"/>
      <c r="AG11" s="1263"/>
      <c r="AH11" s="1263"/>
      <c r="AI11" s="1263"/>
      <c r="AJ11" s="1263"/>
      <c r="AK11" s="1263"/>
      <c r="AL11" s="455"/>
    </row>
    <row r="12" spans="1:38" ht="13.15">
      <c r="A12" s="204"/>
      <c r="B12" s="204"/>
      <c r="C12" s="205"/>
      <c r="D12" s="1263"/>
      <c r="E12" s="1263"/>
      <c r="F12" s="1263"/>
      <c r="G12" s="1263"/>
      <c r="H12" s="1263"/>
      <c r="I12" s="1263"/>
      <c r="J12" s="1263"/>
      <c r="K12" s="1263"/>
      <c r="L12" s="1263"/>
      <c r="M12" s="1263"/>
      <c r="N12" s="1263"/>
      <c r="O12" s="1263"/>
      <c r="P12" s="1263"/>
      <c r="Q12" s="1263"/>
      <c r="R12" s="1263"/>
      <c r="S12" s="1263"/>
      <c r="T12" s="1263"/>
      <c r="U12" s="1263"/>
      <c r="V12" s="1263"/>
      <c r="W12" s="1263"/>
      <c r="X12" s="1263"/>
      <c r="Y12" s="1263"/>
      <c r="Z12" s="1263"/>
      <c r="AA12" s="1263"/>
      <c r="AB12" s="1263"/>
      <c r="AC12" s="1263"/>
      <c r="AD12" s="1263"/>
      <c r="AE12" s="1263"/>
      <c r="AF12" s="1263"/>
      <c r="AG12" s="1263"/>
      <c r="AH12" s="1263"/>
      <c r="AI12" s="1263"/>
      <c r="AJ12" s="1263"/>
      <c r="AK12" s="1263"/>
      <c r="AL12" s="455"/>
    </row>
    <row r="13" spans="1:38" ht="13.15">
      <c r="A13" s="204"/>
      <c r="B13" s="204"/>
      <c r="C13" s="205"/>
      <c r="D13" s="1263"/>
      <c r="E13" s="1263"/>
      <c r="F13" s="1263"/>
      <c r="G13" s="1263"/>
      <c r="H13" s="1263"/>
      <c r="I13" s="1263"/>
      <c r="J13" s="1263"/>
      <c r="K13" s="1263"/>
      <c r="L13" s="1263"/>
      <c r="M13" s="1263"/>
      <c r="N13" s="1263"/>
      <c r="O13" s="1263"/>
      <c r="P13" s="1263"/>
      <c r="Q13" s="1263"/>
      <c r="R13" s="1263"/>
      <c r="S13" s="1263"/>
      <c r="T13" s="1263"/>
      <c r="U13" s="1263"/>
      <c r="V13" s="1263"/>
      <c r="W13" s="1263"/>
      <c r="X13" s="1263"/>
      <c r="Y13" s="1263"/>
      <c r="Z13" s="1263"/>
      <c r="AA13" s="1263"/>
      <c r="AB13" s="1263"/>
      <c r="AC13" s="1263"/>
      <c r="AD13" s="1263"/>
      <c r="AE13" s="1263"/>
      <c r="AF13" s="1263"/>
      <c r="AG13" s="1263"/>
      <c r="AH13" s="1263"/>
      <c r="AI13" s="1263"/>
      <c r="AJ13" s="1263"/>
      <c r="AK13" s="1263"/>
      <c r="AL13" s="455"/>
    </row>
    <row r="14" spans="1:38" ht="13.15">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3" t="s">
        <v>2605</v>
      </c>
      <c r="E15" s="1263"/>
      <c r="F15" s="1263"/>
      <c r="G15" s="1263"/>
      <c r="H15" s="1263"/>
      <c r="I15" s="1263"/>
      <c r="J15" s="1263"/>
      <c r="K15" s="1263"/>
      <c r="L15" s="1263"/>
      <c r="M15" s="1263"/>
      <c r="N15" s="1263"/>
      <c r="O15" s="1263"/>
      <c r="P15" s="1263"/>
      <c r="Q15" s="1263"/>
      <c r="R15" s="1263"/>
      <c r="S15" s="1263"/>
      <c r="T15" s="1263"/>
      <c r="U15" s="1263"/>
      <c r="V15" s="1263"/>
      <c r="W15" s="1263"/>
      <c r="X15" s="1263"/>
      <c r="Y15" s="1263"/>
      <c r="Z15" s="1263"/>
      <c r="AA15" s="1263"/>
      <c r="AB15" s="1263"/>
      <c r="AC15" s="1263"/>
      <c r="AD15" s="1263"/>
      <c r="AE15" s="1263"/>
      <c r="AF15" s="1263"/>
      <c r="AG15" s="1263"/>
      <c r="AH15" s="1263"/>
      <c r="AI15" s="1263"/>
      <c r="AJ15" s="1263"/>
      <c r="AK15" s="1263"/>
      <c r="AL15" s="455"/>
    </row>
    <row r="16" spans="1:38" ht="13.15" customHeight="1">
      <c r="A16" s="204"/>
      <c r="B16" s="204"/>
      <c r="C16" s="205"/>
      <c r="D16" s="1263"/>
      <c r="E16" s="1263"/>
      <c r="F16" s="1263"/>
      <c r="G16" s="1263"/>
      <c r="H16" s="1263"/>
      <c r="I16" s="1263"/>
      <c r="J16" s="1263"/>
      <c r="K16" s="1263"/>
      <c r="L16" s="1263"/>
      <c r="M16" s="1263"/>
      <c r="N16" s="1263"/>
      <c r="O16" s="1263"/>
      <c r="P16" s="1263"/>
      <c r="Q16" s="1263"/>
      <c r="R16" s="1263"/>
      <c r="S16" s="1263"/>
      <c r="T16" s="1263"/>
      <c r="U16" s="1263"/>
      <c r="V16" s="1263"/>
      <c r="W16" s="1263"/>
      <c r="X16" s="1263"/>
      <c r="Y16" s="1263"/>
      <c r="Z16" s="1263"/>
      <c r="AA16" s="1263"/>
      <c r="AB16" s="1263"/>
      <c r="AC16" s="1263"/>
      <c r="AD16" s="1263"/>
      <c r="AE16" s="1263"/>
      <c r="AF16" s="1263"/>
      <c r="AG16" s="1263"/>
      <c r="AH16" s="1263"/>
      <c r="AI16" s="1263"/>
      <c r="AJ16" s="1263"/>
      <c r="AK16" s="1263"/>
      <c r="AL16" s="455"/>
    </row>
    <row r="17" spans="1:38" ht="13.15">
      <c r="A17" s="204"/>
      <c r="B17" s="204"/>
      <c r="C17" s="205"/>
      <c r="D17" s="1263"/>
      <c r="E17" s="1263"/>
      <c r="F17" s="1263"/>
      <c r="G17" s="1263"/>
      <c r="H17" s="1263"/>
      <c r="I17" s="1263"/>
      <c r="J17" s="1263"/>
      <c r="K17" s="1263"/>
      <c r="L17" s="1263"/>
      <c r="M17" s="1263"/>
      <c r="N17" s="1263"/>
      <c r="O17" s="1263"/>
      <c r="P17" s="1263"/>
      <c r="Q17" s="1263"/>
      <c r="R17" s="1263"/>
      <c r="S17" s="1263"/>
      <c r="T17" s="1263"/>
      <c r="U17" s="1263"/>
      <c r="V17" s="1263"/>
      <c r="W17" s="1263"/>
      <c r="X17" s="1263"/>
      <c r="Y17" s="1263"/>
      <c r="Z17" s="1263"/>
      <c r="AA17" s="1263"/>
      <c r="AB17" s="1263"/>
      <c r="AC17" s="1263"/>
      <c r="AD17" s="1263"/>
      <c r="AE17" s="1263"/>
      <c r="AF17" s="1263"/>
      <c r="AG17" s="1263"/>
      <c r="AH17" s="1263"/>
      <c r="AI17" s="1263"/>
      <c r="AJ17" s="1263"/>
      <c r="AK17" s="1263"/>
      <c r="AL17" s="455"/>
    </row>
    <row r="18" spans="1:38" ht="13.15">
      <c r="A18" s="204"/>
      <c r="B18" s="204"/>
      <c r="C18" s="205"/>
      <c r="D18" s="519" t="s">
        <v>2604</v>
      </c>
      <c r="E18" s="441"/>
      <c r="G18" s="441"/>
      <c r="H18" s="441"/>
      <c r="I18" s="441"/>
      <c r="J18" s="1265" t="s">
        <v>2603</v>
      </c>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455"/>
    </row>
    <row r="19" spans="1:38" ht="13.15">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3" t="s">
        <v>2037</v>
      </c>
      <c r="E20" s="1263"/>
      <c r="F20" s="1263"/>
      <c r="G20" s="1263"/>
      <c r="H20" s="1263"/>
      <c r="I20" s="1263"/>
      <c r="J20" s="1263"/>
      <c r="K20" s="1263"/>
      <c r="L20" s="1263"/>
      <c r="M20" s="1263"/>
      <c r="N20" s="1263"/>
      <c r="O20" s="1263"/>
      <c r="P20" s="1263"/>
      <c r="Q20" s="1263"/>
      <c r="R20" s="1263"/>
      <c r="S20" s="1263"/>
      <c r="T20" s="1263"/>
      <c r="U20" s="1263"/>
      <c r="V20" s="1263"/>
      <c r="W20" s="1263"/>
      <c r="X20" s="1263"/>
      <c r="Y20" s="1263"/>
      <c r="Z20" s="1263"/>
      <c r="AA20" s="1263"/>
      <c r="AB20" s="1263"/>
      <c r="AC20" s="1263"/>
      <c r="AD20" s="1263"/>
      <c r="AE20" s="1263"/>
      <c r="AF20" s="1263"/>
      <c r="AG20" s="1263"/>
      <c r="AH20" s="1263"/>
      <c r="AI20" s="1263"/>
      <c r="AJ20" s="1263"/>
      <c r="AK20" s="1263"/>
      <c r="AL20" s="204"/>
    </row>
    <row r="21" spans="1:38" ht="13.15">
      <c r="A21" s="204"/>
      <c r="B21" s="204"/>
      <c r="C21" s="205"/>
      <c r="D21" s="1263"/>
      <c r="E21" s="1263"/>
      <c r="F21" s="1263"/>
      <c r="G21" s="1263"/>
      <c r="H21" s="1263"/>
      <c r="I21" s="1263"/>
      <c r="J21" s="1263"/>
      <c r="K21" s="1263"/>
      <c r="L21" s="1263"/>
      <c r="M21" s="1263"/>
      <c r="N21" s="1263"/>
      <c r="O21" s="1263"/>
      <c r="P21" s="1263"/>
      <c r="Q21" s="1263"/>
      <c r="R21" s="1263"/>
      <c r="S21" s="1263"/>
      <c r="T21" s="1263"/>
      <c r="U21" s="1263"/>
      <c r="V21" s="1263"/>
      <c r="W21" s="1263"/>
      <c r="X21" s="1263"/>
      <c r="Y21" s="1263"/>
      <c r="Z21" s="1263"/>
      <c r="AA21" s="1263"/>
      <c r="AB21" s="1263"/>
      <c r="AC21" s="1263"/>
      <c r="AD21" s="1263"/>
      <c r="AE21" s="1263"/>
      <c r="AF21" s="1263"/>
      <c r="AG21" s="1263"/>
      <c r="AH21" s="1263"/>
      <c r="AI21" s="1263"/>
      <c r="AJ21" s="1263"/>
      <c r="AK21" s="1263"/>
      <c r="AL21" s="204"/>
    </row>
    <row r="22" spans="1:38" ht="13.15">
      <c r="A22" s="204"/>
      <c r="B22" s="204"/>
      <c r="C22" s="205"/>
      <c r="D22" s="1263"/>
      <c r="E22" s="1263"/>
      <c r="F22" s="1263"/>
      <c r="G22" s="1263"/>
      <c r="H22" s="1263"/>
      <c r="I22" s="1263"/>
      <c r="J22" s="1263"/>
      <c r="K22" s="1263"/>
      <c r="L22" s="1263"/>
      <c r="M22" s="1263"/>
      <c r="N22" s="1263"/>
      <c r="O22" s="1263"/>
      <c r="P22" s="1263"/>
      <c r="Q22" s="1263"/>
      <c r="R22" s="1263"/>
      <c r="S22" s="1263"/>
      <c r="T22" s="1263"/>
      <c r="U22" s="1263"/>
      <c r="V22" s="1263"/>
      <c r="W22" s="1263"/>
      <c r="X22" s="1263"/>
      <c r="Y22" s="1263"/>
      <c r="Z22" s="1263"/>
      <c r="AA22" s="1263"/>
      <c r="AB22" s="1263"/>
      <c r="AC22" s="1263"/>
      <c r="AD22" s="1263"/>
      <c r="AE22" s="1263"/>
      <c r="AF22" s="1263"/>
      <c r="AG22" s="1263"/>
      <c r="AH22" s="1263"/>
      <c r="AI22" s="1263"/>
      <c r="AJ22" s="1263"/>
      <c r="AK22" s="1263"/>
      <c r="AL22" s="204"/>
    </row>
    <row r="23" spans="1:38" ht="13.15" customHeight="1">
      <c r="A23" s="204"/>
      <c r="B23" s="204"/>
      <c r="C23" s="205"/>
      <c r="D23" s="1263"/>
      <c r="E23" s="1263"/>
      <c r="F23" s="1263"/>
      <c r="G23" s="1263"/>
      <c r="H23" s="1263"/>
      <c r="I23" s="1263"/>
      <c r="J23" s="1263"/>
      <c r="K23" s="1263"/>
      <c r="L23" s="1263"/>
      <c r="M23" s="1263"/>
      <c r="N23" s="1263"/>
      <c r="O23" s="1263"/>
      <c r="P23" s="1263"/>
      <c r="Q23" s="1263"/>
      <c r="R23" s="1263"/>
      <c r="S23" s="1263"/>
      <c r="T23" s="1263"/>
      <c r="U23" s="1263"/>
      <c r="V23" s="1263"/>
      <c r="W23" s="1263"/>
      <c r="X23" s="1263"/>
      <c r="Y23" s="1263"/>
      <c r="Z23" s="1263"/>
      <c r="AA23" s="1263"/>
      <c r="AB23" s="1263"/>
      <c r="AC23" s="1263"/>
      <c r="AD23" s="1263"/>
      <c r="AE23" s="1263"/>
      <c r="AF23" s="1263"/>
      <c r="AG23" s="1263"/>
      <c r="AH23" s="1263"/>
      <c r="AI23" s="1263"/>
      <c r="AJ23" s="1263"/>
      <c r="AK23" s="1263"/>
      <c r="AL23" s="204"/>
    </row>
    <row r="24" spans="1:38" ht="13.15">
      <c r="A24" s="204"/>
      <c r="B24" s="204"/>
      <c r="C24" s="205"/>
      <c r="D24" s="1263"/>
      <c r="E24" s="1263"/>
      <c r="F24" s="1263"/>
      <c r="G24" s="1263"/>
      <c r="H24" s="1263"/>
      <c r="I24" s="1263"/>
      <c r="J24" s="1263"/>
      <c r="K24" s="1263"/>
      <c r="L24" s="1263"/>
      <c r="M24" s="1263"/>
      <c r="N24" s="1263"/>
      <c r="O24" s="1263"/>
      <c r="P24" s="1263"/>
      <c r="Q24" s="1263"/>
      <c r="R24" s="1263"/>
      <c r="S24" s="1263"/>
      <c r="T24" s="1263"/>
      <c r="U24" s="1263"/>
      <c r="V24" s="1263"/>
      <c r="W24" s="1263"/>
      <c r="X24" s="1263"/>
      <c r="Y24" s="1263"/>
      <c r="Z24" s="1263"/>
      <c r="AA24" s="1263"/>
      <c r="AB24" s="1263"/>
      <c r="AC24" s="1263"/>
      <c r="AD24" s="1263"/>
      <c r="AE24" s="1263"/>
      <c r="AF24" s="1263"/>
      <c r="AG24" s="1263"/>
      <c r="AH24" s="1263"/>
      <c r="AI24" s="1263"/>
      <c r="AJ24" s="1263"/>
      <c r="AK24" s="1263"/>
      <c r="AL24" s="204"/>
    </row>
    <row r="25" spans="1:38" ht="13.15">
      <c r="A25" s="204"/>
      <c r="B25" s="204"/>
      <c r="C25" s="205"/>
      <c r="D25" s="1263"/>
      <c r="E25" s="1263"/>
      <c r="F25" s="1263"/>
      <c r="G25" s="1263"/>
      <c r="H25" s="1263"/>
      <c r="I25" s="1263"/>
      <c r="J25" s="1263"/>
      <c r="K25" s="1263"/>
      <c r="L25" s="1263"/>
      <c r="M25" s="1263"/>
      <c r="N25" s="1263"/>
      <c r="O25" s="1263"/>
      <c r="P25" s="1263"/>
      <c r="Q25" s="1263"/>
      <c r="R25" s="1263"/>
      <c r="S25" s="1263"/>
      <c r="T25" s="1263"/>
      <c r="U25" s="1263"/>
      <c r="V25" s="1263"/>
      <c r="W25" s="1263"/>
      <c r="X25" s="1263"/>
      <c r="Y25" s="1263"/>
      <c r="Z25" s="1263"/>
      <c r="AA25" s="1263"/>
      <c r="AB25" s="1263"/>
      <c r="AC25" s="1263"/>
      <c r="AD25" s="1263"/>
      <c r="AE25" s="1263"/>
      <c r="AF25" s="1263"/>
      <c r="AG25" s="1263"/>
      <c r="AH25" s="1263"/>
      <c r="AI25" s="1263"/>
      <c r="AJ25" s="1263"/>
      <c r="AK25" s="1263"/>
      <c r="AL25" s="204"/>
    </row>
    <row r="26" spans="1:38" ht="13.15">
      <c r="A26" s="204"/>
      <c r="B26" s="204"/>
      <c r="C26" s="205"/>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3"/>
      <c r="AA26" s="1263"/>
      <c r="AB26" s="1263"/>
      <c r="AC26" s="1263"/>
      <c r="AD26" s="1263"/>
      <c r="AE26" s="1263"/>
      <c r="AF26" s="1263"/>
      <c r="AG26" s="1263"/>
      <c r="AH26" s="1263"/>
      <c r="AI26" s="1263"/>
      <c r="AJ26" s="1263"/>
      <c r="AK26" s="1263"/>
      <c r="AL26" s="204"/>
    </row>
    <row r="27" spans="1:38" ht="13.15">
      <c r="A27" s="204"/>
      <c r="B27" s="204"/>
      <c r="C27" s="205"/>
      <c r="D27" s="1263"/>
      <c r="E27" s="1263"/>
      <c r="F27" s="1263"/>
      <c r="G27" s="1263"/>
      <c r="H27" s="1263"/>
      <c r="I27" s="1263"/>
      <c r="J27" s="1263"/>
      <c r="K27" s="1263"/>
      <c r="L27" s="1263"/>
      <c r="M27" s="1263"/>
      <c r="N27" s="1263"/>
      <c r="O27" s="1263"/>
      <c r="P27" s="1263"/>
      <c r="Q27" s="1263"/>
      <c r="R27" s="1263"/>
      <c r="S27" s="1263"/>
      <c r="T27" s="1263"/>
      <c r="U27" s="1263"/>
      <c r="V27" s="1263"/>
      <c r="W27" s="1263"/>
      <c r="X27" s="1263"/>
      <c r="Y27" s="1263"/>
      <c r="Z27" s="1263"/>
      <c r="AA27" s="1263"/>
      <c r="AB27" s="1263"/>
      <c r="AC27" s="1263"/>
      <c r="AD27" s="1263"/>
      <c r="AE27" s="1263"/>
      <c r="AF27" s="1263"/>
      <c r="AG27" s="1263"/>
      <c r="AH27" s="1263"/>
      <c r="AI27" s="1263"/>
      <c r="AJ27" s="1263"/>
      <c r="AK27" s="1263"/>
      <c r="AL27" s="204"/>
    </row>
    <row r="28" spans="1:38" ht="13.15">
      <c r="A28" s="204"/>
      <c r="B28" s="204"/>
      <c r="C28" s="205"/>
      <c r="D28" s="1263"/>
      <c r="E28" s="1263"/>
      <c r="F28" s="1263"/>
      <c r="G28" s="1263"/>
      <c r="H28" s="1263"/>
      <c r="I28" s="1263"/>
      <c r="J28" s="1263"/>
      <c r="K28" s="1263"/>
      <c r="L28" s="1263"/>
      <c r="M28" s="1263"/>
      <c r="N28" s="1263"/>
      <c r="O28" s="1263"/>
      <c r="P28" s="1263"/>
      <c r="Q28" s="1263"/>
      <c r="R28" s="1263"/>
      <c r="S28" s="1263"/>
      <c r="T28" s="1263"/>
      <c r="U28" s="1263"/>
      <c r="V28" s="1263"/>
      <c r="W28" s="1263"/>
      <c r="X28" s="1263"/>
      <c r="Y28" s="1263"/>
      <c r="Z28" s="1263"/>
      <c r="AA28" s="1263"/>
      <c r="AB28" s="1263"/>
      <c r="AC28" s="1263"/>
      <c r="AD28" s="1263"/>
      <c r="AE28" s="1263"/>
      <c r="AF28" s="1263"/>
      <c r="AG28" s="1263"/>
      <c r="AH28" s="1263"/>
      <c r="AI28" s="1263"/>
      <c r="AJ28" s="1263"/>
      <c r="AK28" s="1263"/>
      <c r="AL28" s="204"/>
    </row>
    <row r="29" spans="1:38" ht="13.15">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3" t="s">
        <v>2038</v>
      </c>
      <c r="E30" s="1263"/>
      <c r="F30" s="1263"/>
      <c r="G30" s="1263"/>
      <c r="H30" s="1263"/>
      <c r="I30" s="1263"/>
      <c r="J30" s="1263"/>
      <c r="K30" s="1263"/>
      <c r="L30" s="1263"/>
      <c r="M30" s="1263"/>
      <c r="N30" s="1263"/>
      <c r="O30" s="1263"/>
      <c r="P30" s="1263"/>
      <c r="Q30" s="1263"/>
      <c r="R30" s="1263"/>
      <c r="S30" s="1263"/>
      <c r="T30" s="1263"/>
      <c r="U30" s="1263"/>
      <c r="V30" s="1263"/>
      <c r="W30" s="1263"/>
      <c r="X30" s="1263"/>
      <c r="Y30" s="1263"/>
      <c r="Z30" s="1263"/>
      <c r="AA30" s="1263"/>
      <c r="AB30" s="1263"/>
      <c r="AC30" s="1263"/>
      <c r="AD30" s="1263"/>
      <c r="AE30" s="1263"/>
      <c r="AF30" s="1263"/>
      <c r="AG30" s="1263"/>
      <c r="AH30" s="1263"/>
      <c r="AI30" s="1263"/>
      <c r="AJ30" s="1263"/>
      <c r="AK30" s="1263"/>
      <c r="AL30" s="204"/>
    </row>
    <row r="31" spans="1:38" ht="13.15">
      <c r="A31" s="204"/>
      <c r="B31" s="204"/>
      <c r="C31" s="205"/>
      <c r="D31" s="455"/>
      <c r="E31" s="1271" t="s">
        <v>2519</v>
      </c>
      <c r="F31" s="1272"/>
      <c r="G31" s="1272"/>
      <c r="H31" s="1272"/>
      <c r="I31" s="1272"/>
      <c r="J31" s="1272"/>
      <c r="K31" s="1272"/>
      <c r="L31" s="1272"/>
      <c r="M31" s="1272"/>
      <c r="N31" s="1272"/>
      <c r="O31" s="1272"/>
      <c r="P31" s="1272"/>
      <c r="Q31" s="1272"/>
      <c r="R31" s="1272"/>
      <c r="S31" s="1272"/>
      <c r="T31" s="1272"/>
      <c r="U31" s="1272"/>
      <c r="V31" s="1272"/>
      <c r="W31" s="1272"/>
      <c r="X31" s="1272"/>
      <c r="Y31" s="1272"/>
      <c r="Z31" s="1272"/>
      <c r="AA31" s="1272"/>
      <c r="AB31" s="1272"/>
      <c r="AC31" s="1272"/>
      <c r="AD31" s="1272"/>
      <c r="AE31" s="1272"/>
      <c r="AF31" s="1272"/>
      <c r="AG31" s="1272"/>
      <c r="AH31" s="1272"/>
      <c r="AI31" s="1272"/>
      <c r="AJ31" s="1272"/>
      <c r="AK31" s="1272"/>
      <c r="AL31" s="204"/>
    </row>
    <row r="32" spans="1:38" ht="13.15">
      <c r="A32" s="4"/>
      <c r="C32" s="2"/>
    </row>
    <row r="33" spans="1:38">
      <c r="A33" s="4"/>
      <c r="D33" s="1264" t="s">
        <v>2142</v>
      </c>
      <c r="E33" s="1264"/>
      <c r="F33" s="1264"/>
      <c r="G33" s="1264"/>
      <c r="H33" s="1264"/>
      <c r="I33" s="1264"/>
      <c r="J33" s="1264"/>
      <c r="K33" s="1264"/>
      <c r="L33" s="1264"/>
      <c r="M33" s="1264"/>
      <c r="N33" s="1264"/>
      <c r="O33" s="1264"/>
      <c r="P33" s="1264"/>
      <c r="Q33" s="1264"/>
      <c r="R33" s="1264"/>
      <c r="S33" s="1264"/>
      <c r="T33" s="1264"/>
      <c r="U33" s="1264"/>
      <c r="V33" s="1264"/>
      <c r="W33" s="1264"/>
      <c r="X33" s="1264"/>
      <c r="Y33" s="1264"/>
      <c r="Z33" s="1264"/>
      <c r="AA33" s="1264"/>
      <c r="AB33" s="1264"/>
      <c r="AC33" s="1264"/>
      <c r="AD33" s="1264"/>
      <c r="AE33" s="1264"/>
      <c r="AF33" s="1264"/>
      <c r="AG33" s="1264"/>
      <c r="AH33" s="1264"/>
      <c r="AI33" s="1264"/>
      <c r="AJ33" s="1264"/>
      <c r="AK33" s="1264"/>
    </row>
    <row r="34" spans="1:38">
      <c r="A34" s="4"/>
      <c r="D34" s="1264"/>
      <c r="E34" s="1264"/>
      <c r="F34" s="1264"/>
      <c r="G34" s="1264"/>
      <c r="H34" s="1264"/>
      <c r="I34" s="1264"/>
      <c r="J34" s="1264"/>
      <c r="K34" s="1264"/>
      <c r="L34" s="1264"/>
      <c r="M34" s="1264"/>
      <c r="N34" s="1264"/>
      <c r="O34" s="1264"/>
      <c r="P34" s="1264"/>
      <c r="Q34" s="1264"/>
      <c r="R34" s="1264"/>
      <c r="S34" s="1264"/>
      <c r="T34" s="1264"/>
      <c r="U34" s="1264"/>
      <c r="V34" s="1264"/>
      <c r="W34" s="1264"/>
      <c r="X34" s="1264"/>
      <c r="Y34" s="1264"/>
      <c r="Z34" s="1264"/>
      <c r="AA34" s="1264"/>
      <c r="AB34" s="1264"/>
      <c r="AC34" s="1264"/>
      <c r="AD34" s="1264"/>
      <c r="AE34" s="1264"/>
      <c r="AF34" s="1264"/>
      <c r="AG34" s="1264"/>
      <c r="AH34" s="1264"/>
      <c r="AI34" s="1264"/>
      <c r="AJ34" s="1264"/>
      <c r="AK34" s="1264"/>
    </row>
    <row r="35" spans="1:38" ht="13.15">
      <c r="A35" s="4"/>
      <c r="D35" s="120"/>
      <c r="E35" s="1270" t="s">
        <v>2045</v>
      </c>
      <c r="F35" s="1270"/>
      <c r="G35" s="1270"/>
      <c r="H35" s="1270"/>
      <c r="I35" s="1270"/>
      <c r="J35" s="1270"/>
      <c r="K35" s="1270"/>
      <c r="L35" s="1270"/>
      <c r="M35" s="1270"/>
      <c r="N35" s="1270"/>
      <c r="O35" s="1270"/>
      <c r="P35" s="1270"/>
      <c r="Q35" s="1270"/>
      <c r="R35" s="1270"/>
      <c r="S35" s="1270"/>
      <c r="T35" s="1270"/>
      <c r="U35" s="1270"/>
      <c r="V35" s="1270"/>
      <c r="W35" s="1270"/>
      <c r="X35" s="1270"/>
      <c r="Y35" s="1270"/>
      <c r="Z35" s="1270"/>
      <c r="AA35" s="1270"/>
      <c r="AB35" s="1270"/>
      <c r="AC35" s="1270"/>
      <c r="AD35" s="1270"/>
      <c r="AE35" s="1270"/>
      <c r="AF35" s="1270"/>
      <c r="AG35" s="1270"/>
      <c r="AH35" s="1270"/>
      <c r="AI35" s="1270"/>
      <c r="AJ35" s="1270"/>
      <c r="AK35" s="1270"/>
    </row>
    <row r="36" spans="1:38" ht="13.15">
      <c r="A36" s="4"/>
      <c r="D36" s="120"/>
      <c r="E36" s="1270" t="s">
        <v>2046</v>
      </c>
      <c r="F36" s="1270"/>
      <c r="G36" s="1270"/>
      <c r="H36" s="1270"/>
      <c r="I36" s="1270"/>
      <c r="J36" s="1270"/>
      <c r="K36" s="1270"/>
      <c r="L36" s="1270"/>
      <c r="M36" s="1270"/>
      <c r="N36" s="1270"/>
      <c r="O36" s="1270"/>
      <c r="P36" s="1270"/>
      <c r="Q36" s="1270"/>
      <c r="R36" s="1270"/>
      <c r="S36" s="1270"/>
      <c r="T36" s="1270"/>
      <c r="U36" s="1270"/>
      <c r="V36" s="1270"/>
      <c r="W36" s="1270"/>
      <c r="X36" s="1270"/>
      <c r="Y36" s="1270"/>
      <c r="Z36" s="1270"/>
      <c r="AA36" s="1270"/>
      <c r="AB36" s="1270"/>
      <c r="AC36" s="1270"/>
      <c r="AD36" s="1270"/>
      <c r="AE36" s="1270"/>
      <c r="AF36" s="1270"/>
      <c r="AG36" s="1270"/>
      <c r="AH36" s="1270"/>
      <c r="AI36" s="1270"/>
      <c r="AJ36" s="1270"/>
      <c r="AK36" s="1270"/>
    </row>
    <row r="37" spans="1:38" ht="13.15">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15">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3" customFormat="1" ht="13.15" customHeight="1">
      <c r="A40" s="4"/>
      <c r="B40"/>
      <c r="C40" s="2"/>
      <c r="D40" s="4"/>
      <c r="E40" s="4" t="s">
        <v>653</v>
      </c>
      <c r="F40" s="1263" t="s">
        <v>1164</v>
      </c>
    </row>
    <row r="41" spans="1:38" s="1263" customFormat="1" ht="13.15" customHeight="1">
      <c r="A41" s="4"/>
      <c r="B41"/>
      <c r="C41" s="2"/>
      <c r="D41" s="4"/>
      <c r="E41" s="4"/>
    </row>
    <row r="42" spans="1:38" ht="13.15">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8" t="s">
        <v>1246</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ht="13.15">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1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ht="13.15">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15">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15">
      <c r="A48" s="4"/>
      <c r="C48" s="2"/>
      <c r="D48" s="4"/>
      <c r="E48" s="3" t="s">
        <v>348</v>
      </c>
      <c r="F48" s="1263" t="s">
        <v>2040</v>
      </c>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263"/>
      <c r="AE48" s="1263"/>
      <c r="AF48" s="1263"/>
      <c r="AG48" s="1263"/>
      <c r="AH48" s="1263"/>
      <c r="AI48" s="1263"/>
      <c r="AJ48" s="1263"/>
      <c r="AK48" s="1263"/>
    </row>
    <row r="49" spans="1:38" ht="13.15">
      <c r="A49" s="4"/>
      <c r="C49" s="2"/>
      <c r="D49" s="4"/>
      <c r="E49" s="4"/>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263"/>
      <c r="AE49" s="1263"/>
      <c r="AF49" s="1263"/>
      <c r="AG49" s="1263"/>
      <c r="AH49" s="1263"/>
      <c r="AI49" s="1263"/>
      <c r="AJ49" s="1263"/>
      <c r="AK49" s="1263"/>
    </row>
    <row r="50" spans="1:38" ht="13.15">
      <c r="A50" s="4"/>
      <c r="C50" s="2"/>
      <c r="D50" s="4"/>
      <c r="F50" s="1263"/>
      <c r="G50" s="1263"/>
      <c r="H50" s="1263"/>
      <c r="I50" s="1263"/>
      <c r="J50" s="1263"/>
      <c r="K50" s="1263"/>
      <c r="L50" s="1263"/>
      <c r="M50" s="1263"/>
      <c r="N50" s="1263"/>
      <c r="O50" s="1263"/>
      <c r="P50" s="1263"/>
      <c r="Q50" s="1263"/>
      <c r="R50" s="1263"/>
      <c r="S50" s="1263"/>
      <c r="T50" s="1263"/>
      <c r="U50" s="1263"/>
      <c r="V50" s="1263"/>
      <c r="W50" s="1263"/>
      <c r="X50" s="1263"/>
      <c r="Y50" s="1263"/>
      <c r="Z50" s="1263"/>
      <c r="AA50" s="1263"/>
      <c r="AB50" s="1263"/>
      <c r="AC50" s="1263"/>
      <c r="AD50" s="1263"/>
      <c r="AE50" s="1263"/>
      <c r="AF50" s="1263"/>
      <c r="AG50" s="1263"/>
      <c r="AH50" s="1263"/>
      <c r="AI50" s="1263"/>
      <c r="AJ50" s="1263"/>
      <c r="AK50" s="1263"/>
    </row>
    <row r="51" spans="1:38" ht="13.15">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15">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15">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1191</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15">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2041</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ht="13.15">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ht="13.15">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15">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15">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15">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ht="13.15">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ht="13.15">
      <c r="A64" s="4"/>
      <c r="C64" s="2"/>
      <c r="D64" s="4"/>
      <c r="E64" s="4"/>
      <c r="F64" t="s">
        <v>687</v>
      </c>
      <c r="G64" s="1263" t="s">
        <v>1166</v>
      </c>
      <c r="H64" s="1263"/>
      <c r="I64" s="1263"/>
      <c r="J64" s="1263"/>
      <c r="K64" s="1263"/>
      <c r="L64" s="1263"/>
      <c r="M64" s="1263"/>
      <c r="N64" s="1263"/>
      <c r="O64" s="1263"/>
      <c r="P64" s="1263"/>
      <c r="Q64" s="1263"/>
      <c r="R64" s="1263"/>
      <c r="S64" s="1263"/>
      <c r="T64" s="1263"/>
      <c r="U64" s="1263"/>
      <c r="V64" s="1263"/>
      <c r="W64" s="1263"/>
      <c r="X64" s="1263"/>
      <c r="Y64" s="1263"/>
      <c r="Z64" s="1263"/>
      <c r="AA64" s="1263"/>
      <c r="AB64" s="1263"/>
      <c r="AC64" s="1263"/>
      <c r="AD64" s="1263"/>
      <c r="AE64" s="1263"/>
      <c r="AF64" s="1263"/>
      <c r="AG64" s="1263"/>
      <c r="AH64" s="1263"/>
      <c r="AI64" s="1263"/>
      <c r="AJ64" s="1263"/>
      <c r="AK64" s="1263"/>
    </row>
    <row r="65" spans="1:37" ht="13.15">
      <c r="A65" s="4"/>
      <c r="C65" s="2"/>
      <c r="D65" s="4"/>
      <c r="E65" s="4"/>
      <c r="G65" s="1263"/>
      <c r="H65" s="1263"/>
      <c r="I65" s="1263"/>
      <c r="J65" s="1263"/>
      <c r="K65" s="1263"/>
      <c r="L65" s="1263"/>
      <c r="M65" s="1263"/>
      <c r="N65" s="1263"/>
      <c r="O65" s="1263"/>
      <c r="P65" s="1263"/>
      <c r="Q65" s="1263"/>
      <c r="R65" s="1263"/>
      <c r="S65" s="1263"/>
      <c r="T65" s="1263"/>
      <c r="U65" s="1263"/>
      <c r="V65" s="1263"/>
      <c r="W65" s="1263"/>
      <c r="X65" s="1263"/>
      <c r="Y65" s="1263"/>
      <c r="Z65" s="1263"/>
      <c r="AA65" s="1263"/>
      <c r="AB65" s="1263"/>
      <c r="AC65" s="1263"/>
      <c r="AD65" s="1263"/>
      <c r="AE65" s="1263"/>
      <c r="AF65" s="1263"/>
      <c r="AG65" s="1263"/>
      <c r="AH65" s="1263"/>
      <c r="AI65" s="1263"/>
      <c r="AJ65" s="1263"/>
      <c r="AK65" s="1263"/>
    </row>
    <row r="66" spans="1:37" ht="13.15">
      <c r="A66" s="4"/>
      <c r="C66" s="2"/>
      <c r="D66" s="4"/>
      <c r="E66" s="4"/>
      <c r="G66" s="1263"/>
      <c r="H66" s="1263"/>
      <c r="I66" s="1263"/>
      <c r="J66" s="1263"/>
      <c r="K66" s="1263"/>
      <c r="L66" s="1263"/>
      <c r="M66" s="1263"/>
      <c r="N66" s="1263"/>
      <c r="O66" s="1263"/>
      <c r="P66" s="1263"/>
      <c r="Q66" s="1263"/>
      <c r="R66" s="1263"/>
      <c r="S66" s="1263"/>
      <c r="T66" s="1263"/>
      <c r="U66" s="1263"/>
      <c r="V66" s="1263"/>
      <c r="W66" s="1263"/>
      <c r="X66" s="1263"/>
      <c r="Y66" s="1263"/>
      <c r="Z66" s="1263"/>
      <c r="AA66" s="1263"/>
      <c r="AB66" s="1263"/>
      <c r="AC66" s="1263"/>
      <c r="AD66" s="1263"/>
      <c r="AE66" s="1263"/>
      <c r="AF66" s="1263"/>
      <c r="AG66" s="1263"/>
      <c r="AH66" s="1263"/>
      <c r="AI66" s="1263"/>
      <c r="AJ66" s="1263"/>
      <c r="AK66" s="1263"/>
    </row>
    <row r="67" spans="1:37" ht="13.15" customHeight="1">
      <c r="A67" s="4"/>
      <c r="C67" s="2"/>
      <c r="D67" s="4"/>
      <c r="E67" s="4"/>
      <c r="F67" t="s">
        <v>509</v>
      </c>
      <c r="G67" s="1263" t="s">
        <v>1167</v>
      </c>
      <c r="H67" s="1263"/>
      <c r="I67" s="1263"/>
      <c r="J67" s="1263"/>
      <c r="K67" s="1263"/>
      <c r="L67" s="1263"/>
      <c r="M67" s="1263"/>
      <c r="N67" s="1263"/>
      <c r="O67" s="1263"/>
      <c r="P67" s="1263"/>
      <c r="Q67" s="1263"/>
      <c r="R67" s="1263"/>
      <c r="S67" s="1263"/>
      <c r="T67" s="1263"/>
      <c r="U67" s="1263"/>
      <c r="V67" s="1263"/>
      <c r="W67" s="1263"/>
      <c r="X67" s="1263"/>
      <c r="Y67" s="1263"/>
      <c r="Z67" s="1263"/>
      <c r="AA67" s="1263"/>
      <c r="AB67" s="1263"/>
      <c r="AC67" s="1263"/>
      <c r="AD67" s="1263"/>
      <c r="AE67" s="1263"/>
      <c r="AF67" s="1263"/>
      <c r="AG67" s="1263"/>
      <c r="AH67" s="1263"/>
      <c r="AI67" s="1263"/>
      <c r="AJ67" s="1263"/>
      <c r="AK67" s="1263"/>
    </row>
    <row r="68" spans="1:37" ht="13.15">
      <c r="A68" s="4"/>
      <c r="C68" s="2"/>
      <c r="D68" s="4"/>
      <c r="E68" s="4"/>
      <c r="F68" s="27"/>
      <c r="G68" s="1263"/>
      <c r="H68" s="1263"/>
      <c r="I68" s="1263"/>
      <c r="J68" s="1263"/>
      <c r="K68" s="1263"/>
      <c r="L68" s="1263"/>
      <c r="M68" s="1263"/>
      <c r="N68" s="1263"/>
      <c r="O68" s="1263"/>
      <c r="P68" s="1263"/>
      <c r="Q68" s="1263"/>
      <c r="R68" s="1263"/>
      <c r="S68" s="1263"/>
      <c r="T68" s="1263"/>
      <c r="U68" s="1263"/>
      <c r="V68" s="1263"/>
      <c r="W68" s="1263"/>
      <c r="X68" s="1263"/>
      <c r="Y68" s="1263"/>
      <c r="Z68" s="1263"/>
      <c r="AA68" s="1263"/>
      <c r="AB68" s="1263"/>
      <c r="AC68" s="1263"/>
      <c r="AD68" s="1263"/>
      <c r="AE68" s="1263"/>
      <c r="AF68" s="1263"/>
      <c r="AG68" s="1263"/>
      <c r="AH68" s="1263"/>
      <c r="AI68" s="1263"/>
      <c r="AJ68" s="1263"/>
      <c r="AK68" s="1263"/>
    </row>
    <row r="69" spans="1:37" ht="13.15">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15">
      <c r="A70" s="4"/>
      <c r="C70" s="2"/>
      <c r="D70" s="4"/>
      <c r="E70" s="4"/>
      <c r="F70" s="8" t="s">
        <v>687</v>
      </c>
      <c r="G70" s="1263" t="s">
        <v>1168</v>
      </c>
      <c r="H70" s="1263"/>
      <c r="I70" s="1263"/>
      <c r="J70" s="1263"/>
      <c r="K70" s="1263"/>
      <c r="L70" s="1263"/>
      <c r="M70" s="1263"/>
      <c r="N70" s="1263"/>
      <c r="O70" s="1263"/>
      <c r="P70" s="1263"/>
      <c r="Q70" s="1263"/>
      <c r="R70" s="1263"/>
      <c r="S70" s="1263"/>
      <c r="T70" s="1263"/>
      <c r="U70" s="1263"/>
      <c r="V70" s="1263"/>
      <c r="W70" s="1263"/>
      <c r="X70" s="1263"/>
      <c r="Y70" s="1263"/>
      <c r="Z70" s="1263"/>
      <c r="AA70" s="1263"/>
      <c r="AB70" s="1263"/>
      <c r="AC70" s="1263"/>
      <c r="AD70" s="1263"/>
      <c r="AE70" s="1263"/>
      <c r="AF70" s="1263"/>
      <c r="AG70" s="1263"/>
      <c r="AH70" s="1263"/>
      <c r="AI70" s="1263"/>
      <c r="AJ70" s="1263"/>
      <c r="AK70" s="1263"/>
    </row>
    <row r="71" spans="1:37" ht="13.15">
      <c r="A71" s="4"/>
      <c r="C71" s="2"/>
      <c r="D71" s="4"/>
      <c r="E71" s="4"/>
      <c r="F71" s="8"/>
      <c r="G71" s="1263"/>
      <c r="H71" s="1263"/>
      <c r="I71" s="1263"/>
      <c r="J71" s="1263"/>
      <c r="K71" s="1263"/>
      <c r="L71" s="1263"/>
      <c r="M71" s="1263"/>
      <c r="N71" s="1263"/>
      <c r="O71" s="1263"/>
      <c r="P71" s="1263"/>
      <c r="Q71" s="1263"/>
      <c r="R71" s="1263"/>
      <c r="S71" s="1263"/>
      <c r="T71" s="1263"/>
      <c r="U71" s="1263"/>
      <c r="V71" s="1263"/>
      <c r="W71" s="1263"/>
      <c r="X71" s="1263"/>
      <c r="Y71" s="1263"/>
      <c r="Z71" s="1263"/>
      <c r="AA71" s="1263"/>
      <c r="AB71" s="1263"/>
      <c r="AC71" s="1263"/>
      <c r="AD71" s="1263"/>
      <c r="AE71" s="1263"/>
      <c r="AF71" s="1263"/>
      <c r="AG71" s="1263"/>
      <c r="AH71" s="1263"/>
      <c r="AI71" s="1263"/>
      <c r="AJ71" s="1263"/>
      <c r="AK71" s="1263"/>
    </row>
    <row r="72" spans="1:37" ht="13.15">
      <c r="A72" s="4"/>
      <c r="C72" s="2"/>
      <c r="D72" s="4"/>
      <c r="E72" s="4"/>
      <c r="F72" s="8" t="s">
        <v>509</v>
      </c>
      <c r="G72" s="1263" t="s">
        <v>1169</v>
      </c>
      <c r="H72" s="1263"/>
      <c r="I72" s="1263"/>
      <c r="J72" s="1263"/>
      <c r="K72" s="1263"/>
      <c r="L72" s="1263"/>
      <c r="M72" s="1263"/>
      <c r="N72" s="1263"/>
      <c r="O72" s="1263"/>
      <c r="P72" s="1263"/>
      <c r="Q72" s="1263"/>
      <c r="R72" s="1263"/>
      <c r="S72" s="1263"/>
      <c r="T72" s="1263"/>
      <c r="U72" s="1263"/>
      <c r="V72" s="1263"/>
      <c r="W72" s="1263"/>
      <c r="X72" s="1263"/>
      <c r="Y72" s="1263"/>
      <c r="Z72" s="1263"/>
      <c r="AA72" s="1263"/>
      <c r="AB72" s="1263"/>
      <c r="AC72" s="1263"/>
      <c r="AD72" s="1263"/>
      <c r="AE72" s="1263"/>
      <c r="AF72" s="1263"/>
      <c r="AG72" s="1263"/>
      <c r="AH72" s="1263"/>
      <c r="AI72" s="1263"/>
      <c r="AJ72" s="1263"/>
      <c r="AK72" s="1263"/>
    </row>
    <row r="73" spans="1:37" ht="13.15">
      <c r="A73" s="4"/>
      <c r="C73" s="2"/>
      <c r="D73" s="4"/>
      <c r="E73" s="4"/>
      <c r="F73" s="8"/>
      <c r="G73" s="1263"/>
      <c r="H73" s="1263"/>
      <c r="I73" s="1263"/>
      <c r="J73" s="1263"/>
      <c r="K73" s="1263"/>
      <c r="L73" s="1263"/>
      <c r="M73" s="1263"/>
      <c r="N73" s="1263"/>
      <c r="O73" s="1263"/>
      <c r="P73" s="1263"/>
      <c r="Q73" s="1263"/>
      <c r="R73" s="1263"/>
      <c r="S73" s="1263"/>
      <c r="T73" s="1263"/>
      <c r="U73" s="1263"/>
      <c r="V73" s="1263"/>
      <c r="W73" s="1263"/>
      <c r="X73" s="1263"/>
      <c r="Y73" s="1263"/>
      <c r="Z73" s="1263"/>
      <c r="AA73" s="1263"/>
      <c r="AB73" s="1263"/>
      <c r="AC73" s="1263"/>
      <c r="AD73" s="1263"/>
      <c r="AE73" s="1263"/>
      <c r="AF73" s="1263"/>
      <c r="AG73" s="1263"/>
      <c r="AH73" s="1263"/>
      <c r="AI73" s="1263"/>
      <c r="AJ73" s="1263"/>
      <c r="AK73" s="1263"/>
    </row>
    <row r="74" spans="1:37" ht="13.15">
      <c r="A74" s="4"/>
      <c r="C74" s="2"/>
      <c r="D74" s="4"/>
      <c r="E74" s="4"/>
      <c r="F74" s="8"/>
      <c r="G74" s="120" t="s">
        <v>750</v>
      </c>
      <c r="H74" s="4"/>
      <c r="J74" s="120"/>
      <c r="K74" s="120"/>
      <c r="L74" s="120"/>
      <c r="P74" s="4"/>
      <c r="Q74" s="4"/>
      <c r="R74" s="4"/>
      <c r="S74" s="4"/>
      <c r="T74" s="4"/>
      <c r="U74" s="4"/>
      <c r="V74" s="4"/>
      <c r="W74" s="4"/>
      <c r="X74" s="4"/>
      <c r="Y74" s="4"/>
      <c r="Z74" s="4"/>
      <c r="AA74" s="4"/>
      <c r="AB74" s="4"/>
    </row>
    <row r="75" spans="1:37" ht="13.15">
      <c r="A75" s="4"/>
      <c r="C75" s="2"/>
      <c r="D75" s="4"/>
      <c r="E75" s="4"/>
      <c r="F75" s="8"/>
      <c r="G75" s="120" t="s">
        <v>864</v>
      </c>
      <c r="J75" s="120"/>
      <c r="K75" s="120"/>
      <c r="L75" s="120"/>
      <c r="P75" s="4"/>
      <c r="Q75" s="4"/>
      <c r="R75" s="4"/>
      <c r="S75" s="4"/>
      <c r="T75" s="4"/>
      <c r="U75" s="4"/>
      <c r="V75" s="4"/>
      <c r="W75" s="4"/>
      <c r="X75" s="4"/>
      <c r="Y75" s="4"/>
      <c r="Z75" s="4"/>
      <c r="AA75" s="4"/>
      <c r="AB75" s="4"/>
    </row>
    <row r="76" spans="1:37" ht="13.15">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ht="13.15">
      <c r="A77" s="4"/>
      <c r="C77" s="2"/>
      <c r="D77" s="4"/>
      <c r="E77" s="4"/>
      <c r="F77" s="4"/>
      <c r="G77" s="4" t="s">
        <v>507</v>
      </c>
      <c r="H77" s="4" t="s">
        <v>865</v>
      </c>
      <c r="K77" s="4"/>
      <c r="L77" s="4"/>
      <c r="M77" s="4"/>
      <c r="P77" s="4"/>
      <c r="Q77" s="4"/>
      <c r="R77" s="4"/>
      <c r="S77" s="4"/>
      <c r="T77" s="4"/>
      <c r="U77" s="4"/>
      <c r="V77" s="4"/>
      <c r="W77" s="4"/>
      <c r="X77" s="4"/>
      <c r="Y77" s="4"/>
      <c r="Z77" s="4"/>
      <c r="AA77" s="4"/>
      <c r="AB77" s="4"/>
    </row>
    <row r="78" spans="1:37" ht="13.15">
      <c r="A78" s="4"/>
      <c r="C78" s="2"/>
      <c r="D78" s="4"/>
      <c r="E78" s="4"/>
      <c r="F78" s="4"/>
      <c r="G78" s="4" t="s">
        <v>757</v>
      </c>
      <c r="H78" s="4" t="s">
        <v>753</v>
      </c>
      <c r="K78" s="4"/>
      <c r="L78" s="4"/>
      <c r="M78" s="4"/>
      <c r="P78" s="4"/>
      <c r="Q78" s="4"/>
      <c r="R78" s="4"/>
      <c r="S78" s="4"/>
      <c r="T78" s="4"/>
      <c r="U78" s="4"/>
      <c r="V78" s="4"/>
      <c r="W78" s="4"/>
      <c r="X78" s="4"/>
      <c r="Y78" s="4"/>
      <c r="Z78" s="4"/>
      <c r="AA78" s="4"/>
      <c r="AB78" s="4"/>
    </row>
    <row r="79" spans="1:37" ht="13.15">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15">
      <c r="A80" s="4"/>
      <c r="C80" s="2"/>
      <c r="D80" s="4"/>
      <c r="E80" s="4"/>
      <c r="F80" s="8"/>
      <c r="G80" s="1263" t="s">
        <v>1170</v>
      </c>
      <c r="H80" s="1263"/>
      <c r="I80" s="1263"/>
      <c r="J80" s="1263"/>
      <c r="K80" s="1263"/>
      <c r="L80" s="1263"/>
      <c r="M80" s="1263"/>
      <c r="N80" s="1263"/>
      <c r="O80" s="1263"/>
      <c r="P80" s="1263"/>
      <c r="Q80" s="1263"/>
      <c r="R80" s="1263"/>
      <c r="S80" s="1263"/>
      <c r="T80" s="1263"/>
      <c r="U80" s="1263"/>
      <c r="V80" s="1263"/>
      <c r="W80" s="1263"/>
      <c r="X80" s="1263"/>
      <c r="Y80" s="1263"/>
      <c r="Z80" s="1263"/>
      <c r="AA80" s="1263"/>
      <c r="AB80" s="1263"/>
      <c r="AC80" s="1263"/>
      <c r="AD80" s="1263"/>
      <c r="AE80" s="1263"/>
      <c r="AF80" s="1263"/>
      <c r="AG80" s="1263"/>
      <c r="AH80" s="1263"/>
      <c r="AI80" s="1263"/>
      <c r="AJ80" s="1263"/>
      <c r="AK80" s="1263"/>
    </row>
    <row r="81" spans="1:37" ht="13.15">
      <c r="A81" s="4"/>
      <c r="C81" s="2"/>
      <c r="D81" s="4"/>
      <c r="E81" s="4"/>
      <c r="F81" s="4"/>
      <c r="G81" s="1263"/>
      <c r="H81" s="1263"/>
      <c r="I81" s="1263"/>
      <c r="J81" s="1263"/>
      <c r="K81" s="1263"/>
      <c r="L81" s="1263"/>
      <c r="M81" s="1263"/>
      <c r="N81" s="1263"/>
      <c r="O81" s="1263"/>
      <c r="P81" s="1263"/>
      <c r="Q81" s="1263"/>
      <c r="R81" s="1263"/>
      <c r="S81" s="1263"/>
      <c r="T81" s="1263"/>
      <c r="U81" s="1263"/>
      <c r="V81" s="1263"/>
      <c r="W81" s="1263"/>
      <c r="X81" s="1263"/>
      <c r="Y81" s="1263"/>
      <c r="Z81" s="1263"/>
      <c r="AA81" s="1263"/>
      <c r="AB81" s="1263"/>
      <c r="AC81" s="1263"/>
      <c r="AD81" s="1263"/>
      <c r="AE81" s="1263"/>
      <c r="AF81" s="1263"/>
      <c r="AG81" s="1263"/>
      <c r="AH81" s="1263"/>
      <c r="AI81" s="1263"/>
      <c r="AJ81" s="1263"/>
      <c r="AK81" s="1263"/>
    </row>
    <row r="82" spans="1:37" ht="13.15">
      <c r="A82" s="4"/>
      <c r="C82" s="2"/>
      <c r="D82" s="4"/>
      <c r="E82" s="4"/>
      <c r="F82" s="4"/>
      <c r="G82" s="1263"/>
      <c r="H82" s="1263"/>
      <c r="I82" s="1263"/>
      <c r="J82" s="1263"/>
      <c r="K82" s="1263"/>
      <c r="L82" s="1263"/>
      <c r="M82" s="1263"/>
      <c r="N82" s="1263"/>
      <c r="O82" s="1263"/>
      <c r="P82" s="1263"/>
      <c r="Q82" s="1263"/>
      <c r="R82" s="1263"/>
      <c r="S82" s="1263"/>
      <c r="T82" s="1263"/>
      <c r="U82" s="1263"/>
      <c r="V82" s="1263"/>
      <c r="W82" s="1263"/>
      <c r="X82" s="1263"/>
      <c r="Y82" s="1263"/>
      <c r="Z82" s="1263"/>
      <c r="AA82" s="1263"/>
      <c r="AB82" s="1263"/>
      <c r="AC82" s="1263"/>
      <c r="AD82" s="1263"/>
      <c r="AE82" s="1263"/>
      <c r="AF82" s="1263"/>
      <c r="AG82" s="1263"/>
      <c r="AH82" s="1263"/>
      <c r="AI82" s="1263"/>
      <c r="AJ82" s="1263"/>
      <c r="AK82" s="1263"/>
    </row>
    <row r="83" spans="1:37" ht="13.15">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15">
      <c r="A84" s="4"/>
      <c r="C84" s="2"/>
      <c r="D84" s="4"/>
      <c r="E84" s="4"/>
      <c r="F84" s="8"/>
      <c r="G84" s="1263" t="s">
        <v>1171</v>
      </c>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row>
    <row r="85" spans="1:37" ht="13.15">
      <c r="A85" s="4"/>
      <c r="C85" s="2"/>
      <c r="D85" s="4"/>
      <c r="E85" s="4"/>
      <c r="F85" s="4"/>
      <c r="G85" s="1263"/>
      <c r="H85" s="1263"/>
      <c r="I85" s="1263"/>
      <c r="J85" s="1263"/>
      <c r="K85" s="1263"/>
      <c r="L85" s="1263"/>
      <c r="M85" s="1263"/>
      <c r="N85" s="1263"/>
      <c r="O85" s="1263"/>
      <c r="P85" s="1263"/>
      <c r="Q85" s="1263"/>
      <c r="R85" s="1263"/>
      <c r="S85" s="1263"/>
      <c r="T85" s="1263"/>
      <c r="U85" s="1263"/>
      <c r="V85" s="1263"/>
      <c r="W85" s="1263"/>
      <c r="X85" s="1263"/>
      <c r="Y85" s="1263"/>
      <c r="Z85" s="1263"/>
      <c r="AA85" s="1263"/>
      <c r="AB85" s="1263"/>
      <c r="AC85" s="1263"/>
      <c r="AD85" s="1263"/>
      <c r="AE85" s="1263"/>
      <c r="AF85" s="1263"/>
      <c r="AG85" s="1263"/>
      <c r="AH85" s="1263"/>
      <c r="AI85" s="1263"/>
      <c r="AJ85" s="1263"/>
      <c r="AK85" s="1263"/>
    </row>
    <row r="86" spans="1:37" ht="13.15">
      <c r="A86" s="4"/>
      <c r="C86" s="2"/>
      <c r="D86" s="4"/>
      <c r="E86" s="4"/>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row>
    <row r="87" spans="1:37" ht="13.15">
      <c r="A87" s="4"/>
      <c r="C87" s="2"/>
      <c r="D87" s="4"/>
      <c r="E87" s="4" t="s">
        <v>261</v>
      </c>
      <c r="F87" t="s">
        <v>866</v>
      </c>
      <c r="G87" s="4"/>
      <c r="L87" s="4"/>
      <c r="M87" s="4"/>
      <c r="P87" s="4"/>
      <c r="Q87" s="4"/>
      <c r="R87" s="4"/>
      <c r="S87" s="4"/>
      <c r="T87" s="4"/>
      <c r="U87" s="4"/>
      <c r="V87" s="4"/>
      <c r="W87" s="4"/>
      <c r="X87" s="4"/>
      <c r="Y87" s="4"/>
      <c r="Z87" s="4"/>
      <c r="AA87" s="4"/>
      <c r="AB87" s="4"/>
    </row>
    <row r="88" spans="1:37" ht="13.15">
      <c r="A88" s="4"/>
      <c r="C88" s="2"/>
      <c r="D88" s="4"/>
      <c r="E88" s="4"/>
      <c r="G88" s="1273" t="s">
        <v>1172</v>
      </c>
      <c r="H88" s="1273"/>
      <c r="I88" s="1273"/>
      <c r="J88" s="1273"/>
      <c r="K88" s="1273"/>
      <c r="L88" s="1273"/>
      <c r="M88" s="1273"/>
      <c r="N88" s="1273"/>
      <c r="O88" s="1273"/>
      <c r="P88" s="1273"/>
      <c r="Q88" s="1273"/>
      <c r="R88" s="1273"/>
      <c r="S88" s="1273"/>
      <c r="T88" s="1273"/>
      <c r="U88" s="1273"/>
      <c r="V88" s="1273"/>
      <c r="W88" s="1273"/>
      <c r="X88" s="1273"/>
      <c r="Y88" s="1273"/>
      <c r="Z88" s="1273"/>
      <c r="AA88" s="1273"/>
      <c r="AB88" s="1273"/>
      <c r="AC88" s="1273"/>
      <c r="AD88" s="1273"/>
      <c r="AE88" s="1273"/>
      <c r="AF88" s="1273"/>
      <c r="AG88" s="1273"/>
      <c r="AH88" s="1273"/>
      <c r="AI88" s="1273"/>
      <c r="AJ88" s="1273"/>
      <c r="AK88" s="1273"/>
    </row>
    <row r="89" spans="1:37" ht="13.15">
      <c r="A89" s="4"/>
      <c r="C89" s="2"/>
      <c r="D89" s="4"/>
      <c r="E89" s="4"/>
      <c r="G89" s="1273"/>
      <c r="H89" s="1273"/>
      <c r="I89" s="1273"/>
      <c r="J89" s="1273"/>
      <c r="K89" s="1273"/>
      <c r="L89" s="1273"/>
      <c r="M89" s="1273"/>
      <c r="N89" s="1273"/>
      <c r="O89" s="1273"/>
      <c r="P89" s="1273"/>
      <c r="Q89" s="1273"/>
      <c r="R89" s="1273"/>
      <c r="S89" s="1273"/>
      <c r="T89" s="1273"/>
      <c r="U89" s="1273"/>
      <c r="V89" s="1273"/>
      <c r="W89" s="1273"/>
      <c r="X89" s="1273"/>
      <c r="Y89" s="1273"/>
      <c r="Z89" s="1273"/>
      <c r="AA89" s="1273"/>
      <c r="AB89" s="1273"/>
      <c r="AC89" s="1273"/>
      <c r="AD89" s="1273"/>
      <c r="AE89" s="1273"/>
      <c r="AF89" s="1273"/>
      <c r="AG89" s="1273"/>
      <c r="AH89" s="1273"/>
      <c r="AI89" s="1273"/>
      <c r="AJ89" s="1273"/>
      <c r="AK89" s="1273"/>
    </row>
    <row r="90" spans="1:37" ht="13.15">
      <c r="A90" s="4"/>
      <c r="C90" s="2"/>
      <c r="D90" s="4"/>
      <c r="E90" s="4"/>
      <c r="G90" s="1273"/>
      <c r="H90" s="1273"/>
      <c r="I90" s="1273"/>
      <c r="J90" s="1273"/>
      <c r="K90" s="1273"/>
      <c r="L90" s="1273"/>
      <c r="M90" s="1273"/>
      <c r="N90" s="1273"/>
      <c r="O90" s="1273"/>
      <c r="P90" s="1273"/>
      <c r="Q90" s="1273"/>
      <c r="R90" s="1273"/>
      <c r="S90" s="1273"/>
      <c r="T90" s="1273"/>
      <c r="U90" s="1273"/>
      <c r="V90" s="1273"/>
      <c r="W90" s="1273"/>
      <c r="X90" s="1273"/>
      <c r="Y90" s="1273"/>
      <c r="Z90" s="1273"/>
      <c r="AA90" s="1273"/>
      <c r="AB90" s="1273"/>
      <c r="AC90" s="1273"/>
      <c r="AD90" s="1273"/>
      <c r="AE90" s="1273"/>
      <c r="AF90" s="1273"/>
      <c r="AG90" s="1273"/>
      <c r="AH90" s="1273"/>
      <c r="AI90" s="1273"/>
      <c r="AJ90" s="1273"/>
      <c r="AK90" s="1273"/>
    </row>
    <row r="91" spans="1:37" ht="13.15">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15">
      <c r="A92" s="4"/>
      <c r="C92" s="2"/>
      <c r="D92" s="4"/>
      <c r="E92" s="4"/>
      <c r="F92" s="4"/>
      <c r="G92" s="1263" t="s">
        <v>1173</v>
      </c>
      <c r="H92" s="1263"/>
      <c r="I92" s="1263"/>
      <c r="J92" s="1263"/>
      <c r="K92" s="1263"/>
      <c r="L92" s="1263"/>
      <c r="M92" s="1263"/>
      <c r="N92" s="1263"/>
      <c r="O92" s="1263"/>
      <c r="P92" s="1263"/>
      <c r="Q92" s="1263"/>
      <c r="R92" s="1263"/>
      <c r="S92" s="1263"/>
      <c r="T92" s="1263"/>
      <c r="U92" s="1263"/>
      <c r="V92" s="1263"/>
      <c r="W92" s="1263"/>
      <c r="X92" s="1263"/>
      <c r="Y92" s="1263"/>
      <c r="Z92" s="1263"/>
      <c r="AA92" s="1263"/>
      <c r="AB92" s="1263"/>
      <c r="AC92" s="1263"/>
      <c r="AD92" s="1263"/>
      <c r="AE92" s="1263"/>
      <c r="AF92" s="1263"/>
      <c r="AG92" s="1263"/>
      <c r="AH92" s="1263"/>
      <c r="AI92" s="1263"/>
      <c r="AJ92" s="1263"/>
      <c r="AK92" s="1263"/>
    </row>
    <row r="93" spans="1:37" ht="13.15">
      <c r="A93" s="4"/>
      <c r="C93" s="2"/>
      <c r="D93" s="4"/>
      <c r="E93" s="4"/>
      <c r="G93" s="1263"/>
      <c r="H93" s="1263"/>
      <c r="I93" s="1263"/>
      <c r="J93" s="1263"/>
      <c r="K93" s="1263"/>
      <c r="L93" s="1263"/>
      <c r="M93" s="1263"/>
      <c r="N93" s="1263"/>
      <c r="O93" s="1263"/>
      <c r="P93" s="1263"/>
      <c r="Q93" s="1263"/>
      <c r="R93" s="1263"/>
      <c r="S93" s="1263"/>
      <c r="T93" s="1263"/>
      <c r="U93" s="1263"/>
      <c r="V93" s="1263"/>
      <c r="W93" s="1263"/>
      <c r="X93" s="1263"/>
      <c r="Y93" s="1263"/>
      <c r="Z93" s="1263"/>
      <c r="AA93" s="1263"/>
      <c r="AB93" s="1263"/>
      <c r="AC93" s="1263"/>
      <c r="AD93" s="1263"/>
      <c r="AE93" s="1263"/>
      <c r="AF93" s="1263"/>
      <c r="AG93" s="1263"/>
      <c r="AH93" s="1263"/>
      <c r="AI93" s="1263"/>
      <c r="AJ93" s="1263"/>
      <c r="AK93" s="1263"/>
    </row>
    <row r="94" spans="1:37" ht="13.15">
      <c r="A94" s="4"/>
      <c r="C94" s="2"/>
      <c r="D94" s="4"/>
      <c r="E94" s="4" t="s">
        <v>904</v>
      </c>
      <c r="F94" s="204" t="s">
        <v>905</v>
      </c>
      <c r="G94" s="204"/>
      <c r="L94" s="4"/>
      <c r="M94" s="4"/>
      <c r="P94" s="4"/>
      <c r="Q94" s="4"/>
      <c r="R94" s="4"/>
      <c r="S94" s="4"/>
      <c r="T94" s="4"/>
      <c r="U94" s="4"/>
      <c r="V94" s="4"/>
      <c r="W94" s="4"/>
      <c r="X94" s="4"/>
      <c r="Y94" s="4"/>
      <c r="Z94" s="4"/>
      <c r="AA94" s="4"/>
      <c r="AB94" s="4"/>
    </row>
    <row r="95" spans="1:37" ht="13.15">
      <c r="A95" s="4"/>
      <c r="C95" s="2"/>
      <c r="D95" s="4"/>
      <c r="E95" s="4"/>
      <c r="G95" s="1263" t="s">
        <v>1174</v>
      </c>
      <c r="H95" s="1263"/>
      <c r="I95" s="1263"/>
      <c r="J95" s="1263"/>
      <c r="K95" s="1263"/>
      <c r="L95" s="1263"/>
      <c r="M95" s="1263"/>
      <c r="N95" s="1263"/>
      <c r="O95" s="1263"/>
      <c r="P95" s="1263"/>
      <c r="Q95" s="1263"/>
      <c r="R95" s="1263"/>
      <c r="S95" s="1263"/>
      <c r="T95" s="1263"/>
      <c r="U95" s="1263"/>
      <c r="V95" s="1263"/>
      <c r="W95" s="1263"/>
      <c r="X95" s="1263"/>
      <c r="Y95" s="1263"/>
      <c r="Z95" s="1263"/>
      <c r="AA95" s="1263"/>
      <c r="AB95" s="1263"/>
      <c r="AC95" s="1263"/>
      <c r="AD95" s="1263"/>
      <c r="AE95" s="1263"/>
      <c r="AF95" s="1263"/>
      <c r="AG95" s="1263"/>
      <c r="AH95" s="1263"/>
      <c r="AI95" s="1263"/>
      <c r="AJ95" s="1263"/>
      <c r="AK95" s="1263"/>
    </row>
    <row r="96" spans="1:37" ht="13.15">
      <c r="A96" s="4"/>
      <c r="C96" s="2"/>
      <c r="D96" s="4"/>
      <c r="E96" s="4"/>
      <c r="G96" s="1263"/>
      <c r="H96" s="1263"/>
      <c r="I96" s="1263"/>
      <c r="J96" s="1263"/>
      <c r="K96" s="1263"/>
      <c r="L96" s="1263"/>
      <c r="M96" s="1263"/>
      <c r="N96" s="1263"/>
      <c r="O96" s="1263"/>
      <c r="P96" s="1263"/>
      <c r="Q96" s="1263"/>
      <c r="R96" s="1263"/>
      <c r="S96" s="1263"/>
      <c r="T96" s="1263"/>
      <c r="U96" s="1263"/>
      <c r="V96" s="1263"/>
      <c r="W96" s="1263"/>
      <c r="X96" s="1263"/>
      <c r="Y96" s="1263"/>
      <c r="Z96" s="1263"/>
      <c r="AA96" s="1263"/>
      <c r="AB96" s="1263"/>
      <c r="AC96" s="1263"/>
      <c r="AD96" s="1263"/>
      <c r="AE96" s="1263"/>
      <c r="AF96" s="1263"/>
      <c r="AG96" s="1263"/>
      <c r="AH96" s="1263"/>
      <c r="AI96" s="1263"/>
      <c r="AJ96" s="1263"/>
      <c r="AK96" s="1263"/>
    </row>
    <row r="97" spans="1:38" ht="13.15">
      <c r="A97" s="4"/>
      <c r="C97" s="2"/>
      <c r="D97" s="4"/>
      <c r="E97" s="4"/>
      <c r="G97" s="1263"/>
      <c r="H97" s="1263"/>
      <c r="I97" s="1263"/>
      <c r="J97" s="1263"/>
      <c r="K97" s="1263"/>
      <c r="L97" s="1263"/>
      <c r="M97" s="1263"/>
      <c r="N97" s="1263"/>
      <c r="O97" s="1263"/>
      <c r="P97" s="1263"/>
      <c r="Q97" s="1263"/>
      <c r="R97" s="1263"/>
      <c r="S97" s="1263"/>
      <c r="T97" s="1263"/>
      <c r="U97" s="1263"/>
      <c r="V97" s="1263"/>
      <c r="W97" s="1263"/>
      <c r="X97" s="1263"/>
      <c r="Y97" s="1263"/>
      <c r="Z97" s="1263"/>
      <c r="AA97" s="1263"/>
      <c r="AB97" s="1263"/>
      <c r="AC97" s="1263"/>
      <c r="AD97" s="1263"/>
      <c r="AE97" s="1263"/>
      <c r="AF97" s="1263"/>
      <c r="AG97" s="1263"/>
      <c r="AH97" s="1263"/>
      <c r="AI97" s="1263"/>
      <c r="AJ97" s="1263"/>
      <c r="AK97" s="1263"/>
    </row>
    <row r="98" spans="1:38">
      <c r="A98" s="4"/>
      <c r="D98" s="99"/>
      <c r="E98" s="1274" t="s">
        <v>1175</v>
      </c>
      <c r="F98" s="1274"/>
      <c r="G98" s="1274"/>
      <c r="H98" s="1274"/>
      <c r="I98" s="1274"/>
      <c r="J98" s="1274"/>
      <c r="K98" s="1274"/>
      <c r="L98" s="1274"/>
      <c r="M98" s="1274"/>
      <c r="N98" s="1274"/>
      <c r="O98" s="1274"/>
      <c r="P98" s="1274"/>
      <c r="Q98" s="1274"/>
      <c r="R98" s="1274"/>
      <c r="S98" s="1274"/>
      <c r="T98" s="1274"/>
      <c r="U98" s="1274"/>
      <c r="V98" s="1274"/>
      <c r="W98" s="1274"/>
      <c r="X98" s="1274"/>
      <c r="Y98" s="1274"/>
      <c r="Z98" s="1274"/>
      <c r="AA98" s="1274"/>
      <c r="AB98" s="1274"/>
      <c r="AC98" s="1274"/>
      <c r="AD98" s="1274"/>
      <c r="AE98" s="1274"/>
      <c r="AF98" s="1274"/>
      <c r="AG98" s="1274"/>
      <c r="AH98" s="1274"/>
      <c r="AI98" s="1274"/>
      <c r="AJ98" s="1274"/>
      <c r="AK98" s="1274"/>
    </row>
    <row r="99" spans="1:38">
      <c r="A99" s="4"/>
      <c r="D99" s="99"/>
      <c r="E99" s="1274"/>
      <c r="F99" s="1274"/>
      <c r="G99" s="1274"/>
      <c r="H99" s="1274"/>
      <c r="I99" s="1274"/>
      <c r="J99" s="1274"/>
      <c r="K99" s="1274"/>
      <c r="L99" s="1274"/>
      <c r="M99" s="1274"/>
      <c r="N99" s="1274"/>
      <c r="O99" s="1274"/>
      <c r="P99" s="1274"/>
      <c r="Q99" s="1274"/>
      <c r="R99" s="1274"/>
      <c r="S99" s="1274"/>
      <c r="T99" s="1274"/>
      <c r="U99" s="1274"/>
      <c r="V99" s="1274"/>
      <c r="W99" s="1274"/>
      <c r="X99" s="1274"/>
      <c r="Y99" s="1274"/>
      <c r="Z99" s="1274"/>
      <c r="AA99" s="1274"/>
      <c r="AB99" s="1274"/>
      <c r="AC99" s="1274"/>
      <c r="AD99" s="1274"/>
      <c r="AE99" s="1274"/>
      <c r="AF99" s="1274"/>
      <c r="AG99" s="1274"/>
      <c r="AH99" s="1274"/>
      <c r="AI99" s="1274"/>
      <c r="AJ99" s="1274"/>
      <c r="AK99" s="1274"/>
    </row>
    <row r="100" spans="1:38" ht="13.15">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15">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15">
      <c r="B102" s="2"/>
      <c r="C102" s="2"/>
      <c r="D102" s="2"/>
      <c r="E102" s="2"/>
      <c r="F102" s="2"/>
      <c r="G102" s="2"/>
      <c r="H102" s="2"/>
      <c r="I102" s="2"/>
      <c r="J102" s="2"/>
      <c r="K102" s="2"/>
    </row>
    <row r="103" spans="1:38" ht="13.15">
      <c r="B103" s="2"/>
      <c r="C103" s="2" t="s">
        <v>429</v>
      </c>
      <c r="E103" s="2"/>
      <c r="F103" s="2"/>
      <c r="G103" s="2" t="s">
        <v>1186</v>
      </c>
      <c r="H103" s="2"/>
      <c r="I103" s="2"/>
      <c r="K103" s="2"/>
    </row>
    <row r="104" spans="1:38" ht="13.15">
      <c r="B104" s="2"/>
      <c r="C104" s="2"/>
      <c r="D104" s="2" t="s">
        <v>206</v>
      </c>
      <c r="E104" s="2" t="s">
        <v>1188</v>
      </c>
      <c r="F104" s="2"/>
      <c r="G104" s="2"/>
      <c r="H104" s="2"/>
      <c r="I104" s="2"/>
      <c r="J104" s="2"/>
      <c r="K104" s="2"/>
      <c r="L104" s="2"/>
      <c r="M104" s="2"/>
    </row>
    <row r="105" spans="1:38" ht="13.15">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ht="13.15">
      <c r="E109" s="4" t="s">
        <v>113</v>
      </c>
      <c r="F109" s="98" t="s">
        <v>656</v>
      </c>
      <c r="G109" s="2"/>
      <c r="H109" s="2"/>
      <c r="I109" s="2"/>
      <c r="J109" s="2"/>
    </row>
    <row r="110" spans="1:38">
      <c r="E110" s="4"/>
      <c r="F110" t="s">
        <v>657</v>
      </c>
    </row>
    <row r="111" spans="1:38">
      <c r="E111" s="4"/>
    </row>
    <row r="112" spans="1:38" ht="13.15">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ht="13.15">
      <c r="F117" s="4" t="s">
        <v>1015</v>
      </c>
      <c r="G117" s="4"/>
    </row>
    <row r="118" spans="2:10">
      <c r="F118" s="99" t="s">
        <v>1187</v>
      </c>
      <c r="G118" s="99"/>
    </row>
    <row r="119" spans="2:10">
      <c r="G119" s="99"/>
    </row>
    <row r="120" spans="2:10">
      <c r="E120" s="4" t="s">
        <v>763</v>
      </c>
      <c r="F120" s="98" t="s">
        <v>377</v>
      </c>
    </row>
    <row r="121" spans="2:10">
      <c r="E121" s="4"/>
      <c r="F121" s="4" t="s">
        <v>1007</v>
      </c>
    </row>
    <row r="122" spans="2:10" ht="13.15">
      <c r="B122" s="2"/>
      <c r="C122" s="2"/>
      <c r="F122" s="2"/>
    </row>
    <row r="123" spans="2:10" ht="13.15">
      <c r="B123" s="2"/>
      <c r="C123" s="2" t="s">
        <v>430</v>
      </c>
      <c r="G123" s="2" t="s">
        <v>378</v>
      </c>
    </row>
    <row r="124" spans="2:10" ht="13.15">
      <c r="B124" s="2"/>
      <c r="C124" s="2"/>
      <c r="D124" s="2" t="s">
        <v>206</v>
      </c>
      <c r="E124" s="2" t="s">
        <v>319</v>
      </c>
      <c r="F124" s="2"/>
      <c r="G124" s="2"/>
      <c r="H124" s="2"/>
      <c r="I124" s="2"/>
      <c r="J124" s="2"/>
    </row>
    <row r="125" spans="2:10" ht="13.15">
      <c r="B125" s="2"/>
      <c r="C125" s="2"/>
      <c r="E125" s="4" t="s">
        <v>923</v>
      </c>
      <c r="F125" s="4"/>
    </row>
    <row r="126" spans="2:10"/>
    <row r="127" spans="2:10" ht="13.15">
      <c r="D127" s="2" t="s">
        <v>340</v>
      </c>
      <c r="E127" s="2" t="s">
        <v>577</v>
      </c>
    </row>
    <row r="128" spans="2:10">
      <c r="E128" s="4" t="s">
        <v>923</v>
      </c>
      <c r="F128" s="4"/>
    </row>
    <row r="129" spans="4:37"/>
    <row r="130" spans="4:37" ht="13.15">
      <c r="D130" s="2" t="s">
        <v>574</v>
      </c>
      <c r="E130" s="2" t="s">
        <v>724</v>
      </c>
      <c r="G130" s="2"/>
      <c r="H130" s="2"/>
      <c r="I130" s="2"/>
      <c r="J130" s="2"/>
      <c r="K130" s="2"/>
      <c r="L130" s="2"/>
      <c r="M130" s="2"/>
      <c r="N130" s="2"/>
    </row>
    <row r="131" spans="4:37" ht="13.15">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15">
      <c r="D135" s="2" t="s">
        <v>514</v>
      </c>
      <c r="E135" s="2" t="s">
        <v>517</v>
      </c>
      <c r="F135" s="2"/>
    </row>
    <row r="136" spans="4:37">
      <c r="E136" s="3" t="s">
        <v>1213</v>
      </c>
      <c r="F136" s="4"/>
    </row>
    <row r="137" spans="4:37">
      <c r="F137" s="4"/>
    </row>
    <row r="138" spans="4:37" ht="13.15">
      <c r="D138" s="2" t="s">
        <v>302</v>
      </c>
      <c r="E138" s="2" t="s">
        <v>2042</v>
      </c>
      <c r="F138" s="2"/>
      <c r="G138" s="2"/>
      <c r="H138" s="2"/>
    </row>
    <row r="139" spans="4:37">
      <c r="E139" t="s">
        <v>112</v>
      </c>
      <c r="F139" t="s">
        <v>52</v>
      </c>
    </row>
    <row r="140" spans="4:37">
      <c r="E140" t="s">
        <v>113</v>
      </c>
      <c r="F140" t="s">
        <v>466</v>
      </c>
    </row>
    <row r="141" spans="4:37"/>
    <row r="142" spans="4:37" ht="13.15">
      <c r="D142" s="2" t="s">
        <v>428</v>
      </c>
      <c r="E142" s="2" t="s">
        <v>2043</v>
      </c>
    </row>
    <row r="143" spans="4:37">
      <c r="E143" s="204" t="s">
        <v>2044</v>
      </c>
      <c r="F143" s="204"/>
    </row>
    <row r="144" spans="4:37"/>
    <row r="145" spans="3:7" ht="13.15">
      <c r="C145" s="2" t="s">
        <v>6</v>
      </c>
      <c r="G145" s="2" t="s">
        <v>379</v>
      </c>
    </row>
    <row r="146" spans="3:7" ht="13.15">
      <c r="D146" s="2" t="s">
        <v>206</v>
      </c>
      <c r="E146" s="2" t="s">
        <v>135</v>
      </c>
    </row>
    <row r="147" spans="3:7">
      <c r="E147" t="s">
        <v>797</v>
      </c>
    </row>
    <row r="148" spans="3:7"/>
    <row r="149" spans="3:7" ht="13.15">
      <c r="D149" s="2" t="s">
        <v>340</v>
      </c>
      <c r="E149" s="2" t="s">
        <v>524</v>
      </c>
      <c r="F149" s="2"/>
    </row>
    <row r="150" spans="3:7">
      <c r="E150" s="4" t="s">
        <v>925</v>
      </c>
      <c r="F150" s="4"/>
    </row>
    <row r="151" spans="3:7"/>
    <row r="152" spans="3:7" ht="13.15">
      <c r="D152" s="2" t="s">
        <v>574</v>
      </c>
      <c r="E152" s="2" t="s">
        <v>553</v>
      </c>
    </row>
    <row r="153" spans="3:7">
      <c r="E153" s="4" t="s">
        <v>926</v>
      </c>
    </row>
    <row r="154" spans="3:7">
      <c r="E154" s="4" t="s">
        <v>924</v>
      </c>
      <c r="G154" s="4"/>
    </row>
    <row r="155" spans="3:7"/>
    <row r="156" spans="3:7" ht="13.15">
      <c r="D156" s="2" t="s">
        <v>514</v>
      </c>
      <c r="E156" s="2" t="s">
        <v>533</v>
      </c>
    </row>
    <row r="157" spans="3:7">
      <c r="E157" t="s">
        <v>112</v>
      </c>
      <c r="F157" s="4" t="s">
        <v>927</v>
      </c>
    </row>
    <row r="158" spans="3:7">
      <c r="E158" s="4" t="s">
        <v>113</v>
      </c>
      <c r="F158" s="4" t="s">
        <v>928</v>
      </c>
    </row>
    <row r="159" spans="3:7">
      <c r="E159" s="4" t="s">
        <v>119</v>
      </c>
      <c r="F159" t="s">
        <v>725</v>
      </c>
    </row>
    <row r="160" spans="3:7"/>
    <row r="161" spans="3:20" ht="13.15">
      <c r="D161" s="2" t="s">
        <v>302</v>
      </c>
      <c r="E161" s="2" t="s">
        <v>380</v>
      </c>
    </row>
    <row r="162" spans="3:20">
      <c r="E162" s="4" t="s">
        <v>929</v>
      </c>
      <c r="F162" s="4"/>
    </row>
    <row r="163" spans="3:20"/>
    <row r="164" spans="3:20" ht="13.15">
      <c r="D164" s="2" t="s">
        <v>428</v>
      </c>
      <c r="E164" s="2" t="s">
        <v>171</v>
      </c>
    </row>
    <row r="165" spans="3:20">
      <c r="E165" s="4" t="s">
        <v>931</v>
      </c>
    </row>
    <row r="166" spans="3:20">
      <c r="E166" s="4" t="s">
        <v>930</v>
      </c>
    </row>
    <row r="167" spans="3:20"/>
    <row r="168" spans="3:20" ht="13.15">
      <c r="D168" s="2" t="s">
        <v>557</v>
      </c>
      <c r="E168" s="2" t="s">
        <v>622</v>
      </c>
    </row>
    <row r="169" spans="3:20">
      <c r="E169" t="s">
        <v>112</v>
      </c>
      <c r="F169" t="s">
        <v>726</v>
      </c>
    </row>
    <row r="170" spans="3:20">
      <c r="E170" t="s">
        <v>113</v>
      </c>
      <c r="F170" t="s">
        <v>296</v>
      </c>
    </row>
    <row r="171" spans="3:20">
      <c r="F171" s="4"/>
    </row>
    <row r="172" spans="3:20" ht="13.15">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15">
      <c r="C175" s="2" t="s">
        <v>8</v>
      </c>
      <c r="D175" s="2"/>
      <c r="F175" s="4"/>
      <c r="G175" s="2" t="s">
        <v>577</v>
      </c>
    </row>
    <row r="176" spans="3:20" ht="13.15">
      <c r="D176" s="2" t="s">
        <v>206</v>
      </c>
      <c r="E176" s="2" t="s">
        <v>297</v>
      </c>
      <c r="G176" s="4"/>
      <c r="H176" s="4"/>
      <c r="I176" s="4"/>
      <c r="J176" s="4"/>
      <c r="K176" s="4"/>
      <c r="L176" s="4"/>
      <c r="M176" s="4"/>
      <c r="N176" s="4"/>
    </row>
    <row r="177" spans="2:19">
      <c r="E177" t="s">
        <v>112</v>
      </c>
      <c r="F177" s="4" t="s">
        <v>932</v>
      </c>
    </row>
    <row r="178" spans="2:19" ht="13.15">
      <c r="F178" s="120" t="s">
        <v>1148</v>
      </c>
      <c r="I178" s="120"/>
    </row>
    <row r="179" spans="2:19" ht="13.15">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ht="13.15">
      <c r="D183" s="2" t="s">
        <v>340</v>
      </c>
      <c r="E183" s="2" t="s">
        <v>1008</v>
      </c>
    </row>
    <row r="184" spans="2:19">
      <c r="B184" s="4"/>
      <c r="C184" s="4"/>
      <c r="E184" s="4" t="s">
        <v>709</v>
      </c>
      <c r="F184" s="4"/>
      <c r="I184" s="4"/>
    </row>
    <row r="185" spans="2:19" ht="13.15">
      <c r="B185" s="4"/>
      <c r="C185" s="4"/>
      <c r="E185" s="4" t="s">
        <v>1006</v>
      </c>
      <c r="F185" s="120"/>
      <c r="G185" s="4"/>
      <c r="I185" s="120"/>
    </row>
    <row r="186" spans="2:19" ht="13.15">
      <c r="B186" s="4"/>
      <c r="C186" s="4"/>
      <c r="F186" s="120"/>
      <c r="G186" s="4"/>
      <c r="I186" s="120"/>
    </row>
    <row r="187" spans="2:19" ht="13.15">
      <c r="B187" s="4"/>
      <c r="C187" s="4"/>
      <c r="D187" s="2" t="s">
        <v>574</v>
      </c>
      <c r="E187" s="2" t="s">
        <v>3</v>
      </c>
      <c r="F187" s="120"/>
      <c r="G187" s="4"/>
      <c r="I187" s="120"/>
    </row>
    <row r="188" spans="2:19" ht="13.15">
      <c r="B188" s="4"/>
      <c r="C188" s="4"/>
      <c r="D188" s="2"/>
      <c r="E188" s="4" t="s">
        <v>298</v>
      </c>
      <c r="F188" s="4"/>
      <c r="G188" s="4"/>
      <c r="I188" s="120"/>
    </row>
    <row r="189" spans="2:19" ht="13.15">
      <c r="B189" s="4"/>
      <c r="C189" s="4"/>
      <c r="F189" s="120"/>
      <c r="G189" s="4"/>
      <c r="I189" s="120"/>
    </row>
    <row r="190" spans="2:19" ht="13.15">
      <c r="D190" s="2" t="s">
        <v>514</v>
      </c>
      <c r="E190" s="2" t="s">
        <v>111</v>
      </c>
    </row>
    <row r="191" spans="2:19" ht="13.15">
      <c r="B191" s="4"/>
      <c r="C191" s="2"/>
      <c r="E191" t="s">
        <v>112</v>
      </c>
      <c r="F191" s="4" t="s">
        <v>1016</v>
      </c>
      <c r="G191" s="4"/>
      <c r="H191" s="4"/>
      <c r="I191" s="4"/>
    </row>
    <row r="192" spans="2:19" ht="13.15">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15">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15">
      <c r="B199" s="4"/>
      <c r="C199" s="4"/>
      <c r="D199" s="2" t="s">
        <v>428</v>
      </c>
      <c r="E199" s="2" t="s">
        <v>120</v>
      </c>
      <c r="G199" s="4"/>
      <c r="H199" s="4"/>
      <c r="I199" s="4"/>
      <c r="J199" s="4"/>
      <c r="M199" s="4"/>
      <c r="N199" s="4"/>
      <c r="O199" s="4"/>
      <c r="P199" s="4"/>
      <c r="Q199" s="4"/>
      <c r="R199" s="4"/>
      <c r="S199" s="4"/>
    </row>
    <row r="200" spans="2:37" ht="13.15">
      <c r="B200" s="4"/>
      <c r="C200" s="4"/>
      <c r="D200" s="2"/>
      <c r="E200" s="4" t="s">
        <v>112</v>
      </c>
      <c r="F200" s="4" t="s">
        <v>935</v>
      </c>
      <c r="M200" s="4"/>
      <c r="N200" s="4"/>
      <c r="O200" s="4"/>
      <c r="P200" s="4"/>
      <c r="Q200" s="4"/>
      <c r="R200" s="4"/>
      <c r="S200" s="4"/>
    </row>
    <row r="201" spans="2:37" ht="13.15">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15">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ht="13.15">
      <c r="B204" s="4"/>
      <c r="C204" s="4"/>
      <c r="D204" s="2"/>
      <c r="E204" s="4" t="s">
        <v>581</v>
      </c>
      <c r="F204" s="4" t="s">
        <v>937</v>
      </c>
      <c r="M204" s="4"/>
      <c r="N204" s="4"/>
      <c r="O204" s="4"/>
      <c r="P204" s="4"/>
      <c r="Q204" s="4"/>
      <c r="R204" s="4"/>
      <c r="S204" s="4"/>
    </row>
    <row r="205" spans="2:37" ht="13.15">
      <c r="B205" s="4"/>
      <c r="C205" s="4"/>
      <c r="D205" s="2"/>
      <c r="F205" t="s">
        <v>653</v>
      </c>
      <c r="G205" s="1263" t="s">
        <v>1176</v>
      </c>
      <c r="H205" s="1263"/>
      <c r="I205" s="1263"/>
      <c r="J205" s="1263"/>
      <c r="K205" s="1263"/>
      <c r="L205" s="1263"/>
      <c r="M205" s="1263"/>
      <c r="N205" s="1263"/>
      <c r="O205" s="1263"/>
      <c r="P205" s="1263"/>
      <c r="Q205" s="1263"/>
      <c r="R205" s="1263"/>
      <c r="S205" s="1263"/>
      <c r="T205" s="1263"/>
      <c r="U205" s="1263"/>
      <c r="V205" s="1263"/>
      <c r="W205" s="1263"/>
      <c r="X205" s="1263"/>
      <c r="Y205" s="1263"/>
      <c r="Z205" s="1263"/>
      <c r="AA205" s="1263"/>
      <c r="AB205" s="1263"/>
      <c r="AC205" s="1263"/>
      <c r="AD205" s="1263"/>
      <c r="AE205" s="1263"/>
      <c r="AF205" s="1263"/>
      <c r="AG205" s="1263"/>
      <c r="AH205" s="1263"/>
      <c r="AI205" s="1263"/>
      <c r="AJ205" s="1263"/>
      <c r="AK205" s="1263"/>
    </row>
    <row r="206" spans="2:37" ht="13.15">
      <c r="B206" s="4"/>
      <c r="C206" s="4"/>
      <c r="D206" s="2"/>
      <c r="G206" s="1263"/>
      <c r="H206" s="1263"/>
      <c r="I206" s="1263"/>
      <c r="J206" s="1263"/>
      <c r="K206" s="1263"/>
      <c r="L206" s="1263"/>
      <c r="M206" s="1263"/>
      <c r="N206" s="1263"/>
      <c r="O206" s="1263"/>
      <c r="P206" s="1263"/>
      <c r="Q206" s="1263"/>
      <c r="R206" s="1263"/>
      <c r="S206" s="1263"/>
      <c r="T206" s="1263"/>
      <c r="U206" s="1263"/>
      <c r="V206" s="1263"/>
      <c r="W206" s="1263"/>
      <c r="X206" s="1263"/>
      <c r="Y206" s="1263"/>
      <c r="Z206" s="1263"/>
      <c r="AA206" s="1263"/>
      <c r="AB206" s="1263"/>
      <c r="AC206" s="1263"/>
      <c r="AD206" s="1263"/>
      <c r="AE206" s="1263"/>
      <c r="AF206" s="1263"/>
      <c r="AG206" s="1263"/>
      <c r="AH206" s="1263"/>
      <c r="AI206" s="1263"/>
      <c r="AJ206" s="1263"/>
      <c r="AK206" s="1263"/>
    </row>
    <row r="207" spans="2:37" ht="13.15">
      <c r="B207" s="4"/>
      <c r="C207" s="4"/>
      <c r="D207" s="2"/>
      <c r="M207" s="4"/>
      <c r="N207" s="4"/>
      <c r="O207" s="4"/>
      <c r="P207" s="4"/>
      <c r="Q207" s="4"/>
      <c r="R207" s="4"/>
      <c r="S207" s="4"/>
    </row>
    <row r="208" spans="2:37" ht="13.15">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15">
      <c r="B211" s="4"/>
      <c r="C211" s="4"/>
      <c r="D211" s="2" t="s">
        <v>555</v>
      </c>
      <c r="E211" s="2" t="s">
        <v>247</v>
      </c>
      <c r="F211" s="4"/>
      <c r="G211" s="4"/>
      <c r="I211" s="4"/>
      <c r="J211" s="4"/>
      <c r="M211" s="4"/>
      <c r="N211" s="4"/>
      <c r="O211" s="4"/>
      <c r="P211" s="4"/>
      <c r="Q211" s="4"/>
      <c r="R211" s="4"/>
      <c r="S211" s="4"/>
      <c r="T211" s="4"/>
      <c r="U211" s="4"/>
      <c r="V211" s="4"/>
      <c r="W211" s="4"/>
    </row>
    <row r="212" spans="1:38" ht="13.15">
      <c r="B212" s="4"/>
      <c r="C212" s="4"/>
      <c r="D212" s="2"/>
      <c r="E212" s="4" t="s">
        <v>298</v>
      </c>
      <c r="F212" s="4"/>
      <c r="G212" s="4"/>
      <c r="I212" s="4"/>
      <c r="J212" s="4"/>
      <c r="M212" s="4"/>
      <c r="N212" s="4"/>
      <c r="O212" s="4"/>
      <c r="P212" s="4"/>
      <c r="Q212" s="4"/>
      <c r="R212" s="4"/>
      <c r="S212" s="4"/>
      <c r="T212" s="4"/>
      <c r="U212" s="4"/>
      <c r="V212" s="4"/>
      <c r="W212" s="4"/>
    </row>
    <row r="213" spans="1:38" ht="13.15">
      <c r="B213" s="4"/>
      <c r="C213" s="4"/>
      <c r="D213" s="2"/>
      <c r="M213" s="4"/>
      <c r="N213" s="4"/>
      <c r="O213" s="4"/>
      <c r="P213" s="4"/>
      <c r="Q213" s="4"/>
      <c r="R213" s="4"/>
      <c r="S213" s="4"/>
    </row>
    <row r="214" spans="1:38" ht="13.15">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ht="13.15">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15">
      <c r="B222" s="2"/>
      <c r="D222" s="2"/>
      <c r="E222" s="4"/>
      <c r="F222" s="4"/>
      <c r="G222" s="4"/>
      <c r="H222" s="4"/>
      <c r="I222" s="4"/>
      <c r="J222" s="4"/>
      <c r="L222" s="4"/>
      <c r="M222" s="4"/>
      <c r="N222" s="4"/>
      <c r="O222" s="4"/>
      <c r="P222" s="4"/>
      <c r="Q222" s="4"/>
      <c r="R222" s="4"/>
      <c r="S222" s="4"/>
    </row>
    <row r="223" spans="1:38" ht="13.15">
      <c r="B223" s="4"/>
      <c r="C223" s="2" t="s">
        <v>429</v>
      </c>
      <c r="D223" s="4"/>
      <c r="E223" s="4"/>
      <c r="F223" s="4"/>
      <c r="G223" s="2" t="s">
        <v>452</v>
      </c>
      <c r="I223" s="4"/>
      <c r="J223" s="4"/>
      <c r="K223" s="4"/>
      <c r="M223" s="4"/>
      <c r="N223" s="4"/>
      <c r="O223" s="4"/>
      <c r="P223" s="4"/>
      <c r="Q223" s="4"/>
      <c r="R223" s="4"/>
      <c r="S223" s="4"/>
    </row>
    <row r="224" spans="1:38" ht="13.15">
      <c r="B224" s="2"/>
      <c r="E224" s="4" t="s">
        <v>112</v>
      </c>
      <c r="F224" s="4" t="s">
        <v>716</v>
      </c>
      <c r="G224" s="4"/>
      <c r="I224" s="4"/>
      <c r="J224" s="4"/>
      <c r="K224" s="4"/>
      <c r="L224" s="4"/>
      <c r="M224" s="4"/>
      <c r="N224" s="4"/>
      <c r="O224" s="4"/>
      <c r="P224" s="4"/>
      <c r="Q224" s="4"/>
      <c r="R224" s="4"/>
      <c r="S224" s="4"/>
    </row>
    <row r="225" spans="2:19" ht="13.15">
      <c r="B225" s="2"/>
      <c r="E225" s="4" t="s">
        <v>113</v>
      </c>
      <c r="F225" s="4" t="s">
        <v>680</v>
      </c>
      <c r="G225" s="4"/>
      <c r="I225" s="4"/>
      <c r="J225" s="4"/>
      <c r="K225" s="4"/>
      <c r="L225" s="4"/>
      <c r="M225" s="4"/>
      <c r="N225" s="4"/>
      <c r="O225" s="4"/>
      <c r="P225" s="4"/>
      <c r="Q225" s="4"/>
      <c r="R225" s="4"/>
      <c r="S225" s="4"/>
    </row>
    <row r="226" spans="2:19" ht="13.15">
      <c r="B226" s="2"/>
      <c r="E226" s="4"/>
      <c r="F226" s="4"/>
      <c r="G226" s="4"/>
      <c r="H226" s="4"/>
      <c r="I226" s="4"/>
      <c r="J226" s="4"/>
      <c r="K226" s="4"/>
      <c r="L226" s="4"/>
      <c r="M226" s="4"/>
      <c r="N226" s="4"/>
      <c r="O226" s="4"/>
      <c r="P226" s="4"/>
      <c r="Q226" s="4"/>
      <c r="R226" s="4"/>
      <c r="S226" s="4"/>
    </row>
    <row r="227" spans="2:19" ht="13.15">
      <c r="B227" s="2"/>
      <c r="C227" s="2" t="s">
        <v>430</v>
      </c>
      <c r="D227" s="4"/>
      <c r="E227" s="4"/>
      <c r="F227" s="4"/>
      <c r="G227" s="2" t="s">
        <v>21</v>
      </c>
      <c r="I227" s="4"/>
      <c r="J227" s="4"/>
      <c r="K227" s="4"/>
      <c r="L227" s="4"/>
      <c r="M227" s="4"/>
      <c r="N227" s="4"/>
      <c r="O227" s="4"/>
      <c r="P227" s="4"/>
      <c r="Q227" s="4"/>
      <c r="R227" s="4"/>
      <c r="S227" s="4"/>
    </row>
    <row r="228" spans="2:19" ht="13.15">
      <c r="B228" s="2"/>
      <c r="E228" s="4" t="s">
        <v>112</v>
      </c>
      <c r="F228" s="4" t="s">
        <v>717</v>
      </c>
      <c r="G228" s="4"/>
      <c r="I228" s="4"/>
      <c r="J228" s="4"/>
      <c r="K228" s="4"/>
      <c r="L228" s="4"/>
      <c r="M228" s="4"/>
      <c r="N228" s="4"/>
      <c r="O228" s="4"/>
      <c r="P228" s="4"/>
      <c r="Q228" s="4"/>
      <c r="R228" s="4"/>
      <c r="S228" s="4"/>
    </row>
    <row r="229" spans="2:19" ht="13.15">
      <c r="B229" s="2"/>
      <c r="E229" s="4"/>
      <c r="F229" s="4" t="s">
        <v>718</v>
      </c>
      <c r="G229" s="4"/>
      <c r="H229" s="4"/>
      <c r="I229" s="4"/>
      <c r="J229" s="4"/>
      <c r="K229" s="4"/>
      <c r="L229" s="4"/>
      <c r="M229" s="4"/>
      <c r="N229" s="4"/>
      <c r="O229" s="4"/>
      <c r="P229" s="4"/>
      <c r="Q229" s="4"/>
      <c r="R229" s="4"/>
      <c r="S229" s="4"/>
    </row>
    <row r="230" spans="2:19" ht="13.15">
      <c r="B230" s="2"/>
      <c r="D230" s="4"/>
      <c r="E230" s="4" t="s">
        <v>113</v>
      </c>
      <c r="F230" s="4" t="s">
        <v>680</v>
      </c>
      <c r="G230" s="4"/>
      <c r="I230" s="4"/>
      <c r="J230" s="4"/>
      <c r="K230" s="4"/>
      <c r="L230" s="4"/>
      <c r="M230" s="4"/>
      <c r="N230" s="4"/>
      <c r="O230" s="4"/>
      <c r="P230" s="4"/>
      <c r="Q230" s="4"/>
      <c r="R230" s="4"/>
      <c r="S230" s="4"/>
    </row>
    <row r="231" spans="2:19" ht="13.15">
      <c r="B231" s="2"/>
      <c r="E231" s="4" t="s">
        <v>119</v>
      </c>
      <c r="F231" s="98" t="s">
        <v>952</v>
      </c>
      <c r="G231" s="4"/>
      <c r="I231" s="4"/>
      <c r="J231" s="4"/>
      <c r="K231" s="4"/>
      <c r="L231" s="4"/>
      <c r="M231" s="4"/>
      <c r="N231" s="4"/>
      <c r="O231" s="4"/>
      <c r="P231" s="4"/>
      <c r="Q231" s="4"/>
      <c r="R231" s="4"/>
      <c r="S231" s="4"/>
    </row>
    <row r="232" spans="2:19" ht="13.15">
      <c r="B232" s="2"/>
      <c r="D232" s="4"/>
      <c r="E232" s="4"/>
      <c r="F232" s="4"/>
      <c r="G232" s="4"/>
      <c r="H232" s="4"/>
      <c r="I232" s="4"/>
      <c r="J232" s="4"/>
      <c r="K232" s="4"/>
      <c r="L232" s="4"/>
      <c r="M232" s="4"/>
      <c r="N232" s="4"/>
      <c r="O232" s="4"/>
      <c r="P232" s="4"/>
      <c r="Q232" s="4"/>
      <c r="R232" s="4"/>
      <c r="S232" s="4"/>
    </row>
    <row r="233" spans="2:19" ht="13.15">
      <c r="B233" s="4"/>
      <c r="C233" s="2"/>
      <c r="E233" s="2" t="s">
        <v>326</v>
      </c>
      <c r="F233" s="4"/>
      <c r="J233" s="4"/>
      <c r="K233" s="4"/>
      <c r="M233" s="4"/>
      <c r="N233" s="4"/>
      <c r="O233" s="4"/>
      <c r="P233" s="4"/>
      <c r="Q233" s="4"/>
      <c r="R233" s="4"/>
      <c r="S233" s="4"/>
    </row>
    <row r="234" spans="2:19" ht="13.15">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ht="13.15">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ht="13.15">
      <c r="B245" s="4"/>
      <c r="C245" s="4"/>
      <c r="D245" s="2"/>
      <c r="E245" s="4" t="s">
        <v>119</v>
      </c>
      <c r="F245" s="4" t="s">
        <v>327</v>
      </c>
      <c r="H245" s="4"/>
      <c r="I245" s="4"/>
      <c r="M245" s="4"/>
      <c r="N245" s="4"/>
      <c r="O245" s="4"/>
      <c r="P245" s="4"/>
      <c r="Q245" s="4"/>
      <c r="R245" s="4"/>
      <c r="S245" s="4"/>
    </row>
    <row r="246" spans="2:21" ht="13.15">
      <c r="B246" s="4"/>
      <c r="C246" s="4"/>
      <c r="D246" s="2"/>
      <c r="E246" s="2"/>
      <c r="F246" t="s">
        <v>653</v>
      </c>
      <c r="G246" s="4" t="s">
        <v>431</v>
      </c>
      <c r="I246" s="4"/>
      <c r="M246" s="4"/>
      <c r="N246" s="4"/>
      <c r="O246" s="4"/>
      <c r="P246" s="4"/>
      <c r="Q246" s="4"/>
      <c r="R246" s="4"/>
      <c r="S246" s="4"/>
    </row>
    <row r="247" spans="2:21" ht="13.15">
      <c r="B247" s="4"/>
      <c r="C247" s="4"/>
      <c r="D247" s="2"/>
      <c r="E247" s="2"/>
      <c r="F247" s="4"/>
      <c r="G247" s="4" t="s">
        <v>432</v>
      </c>
      <c r="I247" s="4"/>
      <c r="M247" s="4"/>
      <c r="N247" s="4"/>
      <c r="O247" s="4"/>
      <c r="P247" s="4"/>
      <c r="Q247" s="4"/>
      <c r="R247" s="4"/>
      <c r="S247" s="4"/>
    </row>
    <row r="248" spans="2:21" ht="13.15">
      <c r="B248" s="4"/>
      <c r="C248" s="4"/>
      <c r="D248" s="2"/>
      <c r="E248" s="2"/>
      <c r="F248" s="4"/>
      <c r="G248" s="4"/>
      <c r="I248" s="4"/>
      <c r="M248" s="4"/>
      <c r="N248" s="4"/>
      <c r="O248" s="4"/>
      <c r="P248" s="4"/>
      <c r="Q248" s="4"/>
      <c r="R248" s="4"/>
      <c r="S248" s="4"/>
    </row>
    <row r="249" spans="2:21" ht="13.15">
      <c r="B249" s="2"/>
      <c r="C249" s="2" t="s">
        <v>6</v>
      </c>
      <c r="E249" s="4"/>
      <c r="F249" s="4"/>
      <c r="G249" s="2" t="s">
        <v>382</v>
      </c>
      <c r="I249" s="4"/>
      <c r="J249" s="4"/>
      <c r="K249" s="4"/>
      <c r="L249" s="4"/>
      <c r="M249" s="4"/>
      <c r="N249" s="4"/>
      <c r="O249" s="4"/>
      <c r="P249" s="4"/>
      <c r="Q249" s="4"/>
      <c r="R249" s="4"/>
      <c r="S249" s="4"/>
    </row>
    <row r="250" spans="2:21" ht="13.15">
      <c r="B250" s="2"/>
      <c r="C250" s="2"/>
      <c r="E250" s="4" t="s">
        <v>112</v>
      </c>
      <c r="F250" s="4" t="s">
        <v>71</v>
      </c>
      <c r="G250" s="4"/>
      <c r="I250" s="4"/>
      <c r="J250" s="4"/>
      <c r="K250" s="4"/>
      <c r="L250" s="4"/>
      <c r="M250" s="4"/>
      <c r="N250" s="4"/>
      <c r="O250" s="4"/>
      <c r="P250" s="4"/>
      <c r="Q250" s="4"/>
      <c r="R250" s="4"/>
      <c r="S250" s="4"/>
      <c r="T250" s="4"/>
      <c r="U250" s="4"/>
    </row>
    <row r="251" spans="2:21" ht="13.15">
      <c r="B251" s="2"/>
      <c r="C251" s="2"/>
      <c r="E251" s="4"/>
      <c r="F251" s="120" t="s">
        <v>1149</v>
      </c>
      <c r="G251" s="4"/>
      <c r="I251" s="120"/>
      <c r="J251" s="4"/>
      <c r="K251" s="4"/>
      <c r="L251" s="4"/>
      <c r="M251" s="4"/>
      <c r="N251" s="4"/>
      <c r="O251" s="4"/>
      <c r="P251" s="4"/>
      <c r="Q251" s="4"/>
      <c r="R251" s="4"/>
      <c r="S251" s="4"/>
      <c r="T251" s="4"/>
      <c r="U251" s="4"/>
    </row>
    <row r="252" spans="2:21" ht="13.15">
      <c r="B252" s="2"/>
      <c r="C252" s="2"/>
      <c r="E252" s="4" t="s">
        <v>113</v>
      </c>
      <c r="F252" s="4" t="s">
        <v>938</v>
      </c>
      <c r="I252" s="4"/>
      <c r="J252" s="4"/>
      <c r="K252" s="4"/>
      <c r="L252" s="4"/>
      <c r="M252" s="4"/>
      <c r="N252" s="4"/>
      <c r="O252" s="4"/>
      <c r="P252" s="4"/>
      <c r="Q252" s="4"/>
      <c r="R252" s="4"/>
      <c r="S252" s="4"/>
      <c r="T252" s="4"/>
      <c r="U252" s="4"/>
    </row>
    <row r="253" spans="2:21" ht="13.15">
      <c r="B253" s="2"/>
      <c r="C253" s="2"/>
      <c r="E253" s="4"/>
      <c r="F253" s="204" t="s">
        <v>653</v>
      </c>
      <c r="G253" s="204" t="s">
        <v>811</v>
      </c>
      <c r="I253" s="3"/>
      <c r="K253" s="3"/>
      <c r="L253" s="3"/>
      <c r="M253" s="3"/>
      <c r="N253" s="3"/>
      <c r="O253" s="3"/>
      <c r="Q253" s="4"/>
      <c r="R253" s="4"/>
      <c r="S253" s="4"/>
      <c r="T253" s="4"/>
      <c r="U253" s="4"/>
    </row>
    <row r="254" spans="2:21" ht="13.15">
      <c r="B254" s="2"/>
      <c r="C254" s="2"/>
      <c r="E254" s="4"/>
      <c r="F254" s="204"/>
      <c r="G254" s="204" t="s">
        <v>812</v>
      </c>
      <c r="I254" s="3"/>
      <c r="K254" s="3"/>
      <c r="L254" s="3"/>
      <c r="M254" s="3"/>
      <c r="N254" s="3"/>
      <c r="O254" s="3"/>
      <c r="P254" s="3"/>
    </row>
    <row r="255" spans="2:21" ht="13.15">
      <c r="B255" s="2"/>
      <c r="C255" s="2"/>
      <c r="E255" s="4"/>
      <c r="F255" s="204" t="s">
        <v>347</v>
      </c>
      <c r="G255" s="204" t="s">
        <v>944</v>
      </c>
      <c r="I255" s="4"/>
      <c r="K255" s="4"/>
      <c r="L255" s="4"/>
      <c r="M255" s="4"/>
      <c r="N255" s="4"/>
      <c r="O255" s="4"/>
      <c r="P255" s="3"/>
    </row>
    <row r="256" spans="2:21" ht="13.15">
      <c r="B256" s="2"/>
      <c r="C256" s="2"/>
      <c r="E256" s="4"/>
      <c r="F256" s="204"/>
      <c r="G256" s="204" t="s">
        <v>870</v>
      </c>
      <c r="I256" s="4"/>
      <c r="K256" s="4"/>
      <c r="L256" s="4"/>
      <c r="M256" s="4"/>
      <c r="N256" s="4"/>
      <c r="O256" s="4"/>
      <c r="P256" s="4"/>
      <c r="Q256" s="3"/>
      <c r="R256" s="3"/>
      <c r="S256" s="3"/>
      <c r="T256" s="3"/>
      <c r="U256" s="3"/>
    </row>
    <row r="257" spans="2:21" ht="13.15">
      <c r="B257" s="2"/>
      <c r="C257" s="2"/>
      <c r="E257" s="4"/>
      <c r="G257" s="4"/>
      <c r="I257" s="4"/>
      <c r="K257" s="4"/>
      <c r="L257" s="4"/>
      <c r="M257" s="4"/>
      <c r="N257" s="4"/>
      <c r="O257" s="4"/>
      <c r="P257" s="4"/>
      <c r="Q257" s="3"/>
      <c r="R257" s="3"/>
      <c r="S257" s="3"/>
      <c r="T257" s="3"/>
      <c r="U257" s="3"/>
    </row>
    <row r="258" spans="2:21" ht="13.15">
      <c r="B258" s="2"/>
      <c r="C258" s="2"/>
      <c r="D258" s="2" t="s">
        <v>206</v>
      </c>
      <c r="E258" s="2" t="s">
        <v>383</v>
      </c>
      <c r="G258" s="4"/>
      <c r="H258" s="4"/>
      <c r="I258" s="4"/>
      <c r="J258" s="4"/>
      <c r="K258" s="4"/>
      <c r="L258" s="4"/>
      <c r="M258" s="4"/>
      <c r="N258" s="4"/>
      <c r="O258" s="4"/>
      <c r="P258" s="4"/>
      <c r="Q258" s="4"/>
      <c r="R258" s="4"/>
      <c r="S258" s="4"/>
    </row>
    <row r="259" spans="2:21" ht="13.15">
      <c r="B259" s="2"/>
      <c r="C259" s="2"/>
      <c r="E259" s="4" t="s">
        <v>112</v>
      </c>
      <c r="F259" s="4" t="s">
        <v>252</v>
      </c>
      <c r="G259" s="4"/>
      <c r="I259" s="4"/>
      <c r="J259" s="4"/>
      <c r="K259" s="4"/>
      <c r="L259" s="4"/>
      <c r="M259" s="4"/>
      <c r="N259" s="4"/>
      <c r="O259" s="4"/>
      <c r="P259" s="4"/>
      <c r="Q259" s="4"/>
      <c r="R259" s="4"/>
      <c r="S259" s="4"/>
    </row>
    <row r="260" spans="2:21" ht="13.15">
      <c r="B260" s="2"/>
      <c r="C260" s="2"/>
      <c r="E260" s="4" t="s">
        <v>113</v>
      </c>
      <c r="F260" s="4" t="s">
        <v>803</v>
      </c>
      <c r="G260" s="4"/>
      <c r="I260" s="4"/>
      <c r="J260" s="4"/>
      <c r="K260" s="4"/>
      <c r="L260" s="4"/>
      <c r="M260" s="4"/>
      <c r="N260" s="4"/>
      <c r="O260" s="4"/>
      <c r="P260" s="4"/>
      <c r="Q260" s="4"/>
      <c r="R260" s="4"/>
      <c r="S260" s="4"/>
    </row>
    <row r="261" spans="2:21" ht="13.15">
      <c r="B261" s="2"/>
      <c r="C261" s="2"/>
      <c r="E261" s="4" t="s">
        <v>119</v>
      </c>
      <c r="F261" s="4" t="s">
        <v>253</v>
      </c>
      <c r="I261" s="4"/>
      <c r="J261" s="4"/>
      <c r="K261" s="4"/>
      <c r="L261" s="4"/>
      <c r="M261" s="4"/>
      <c r="N261" s="4"/>
      <c r="O261" s="4"/>
      <c r="P261" s="4"/>
      <c r="Q261" s="4"/>
      <c r="R261" s="4"/>
      <c r="S261" s="4"/>
    </row>
    <row r="262" spans="2:21" ht="13.15">
      <c r="B262" s="2"/>
      <c r="C262" s="2"/>
      <c r="E262" s="2"/>
      <c r="F262" s="4" t="s">
        <v>804</v>
      </c>
      <c r="I262" s="4"/>
      <c r="J262" s="4"/>
      <c r="K262" s="4"/>
      <c r="L262" s="4"/>
      <c r="M262" s="4"/>
      <c r="N262" s="4"/>
      <c r="O262" s="4"/>
      <c r="P262" s="4"/>
      <c r="Q262" s="4"/>
      <c r="R262" s="4"/>
      <c r="S262" s="4"/>
    </row>
    <row r="263" spans="2:21" ht="13.15">
      <c r="B263" s="2"/>
      <c r="C263" s="2"/>
      <c r="E263" s="4" t="s">
        <v>581</v>
      </c>
      <c r="F263" s="204" t="s">
        <v>813</v>
      </c>
      <c r="I263" s="4"/>
      <c r="J263" s="4"/>
      <c r="K263" s="4"/>
      <c r="L263" s="4"/>
      <c r="M263" s="4"/>
      <c r="N263" s="4"/>
      <c r="O263" s="4"/>
      <c r="P263" s="4"/>
      <c r="Q263" s="4"/>
      <c r="R263" s="4"/>
      <c r="S263" s="4"/>
    </row>
    <row r="264" spans="2:21" ht="13.15">
      <c r="B264" s="2"/>
      <c r="C264" s="2"/>
      <c r="E264" s="2"/>
      <c r="F264" s="4"/>
      <c r="H264" s="4"/>
      <c r="I264" s="4"/>
      <c r="J264" s="4"/>
      <c r="K264" s="4"/>
      <c r="L264" s="4"/>
      <c r="M264" s="4"/>
      <c r="N264" s="4"/>
      <c r="O264" s="4"/>
      <c r="P264" s="4"/>
      <c r="Q264" s="4"/>
      <c r="R264" s="4"/>
      <c r="S264" s="4"/>
    </row>
    <row r="265" spans="2:21" ht="13.15">
      <c r="B265" s="2"/>
      <c r="C265" s="2"/>
      <c r="D265" s="2" t="s">
        <v>340</v>
      </c>
      <c r="E265" s="2" t="s">
        <v>72</v>
      </c>
      <c r="G265" s="4"/>
      <c r="H265" s="4"/>
      <c r="I265" s="4"/>
      <c r="J265" s="4"/>
      <c r="K265" s="4"/>
      <c r="L265" s="4"/>
      <c r="M265" s="4"/>
      <c r="N265" s="4"/>
      <c r="O265" s="4"/>
      <c r="P265" s="4"/>
      <c r="Q265" s="4"/>
      <c r="R265" s="4"/>
      <c r="S265" s="4"/>
    </row>
    <row r="266" spans="2:21" ht="13.15">
      <c r="B266" s="2"/>
      <c r="C266" s="2"/>
      <c r="E266" s="4" t="s">
        <v>1018</v>
      </c>
      <c r="F266" s="4"/>
      <c r="G266" s="4"/>
      <c r="O266" s="4"/>
      <c r="P266" s="4"/>
      <c r="Q266" s="4"/>
      <c r="R266" s="4"/>
      <c r="S266" s="4"/>
    </row>
    <row r="267" spans="2:21" ht="13.15">
      <c r="B267" s="2"/>
      <c r="C267" s="2"/>
      <c r="E267" s="2"/>
      <c r="G267" s="4"/>
      <c r="H267" s="4"/>
      <c r="O267" s="4"/>
      <c r="P267" s="4"/>
      <c r="Q267" s="4"/>
      <c r="R267" s="4"/>
      <c r="S267" s="4"/>
    </row>
    <row r="268" spans="2:21" ht="13.15">
      <c r="B268" s="2"/>
      <c r="C268" s="2"/>
      <c r="D268" s="2" t="s">
        <v>574</v>
      </c>
      <c r="E268" s="2" t="s">
        <v>286</v>
      </c>
      <c r="G268" s="4"/>
    </row>
    <row r="269" spans="2:21" ht="13.15">
      <c r="B269" s="2"/>
      <c r="C269" s="2"/>
      <c r="E269" s="4" t="s">
        <v>254</v>
      </c>
      <c r="F269" s="4"/>
      <c r="G269" s="4"/>
      <c r="J269" s="4"/>
      <c r="K269" s="4"/>
      <c r="L269" s="4"/>
      <c r="M269" s="4"/>
      <c r="N269" s="4"/>
    </row>
    <row r="270" spans="2:21" ht="13.15">
      <c r="B270" s="2"/>
      <c r="C270" s="2"/>
      <c r="E270" s="4" t="s">
        <v>945</v>
      </c>
      <c r="F270" s="4"/>
      <c r="G270" s="4"/>
      <c r="J270" s="4"/>
      <c r="K270" s="4"/>
      <c r="L270" s="4"/>
      <c r="M270" s="4"/>
      <c r="N270" s="4"/>
    </row>
    <row r="271" spans="2:21" ht="13.15">
      <c r="B271" s="2"/>
      <c r="C271" s="2"/>
      <c r="E271" s="2"/>
      <c r="G271" s="4"/>
      <c r="H271" s="4"/>
      <c r="J271" s="4"/>
      <c r="K271" s="4"/>
      <c r="L271" s="4"/>
      <c r="M271" s="4"/>
      <c r="N271" s="4"/>
      <c r="O271" s="4"/>
      <c r="P271" s="4"/>
      <c r="Q271" s="4"/>
      <c r="R271" s="4"/>
      <c r="S271" s="4"/>
      <c r="T271" s="4"/>
      <c r="U271" s="4"/>
    </row>
    <row r="272" spans="2:21" ht="13.15">
      <c r="B272" s="2"/>
      <c r="D272" s="2" t="s">
        <v>514</v>
      </c>
      <c r="E272" s="2" t="s">
        <v>612</v>
      </c>
      <c r="G272" s="4"/>
      <c r="H272" s="4"/>
      <c r="J272" s="4"/>
      <c r="K272" s="4"/>
      <c r="L272" s="4"/>
      <c r="M272" s="4"/>
      <c r="N272" s="4"/>
      <c r="O272" s="4"/>
      <c r="P272" s="4"/>
      <c r="Q272" s="4"/>
      <c r="R272" s="4"/>
      <c r="S272" s="4"/>
      <c r="T272" s="4"/>
      <c r="U272" s="4"/>
    </row>
    <row r="273" spans="2:23" ht="13.15">
      <c r="B273" s="2"/>
      <c r="D273" s="4"/>
      <c r="E273" s="4" t="s">
        <v>1011</v>
      </c>
      <c r="J273" s="4"/>
      <c r="K273" s="4"/>
      <c r="L273" s="4"/>
      <c r="M273" s="4"/>
      <c r="N273" s="4"/>
      <c r="O273" s="4"/>
      <c r="P273" s="4"/>
      <c r="Q273" s="4"/>
      <c r="R273" s="4"/>
      <c r="S273" s="4"/>
      <c r="T273" s="4"/>
      <c r="U273" s="4"/>
    </row>
    <row r="274" spans="2:23" ht="13.15">
      <c r="B274" s="2"/>
      <c r="D274" s="4"/>
      <c r="E274" s="4" t="s">
        <v>939</v>
      </c>
      <c r="J274" s="4"/>
      <c r="K274" s="4"/>
      <c r="L274" s="4"/>
      <c r="M274" s="4"/>
      <c r="N274" s="4"/>
      <c r="O274" s="4"/>
      <c r="P274" s="4"/>
      <c r="Q274" s="4"/>
      <c r="R274" s="4"/>
      <c r="S274" s="4"/>
      <c r="T274" s="4"/>
      <c r="U274" s="4"/>
    </row>
    <row r="275" spans="2:23" ht="13.15">
      <c r="B275" s="2"/>
      <c r="D275" s="4"/>
      <c r="E275" s="4"/>
      <c r="J275" s="4"/>
      <c r="K275" s="4"/>
      <c r="L275" s="4"/>
      <c r="M275" s="4"/>
      <c r="N275" s="4"/>
      <c r="O275" s="4"/>
      <c r="P275" s="4"/>
      <c r="Q275" s="4"/>
      <c r="R275" s="4"/>
      <c r="S275" s="4"/>
      <c r="T275" s="4"/>
      <c r="U275" s="4"/>
    </row>
    <row r="276" spans="2:23" ht="13.15">
      <c r="B276" s="2"/>
      <c r="D276" s="2" t="s">
        <v>302</v>
      </c>
      <c r="E276" s="2" t="s">
        <v>287</v>
      </c>
      <c r="K276" s="4"/>
      <c r="L276" s="4"/>
      <c r="M276" s="4"/>
      <c r="N276" s="4"/>
      <c r="O276" s="4"/>
      <c r="P276" s="4"/>
      <c r="Q276" s="4"/>
      <c r="R276" s="4"/>
      <c r="S276" s="4"/>
      <c r="T276" s="4"/>
      <c r="U276" s="4"/>
    </row>
    <row r="277" spans="2:23" ht="13.15">
      <c r="B277" s="2"/>
      <c r="D277" s="2"/>
      <c r="E277" t="s">
        <v>255</v>
      </c>
      <c r="K277" s="4"/>
      <c r="L277" s="4"/>
      <c r="M277" s="4"/>
      <c r="N277" s="4"/>
      <c r="O277" s="4"/>
      <c r="P277" s="4"/>
      <c r="Q277" s="4"/>
      <c r="R277" s="4"/>
      <c r="S277" s="4"/>
    </row>
    <row r="278" spans="2:23" ht="13.15">
      <c r="B278" s="2"/>
      <c r="D278" s="4"/>
      <c r="E278" s="4" t="s">
        <v>946</v>
      </c>
      <c r="I278" s="4"/>
      <c r="J278" s="4"/>
      <c r="K278" s="4"/>
      <c r="L278" s="4"/>
      <c r="M278" s="4"/>
      <c r="N278" s="4"/>
      <c r="O278" s="4"/>
      <c r="P278" s="4"/>
      <c r="Q278" s="4"/>
      <c r="R278" s="4"/>
      <c r="S278" s="4"/>
    </row>
    <row r="279" spans="2:23" ht="13.15">
      <c r="B279" s="2"/>
      <c r="D279" s="4"/>
      <c r="E279" s="4"/>
      <c r="I279" s="4"/>
      <c r="J279" s="4"/>
      <c r="K279" s="4"/>
      <c r="L279" s="4"/>
      <c r="M279" s="4"/>
      <c r="N279" s="4"/>
      <c r="O279" s="4"/>
      <c r="P279" s="4"/>
      <c r="Q279" s="4"/>
      <c r="R279" s="4"/>
      <c r="S279" s="4"/>
    </row>
    <row r="280" spans="2:23" ht="13.15">
      <c r="B280" s="2"/>
      <c r="D280" s="2" t="s">
        <v>428</v>
      </c>
      <c r="E280" s="2" t="s">
        <v>424</v>
      </c>
      <c r="G280" s="4"/>
      <c r="H280" s="4"/>
      <c r="I280" s="4"/>
      <c r="J280" s="4"/>
      <c r="K280" s="4"/>
      <c r="L280" s="4"/>
      <c r="M280" s="4"/>
      <c r="O280" s="4"/>
      <c r="P280" s="4"/>
      <c r="Q280" s="4"/>
      <c r="R280" s="4"/>
      <c r="S280" s="4"/>
    </row>
    <row r="281" spans="2:23" ht="13.15">
      <c r="B281" s="2"/>
      <c r="D281" s="2"/>
      <c r="E281" t="s">
        <v>256</v>
      </c>
      <c r="G281" s="4"/>
      <c r="H281" s="4"/>
      <c r="I281" s="4"/>
      <c r="J281" s="4"/>
      <c r="K281" s="4"/>
      <c r="L281" s="4"/>
      <c r="M281" s="4"/>
      <c r="P281" s="4"/>
      <c r="Q281" s="4"/>
      <c r="R281" s="4"/>
      <c r="S281" s="4"/>
    </row>
    <row r="282" spans="2:23" ht="13.15">
      <c r="B282" s="2"/>
      <c r="D282" s="2"/>
      <c r="E282" t="s">
        <v>257</v>
      </c>
      <c r="G282" s="4"/>
      <c r="H282" s="4"/>
      <c r="I282" s="4"/>
      <c r="J282" s="4"/>
      <c r="K282" s="4"/>
      <c r="L282" s="4"/>
      <c r="M282" s="4"/>
      <c r="P282" s="4"/>
      <c r="Q282" s="4"/>
      <c r="R282" s="4"/>
      <c r="S282" s="4"/>
    </row>
    <row r="283" spans="2:23" ht="13.15">
      <c r="B283" s="2"/>
      <c r="D283" s="2"/>
      <c r="E283" s="120" t="s">
        <v>947</v>
      </c>
      <c r="F283" s="120"/>
      <c r="G283" s="4"/>
      <c r="H283" s="120"/>
      <c r="I283" s="120"/>
      <c r="J283" s="4"/>
      <c r="K283" s="4"/>
      <c r="L283" s="4"/>
      <c r="M283" s="4"/>
      <c r="P283" s="4"/>
      <c r="Q283" s="4"/>
      <c r="R283" s="4"/>
      <c r="S283" s="4"/>
    </row>
    <row r="284" spans="2:23" ht="13.15">
      <c r="B284" s="2"/>
      <c r="D284" s="2"/>
      <c r="E284" s="449" t="s">
        <v>869</v>
      </c>
      <c r="G284" s="4"/>
      <c r="H284" s="120"/>
      <c r="I284" s="120"/>
      <c r="J284" s="4"/>
      <c r="K284" s="4"/>
      <c r="L284" s="4"/>
      <c r="M284" s="4"/>
      <c r="O284" s="4"/>
      <c r="P284" s="4"/>
      <c r="Q284" s="4"/>
      <c r="R284" s="4"/>
      <c r="S284" s="4"/>
    </row>
    <row r="285" spans="2:23" ht="13.15">
      <c r="B285" s="2"/>
      <c r="D285" s="2"/>
      <c r="E285" s="4"/>
      <c r="F285" s="4"/>
      <c r="G285" s="4"/>
      <c r="H285" s="4"/>
      <c r="I285" s="4"/>
      <c r="J285" s="4"/>
      <c r="K285" s="4"/>
      <c r="L285" s="4"/>
      <c r="M285" s="4"/>
    </row>
    <row r="286" spans="2:23" ht="13.15">
      <c r="B286" s="2"/>
      <c r="D286" s="2" t="s">
        <v>557</v>
      </c>
      <c r="E286" s="2" t="s">
        <v>558</v>
      </c>
      <c r="K286" s="4"/>
      <c r="L286" s="4"/>
      <c r="M286" s="4"/>
      <c r="N286" s="4"/>
    </row>
    <row r="287" spans="2:23" ht="13.15">
      <c r="B287" s="2"/>
      <c r="D287" s="4"/>
      <c r="E287" s="4" t="s">
        <v>112</v>
      </c>
      <c r="F287" s="4" t="s">
        <v>559</v>
      </c>
      <c r="G287" s="4"/>
      <c r="O287" s="4"/>
      <c r="P287" s="4"/>
      <c r="Q287" s="4"/>
      <c r="R287" s="4"/>
      <c r="S287" s="4"/>
      <c r="T287" s="4"/>
      <c r="U287" s="4"/>
      <c r="V287" s="4"/>
      <c r="W287" s="4"/>
    </row>
    <row r="288" spans="2:23" ht="13.15">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ht="13.15">
      <c r="B289" s="2"/>
      <c r="D289" s="4"/>
      <c r="E289" s="4" t="s">
        <v>113</v>
      </c>
      <c r="F289" s="4" t="s">
        <v>560</v>
      </c>
      <c r="G289" s="4"/>
      <c r="L289" s="4"/>
      <c r="M289" s="4"/>
      <c r="N289" s="4"/>
      <c r="O289" s="4"/>
      <c r="P289" s="4"/>
      <c r="Q289" s="4"/>
      <c r="R289" s="4"/>
      <c r="S289" s="4"/>
      <c r="T289" s="4"/>
      <c r="U289" s="4"/>
      <c r="V289" s="4"/>
      <c r="W289" s="4"/>
    </row>
    <row r="290" spans="2:23" ht="13.15">
      <c r="B290" s="2"/>
      <c r="D290" s="4"/>
      <c r="E290" s="4" t="s">
        <v>119</v>
      </c>
      <c r="F290" s="4" t="s">
        <v>258</v>
      </c>
      <c r="G290" s="4"/>
      <c r="H290" s="4"/>
      <c r="K290" s="4"/>
      <c r="L290" s="4"/>
      <c r="M290" s="4"/>
      <c r="N290" s="4"/>
      <c r="O290" s="4"/>
      <c r="P290" s="4"/>
      <c r="Q290" s="4"/>
      <c r="R290" s="4"/>
      <c r="S290" s="4"/>
      <c r="T290" s="4"/>
      <c r="U290" s="4"/>
      <c r="V290" s="4"/>
      <c r="W290" s="4"/>
    </row>
    <row r="291" spans="2:23" ht="13.15">
      <c r="B291" s="2"/>
      <c r="D291" s="4"/>
      <c r="E291" s="4"/>
      <c r="F291" s="4" t="s">
        <v>653</v>
      </c>
      <c r="G291" s="4" t="s">
        <v>259</v>
      </c>
      <c r="K291" s="4"/>
      <c r="L291" s="4"/>
      <c r="M291" s="4"/>
      <c r="N291" s="4"/>
      <c r="O291" s="4"/>
      <c r="P291" s="4"/>
      <c r="Q291" s="4"/>
      <c r="R291" s="4"/>
      <c r="S291" s="4"/>
      <c r="T291" s="4"/>
      <c r="U291" s="4"/>
      <c r="V291" s="4"/>
      <c r="W291" s="4"/>
    </row>
    <row r="292" spans="2:23" ht="13.15">
      <c r="B292" s="2"/>
      <c r="D292" s="4"/>
      <c r="E292" s="4"/>
      <c r="F292" s="4" t="s">
        <v>347</v>
      </c>
      <c r="G292" s="4" t="s">
        <v>940</v>
      </c>
      <c r="H292" s="4"/>
      <c r="K292" s="4"/>
      <c r="L292" s="4"/>
      <c r="M292" s="4"/>
      <c r="N292" s="4"/>
      <c r="O292" s="4"/>
      <c r="P292" s="4"/>
      <c r="Q292" s="4"/>
      <c r="R292" s="4"/>
      <c r="S292" s="4"/>
      <c r="T292" s="4"/>
      <c r="U292" s="4"/>
      <c r="V292" s="4"/>
      <c r="W292" s="4"/>
    </row>
    <row r="293" spans="2:23" ht="13.15">
      <c r="B293" s="2"/>
      <c r="D293" s="4"/>
      <c r="E293" s="4"/>
      <c r="F293" s="4" t="s">
        <v>348</v>
      </c>
      <c r="G293" s="4" t="s">
        <v>561</v>
      </c>
      <c r="K293" s="4"/>
      <c r="L293" s="4"/>
      <c r="M293" s="4"/>
      <c r="N293" s="4"/>
      <c r="O293" s="4"/>
      <c r="P293" s="4"/>
      <c r="Q293" s="4"/>
      <c r="R293" s="4"/>
      <c r="S293" s="4"/>
      <c r="T293" s="4"/>
      <c r="U293" s="4"/>
      <c r="V293" s="4"/>
      <c r="W293" s="4"/>
    </row>
    <row r="294" spans="2:23" ht="13.15">
      <c r="B294" s="2"/>
      <c r="D294" s="4"/>
      <c r="E294" s="4"/>
      <c r="F294" s="4" t="s">
        <v>444</v>
      </c>
      <c r="G294" s="4" t="s">
        <v>260</v>
      </c>
      <c r="H294" s="4"/>
      <c r="K294" s="4"/>
      <c r="L294" s="4"/>
      <c r="M294" s="4"/>
      <c r="N294" s="4"/>
      <c r="O294" s="4"/>
      <c r="P294" s="4"/>
      <c r="Q294" s="4"/>
      <c r="R294" s="4"/>
      <c r="S294" s="4"/>
      <c r="T294" s="4"/>
      <c r="U294" s="4"/>
      <c r="V294" s="4"/>
      <c r="W294" s="4"/>
    </row>
    <row r="295" spans="2:23" ht="13.15">
      <c r="B295" s="2"/>
      <c r="D295" s="4"/>
      <c r="E295" s="4"/>
      <c r="F295" s="4" t="s">
        <v>261</v>
      </c>
      <c r="G295" s="4" t="s">
        <v>389</v>
      </c>
      <c r="K295" s="4"/>
      <c r="L295" s="4"/>
      <c r="M295" s="4"/>
      <c r="N295" s="4"/>
      <c r="O295" s="4"/>
      <c r="P295" s="4"/>
      <c r="Q295" s="4"/>
      <c r="R295" s="4"/>
      <c r="S295" s="4"/>
      <c r="T295" s="4"/>
      <c r="U295" s="4"/>
      <c r="V295" s="4"/>
      <c r="W295" s="4"/>
    </row>
    <row r="296" spans="2:23" ht="13.15">
      <c r="B296" s="2"/>
      <c r="D296" s="4"/>
      <c r="E296" s="4"/>
      <c r="F296" s="4" t="s">
        <v>262</v>
      </c>
      <c r="G296" s="4" t="s">
        <v>169</v>
      </c>
      <c r="H296" s="4"/>
      <c r="K296" s="4"/>
      <c r="L296" s="4"/>
      <c r="M296" s="4"/>
      <c r="N296" s="4"/>
      <c r="O296" s="4"/>
      <c r="P296" s="4"/>
      <c r="Q296" s="4"/>
      <c r="R296" s="4"/>
      <c r="S296" s="4"/>
      <c r="T296" s="4"/>
      <c r="U296" s="4"/>
      <c r="V296" s="4"/>
      <c r="W296" s="4"/>
    </row>
    <row r="297" spans="2:23" ht="13.15">
      <c r="B297" s="2"/>
      <c r="D297" s="4"/>
      <c r="E297" s="4" t="s">
        <v>581</v>
      </c>
      <c r="F297" s="4" t="s">
        <v>742</v>
      </c>
      <c r="G297" s="4"/>
      <c r="K297" s="4"/>
      <c r="L297" s="4"/>
      <c r="M297" s="4"/>
      <c r="N297" s="4"/>
      <c r="O297" s="4"/>
      <c r="P297" s="4"/>
      <c r="Q297" s="4"/>
      <c r="R297" s="4"/>
      <c r="S297" s="4"/>
      <c r="T297" s="4"/>
      <c r="U297" s="4"/>
      <c r="V297" s="4"/>
      <c r="W297" s="4"/>
    </row>
    <row r="298" spans="2:23" ht="13.15">
      <c r="B298" s="2"/>
      <c r="D298" s="4"/>
      <c r="E298" s="4" t="s">
        <v>763</v>
      </c>
      <c r="F298" s="4" t="s">
        <v>749</v>
      </c>
      <c r="G298" s="4"/>
      <c r="K298" s="4"/>
      <c r="L298" s="4"/>
      <c r="M298" s="4"/>
      <c r="N298" s="4"/>
      <c r="O298" s="4"/>
      <c r="P298" s="4"/>
      <c r="Q298" s="4"/>
      <c r="R298" s="4"/>
      <c r="S298" s="4"/>
      <c r="T298" s="4"/>
      <c r="U298" s="4"/>
      <c r="V298" s="4"/>
      <c r="W298" s="4"/>
    </row>
    <row r="299" spans="2:23" ht="13.15">
      <c r="B299" s="2"/>
      <c r="D299" s="4"/>
      <c r="E299" s="4"/>
      <c r="F299" s="120" t="s">
        <v>963</v>
      </c>
      <c r="G299" s="120"/>
      <c r="H299" s="120"/>
      <c r="I299" s="120"/>
      <c r="J299" s="120"/>
      <c r="K299" s="120"/>
      <c r="L299" s="120"/>
      <c r="M299" s="4"/>
      <c r="N299" s="4"/>
      <c r="O299" s="4"/>
      <c r="P299" s="4"/>
      <c r="Q299" s="4"/>
      <c r="R299" s="4"/>
      <c r="S299" s="4"/>
      <c r="T299" s="4"/>
      <c r="U299" s="4"/>
      <c r="V299" s="4"/>
      <c r="W299" s="4"/>
    </row>
    <row r="300" spans="2:23" ht="13.15">
      <c r="B300" s="2"/>
      <c r="D300" s="4"/>
      <c r="E300" s="4"/>
      <c r="F300" s="120" t="s">
        <v>964</v>
      </c>
      <c r="G300" s="120"/>
      <c r="H300" s="120"/>
      <c r="I300" s="120"/>
      <c r="J300" s="120"/>
      <c r="K300" s="120"/>
      <c r="L300" s="120"/>
      <c r="M300" s="4"/>
      <c r="N300" s="4"/>
      <c r="O300" s="4"/>
      <c r="P300" s="4"/>
      <c r="Q300" s="4"/>
      <c r="R300" s="4"/>
      <c r="S300" s="4"/>
      <c r="T300" s="4"/>
      <c r="U300" s="4"/>
      <c r="V300" s="4"/>
      <c r="W300" s="4"/>
    </row>
    <row r="301" spans="2:23" ht="13.15">
      <c r="B301" s="2"/>
      <c r="D301" s="4"/>
      <c r="E301" s="4"/>
      <c r="F301" s="120" t="s">
        <v>965</v>
      </c>
      <c r="G301" s="120"/>
      <c r="H301" s="120"/>
      <c r="I301" s="120"/>
      <c r="J301" s="120"/>
      <c r="K301" s="120"/>
      <c r="L301" s="120"/>
      <c r="M301" s="4"/>
      <c r="N301" s="4"/>
      <c r="O301" s="4"/>
      <c r="P301" s="4"/>
      <c r="Q301" s="4"/>
      <c r="R301" s="4"/>
      <c r="S301" s="4"/>
      <c r="T301" s="4"/>
      <c r="U301" s="4"/>
      <c r="V301" s="4"/>
      <c r="W301" s="4"/>
    </row>
    <row r="302" spans="2:23" ht="13.15">
      <c r="B302" s="2"/>
      <c r="D302" s="4"/>
      <c r="E302" s="4"/>
      <c r="F302" s="120"/>
      <c r="G302" s="120"/>
      <c r="H302" s="120"/>
      <c r="I302" s="120"/>
      <c r="J302" s="120"/>
      <c r="K302" s="120"/>
      <c r="L302" s="120"/>
      <c r="M302" s="4"/>
      <c r="N302" s="4"/>
      <c r="O302" s="4"/>
      <c r="P302" s="4"/>
      <c r="Q302" s="4"/>
      <c r="R302" s="4"/>
      <c r="S302" s="4"/>
      <c r="T302" s="4"/>
      <c r="U302" s="4"/>
      <c r="V302" s="4"/>
      <c r="W302" s="4"/>
    </row>
    <row r="303" spans="2:23" ht="13.15">
      <c r="B303" s="2"/>
      <c r="D303" s="2" t="s">
        <v>555</v>
      </c>
      <c r="E303" s="2" t="s">
        <v>288</v>
      </c>
      <c r="G303" s="4"/>
      <c r="H303" s="4"/>
      <c r="I303" s="4"/>
      <c r="J303" s="4"/>
      <c r="K303" s="4"/>
      <c r="L303" s="4"/>
      <c r="M303" s="4"/>
      <c r="N303" s="4"/>
      <c r="O303" s="4"/>
      <c r="P303" s="4"/>
      <c r="Q303" s="4"/>
      <c r="R303" s="4"/>
      <c r="S303" s="4"/>
      <c r="T303" s="4"/>
      <c r="U303" s="4"/>
      <c r="V303" s="4"/>
      <c r="W303" s="4"/>
    </row>
    <row r="304" spans="2:23" ht="13.15">
      <c r="B304" s="2"/>
      <c r="D304" s="2"/>
      <c r="E304" s="4" t="s">
        <v>948</v>
      </c>
      <c r="F304" s="4"/>
      <c r="K304" s="4"/>
      <c r="L304" s="4"/>
      <c r="M304" s="4"/>
      <c r="N304" s="4"/>
      <c r="O304" s="4"/>
      <c r="P304" s="4"/>
      <c r="Q304" s="4"/>
      <c r="R304" s="4"/>
      <c r="S304" s="4"/>
      <c r="T304" s="4"/>
      <c r="U304" s="4"/>
      <c r="V304" s="4"/>
      <c r="W304" s="4"/>
    </row>
    <row r="305" spans="2:23" ht="13.15">
      <c r="B305" s="2"/>
      <c r="D305" s="2"/>
      <c r="E305" s="4" t="s">
        <v>946</v>
      </c>
      <c r="F305" s="4"/>
      <c r="I305" s="4"/>
      <c r="J305" s="4"/>
      <c r="K305" s="4"/>
      <c r="L305" s="4"/>
      <c r="M305" s="4"/>
      <c r="N305" s="4"/>
      <c r="O305" s="4"/>
      <c r="P305" s="4"/>
      <c r="Q305" s="4"/>
      <c r="R305" s="4"/>
      <c r="S305" s="4"/>
      <c r="T305" s="4"/>
      <c r="U305" s="4"/>
      <c r="V305" s="4"/>
      <c r="W305" s="4"/>
    </row>
    <row r="306" spans="2:23" ht="13.15">
      <c r="B306" s="2"/>
      <c r="D306" s="4"/>
      <c r="E306" s="4"/>
      <c r="F306" s="120"/>
      <c r="G306" s="120"/>
      <c r="H306" s="120"/>
      <c r="I306" s="120"/>
      <c r="J306" s="120"/>
      <c r="K306" s="120"/>
      <c r="L306" s="120"/>
      <c r="M306" s="4"/>
      <c r="N306" s="4"/>
      <c r="O306" s="4"/>
      <c r="P306" s="4"/>
      <c r="Q306" s="4"/>
      <c r="R306" s="4"/>
      <c r="S306" s="4"/>
      <c r="T306" s="4"/>
      <c r="U306" s="4"/>
      <c r="V306" s="4"/>
      <c r="W306" s="4"/>
    </row>
    <row r="307" spans="2:23" ht="13.15">
      <c r="B307" s="2"/>
      <c r="C307" s="2" t="s">
        <v>7</v>
      </c>
      <c r="D307" s="2"/>
      <c r="F307" s="2"/>
      <c r="G307" s="2" t="s">
        <v>614</v>
      </c>
      <c r="I307" s="4"/>
      <c r="J307" s="4"/>
      <c r="K307" s="4"/>
      <c r="L307" s="4"/>
      <c r="M307" s="4"/>
      <c r="N307" s="4"/>
      <c r="O307" s="4"/>
      <c r="P307" s="4"/>
    </row>
    <row r="308" spans="2:23" ht="13.15">
      <c r="B308" s="2"/>
      <c r="D308" s="2" t="s">
        <v>206</v>
      </c>
      <c r="E308" s="2" t="s">
        <v>263</v>
      </c>
      <c r="G308" s="2"/>
      <c r="H308" s="2"/>
      <c r="I308" s="2"/>
      <c r="J308" s="2"/>
      <c r="K308" s="2"/>
      <c r="L308" s="2"/>
      <c r="M308" s="2"/>
      <c r="N308" s="2"/>
      <c r="O308" s="2"/>
      <c r="P308" s="2"/>
      <c r="Q308" s="2"/>
      <c r="R308" s="2"/>
    </row>
    <row r="309" spans="2:23" ht="13.15">
      <c r="B309" s="2"/>
      <c r="D309" s="2"/>
      <c r="E309" t="s">
        <v>264</v>
      </c>
      <c r="G309" s="4"/>
      <c r="I309" s="4"/>
      <c r="K309" s="4"/>
    </row>
    <row r="310" spans="2:23" ht="13.15">
      <c r="B310" s="2"/>
      <c r="D310" s="2"/>
      <c r="E310" s="4" t="s">
        <v>799</v>
      </c>
      <c r="F310" s="4"/>
      <c r="G310" s="4"/>
      <c r="I310" s="4"/>
      <c r="K310" s="4"/>
    </row>
    <row r="311" spans="2:23" ht="13.15">
      <c r="B311" s="2"/>
      <c r="D311" s="2"/>
      <c r="E311" s="4" t="s">
        <v>949</v>
      </c>
      <c r="F311" s="4"/>
      <c r="G311" s="4"/>
      <c r="I311" s="4"/>
      <c r="K311" s="4"/>
    </row>
    <row r="312" spans="2:23" ht="13.15">
      <c r="B312" s="2"/>
      <c r="D312" s="2"/>
      <c r="E312" s="4" t="s">
        <v>800</v>
      </c>
      <c r="F312" s="4"/>
      <c r="G312" s="4"/>
      <c r="I312" s="4"/>
      <c r="K312" s="4"/>
    </row>
    <row r="313" spans="2:23" ht="13.15">
      <c r="B313" s="2"/>
      <c r="D313" s="2"/>
      <c r="G313" s="4"/>
      <c r="I313" s="4"/>
      <c r="K313" s="4"/>
    </row>
    <row r="314" spans="2:23" ht="13.15">
      <c r="B314" s="2"/>
      <c r="D314" s="2" t="s">
        <v>340</v>
      </c>
      <c r="E314" s="2" t="s">
        <v>751</v>
      </c>
      <c r="G314" s="4"/>
      <c r="H314" s="4"/>
      <c r="I314" s="4"/>
      <c r="J314" s="4"/>
      <c r="K314" s="4"/>
      <c r="P314" s="4"/>
      <c r="Q314" s="4"/>
      <c r="R314" s="4"/>
      <c r="S314" s="4"/>
    </row>
    <row r="315" spans="2:23" ht="13.15">
      <c r="B315" s="2"/>
      <c r="D315" s="2"/>
      <c r="E315" t="s">
        <v>265</v>
      </c>
      <c r="G315" s="4"/>
      <c r="I315" s="4"/>
      <c r="J315" s="4"/>
      <c r="K315" s="4"/>
      <c r="L315" s="4"/>
      <c r="M315" s="4"/>
      <c r="N315" s="4"/>
      <c r="O315" s="4"/>
      <c r="P315" s="4"/>
      <c r="Q315" s="4"/>
      <c r="R315" s="4"/>
      <c r="S315" s="4"/>
    </row>
    <row r="316" spans="2:23" ht="13.15">
      <c r="B316" s="2"/>
      <c r="D316" s="2"/>
      <c r="G316" s="4"/>
      <c r="I316" s="4"/>
      <c r="J316" s="4"/>
      <c r="K316" s="4"/>
      <c r="L316" s="4"/>
      <c r="M316" s="4"/>
      <c r="N316" s="4"/>
      <c r="O316" s="4"/>
      <c r="P316" s="4"/>
      <c r="Q316" s="4"/>
      <c r="R316" s="4"/>
      <c r="S316" s="4"/>
    </row>
    <row r="317" spans="2:23" ht="13.15">
      <c r="B317" s="2"/>
      <c r="D317" s="170" t="s">
        <v>574</v>
      </c>
      <c r="E317" s="170" t="s">
        <v>735</v>
      </c>
      <c r="F317" s="3"/>
      <c r="G317" s="4"/>
      <c r="H317" s="4"/>
      <c r="I317" s="4"/>
      <c r="J317" s="4"/>
      <c r="K317" s="4"/>
      <c r="L317" s="4"/>
      <c r="M317" s="4"/>
      <c r="N317" s="4"/>
      <c r="O317" s="4"/>
      <c r="P317" s="4"/>
      <c r="Q317" s="4"/>
      <c r="R317" s="4"/>
      <c r="S317" s="4"/>
    </row>
    <row r="318" spans="2:23" ht="13.15">
      <c r="B318" s="2"/>
      <c r="E318" t="s">
        <v>732</v>
      </c>
      <c r="I318" s="4"/>
      <c r="J318" s="4"/>
      <c r="K318" s="4"/>
      <c r="L318" s="4"/>
      <c r="M318" s="4"/>
      <c r="N318" s="4"/>
      <c r="O318" s="4"/>
      <c r="P318" s="4"/>
      <c r="Q318" s="4"/>
      <c r="R318" s="4"/>
      <c r="S318" s="4"/>
    </row>
    <row r="319" spans="2:23" ht="13.15">
      <c r="B319" s="2"/>
      <c r="E319" t="s">
        <v>733</v>
      </c>
      <c r="I319" s="4"/>
      <c r="J319" s="4"/>
      <c r="K319" s="4"/>
      <c r="L319" s="4"/>
      <c r="M319" s="4"/>
      <c r="N319" s="4"/>
      <c r="O319" s="4"/>
      <c r="P319" s="4"/>
      <c r="Q319" s="4"/>
      <c r="R319" s="4"/>
      <c r="S319" s="4"/>
    </row>
    <row r="320" spans="2:23" ht="13.15">
      <c r="B320" s="2"/>
      <c r="E320" t="s">
        <v>734</v>
      </c>
      <c r="I320" s="4"/>
      <c r="J320" s="4"/>
      <c r="K320" s="4"/>
      <c r="L320" s="4"/>
      <c r="M320" s="4"/>
      <c r="N320" s="4"/>
      <c r="O320" s="4"/>
      <c r="P320" s="4"/>
      <c r="Q320" s="4"/>
      <c r="R320" s="4"/>
      <c r="S320" s="4"/>
    </row>
    <row r="321" spans="1:38" ht="13.15">
      <c r="B321" s="2"/>
      <c r="I321" s="4"/>
      <c r="J321" s="4"/>
      <c r="K321" s="4"/>
      <c r="L321" s="4"/>
      <c r="M321" s="4"/>
      <c r="N321" s="4"/>
      <c r="O321" s="4"/>
      <c r="P321" s="4"/>
      <c r="Q321" s="4"/>
      <c r="R321" s="4"/>
      <c r="S321" s="4"/>
    </row>
    <row r="322" spans="1:38" ht="13.15">
      <c r="B322" s="2"/>
      <c r="C322" s="2" t="s">
        <v>8</v>
      </c>
      <c r="G322" s="2" t="s">
        <v>615</v>
      </c>
      <c r="I322" s="4"/>
      <c r="J322" s="4"/>
      <c r="K322" s="4"/>
      <c r="L322" s="4"/>
      <c r="M322" s="4"/>
      <c r="N322" s="4"/>
      <c r="O322" s="4"/>
      <c r="P322" s="4"/>
      <c r="Q322" s="4"/>
      <c r="R322" s="4"/>
      <c r="S322" s="4"/>
    </row>
    <row r="323" spans="1:38" ht="13.15">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ht="13.15">
      <c r="F326" s="120" t="s">
        <v>1151</v>
      </c>
      <c r="I326" s="120"/>
      <c r="J326" s="4"/>
      <c r="K326" s="4"/>
      <c r="L326" s="4"/>
      <c r="M326" s="4"/>
      <c r="N326" s="4"/>
      <c r="O326" s="4"/>
      <c r="P326" s="4"/>
      <c r="Q326" s="4"/>
      <c r="R326" s="4"/>
      <c r="S326" s="4"/>
    </row>
    <row r="327" spans="1:38" ht="13.15">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15">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15">
      <c r="B330" s="2"/>
      <c r="D330" s="2"/>
      <c r="E330" s="2"/>
      <c r="F330" s="2"/>
      <c r="G330" s="2"/>
      <c r="H330" s="2"/>
      <c r="I330" s="2"/>
      <c r="J330" s="4"/>
      <c r="K330" s="4"/>
      <c r="L330" s="4"/>
      <c r="M330" s="4"/>
      <c r="N330" s="4"/>
      <c r="O330" s="4"/>
      <c r="P330" s="4"/>
      <c r="Q330" s="4"/>
      <c r="R330" s="4"/>
      <c r="S330" s="4"/>
    </row>
    <row r="331" spans="1:38" ht="13.15">
      <c r="B331" s="2"/>
      <c r="C331" s="2" t="s">
        <v>429</v>
      </c>
      <c r="G331" s="2" t="s">
        <v>22</v>
      </c>
      <c r="I331" s="2"/>
      <c r="J331" s="4"/>
      <c r="K331" s="4"/>
      <c r="L331" s="4"/>
      <c r="M331" s="4"/>
      <c r="N331" s="4"/>
      <c r="O331" s="4"/>
      <c r="P331" s="4"/>
      <c r="Q331" s="4"/>
      <c r="R331" s="4"/>
      <c r="S331" s="4"/>
    </row>
    <row r="332" spans="1:38" ht="13.15">
      <c r="B332" s="2"/>
      <c r="C332" s="2"/>
      <c r="D332" s="2" t="s">
        <v>206</v>
      </c>
      <c r="E332" s="2" t="s">
        <v>22</v>
      </c>
      <c r="G332" s="2"/>
      <c r="I332" s="2"/>
      <c r="J332" s="4"/>
      <c r="K332" s="4"/>
      <c r="L332" s="4"/>
      <c r="M332" s="4"/>
      <c r="N332" s="4"/>
      <c r="O332" s="4"/>
      <c r="P332" s="4"/>
      <c r="Q332" s="4"/>
      <c r="R332" s="4"/>
      <c r="S332" s="4"/>
    </row>
    <row r="333" spans="1:38" ht="13.15">
      <c r="B333" s="2"/>
      <c r="E333" t="s">
        <v>112</v>
      </c>
      <c r="F333" t="s">
        <v>739</v>
      </c>
      <c r="J333" s="4"/>
      <c r="K333" s="4"/>
      <c r="L333" s="4"/>
      <c r="M333" s="4"/>
      <c r="N333" s="4"/>
      <c r="O333" s="4"/>
      <c r="P333" s="4"/>
      <c r="Q333" s="4"/>
      <c r="R333" s="4"/>
      <c r="S333" s="4"/>
    </row>
    <row r="334" spans="1:38" ht="13.15">
      <c r="B334" s="2"/>
      <c r="E334" s="4"/>
      <c r="F334" s="4" t="s">
        <v>740</v>
      </c>
      <c r="J334" s="4"/>
      <c r="K334" s="4"/>
      <c r="L334" s="4"/>
      <c r="M334" s="4"/>
      <c r="N334" s="4"/>
      <c r="O334" s="4"/>
      <c r="P334" s="4"/>
      <c r="Q334" s="4"/>
      <c r="R334" s="4"/>
      <c r="S334" s="4"/>
    </row>
    <row r="335" spans="1:38" ht="13.15">
      <c r="B335" s="2"/>
      <c r="E335" s="4"/>
      <c r="F335" s="4" t="s">
        <v>741</v>
      </c>
      <c r="I335" s="4"/>
      <c r="J335" s="4"/>
      <c r="K335" s="4"/>
      <c r="L335" s="4"/>
      <c r="M335" s="4"/>
      <c r="N335" s="4"/>
      <c r="O335" s="4"/>
      <c r="P335" s="4"/>
      <c r="Q335" s="4"/>
      <c r="R335" s="4"/>
      <c r="S335" s="4"/>
    </row>
    <row r="336" spans="1:38" ht="13.15">
      <c r="B336" s="2"/>
      <c r="E336" s="4" t="s">
        <v>113</v>
      </c>
      <c r="F336" s="1263" t="s">
        <v>1155</v>
      </c>
      <c r="G336" s="1263"/>
      <c r="H336" s="1263"/>
      <c r="I336" s="1263"/>
      <c r="J336" s="1263"/>
      <c r="K336" s="1263"/>
      <c r="L336" s="1263"/>
      <c r="M336" s="1263"/>
      <c r="N336" s="1263"/>
      <c r="O336" s="1263"/>
      <c r="P336" s="1263"/>
      <c r="Q336" s="1263"/>
      <c r="R336" s="1263"/>
      <c r="S336" s="1263"/>
      <c r="T336" s="1263"/>
      <c r="U336" s="1263"/>
      <c r="V336" s="1263"/>
      <c r="W336" s="1263"/>
      <c r="X336" s="1263"/>
      <c r="Y336" s="1263"/>
      <c r="Z336" s="1263"/>
      <c r="AA336" s="1263"/>
      <c r="AB336" s="1263"/>
      <c r="AC336" s="1263"/>
      <c r="AD336" s="1263"/>
      <c r="AE336" s="1263"/>
      <c r="AF336" s="1263"/>
      <c r="AG336" s="1263"/>
      <c r="AH336" s="1263"/>
      <c r="AI336" s="1263"/>
      <c r="AJ336" s="1263"/>
      <c r="AK336" s="1263"/>
    </row>
    <row r="337" spans="2:37" ht="13.15">
      <c r="B337" s="2"/>
      <c r="E337" s="4"/>
      <c r="F337" s="1263"/>
      <c r="G337" s="1263"/>
      <c r="H337" s="1263"/>
      <c r="I337" s="1263"/>
      <c r="J337" s="1263"/>
      <c r="K337" s="1263"/>
      <c r="L337" s="1263"/>
      <c r="M337" s="1263"/>
      <c r="N337" s="1263"/>
      <c r="O337" s="1263"/>
      <c r="P337" s="1263"/>
      <c r="Q337" s="1263"/>
      <c r="R337" s="1263"/>
      <c r="S337" s="1263"/>
      <c r="T337" s="1263"/>
      <c r="U337" s="1263"/>
      <c r="V337" s="1263"/>
      <c r="W337" s="1263"/>
      <c r="X337" s="1263"/>
      <c r="Y337" s="1263"/>
      <c r="Z337" s="1263"/>
      <c r="AA337" s="1263"/>
      <c r="AB337" s="1263"/>
      <c r="AC337" s="1263"/>
      <c r="AD337" s="1263"/>
      <c r="AE337" s="1263"/>
      <c r="AF337" s="1263"/>
      <c r="AG337" s="1263"/>
      <c r="AH337" s="1263"/>
      <c r="AI337" s="1263"/>
      <c r="AJ337" s="1263"/>
      <c r="AK337" s="1263"/>
    </row>
    <row r="338" spans="2:37" ht="13.15">
      <c r="B338" s="2"/>
      <c r="E338" s="4"/>
      <c r="F338" s="1263"/>
      <c r="G338" s="1263"/>
      <c r="H338" s="1263"/>
      <c r="I338" s="1263"/>
      <c r="J338" s="1263"/>
      <c r="K338" s="1263"/>
      <c r="L338" s="1263"/>
      <c r="M338" s="1263"/>
      <c r="N338" s="1263"/>
      <c r="O338" s="1263"/>
      <c r="P338" s="1263"/>
      <c r="Q338" s="1263"/>
      <c r="R338" s="1263"/>
      <c r="S338" s="1263"/>
      <c r="T338" s="1263"/>
      <c r="U338" s="1263"/>
      <c r="V338" s="1263"/>
      <c r="W338" s="1263"/>
      <c r="X338" s="1263"/>
      <c r="Y338" s="1263"/>
      <c r="Z338" s="1263"/>
      <c r="AA338" s="1263"/>
      <c r="AB338" s="1263"/>
      <c r="AC338" s="1263"/>
      <c r="AD338" s="1263"/>
      <c r="AE338" s="1263"/>
      <c r="AF338" s="1263"/>
      <c r="AG338" s="1263"/>
      <c r="AH338" s="1263"/>
      <c r="AI338" s="1263"/>
      <c r="AJ338" s="1263"/>
      <c r="AK338" s="1263"/>
    </row>
    <row r="339" spans="2:37" ht="13.15">
      <c r="B339" s="2"/>
      <c r="F339" s="4"/>
      <c r="H339" s="4"/>
      <c r="I339" s="4"/>
      <c r="J339" s="4"/>
      <c r="K339" s="4"/>
      <c r="L339" s="4"/>
      <c r="M339" s="4"/>
      <c r="N339" s="4"/>
      <c r="O339" s="4"/>
      <c r="P339" s="4"/>
      <c r="Q339" s="4"/>
      <c r="R339" s="4"/>
      <c r="S339" s="4"/>
    </row>
    <row r="340" spans="2:37" ht="13.15">
      <c r="B340" s="2"/>
      <c r="C340" s="2" t="s">
        <v>430</v>
      </c>
      <c r="G340" s="2" t="s">
        <v>1228</v>
      </c>
      <c r="I340" s="2"/>
      <c r="J340" s="4"/>
      <c r="K340" s="4"/>
      <c r="L340" s="4"/>
      <c r="M340" s="4"/>
      <c r="N340" s="4"/>
      <c r="O340" s="4"/>
      <c r="P340" s="4"/>
      <c r="Q340" s="4"/>
      <c r="R340" s="4"/>
      <c r="S340" s="4"/>
    </row>
    <row r="341" spans="2:37" ht="13.15" customHeight="1">
      <c r="B341" s="2"/>
      <c r="E341" s="1266" t="s">
        <v>1235</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ht="13.15">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ht="13.15">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ht="13.15">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ht="13.15">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ht="13.15">
      <c r="B346" s="2"/>
      <c r="E346" s="3" t="s">
        <v>112</v>
      </c>
      <c r="F346" s="1263" t="s">
        <v>1237</v>
      </c>
      <c r="G346" s="1263"/>
      <c r="H346" s="1263"/>
      <c r="I346" s="1263"/>
      <c r="J346" s="1263"/>
      <c r="K346" s="1263"/>
      <c r="L346" s="1263"/>
      <c r="M346" s="1263"/>
      <c r="N346" s="1263"/>
      <c r="O346" s="1263"/>
      <c r="P346" s="1263"/>
      <c r="Q346" s="1263"/>
      <c r="R346" s="1263"/>
      <c r="S346" s="1263"/>
      <c r="T346" s="1263"/>
      <c r="U346" s="1263"/>
      <c r="V346" s="1263"/>
      <c r="W346" s="1263"/>
      <c r="X346" s="1263"/>
      <c r="Y346" s="1263"/>
      <c r="Z346" s="1263"/>
      <c r="AA346" s="1263"/>
      <c r="AB346" s="1263"/>
      <c r="AC346" s="1263"/>
      <c r="AD346" s="1263"/>
      <c r="AE346" s="1263"/>
      <c r="AF346" s="1263"/>
      <c r="AG346" s="1263"/>
      <c r="AH346" s="1263"/>
      <c r="AI346" s="1263"/>
      <c r="AJ346" s="1263"/>
      <c r="AK346" s="1263"/>
    </row>
    <row r="347" spans="2:37" ht="13.15">
      <c r="B347" s="2"/>
      <c r="E347" s="3"/>
      <c r="F347" s="1263"/>
      <c r="G347" s="1263"/>
      <c r="H347" s="1263"/>
      <c r="I347" s="1263"/>
      <c r="J347" s="1263"/>
      <c r="K347" s="1263"/>
      <c r="L347" s="1263"/>
      <c r="M347" s="1263"/>
      <c r="N347" s="1263"/>
      <c r="O347" s="1263"/>
      <c r="P347" s="1263"/>
      <c r="Q347" s="1263"/>
      <c r="R347" s="1263"/>
      <c r="S347" s="1263"/>
      <c r="T347" s="1263"/>
      <c r="U347" s="1263"/>
      <c r="V347" s="1263"/>
      <c r="W347" s="1263"/>
      <c r="X347" s="1263"/>
      <c r="Y347" s="1263"/>
      <c r="Z347" s="1263"/>
      <c r="AA347" s="1263"/>
      <c r="AB347" s="1263"/>
      <c r="AC347" s="1263"/>
      <c r="AD347" s="1263"/>
      <c r="AE347" s="1263"/>
      <c r="AF347" s="1263"/>
      <c r="AG347" s="1263"/>
      <c r="AH347" s="1263"/>
      <c r="AI347" s="1263"/>
      <c r="AJ347" s="1263"/>
      <c r="AK347" s="1263"/>
    </row>
    <row r="348" spans="2:37" ht="13.15">
      <c r="B348" s="2"/>
      <c r="E348" s="3"/>
      <c r="F348" s="1263"/>
      <c r="G348" s="1263"/>
      <c r="H348" s="1263"/>
      <c r="I348" s="1263"/>
      <c r="J348" s="1263"/>
      <c r="K348" s="1263"/>
      <c r="L348" s="1263"/>
      <c r="M348" s="1263"/>
      <c r="N348" s="1263"/>
      <c r="O348" s="1263"/>
      <c r="P348" s="1263"/>
      <c r="Q348" s="1263"/>
      <c r="R348" s="1263"/>
      <c r="S348" s="1263"/>
      <c r="T348" s="1263"/>
      <c r="U348" s="1263"/>
      <c r="V348" s="1263"/>
      <c r="W348" s="1263"/>
      <c r="X348" s="1263"/>
      <c r="Y348" s="1263"/>
      <c r="Z348" s="1263"/>
      <c r="AA348" s="1263"/>
      <c r="AB348" s="1263"/>
      <c r="AC348" s="1263"/>
      <c r="AD348" s="1263"/>
      <c r="AE348" s="1263"/>
      <c r="AF348" s="1263"/>
      <c r="AG348" s="1263"/>
      <c r="AH348" s="1263"/>
      <c r="AI348" s="1263"/>
      <c r="AJ348" s="1263"/>
      <c r="AK348" s="1263"/>
    </row>
    <row r="349" spans="2:37" ht="13.15">
      <c r="B349" s="2"/>
      <c r="E349" s="3"/>
      <c r="F349" s="1263"/>
      <c r="G349" s="1263"/>
      <c r="H349" s="1263"/>
      <c r="I349" s="1263"/>
      <c r="J349" s="1263"/>
      <c r="K349" s="1263"/>
      <c r="L349" s="1263"/>
      <c r="M349" s="1263"/>
      <c r="N349" s="1263"/>
      <c r="O349" s="1263"/>
      <c r="P349" s="1263"/>
      <c r="Q349" s="1263"/>
      <c r="R349" s="1263"/>
      <c r="S349" s="1263"/>
      <c r="T349" s="1263"/>
      <c r="U349" s="1263"/>
      <c r="V349" s="1263"/>
      <c r="W349" s="1263"/>
      <c r="X349" s="1263"/>
      <c r="Y349" s="1263"/>
      <c r="Z349" s="1263"/>
      <c r="AA349" s="1263"/>
      <c r="AB349" s="1263"/>
      <c r="AC349" s="1263"/>
      <c r="AD349" s="1263"/>
      <c r="AE349" s="1263"/>
      <c r="AF349" s="1263"/>
      <c r="AG349" s="1263"/>
      <c r="AH349" s="1263"/>
      <c r="AI349" s="1263"/>
      <c r="AJ349" s="1263"/>
      <c r="AK349" s="1263"/>
    </row>
    <row r="350" spans="2:37" ht="13.15">
      <c r="B350" s="2"/>
      <c r="E350" s="3" t="s">
        <v>113</v>
      </c>
      <c r="F350" s="1263" t="s">
        <v>1236</v>
      </c>
      <c r="G350" s="1263"/>
      <c r="H350" s="1263"/>
      <c r="I350" s="1263"/>
      <c r="J350" s="1263"/>
      <c r="K350" s="1263"/>
      <c r="L350" s="1263"/>
      <c r="M350" s="1263"/>
      <c r="N350" s="1263"/>
      <c r="O350" s="1263"/>
      <c r="P350" s="1263"/>
      <c r="Q350" s="1263"/>
      <c r="R350" s="1263"/>
      <c r="S350" s="1263"/>
      <c r="T350" s="1263"/>
      <c r="U350" s="1263"/>
      <c r="V350" s="1263"/>
      <c r="W350" s="1263"/>
      <c r="X350" s="1263"/>
      <c r="Y350" s="1263"/>
      <c r="Z350" s="1263"/>
      <c r="AA350" s="1263"/>
      <c r="AB350" s="1263"/>
      <c r="AC350" s="1263"/>
      <c r="AD350" s="1263"/>
      <c r="AE350" s="1263"/>
      <c r="AF350" s="1263"/>
      <c r="AG350" s="1263"/>
      <c r="AH350" s="1263"/>
      <c r="AI350" s="1263"/>
      <c r="AJ350" s="1263"/>
      <c r="AK350" s="1263"/>
    </row>
    <row r="351" spans="2:37" ht="13.15">
      <c r="B351" s="2"/>
      <c r="F351" s="1263"/>
      <c r="G351" s="1263"/>
      <c r="H351" s="1263"/>
      <c r="I351" s="1263"/>
      <c r="J351" s="1263"/>
      <c r="K351" s="1263"/>
      <c r="L351" s="1263"/>
      <c r="M351" s="1263"/>
      <c r="N351" s="1263"/>
      <c r="O351" s="1263"/>
      <c r="P351" s="1263"/>
      <c r="Q351" s="1263"/>
      <c r="R351" s="1263"/>
      <c r="S351" s="1263"/>
      <c r="T351" s="1263"/>
      <c r="U351" s="1263"/>
      <c r="V351" s="1263"/>
      <c r="W351" s="1263"/>
      <c r="X351" s="1263"/>
      <c r="Y351" s="1263"/>
      <c r="Z351" s="1263"/>
      <c r="AA351" s="1263"/>
      <c r="AB351" s="1263"/>
      <c r="AC351" s="1263"/>
      <c r="AD351" s="1263"/>
      <c r="AE351" s="1263"/>
      <c r="AF351" s="1263"/>
      <c r="AG351" s="1263"/>
      <c r="AH351" s="1263"/>
      <c r="AI351" s="1263"/>
      <c r="AJ351" s="1263"/>
      <c r="AK351" s="1263"/>
    </row>
    <row r="352" spans="2:37" ht="13.15">
      <c r="B352" s="2"/>
      <c r="F352" s="1263"/>
      <c r="G352" s="1263"/>
      <c r="H352" s="1263"/>
      <c r="I352" s="1263"/>
      <c r="J352" s="1263"/>
      <c r="K352" s="1263"/>
      <c r="L352" s="1263"/>
      <c r="M352" s="1263"/>
      <c r="N352" s="1263"/>
      <c r="O352" s="1263"/>
      <c r="P352" s="1263"/>
      <c r="Q352" s="1263"/>
      <c r="R352" s="1263"/>
      <c r="S352" s="1263"/>
      <c r="T352" s="1263"/>
      <c r="U352" s="1263"/>
      <c r="V352" s="1263"/>
      <c r="W352" s="1263"/>
      <c r="X352" s="1263"/>
      <c r="Y352" s="1263"/>
      <c r="Z352" s="1263"/>
      <c r="AA352" s="1263"/>
      <c r="AB352" s="1263"/>
      <c r="AC352" s="1263"/>
      <c r="AD352" s="1263"/>
      <c r="AE352" s="1263"/>
      <c r="AF352" s="1263"/>
      <c r="AG352" s="1263"/>
      <c r="AH352" s="1263"/>
      <c r="AI352" s="1263"/>
      <c r="AJ352" s="1263"/>
      <c r="AK352" s="1263"/>
    </row>
    <row r="353" spans="1:38" ht="13.15">
      <c r="B353" s="2"/>
      <c r="F353" s="4"/>
      <c r="H353" s="4"/>
      <c r="I353" s="4"/>
      <c r="J353" s="4"/>
      <c r="K353" s="4"/>
      <c r="L353" s="4"/>
      <c r="M353" s="4"/>
      <c r="N353" s="4"/>
      <c r="O353" s="4"/>
      <c r="P353" s="4"/>
      <c r="Q353" s="4"/>
      <c r="R353" s="4"/>
      <c r="S353" s="4"/>
    </row>
    <row r="354" spans="1:38" ht="13.15">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15">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15">
      <c r="B358" s="2"/>
      <c r="D358" s="2" t="s">
        <v>206</v>
      </c>
      <c r="E358" s="2" t="s">
        <v>122</v>
      </c>
      <c r="I358" s="4"/>
      <c r="J358" s="4"/>
      <c r="K358" s="4"/>
      <c r="L358" s="4"/>
      <c r="M358" s="4"/>
      <c r="N358" s="4"/>
      <c r="O358" s="4"/>
      <c r="P358" s="4"/>
      <c r="Q358" s="4"/>
      <c r="R358" s="4"/>
      <c r="S358" s="4"/>
    </row>
    <row r="359" spans="1:38" ht="13.15">
      <c r="B359" s="2"/>
      <c r="E359" t="s">
        <v>112</v>
      </c>
      <c r="F359" s="4" t="s">
        <v>743</v>
      </c>
      <c r="I359" s="4"/>
      <c r="J359" s="4"/>
      <c r="K359" s="4"/>
      <c r="L359" s="4"/>
      <c r="M359" s="4"/>
      <c r="N359" s="4"/>
      <c r="O359" s="4"/>
      <c r="P359" s="4"/>
      <c r="Q359" s="4"/>
      <c r="R359" s="4"/>
      <c r="S359" s="4"/>
    </row>
    <row r="360" spans="1:38" ht="13.15">
      <c r="B360" s="2"/>
      <c r="F360" s="4" t="s">
        <v>744</v>
      </c>
      <c r="I360" s="4"/>
      <c r="J360" s="4"/>
      <c r="K360" s="4"/>
      <c r="L360" s="4"/>
      <c r="M360" s="4"/>
      <c r="N360" s="4"/>
      <c r="O360" s="4"/>
      <c r="P360" s="4"/>
      <c r="Q360" s="4"/>
      <c r="R360" s="4"/>
      <c r="S360" s="4"/>
    </row>
    <row r="361" spans="1:38" ht="13.15">
      <c r="B361" s="2"/>
      <c r="F361" s="4" t="s">
        <v>872</v>
      </c>
      <c r="G361" s="4"/>
      <c r="K361" s="4"/>
      <c r="L361" s="4"/>
      <c r="M361" s="4"/>
      <c r="N361" s="4"/>
      <c r="O361" s="4"/>
      <c r="P361" s="4"/>
      <c r="Q361" s="4"/>
      <c r="R361" s="4"/>
      <c r="S361" s="4"/>
    </row>
    <row r="362" spans="1:38" ht="13.15">
      <c r="B362" s="2"/>
      <c r="E362" t="s">
        <v>113</v>
      </c>
      <c r="F362" s="4" t="s">
        <v>871</v>
      </c>
      <c r="I362" s="4"/>
      <c r="J362" s="4"/>
      <c r="K362" s="4"/>
      <c r="L362" s="4"/>
      <c r="M362" s="4"/>
      <c r="N362" s="4"/>
      <c r="O362" s="4"/>
      <c r="P362" s="4"/>
      <c r="Q362" s="4"/>
      <c r="R362" s="4"/>
      <c r="S362" s="4"/>
    </row>
    <row r="363" spans="1:38" ht="13.15">
      <c r="B363" s="2"/>
      <c r="E363" t="s">
        <v>119</v>
      </c>
      <c r="F363" s="4" t="s">
        <v>745</v>
      </c>
      <c r="I363" s="4"/>
      <c r="J363" s="4"/>
      <c r="K363" s="4"/>
      <c r="L363" s="4"/>
      <c r="M363" s="4"/>
      <c r="N363" s="4"/>
      <c r="O363" s="4"/>
      <c r="P363" s="4"/>
      <c r="Q363" s="4"/>
      <c r="R363" s="4"/>
      <c r="S363" s="4"/>
    </row>
    <row r="364" spans="1:38" ht="13.15">
      <c r="B364" s="2"/>
      <c r="F364" s="4" t="s">
        <v>746</v>
      </c>
      <c r="J364" s="4"/>
      <c r="K364" s="4"/>
      <c r="L364" s="4"/>
      <c r="M364" s="4"/>
      <c r="N364" s="4"/>
      <c r="O364" s="4"/>
      <c r="P364" s="4"/>
      <c r="Q364" s="4"/>
      <c r="R364" s="4"/>
      <c r="S364" s="4"/>
    </row>
    <row r="365" spans="1:38" ht="13.15">
      <c r="B365" s="2"/>
      <c r="E365" s="1267" t="s">
        <v>1226</v>
      </c>
      <c r="F365" s="1267"/>
      <c r="G365" s="1267"/>
      <c r="H365" s="1267"/>
      <c r="I365" s="1267"/>
      <c r="J365" s="1267"/>
      <c r="K365" s="1267"/>
      <c r="L365" s="1267"/>
      <c r="M365" s="1267"/>
      <c r="N365" s="1267"/>
      <c r="O365" s="1267"/>
      <c r="P365" s="1267"/>
      <c r="Q365" s="1267"/>
      <c r="R365" s="1267"/>
      <c r="S365" s="1267"/>
      <c r="T365" s="1267"/>
      <c r="U365" s="1267"/>
      <c r="V365" s="1267"/>
      <c r="W365" s="1267"/>
      <c r="X365" s="1267"/>
      <c r="Y365" s="1267"/>
      <c r="Z365" s="1267"/>
      <c r="AA365" s="1267"/>
      <c r="AB365" s="1267"/>
      <c r="AC365" s="1267"/>
      <c r="AD365" s="1267"/>
      <c r="AE365" s="1267"/>
      <c r="AF365" s="1267"/>
      <c r="AG365" s="1267"/>
      <c r="AH365" s="1267"/>
      <c r="AI365" s="1267"/>
      <c r="AJ365" s="1267"/>
      <c r="AK365" s="1267"/>
      <c r="AL365" s="1267"/>
    </row>
    <row r="366" spans="1:38" ht="13.15">
      <c r="B366" s="2"/>
      <c r="E366" s="1267"/>
      <c r="F366" s="1267"/>
      <c r="G366" s="1267"/>
      <c r="H366" s="1267"/>
      <c r="I366" s="1267"/>
      <c r="J366" s="1267"/>
      <c r="K366" s="1267"/>
      <c r="L366" s="1267"/>
      <c r="M366" s="1267"/>
      <c r="N366" s="1267"/>
      <c r="O366" s="1267"/>
      <c r="P366" s="1267"/>
      <c r="Q366" s="1267"/>
      <c r="R366" s="1267"/>
      <c r="S366" s="1267"/>
      <c r="T366" s="1267"/>
      <c r="U366" s="1267"/>
      <c r="V366" s="1267"/>
      <c r="W366" s="1267"/>
      <c r="X366" s="1267"/>
      <c r="Y366" s="1267"/>
      <c r="Z366" s="1267"/>
      <c r="AA366" s="1267"/>
      <c r="AB366" s="1267"/>
      <c r="AC366" s="1267"/>
      <c r="AD366" s="1267"/>
      <c r="AE366" s="1267"/>
      <c r="AF366" s="1267"/>
      <c r="AG366" s="1267"/>
      <c r="AH366" s="1267"/>
      <c r="AI366" s="1267"/>
      <c r="AJ366" s="1267"/>
      <c r="AK366" s="1267"/>
      <c r="AL366" s="1267"/>
    </row>
    <row r="367" spans="1:38" s="1269" customFormat="1" ht="13.15">
      <c r="A367"/>
      <c r="B367" s="2"/>
      <c r="C367"/>
      <c r="D367"/>
      <c r="E367" s="1268" t="s">
        <v>1258</v>
      </c>
    </row>
    <row r="368" spans="1:38" s="1269" customFormat="1" ht="13.15">
      <c r="A368"/>
      <c r="B368" s="2"/>
      <c r="C368" s="2"/>
      <c r="D368"/>
    </row>
    <row r="369" spans="1:38" ht="13.15">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15">
      <c r="B370" s="2"/>
      <c r="D370" s="2" t="s">
        <v>340</v>
      </c>
      <c r="E370" s="2" t="s">
        <v>568</v>
      </c>
      <c r="J370" s="4"/>
      <c r="K370" s="4"/>
      <c r="L370" s="4"/>
      <c r="M370" s="4"/>
      <c r="N370" s="4"/>
      <c r="O370" s="4"/>
      <c r="P370" s="4"/>
      <c r="Q370" s="4"/>
      <c r="R370" s="4"/>
      <c r="S370" s="4"/>
    </row>
    <row r="371" spans="1:38" ht="13.15">
      <c r="B371" s="2"/>
      <c r="E371" s="4" t="s">
        <v>747</v>
      </c>
      <c r="F371" s="4"/>
      <c r="G371" s="4"/>
      <c r="H371" s="4"/>
      <c r="I371" s="4"/>
      <c r="J371" s="4"/>
      <c r="K371" s="4"/>
      <c r="L371" s="4"/>
      <c r="M371" s="4"/>
      <c r="N371" s="4"/>
      <c r="O371" s="4"/>
      <c r="P371" s="4"/>
      <c r="Q371" s="4"/>
      <c r="R371" s="4"/>
      <c r="S371" s="4"/>
    </row>
    <row r="372" spans="1:38" ht="13.15">
      <c r="B372" s="2"/>
      <c r="E372" s="4" t="s">
        <v>748</v>
      </c>
      <c r="F372" s="4"/>
      <c r="G372" s="4"/>
      <c r="H372" s="4"/>
      <c r="I372" s="4"/>
      <c r="J372" s="4"/>
      <c r="K372" s="4"/>
      <c r="L372" s="4"/>
      <c r="M372" s="4"/>
      <c r="N372" s="4"/>
      <c r="O372" s="4"/>
      <c r="P372" s="4"/>
      <c r="Q372" s="4"/>
      <c r="R372" s="4"/>
      <c r="S372" s="4"/>
    </row>
    <row r="373" spans="1:38" ht="13.15">
      <c r="B373" s="2"/>
      <c r="E373" s="4"/>
      <c r="F373" s="4"/>
      <c r="G373" s="4"/>
      <c r="H373" s="4"/>
      <c r="I373" s="4"/>
      <c r="J373" s="4"/>
      <c r="K373" s="4"/>
      <c r="L373" s="4"/>
      <c r="M373" s="4"/>
      <c r="N373" s="4"/>
      <c r="O373" s="4"/>
      <c r="P373" s="4"/>
      <c r="Q373" s="4"/>
      <c r="R373" s="4"/>
      <c r="S373" s="4"/>
    </row>
    <row r="374" spans="1:38" ht="13.15">
      <c r="B374" s="2"/>
      <c r="D374" s="2" t="s">
        <v>574</v>
      </c>
      <c r="E374" s="2" t="s">
        <v>281</v>
      </c>
      <c r="J374" s="4"/>
      <c r="K374" s="4"/>
      <c r="L374" s="4"/>
      <c r="M374" s="4"/>
      <c r="N374" s="4"/>
      <c r="O374" s="4"/>
      <c r="P374" s="4"/>
      <c r="Q374" s="4"/>
      <c r="R374" s="4"/>
      <c r="S374" s="4"/>
    </row>
    <row r="375" spans="1:38" ht="13.15">
      <c r="B375" s="2"/>
      <c r="E375" s="4" t="s">
        <v>112</v>
      </c>
      <c r="F375" s="4" t="s">
        <v>250</v>
      </c>
      <c r="G375" s="4"/>
      <c r="I375" s="4"/>
      <c r="J375" s="4"/>
      <c r="K375" s="4"/>
      <c r="L375" s="4"/>
      <c r="M375" s="4"/>
      <c r="N375" s="4"/>
      <c r="O375" s="4"/>
      <c r="P375" s="4"/>
      <c r="Q375" s="4"/>
      <c r="R375" s="4"/>
      <c r="S375" s="4"/>
    </row>
    <row r="376" spans="1:38" ht="13.15">
      <c r="B376" s="2"/>
      <c r="E376" s="4"/>
      <c r="F376" s="120" t="s">
        <v>1153</v>
      </c>
      <c r="G376" s="4"/>
      <c r="I376" s="120"/>
      <c r="J376" s="4"/>
      <c r="K376" s="4"/>
      <c r="L376" s="4"/>
      <c r="M376" s="4"/>
      <c r="N376" s="4"/>
      <c r="O376" s="4"/>
      <c r="P376" s="4"/>
      <c r="Q376" s="4"/>
      <c r="R376" s="4"/>
      <c r="S376" s="4"/>
    </row>
    <row r="377" spans="1:38" ht="13.15">
      <c r="B377" s="2"/>
      <c r="E377" s="4" t="s">
        <v>113</v>
      </c>
      <c r="F377" s="4" t="s">
        <v>251</v>
      </c>
      <c r="G377" s="4"/>
      <c r="I377" s="120"/>
      <c r="J377" s="4"/>
      <c r="K377" s="4"/>
      <c r="L377" s="4"/>
      <c r="M377" s="4"/>
      <c r="N377" s="4"/>
      <c r="O377" s="4"/>
      <c r="P377" s="4"/>
      <c r="Q377" s="4"/>
      <c r="R377" s="4"/>
      <c r="S377" s="4"/>
    </row>
    <row r="378" spans="1:38" ht="13.15">
      <c r="B378" s="2"/>
      <c r="E378" s="4"/>
      <c r="F378" s="4"/>
      <c r="G378" s="4"/>
      <c r="I378" s="120"/>
      <c r="J378" s="4"/>
      <c r="K378" s="4"/>
      <c r="L378" s="4"/>
      <c r="M378" s="4"/>
      <c r="N378" s="4"/>
      <c r="O378" s="4"/>
      <c r="P378" s="4"/>
      <c r="Q378" s="4"/>
      <c r="R378" s="4"/>
      <c r="S378" s="4"/>
    </row>
    <row r="379" spans="1:38" ht="13.15">
      <c r="B379" s="2"/>
      <c r="D379" s="2" t="s">
        <v>514</v>
      </c>
      <c r="E379" s="2" t="s">
        <v>1259</v>
      </c>
      <c r="J379" s="3"/>
      <c r="K379" s="3"/>
      <c r="L379" s="3"/>
      <c r="M379" s="3"/>
      <c r="N379" s="3"/>
      <c r="O379" s="3"/>
      <c r="P379" s="3"/>
      <c r="Q379" s="3"/>
      <c r="R379" s="3"/>
      <c r="S379" s="3"/>
    </row>
    <row r="380" spans="1:38" ht="13.15">
      <c r="B380" s="2"/>
      <c r="D380" s="2"/>
      <c r="E380" s="3" t="s">
        <v>747</v>
      </c>
      <c r="F380" s="3"/>
      <c r="G380" s="3"/>
      <c r="J380" s="3"/>
      <c r="K380" s="3"/>
      <c r="L380" s="3"/>
      <c r="M380" s="3"/>
      <c r="N380" s="3"/>
      <c r="O380" s="3"/>
      <c r="P380" s="3"/>
      <c r="Q380" s="3"/>
      <c r="R380" s="3"/>
      <c r="S380" s="3"/>
    </row>
    <row r="381" spans="1:38" ht="13.15">
      <c r="B381" s="2"/>
      <c r="D381" s="2"/>
      <c r="E381" s="3" t="s">
        <v>1156</v>
      </c>
      <c r="F381" s="3"/>
      <c r="G381" s="3"/>
      <c r="J381" s="3"/>
      <c r="K381" s="3"/>
      <c r="L381" s="3"/>
      <c r="M381" s="3"/>
      <c r="N381" s="3"/>
      <c r="O381" s="3"/>
      <c r="P381" s="3"/>
      <c r="Q381" s="3"/>
      <c r="R381" s="3"/>
      <c r="S381" s="3"/>
    </row>
    <row r="382" spans="1:38" ht="13.15">
      <c r="B382" s="2"/>
      <c r="D382" s="2"/>
      <c r="E382" s="3"/>
      <c r="F382" s="3"/>
      <c r="G382" s="3"/>
      <c r="J382" s="3"/>
      <c r="K382" s="3"/>
      <c r="L382" s="3"/>
      <c r="M382" s="3"/>
      <c r="N382" s="3"/>
      <c r="O382" s="3"/>
      <c r="P382" s="3"/>
      <c r="Q382" s="3"/>
      <c r="R382" s="3"/>
      <c r="S382" s="3"/>
    </row>
    <row r="383" spans="1:38" s="169" customFormat="1" ht="13.15">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15">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15">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15">
      <c r="B386" s="2"/>
      <c r="E386" s="3" t="s">
        <v>113</v>
      </c>
      <c r="F386" s="1263" t="s">
        <v>1269</v>
      </c>
      <c r="G386" s="1263"/>
      <c r="H386" s="1263"/>
      <c r="I386" s="1263"/>
      <c r="J386" s="1263"/>
      <c r="K386" s="1263"/>
      <c r="L386" s="1263"/>
      <c r="M386" s="1263"/>
      <c r="N386" s="1263"/>
      <c r="O386" s="1263"/>
      <c r="P386" s="1263"/>
      <c r="Q386" s="1263"/>
      <c r="R386" s="1263"/>
      <c r="S386" s="1263"/>
      <c r="T386" s="1263"/>
      <c r="U386" s="1263"/>
      <c r="V386" s="1263"/>
      <c r="W386" s="1263"/>
      <c r="X386" s="1263"/>
      <c r="Y386" s="1263"/>
      <c r="Z386" s="1263"/>
      <c r="AA386" s="1263"/>
      <c r="AB386" s="1263"/>
      <c r="AC386" s="1263"/>
      <c r="AD386" s="1263"/>
      <c r="AE386" s="1263"/>
      <c r="AF386" s="1263"/>
      <c r="AG386" s="1263"/>
      <c r="AH386" s="1263"/>
      <c r="AI386" s="1263"/>
      <c r="AJ386" s="1263"/>
      <c r="AK386" s="1263"/>
    </row>
    <row r="387" spans="1:38" ht="13.15">
      <c r="B387" s="2"/>
      <c r="E387" s="3"/>
      <c r="F387" s="1263"/>
      <c r="G387" s="1263"/>
      <c r="H387" s="1263"/>
      <c r="I387" s="1263"/>
      <c r="J387" s="1263"/>
      <c r="K387" s="1263"/>
      <c r="L387" s="1263"/>
      <c r="M387" s="1263"/>
      <c r="N387" s="1263"/>
      <c r="O387" s="1263"/>
      <c r="P387" s="1263"/>
      <c r="Q387" s="1263"/>
      <c r="R387" s="1263"/>
      <c r="S387" s="1263"/>
      <c r="T387" s="1263"/>
      <c r="U387" s="1263"/>
      <c r="V387" s="1263"/>
      <c r="W387" s="1263"/>
      <c r="X387" s="1263"/>
      <c r="Y387" s="1263"/>
      <c r="Z387" s="1263"/>
      <c r="AA387" s="1263"/>
      <c r="AB387" s="1263"/>
      <c r="AC387" s="1263"/>
      <c r="AD387" s="1263"/>
      <c r="AE387" s="1263"/>
      <c r="AF387" s="1263"/>
      <c r="AG387" s="1263"/>
      <c r="AH387" s="1263"/>
      <c r="AI387" s="1263"/>
      <c r="AJ387" s="1263"/>
      <c r="AK387" s="1263"/>
    </row>
    <row r="388" spans="1:38" ht="13.15">
      <c r="B388" s="2"/>
      <c r="E388" s="3"/>
      <c r="F388" s="1263"/>
      <c r="G388" s="1263"/>
      <c r="H388" s="1263"/>
      <c r="I388" s="1263"/>
      <c r="J388" s="1263"/>
      <c r="K388" s="1263"/>
      <c r="L388" s="1263"/>
      <c r="M388" s="1263"/>
      <c r="N388" s="1263"/>
      <c r="O388" s="1263"/>
      <c r="P388" s="1263"/>
      <c r="Q388" s="1263"/>
      <c r="R388" s="1263"/>
      <c r="S388" s="1263"/>
      <c r="T388" s="1263"/>
      <c r="U388" s="1263"/>
      <c r="V388" s="1263"/>
      <c r="W388" s="1263"/>
      <c r="X388" s="1263"/>
      <c r="Y388" s="1263"/>
      <c r="Z388" s="1263"/>
      <c r="AA388" s="1263"/>
      <c r="AB388" s="1263"/>
      <c r="AC388" s="1263"/>
      <c r="AD388" s="1263"/>
      <c r="AE388" s="1263"/>
      <c r="AF388" s="1263"/>
      <c r="AG388" s="1263"/>
      <c r="AH388" s="1263"/>
      <c r="AI388" s="1263"/>
      <c r="AJ388" s="1263"/>
      <c r="AK388" s="1263"/>
    </row>
    <row r="389" spans="1:38" ht="13.15">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15">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15">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15">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15"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15" hidden="1">
      <c r="B395" s="2"/>
      <c r="S395" s="4"/>
    </row>
    <row r="396" spans="1:38" ht="13.15" hidden="1">
      <c r="B396" s="2"/>
      <c r="S396" s="4"/>
    </row>
    <row r="397" spans="1:38" ht="13.15" hidden="1">
      <c r="B397" s="2"/>
      <c r="S397" s="4"/>
    </row>
    <row r="398" spans="1:38" ht="13.15" hidden="1">
      <c r="B398" s="2"/>
      <c r="S398" s="4"/>
    </row>
    <row r="399" spans="1:38" ht="13.15" hidden="1">
      <c r="B399" s="2"/>
      <c r="S399" s="4"/>
    </row>
    <row r="400" spans="1:38" ht="13.15" hidden="1">
      <c r="B400" s="2"/>
      <c r="S400" s="4"/>
    </row>
    <row r="401" spans="2:19" ht="13.15" hidden="1">
      <c r="B401" s="2"/>
      <c r="S401" s="4"/>
    </row>
    <row r="402" spans="2:19" ht="13.15" hidden="1">
      <c r="B402" s="2"/>
      <c r="S402" s="4"/>
    </row>
    <row r="403" spans="2:19" ht="13.15" hidden="1">
      <c r="B403" s="2"/>
      <c r="S403" s="4"/>
    </row>
    <row r="404" spans="2:19" ht="13.15" hidden="1">
      <c r="B404" s="2"/>
      <c r="S404" s="4"/>
    </row>
    <row r="405" spans="2:19" ht="13.15" hidden="1">
      <c r="B405" s="2"/>
      <c r="S405" s="4"/>
    </row>
    <row r="406" spans="2:19" ht="13.15" hidden="1">
      <c r="B406" s="2"/>
      <c r="D406" s="2"/>
      <c r="E406" s="4"/>
      <c r="F406" s="4"/>
      <c r="G406" s="4"/>
      <c r="H406" s="4"/>
      <c r="I406" s="4"/>
      <c r="J406" s="4"/>
      <c r="K406" s="4"/>
      <c r="L406" s="4"/>
      <c r="M406" s="4"/>
      <c r="N406" s="4"/>
      <c r="O406" s="4"/>
      <c r="P406" s="4"/>
      <c r="Q406" s="4"/>
      <c r="R406" s="4"/>
      <c r="S406" s="4"/>
    </row>
    <row r="407" spans="2:19" ht="13.15"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15" hidden="1">
      <c r="B419" s="2"/>
      <c r="D419" s="2"/>
      <c r="E419" s="4"/>
      <c r="F419" s="4"/>
      <c r="G419" s="4"/>
      <c r="H419" s="4"/>
      <c r="I419" s="4"/>
      <c r="J419" s="4"/>
      <c r="K419" s="4"/>
      <c r="L419" s="4"/>
      <c r="M419" s="4"/>
      <c r="N419" s="4"/>
      <c r="O419" s="4"/>
      <c r="P419" s="4"/>
      <c r="Q419" s="4"/>
      <c r="R419" s="4"/>
      <c r="S419" s="4"/>
    </row>
    <row r="420" spans="2:19" ht="13.15" hidden="1">
      <c r="B420" s="2"/>
      <c r="C420" s="2"/>
      <c r="D420" s="2"/>
      <c r="E420" s="4"/>
      <c r="F420" s="4"/>
      <c r="G420" s="4"/>
      <c r="H420" s="4"/>
      <c r="I420" s="4"/>
      <c r="J420" s="4"/>
      <c r="K420" s="4"/>
      <c r="L420" s="4"/>
      <c r="M420" s="4"/>
      <c r="N420" s="4"/>
      <c r="O420" s="4"/>
      <c r="P420" s="4"/>
      <c r="Q420" s="4"/>
      <c r="R420" s="4"/>
      <c r="S420" s="4"/>
    </row>
    <row r="421" spans="2:19" ht="13.15"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99" sqref="G99"/>
    </sheetView>
  </sheetViews>
  <sheetFormatPr defaultColWidth="9.1328125" defaultRowHeight="13.5"/>
  <cols>
    <col min="1" max="1" width="2.3984375" style="1044" customWidth="1"/>
    <col min="2" max="9" width="14.73046875" style="1044" customWidth="1"/>
    <col min="10" max="10" width="2.265625" style="1044" customWidth="1"/>
    <col min="11" max="11" width="11.86328125" style="1045" customWidth="1"/>
    <col min="12" max="12" width="10.73046875" style="1044" customWidth="1"/>
    <col min="13" max="13" width="10.3984375" style="1044" customWidth="1"/>
    <col min="14" max="14" width="10.86328125" style="1044" customWidth="1"/>
    <col min="15" max="18" width="9.1328125" style="1044"/>
    <col min="19" max="19" width="9.3984375" style="1044" bestFit="1" customWidth="1"/>
    <col min="20" max="16384" width="9.1328125" style="1044"/>
  </cols>
  <sheetData>
    <row r="1" spans="1:13" ht="30" customHeight="1">
      <c r="A1" s="2657" t="s">
        <v>1585</v>
      </c>
      <c r="B1" s="2657"/>
      <c r="C1" s="2657"/>
      <c r="D1" s="2657"/>
      <c r="E1" s="2657"/>
      <c r="F1" s="2657"/>
      <c r="G1" s="2657"/>
      <c r="H1" s="2657"/>
      <c r="I1" s="2657"/>
      <c r="J1" s="2657"/>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24208960</v>
      </c>
      <c r="I3" s="1105"/>
    </row>
    <row r="4" spans="1:13" s="1051" customFormat="1" ht="20.100000000000001" customHeight="1">
      <c r="B4" s="1094"/>
      <c r="D4" s="1108"/>
      <c r="F4" s="1092" t="s">
        <v>1992</v>
      </c>
      <c r="G4" s="1091" t="s">
        <v>1991</v>
      </c>
      <c r="H4" s="1093">
        <f>I18</f>
        <v>24671523.581781045</v>
      </c>
      <c r="I4" s="1095"/>
      <c r="K4" s="1055"/>
    </row>
    <row r="5" spans="1:13" s="1051" customFormat="1" ht="20.100000000000001" customHeight="1" thickBot="1">
      <c r="B5" s="1096"/>
      <c r="C5" s="1097"/>
      <c r="D5" s="1109"/>
      <c r="E5" s="1098"/>
      <c r="F5" s="1109" t="s">
        <v>1942</v>
      </c>
      <c r="G5" s="1110"/>
      <c r="H5" s="1106">
        <f>IFERROR(H3/H4,0)</f>
        <v>0.98125111405269561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0" t="s">
        <v>1940</v>
      </c>
      <c r="C8" s="2661"/>
      <c r="D8" s="2661"/>
      <c r="E8" s="2662"/>
      <c r="G8" s="2663" t="s">
        <v>1941</v>
      </c>
      <c r="H8" s="2664"/>
      <c r="I8" s="2665"/>
      <c r="K8" s="1057"/>
    </row>
    <row r="9" spans="1:13" ht="15" customHeight="1">
      <c r="A9" s="1046"/>
      <c r="B9" s="2658" t="s">
        <v>1974</v>
      </c>
      <c r="C9" s="2658"/>
      <c r="D9" s="2658"/>
      <c r="E9" s="1059">
        <f>G33</f>
        <v>4000000</v>
      </c>
      <c r="G9" s="2666" t="s">
        <v>1972</v>
      </c>
      <c r="H9" s="2666"/>
      <c r="I9" s="1060">
        <f>SUMIF(Application!M554:M565,"Loan, Tax-Exempt",Application!AM554:AM565)</f>
        <v>23500000</v>
      </c>
      <c r="K9" s="1061"/>
      <c r="M9" s="1062"/>
    </row>
    <row r="10" spans="1:13" ht="15" customHeight="1" thickBot="1">
      <c r="A10" s="1046"/>
      <c r="B10" s="2658" t="s">
        <v>1975</v>
      </c>
      <c r="C10" s="2658"/>
      <c r="D10" s="2658"/>
      <c r="E10" s="1060">
        <f>G47</f>
        <v>15168960</v>
      </c>
      <c r="G10" s="2670" t="s">
        <v>1943</v>
      </c>
      <c r="H10" s="2670"/>
      <c r="I10" s="1140">
        <f>'Basis &amp; Credits'!AB78</f>
        <v>5045179</v>
      </c>
      <c r="M10" s="1062"/>
    </row>
    <row r="11" spans="1:13" ht="15" customHeight="1">
      <c r="A11" s="1046"/>
      <c r="B11" s="2674" t="s">
        <v>2264</v>
      </c>
      <c r="C11" s="2675"/>
      <c r="D11" s="2676"/>
      <c r="E11" s="1060">
        <f>SUM(E12,E13)</f>
        <v>1200000</v>
      </c>
      <c r="G11" s="2673" t="s">
        <v>1983</v>
      </c>
      <c r="H11" s="2673"/>
      <c r="I11" s="1139">
        <f>I9+I10</f>
        <v>28545179</v>
      </c>
      <c r="M11" s="1062"/>
    </row>
    <row r="12" spans="1:13" ht="15" customHeight="1">
      <c r="A12" s="1063"/>
      <c r="B12" s="2659" t="s">
        <v>2266</v>
      </c>
      <c r="C12" s="2659"/>
      <c r="D12" s="2659"/>
      <c r="E12" s="1165">
        <f>G56</f>
        <v>400000</v>
      </c>
      <c r="M12" s="1062"/>
    </row>
    <row r="13" spans="1:13" ht="15" customHeight="1">
      <c r="A13" s="1049"/>
      <c r="B13" s="2659" t="s">
        <v>2267</v>
      </c>
      <c r="C13" s="2659"/>
      <c r="D13" s="2659"/>
      <c r="E13" s="1165">
        <f>G65</f>
        <v>800000</v>
      </c>
      <c r="G13" s="2663" t="s">
        <v>2006</v>
      </c>
      <c r="H13" s="2664"/>
      <c r="I13" s="2665"/>
      <c r="M13" s="1062"/>
    </row>
    <row r="14" spans="1:13" ht="15" customHeight="1">
      <c r="A14" s="1049"/>
      <c r="B14" s="2674" t="s">
        <v>2265</v>
      </c>
      <c r="C14" s="2675"/>
      <c r="D14" s="2676"/>
      <c r="E14" s="1167">
        <f>MAX(E15,E16)+E17</f>
        <v>3840000</v>
      </c>
      <c r="G14" s="2666" t="s">
        <v>139</v>
      </c>
      <c r="H14" s="2666"/>
      <c r="I14" s="1064">
        <f>15%*(AND(G120="Yes",G122&lt;&gt;""))</f>
        <v>0.15</v>
      </c>
      <c r="M14" s="1062"/>
    </row>
    <row r="15" spans="1:13" ht="15" customHeight="1">
      <c r="A15" s="1049"/>
      <c r="B15" s="2677" t="s">
        <v>2271</v>
      </c>
      <c r="C15" s="2678"/>
      <c r="D15" s="2679"/>
      <c r="E15" s="1165">
        <f>G80</f>
        <v>1600000</v>
      </c>
      <c r="G15" s="1137" t="s">
        <v>1984</v>
      </c>
      <c r="H15" s="1137"/>
      <c r="I15" s="1064">
        <f>IF(Application!AJ1032&gt;0,10%,IF(Application!AJ1036&gt;0,5%,0))</f>
        <v>0</v>
      </c>
      <c r="M15" s="1062"/>
    </row>
    <row r="16" spans="1:13" ht="15" customHeight="1">
      <c r="A16" s="1049"/>
      <c r="B16" s="2677" t="s">
        <v>2270</v>
      </c>
      <c r="C16" s="2678"/>
      <c r="D16" s="2679"/>
      <c r="E16" s="1165">
        <f>G90</f>
        <v>0</v>
      </c>
      <c r="G16" s="2666" t="s">
        <v>1985</v>
      </c>
      <c r="H16" s="2666"/>
      <c r="I16" s="1064">
        <f>G132</f>
        <v>-1.4297385620915032E-2</v>
      </c>
    </row>
    <row r="17" spans="1:21" ht="15" customHeight="1" thickBot="1">
      <c r="A17" s="1049"/>
      <c r="B17" s="2677" t="s">
        <v>2269</v>
      </c>
      <c r="C17" s="2678"/>
      <c r="D17" s="2679"/>
      <c r="E17" s="1165">
        <f>G115</f>
        <v>2240000</v>
      </c>
      <c r="G17" s="2666" t="s">
        <v>2279</v>
      </c>
      <c r="H17" s="2666"/>
      <c r="I17" s="1064">
        <f>IF(AND(G139="Yes",OR(G136,G137)),IF(G143&gt;15%,15%,G143),0)</f>
        <v>0</v>
      </c>
    </row>
    <row r="18" spans="1:21" ht="15" customHeight="1">
      <c r="A18" s="1046"/>
      <c r="B18" s="2669" t="s">
        <v>1939</v>
      </c>
      <c r="C18" s="2669"/>
      <c r="D18" s="2669"/>
      <c r="E18" s="1111">
        <f>SUM(E9:E11,E14)</f>
        <v>24208960</v>
      </c>
      <c r="G18" s="1138" t="s">
        <v>1973</v>
      </c>
      <c r="H18" s="1138"/>
      <c r="I18" s="1112">
        <f>I11-((I11*I14)+(I11*I15)+(I11*I16)+(I11*I17))</f>
        <v>24671523.581781045</v>
      </c>
      <c r="M18" s="1065">
        <f>SUM(Cdlac[Quantity])</f>
        <v>80</v>
      </c>
      <c r="O18" s="1084" t="s">
        <v>582</v>
      </c>
      <c r="P18" s="1044">
        <f>MATCH(Application!T189,Application!CB160:CB217,0)</f>
        <v>34</v>
      </c>
      <c r="T18" s="1065">
        <f>SUM(Cdlac[Population])</f>
        <v>80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40</v>
      </c>
      <c r="N20" s="1071">
        <f>Application!AC718</f>
        <v>0.3</v>
      </c>
      <c r="O20" s="1071">
        <f>IF(Cdlac[[#This Row],[Quantity]]&gt;0,IF(Cdlac[[#This Row],[Federal]],30%,IF(AND(OR(NOT($G$38),$G$38=""),$G$43),40%,Cdlac[[#This Row],[iAMI]])),"")</f>
        <v>0.3</v>
      </c>
      <c r="P20" s="1065" cm="1">
        <f t="array" ref="P20">IF(Cdlac[[#This Row],[Quantity]]&gt;0,INDEX(TcacRents,$P$18,Cdlac[[#This Row],[Bedrooms]]+1)*Cdlac[[#This Row],[AMI]],"")</f>
        <v>723.6</v>
      </c>
      <c r="Q20" s="1164"/>
      <c r="R20" s="1065" cm="1">
        <f t="array" ref="R20">IF(Cdlac[[#This Row],[Quantity]]&gt;0,INDEX(HudFmrs,$P$18,Cdlac[[#This Row],[Bedrooms]]+1),"")</f>
        <v>1777</v>
      </c>
      <c r="S20" s="1065">
        <f>IF(Cdlac[[#This Row],[Quantity]]&gt;0,MAX(0,Cdlac[[#This Row],[Fair Market Rent]]-IF(AND($G$37,$G$38,$G$38&lt;&gt;"",NOT(Cdlac[[#This Row],[Federal]]),Cdlac[[#This Row],[Preservation Rent]]&lt;&gt;""),Cdlac[[#This Row],[Preservation Rent]],Cdlac[[#This Row],[Restricted Rent]])),"")</f>
        <v>1053.4000000000001</v>
      </c>
      <c r="T20" s="1044">
        <f>IF(Cdlac[[#This Row],[Quantity]]&gt;0,AND(Application!AK718&lt;&gt;"N/A",Application!AK718&lt;&gt;"")*Cdlac[[#This Row],[Quantity]],"")</f>
        <v>40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40</v>
      </c>
      <c r="N21" s="1071">
        <f>Application!AC719</f>
        <v>0.5</v>
      </c>
      <c r="O21" s="1071">
        <f>IF(Cdlac[[#This Row],[Quantity]]&gt;0,IF(Cdlac[[#This Row],[Federal]],30%,IF(AND(OR(NOT($G$38),$G$38=""),$G$43),40%,Cdlac[[#This Row],[iAMI]])),"")</f>
        <v>0.3</v>
      </c>
      <c r="P21" s="1065" cm="1">
        <f t="array" ref="P21">IF(Cdlac[[#This Row],[Quantity]]&gt;0,INDEX(TcacRents,$P$18,Cdlac[[#This Row],[Bedrooms]]+1)*Cdlac[[#This Row],[AMI]],"")</f>
        <v>723.6</v>
      </c>
      <c r="Q21" s="1164"/>
      <c r="R21" s="1065" cm="1">
        <f t="array" ref="R21">IF(Cdlac[[#This Row],[Quantity]]&gt;0,INDEX(HudFmrs,$P$18,Cdlac[[#This Row],[Bedrooms]]+1),"")</f>
        <v>1777</v>
      </c>
      <c r="S21" s="1065">
        <f>IF(Cdlac[[#This Row],[Quantity]]&gt;0,MAX(0,Cdlac[[#This Row],[Fair Market Rent]]-IF(AND($G$37,$G$38,$G$38&lt;&gt;"",NOT(Cdlac[[#This Row],[Federal]]),Cdlac[[#This Row],[Preservation Rent]]&lt;&gt;""),Cdlac[[#This Row],[Preservation Rent]],Cdlac[[#This Row],[Restricted Rent]])),"")</f>
        <v>1053.4000000000001</v>
      </c>
      <c r="T21" s="1044">
        <f>IF(Cdlac[[#This Row],[Quantity]]&gt;0,AND(Application!AK719&lt;&gt;"N/A",Application!AK719&lt;&gt;"")*Cdlac[[#This Row],[Quantity]],"")</f>
        <v>40</v>
      </c>
      <c r="U21" s="1044" t="b">
        <f>AND('Subsidy Contract Calculation'!F5&gt;0,OR('Subsidy Contract Calculation'!C5="Federal",'Subsidy Contract Calculation'!C5="Local - Approved by ED"),Cdlac[[#This Row],[Quantity]]&gt;0)</f>
        <v>1</v>
      </c>
    </row>
    <row r="22" spans="1:21" ht="15" customHeight="1">
      <c r="A22" s="1049"/>
      <c r="C22" s="2667" t="s">
        <v>1987</v>
      </c>
      <c r="D22" s="2667" t="s">
        <v>1988</v>
      </c>
      <c r="E22" s="2667" t="s">
        <v>1989</v>
      </c>
      <c r="F22" s="2667" t="s">
        <v>2610</v>
      </c>
      <c r="G22" s="2667"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68"/>
      <c r="D23" s="2668"/>
      <c r="E23" s="2668"/>
      <c r="F23" s="2668"/>
      <c r="G23" s="2668"/>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80</v>
      </c>
      <c r="F25" s="1072">
        <f>E25</f>
        <v>80</v>
      </c>
      <c r="G25" s="1072">
        <f>D25*F25</f>
        <v>80</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1" t="s">
        <v>1586</v>
      </c>
      <c r="D29" s="2682"/>
      <c r="E29" s="1089">
        <f>SUM(E24:E28)</f>
        <v>80</v>
      </c>
      <c r="F29" s="1089">
        <f>SUM(F24:F28)</f>
        <v>80</v>
      </c>
      <c r="G29" s="1090">
        <f>SUMPRODUCT(D24:D28,F24:F28)</f>
        <v>80</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80</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4000000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4" t="str">
        <f>IF(AND(G37,G38,G38&lt;&gt;""),"Enter the average rent charged for each unit type over the last three years, as documented with rent rolls or property audits, in cells Q20:Q44","")</f>
        <v/>
      </c>
      <c r="D39" s="2684"/>
      <c r="E39" s="2684"/>
      <c r="F39" s="2684"/>
      <c r="G39" s="2684"/>
      <c r="H39" s="268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4"/>
      <c r="D40" s="2684"/>
      <c r="E40" s="2684"/>
      <c r="F40" s="2684"/>
      <c r="G40" s="2684"/>
      <c r="H40" s="268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4"/>
      <c r="D41" s="2684"/>
      <c r="E41" s="2684"/>
      <c r="F41" s="2684"/>
      <c r="G41" s="2684"/>
      <c r="H41" s="268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t="e" cm="1">
        <f t="array" ref="G42">SUMPRODUCT(Cdlac[Quantity],Cdlac[iAMI],IF(Cdlac[Federal],0,1))/SUMIFS(Cdlac[Quantity],Cdlac[Federal],FALSE)</f>
        <v>#DIV/0!</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e">
        <f>G42&lt;40%</f>
        <v>#DIV/0!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84272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15168960</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80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40</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40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400000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40</v>
      </c>
    </row>
    <row r="61" spans="2:21" ht="15" customHeight="1">
      <c r="E61" s="1117" t="s">
        <v>1995</v>
      </c>
      <c r="G61" s="1079">
        <f>ROUNDDOWN(E29*50%,0)</f>
        <v>40</v>
      </c>
    </row>
    <row r="62" spans="2:21" ht="15" customHeight="1">
      <c r="E62" s="1117"/>
      <c r="G62" s="1079"/>
    </row>
    <row r="63" spans="2:21" ht="15" customHeight="1">
      <c r="E63" s="1117" t="s">
        <v>1955</v>
      </c>
      <c r="G63" s="1114">
        <f>MIN(G60:G61)</f>
        <v>40</v>
      </c>
    </row>
    <row r="64" spans="2:21" ht="15" customHeight="1">
      <c r="E64" s="1117" t="s">
        <v>1945</v>
      </c>
      <c r="F64" s="1113" t="s">
        <v>1993</v>
      </c>
      <c r="G64" s="1124">
        <v>20000</v>
      </c>
    </row>
    <row r="65" spans="2:14" ht="15" customHeight="1">
      <c r="E65" s="1118" t="s">
        <v>1977</v>
      </c>
      <c r="F65" s="1046"/>
      <c r="G65" s="1123">
        <f>G63*G64</f>
        <v>800000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545</v>
      </c>
    </row>
    <row r="72" spans="2:14" ht="15" customHeight="1">
      <c r="C72" s="1077" t="s">
        <v>1969</v>
      </c>
      <c r="G72" s="1044" t="str">
        <f>Application!T193</f>
        <v>High Resource</v>
      </c>
      <c r="L72" s="2654" t="s">
        <v>1970</v>
      </c>
      <c r="M72" s="2655"/>
      <c r="N72" s="1131">
        <v>30000</v>
      </c>
    </row>
    <row r="73" spans="2:14" ht="15" customHeight="1">
      <c r="C73" s="2656" t="s">
        <v>2263</v>
      </c>
      <c r="D73" s="2656"/>
      <c r="E73" s="2656"/>
      <c r="F73" s="2656"/>
      <c r="G73" s="1043" t="s">
        <v>669</v>
      </c>
      <c r="L73" s="2671" t="s">
        <v>1938</v>
      </c>
      <c r="M73" s="2672"/>
      <c r="N73" s="1132">
        <v>20000</v>
      </c>
    </row>
    <row r="74" spans="2:14" ht="15" customHeight="1" thickBot="1">
      <c r="C74" s="2656"/>
      <c r="D74" s="2656"/>
      <c r="E74" s="2656"/>
      <c r="F74" s="2656"/>
      <c r="L74" s="2646" t="s">
        <v>1971</v>
      </c>
      <c r="M74" s="2647"/>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20000</v>
      </c>
    </row>
    <row r="79" spans="2:14" ht="15" customHeight="1">
      <c r="E79" s="1084" t="str">
        <f>E96</f>
        <v>Bedroom-Adjusted Low-Income Units</v>
      </c>
      <c r="F79" s="1113" t="s">
        <v>1993</v>
      </c>
      <c r="G79" s="1114">
        <f>G29</f>
        <v>80</v>
      </c>
    </row>
    <row r="80" spans="2:14" ht="15" customHeight="1">
      <c r="D80" s="1046"/>
      <c r="E80" s="1118" t="s">
        <v>2268</v>
      </c>
      <c r="F80" s="1046"/>
      <c r="G80" s="1123">
        <f>G79*G78*G76</f>
        <v>1600000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80</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4</v>
      </c>
    </row>
    <row r="95" spans="2:9" ht="15" customHeight="1">
      <c r="E95" s="1084" t="s">
        <v>1945</v>
      </c>
      <c r="F95" s="1113" t="s">
        <v>1993</v>
      </c>
      <c r="G95" s="1076">
        <v>4000</v>
      </c>
    </row>
    <row r="96" spans="2:9" ht="15" customHeight="1" thickBot="1">
      <c r="E96" s="1084" t="s">
        <v>1997</v>
      </c>
      <c r="F96" s="1113" t="s">
        <v>1993</v>
      </c>
      <c r="G96" s="1126">
        <f>G29</f>
        <v>80</v>
      </c>
    </row>
    <row r="97" spans="2:14" ht="15" customHeight="1">
      <c r="E97" s="1118" t="s">
        <v>1962</v>
      </c>
      <c r="F97" s="1046"/>
      <c r="G97" s="1123">
        <f>G94*G95*G96</f>
        <v>1280000</v>
      </c>
      <c r="L97" s="1127" t="str">
        <f>'Points System'!H638</f>
        <v>(i)</v>
      </c>
      <c r="M97" s="2652" t="s">
        <v>1405</v>
      </c>
      <c r="N97" s="2653"/>
    </row>
    <row r="98" spans="2:14" ht="15" customHeight="1">
      <c r="C98" s="1077"/>
      <c r="G98" s="1114"/>
      <c r="L98" s="1128" t="str">
        <f>'Points System'!H650</f>
        <v>N/A</v>
      </c>
      <c r="M98" s="2648" t="s">
        <v>1957</v>
      </c>
      <c r="N98" s="2649"/>
    </row>
    <row r="99" spans="2:14" ht="15" customHeight="1">
      <c r="E99" s="1084" t="s">
        <v>1998</v>
      </c>
      <c r="G99" s="1126">
        <f>COUNTIFS(L97:L104,"(i)")</f>
        <v>3</v>
      </c>
      <c r="L99" s="1128" t="str">
        <f>'Points System'!H685</f>
        <v>(i)</v>
      </c>
      <c r="M99" s="2648" t="s">
        <v>1958</v>
      </c>
      <c r="N99" s="2649"/>
    </row>
    <row r="100" spans="2:14" ht="15" customHeight="1">
      <c r="E100" s="1084" t="s">
        <v>1945</v>
      </c>
      <c r="F100" s="1113" t="s">
        <v>1993</v>
      </c>
      <c r="G100" s="1124">
        <v>4000</v>
      </c>
      <c r="L100" s="1128" t="str">
        <f>IF(OR('Points System'!H709="(ii)",'Points System'!H709="(i)"),"(i)","N/A")</f>
        <v>N/A</v>
      </c>
      <c r="M100" s="2648" t="s">
        <v>1959</v>
      </c>
      <c r="N100" s="2649"/>
    </row>
    <row r="101" spans="2:14" ht="15" customHeight="1">
      <c r="E101" s="1118" t="s">
        <v>1963</v>
      </c>
      <c r="F101" s="1046"/>
      <c r="G101" s="1123">
        <f>G96*G99*G100</f>
        <v>960000</v>
      </c>
      <c r="L101" s="1129" t="str">
        <f>'Points System'!H723</f>
        <v>N/A</v>
      </c>
      <c r="M101" s="2648" t="s">
        <v>1431</v>
      </c>
      <c r="N101" s="2649"/>
    </row>
    <row r="102" spans="2:14" ht="15" customHeight="1">
      <c r="L102" s="1128" t="str">
        <f>'Points System'!H735</f>
        <v>N/A</v>
      </c>
      <c r="M102" s="2648" t="s">
        <v>1960</v>
      </c>
      <c r="N102" s="2649"/>
    </row>
    <row r="103" spans="2:14" ht="15" customHeight="1">
      <c r="C103" s="1080" t="s">
        <v>1965</v>
      </c>
      <c r="L103" s="1128" t="str">
        <f>'Points System'!H751</f>
        <v>N/A</v>
      </c>
      <c r="M103" s="2648" t="s">
        <v>1961</v>
      </c>
      <c r="N103" s="2649"/>
    </row>
    <row r="104" spans="2:14" ht="15" customHeight="1" thickBot="1">
      <c r="C104" s="1077" t="s">
        <v>1966</v>
      </c>
      <c r="G104" s="1043"/>
      <c r="L104" s="1130" t="str">
        <f>'Points System'!H763</f>
        <v>(i)</v>
      </c>
      <c r="M104" s="2650" t="s">
        <v>1434</v>
      </c>
      <c r="N104" s="2651"/>
    </row>
    <row r="105" spans="2:14" ht="15" customHeight="1">
      <c r="C105" s="1077" t="s">
        <v>1967</v>
      </c>
      <c r="G105" s="1043"/>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0</v>
      </c>
    </row>
    <row r="110" spans="2:14" ht="15" customHeight="1">
      <c r="E110" s="1077"/>
    </row>
    <row r="111" spans="2:14" ht="15" customHeight="1">
      <c r="E111" s="1084" t="s">
        <v>1997</v>
      </c>
      <c r="F111" s="1113" t="s">
        <v>1993</v>
      </c>
      <c r="G111" s="1114">
        <f>G29</f>
        <v>80</v>
      </c>
    </row>
    <row r="112" spans="2:14" ht="15" customHeight="1">
      <c r="E112" s="1084" t="s">
        <v>1945</v>
      </c>
      <c r="F112" s="1113" t="s">
        <v>1993</v>
      </c>
      <c r="G112" s="1124">
        <v>25000</v>
      </c>
    </row>
    <row r="113" spans="2:9" ht="15" customHeight="1">
      <c r="E113" s="1118" t="s">
        <v>1964</v>
      </c>
      <c r="F113" s="1046"/>
      <c r="G113" s="1123">
        <f>G109*G112*G96</f>
        <v>0</v>
      </c>
    </row>
    <row r="114" spans="2:9" ht="15" customHeight="1">
      <c r="C114" s="1077"/>
      <c r="E114" s="1077"/>
    </row>
    <row r="115" spans="2:9" ht="15" customHeight="1">
      <c r="E115" s="1118" t="s">
        <v>2273</v>
      </c>
      <c r="G115" s="1123">
        <f>G113+G101+G97</f>
        <v>2240000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3" t="s">
        <v>2228</v>
      </c>
      <c r="D119" s="2683"/>
      <c r="E119" s="2683"/>
      <c r="F119" s="2683"/>
    </row>
    <row r="120" spans="2:9" ht="15" customHeight="1">
      <c r="C120" s="2683"/>
      <c r="D120" s="2683"/>
      <c r="E120" s="2683"/>
      <c r="F120" s="2683"/>
      <c r="G120" s="1043" t="s">
        <v>545</v>
      </c>
    </row>
    <row r="121" spans="2:9" ht="15" customHeight="1"/>
    <row r="122" spans="2:9" ht="15" customHeight="1">
      <c r="C122" s="1044" t="s">
        <v>2230</v>
      </c>
      <c r="G122" s="2685" t="s">
        <v>2618</v>
      </c>
      <c r="H122" s="2685"/>
    </row>
    <row r="123" spans="2:9" ht="15" customHeight="1">
      <c r="G123" s="2685"/>
      <c r="H123" s="2685"/>
    </row>
    <row r="124" spans="2:9" ht="15" customHeight="1">
      <c r="G124" s="2686"/>
      <c r="H124" s="2686"/>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Sacramento</v>
      </c>
    </row>
    <row r="129" spans="2:9">
      <c r="E129" s="1084"/>
      <c r="G129" s="1078"/>
    </row>
    <row r="130" spans="2:9">
      <c r="E130" s="1084" t="str">
        <f>"2-Bedroom "&amp;G128&amp;" County Basis Limit"</f>
        <v>2-Bedroom Sacramento County Basis Limit</v>
      </c>
      <c r="G130" s="1078">
        <f>Application!R988</f>
        <v>461600</v>
      </c>
    </row>
    <row r="131" spans="2:9">
      <c r="E131" s="1084" t="s">
        <v>2001</v>
      </c>
      <c r="G131" s="1078">
        <f>MEDIAN((Application!CU160:CU217))</f>
        <v>489600</v>
      </c>
    </row>
    <row r="132" spans="2:9" ht="13.9">
      <c r="D132" s="1046"/>
      <c r="E132" s="1118" t="s">
        <v>2003</v>
      </c>
      <c r="F132" s="1134"/>
      <c r="G132" s="1135">
        <f>((G130-G131)/G131)*0.25</f>
        <v>-1.4297385620915032E-2</v>
      </c>
      <c r="H132" s="1042"/>
      <c r="I132" s="1042"/>
    </row>
    <row r="133" spans="2:9">
      <c r="D133" s="1045"/>
      <c r="E133" s="1045"/>
    </row>
    <row r="134" spans="2:9" ht="13.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0" t="s">
        <v>2276</v>
      </c>
      <c r="D138" s="2680"/>
      <c r="E138" s="2680"/>
      <c r="F138" s="2680"/>
    </row>
    <row r="139" spans="2:9">
      <c r="B139" s="1045"/>
      <c r="C139" s="2680"/>
      <c r="D139" s="2680"/>
      <c r="E139" s="2680"/>
      <c r="F139" s="268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3525000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16" priority="1">
      <formula>NOT($G$37)</formula>
    </cfRule>
  </conditionalFormatting>
  <conditionalFormatting sqref="L20:U54">
    <cfRule type="expression" dxfId="15" priority="4">
      <formula>$M20=0</formula>
    </cfRule>
  </conditionalFormatting>
  <conditionalFormatting sqref="Q20:Q54">
    <cfRule type="expression" dxfId="14" priority="2">
      <formula>NOT($G$37)</formula>
    </cfRule>
    <cfRule type="expression" dxfId="13" priority="3">
      <formula>AND($G$37,$G$38,$G$38&lt;&gt;"")</formula>
    </cfRule>
  </conditionalFormatting>
  <conditionalFormatting sqref="U20:U54">
    <cfRule type="cellIs" dxfId="12"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workbookViewId="0">
      <selection activeCell="F6" sqref="F6"/>
    </sheetView>
  </sheetViews>
  <sheetFormatPr defaultColWidth="9.1328125" defaultRowHeight="13.5" zeroHeight="1"/>
  <cols>
    <col min="1" max="2" width="15.73046875" style="304" customWidth="1"/>
    <col min="3" max="3" width="11" style="304" customWidth="1"/>
    <col min="4" max="4" width="15.73046875" style="304" customWidth="1"/>
    <col min="5" max="5" width="3.73046875" style="304" customWidth="1"/>
    <col min="6" max="7" width="15.73046875" style="304" customWidth="1"/>
    <col min="8" max="8" width="3.73046875" style="304" customWidth="1"/>
    <col min="9" max="10" width="15.73046875" style="304" customWidth="1"/>
    <col min="11" max="11" width="3.265625" style="304" customWidth="1"/>
    <col min="12" max="17" width="15.73046875" style="304" customWidth="1"/>
    <col min="18" max="16384" width="9.1328125" style="304"/>
  </cols>
  <sheetData>
    <row r="1" spans="1:12">
      <c r="A1" s="2687" t="s">
        <v>909</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68.2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40</v>
      </c>
      <c r="C4" s="1162" t="s">
        <v>384</v>
      </c>
      <c r="D4" s="428">
        <f>Application!O718</f>
        <v>723</v>
      </c>
      <c r="E4" s="429"/>
      <c r="F4" s="1083">
        <v>1954</v>
      </c>
      <c r="G4" s="428">
        <f>F4*B4</f>
        <v>78160</v>
      </c>
      <c r="H4" s="429"/>
      <c r="I4" s="428">
        <f t="shared" ref="I4:I27" si="0">IF(F4=0,"",(F4-D4))</f>
        <v>1231</v>
      </c>
      <c r="J4" s="428">
        <f t="shared" ref="J4:J27" si="1">IF(F4=0,"",(I4*B4))</f>
        <v>49240</v>
      </c>
      <c r="K4" s="204"/>
      <c r="L4" s="305"/>
    </row>
    <row r="5" spans="1:12">
      <c r="A5" s="428" t="str">
        <f>Application!B719</f>
        <v>1 Bedroom</v>
      </c>
      <c r="B5" s="1082">
        <f>Application!G719</f>
        <v>40</v>
      </c>
      <c r="C5" s="1162" t="s">
        <v>384</v>
      </c>
      <c r="D5" s="428">
        <f>Application!O719</f>
        <v>1206</v>
      </c>
      <c r="E5" s="429"/>
      <c r="F5" s="1083">
        <v>1954</v>
      </c>
      <c r="G5" s="428">
        <f t="shared" ref="G5:G38" si="2">F5*B5</f>
        <v>78160</v>
      </c>
      <c r="H5" s="429"/>
      <c r="I5" s="428">
        <f t="shared" si="0"/>
        <v>748</v>
      </c>
      <c r="J5" s="428">
        <f t="shared" si="1"/>
        <v>29920</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3.9">
      <c r="A40" s="430" t="s">
        <v>915</v>
      </c>
      <c r="B40" s="431"/>
      <c r="C40" s="431"/>
      <c r="D40" s="432">
        <f>Application!O753</f>
        <v>77160</v>
      </c>
      <c r="E40" s="429"/>
      <c r="F40" s="429"/>
      <c r="G40" s="432">
        <f>SUM(G4:G38)*12</f>
        <v>1875840</v>
      </c>
      <c r="H40" s="433"/>
      <c r="I40" s="431"/>
      <c r="J40" s="432">
        <f>SUM(J4:J38)*12</f>
        <v>949920</v>
      </c>
      <c r="K40" s="204"/>
      <c r="L40" s="306"/>
    </row>
    <row r="41" spans="1:12" ht="13.9">
      <c r="A41" s="430"/>
      <c r="B41" s="431"/>
      <c r="C41" s="431"/>
      <c r="D41" s="433"/>
      <c r="E41" s="429"/>
      <c r="F41" s="429"/>
      <c r="G41" s="433"/>
      <c r="H41" s="433"/>
      <c r="I41" s="431"/>
      <c r="J41" s="433"/>
      <c r="K41" s="204"/>
      <c r="L41" s="306"/>
    </row>
    <row r="42" spans="1:12">
      <c r="A42" s="304" t="s">
        <v>2258</v>
      </c>
    </row>
    <row r="43" spans="1:12">
      <c r="A43" s="2688" t="s">
        <v>2497</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2259</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E62" sqref="E62"/>
    </sheetView>
  </sheetViews>
  <sheetFormatPr defaultColWidth="0" defaultRowHeight="12.75" zeroHeight="1"/>
  <cols>
    <col min="1" max="1" width="3.73046875" customWidth="1"/>
    <col min="2" max="2" width="30.59765625" customWidth="1"/>
    <col min="3" max="3" width="9.1328125" style="214" customWidth="1"/>
    <col min="4" max="4" width="2.73046875" customWidth="1"/>
    <col min="5" max="5" width="12.73046875" customWidth="1"/>
    <col min="6" max="6" width="2.73046875" customWidth="1"/>
    <col min="7" max="7" width="12.73046875" customWidth="1"/>
    <col min="8" max="8" width="2.73046875" customWidth="1"/>
    <col min="9" max="9" width="12.73046875" customWidth="1"/>
    <col min="10" max="10" width="2.73046875" customWidth="1"/>
    <col min="11" max="11" width="12.73046875" customWidth="1"/>
    <col min="12" max="12" width="2.73046875" customWidth="1"/>
    <col min="13" max="13" width="12.73046875" customWidth="1"/>
    <col min="14" max="14" width="2.73046875" customWidth="1"/>
    <col min="15" max="15" width="12.73046875" customWidth="1"/>
    <col min="16" max="16" width="2.73046875" customWidth="1"/>
    <col min="17" max="17" width="12.73046875" customWidth="1"/>
    <col min="18" max="18" width="2.73046875" customWidth="1"/>
    <col min="19" max="19" width="12.73046875" customWidth="1"/>
    <col min="20" max="20" width="2.73046875" customWidth="1"/>
    <col min="21" max="21" width="12.73046875" customWidth="1"/>
    <col min="22" max="22" width="2.73046875" customWidth="1"/>
    <col min="23" max="23" width="12.73046875" customWidth="1"/>
    <col min="24" max="24" width="2.73046875" customWidth="1"/>
    <col min="25" max="25" width="12.73046875" customWidth="1"/>
    <col min="26" max="26" width="2.73046875" customWidth="1"/>
    <col min="27" max="27" width="12.73046875" customWidth="1"/>
    <col min="28" max="28" width="2.73046875" customWidth="1"/>
    <col min="29" max="29" width="12.73046875" customWidth="1"/>
    <col min="30" max="30" width="2.73046875" customWidth="1"/>
    <col min="31" max="31" width="12.73046875" customWidth="1"/>
    <col min="32" max="32" width="2.73046875" customWidth="1"/>
    <col min="33" max="33" width="12.73046875" customWidth="1"/>
    <col min="34" max="34" width="2.73046875" customWidth="1"/>
    <col min="35" max="35" width="0" hidden="1" customWidth="1"/>
    <col min="36" max="16384" width="8.86328125" hidden="1"/>
  </cols>
  <sheetData>
    <row r="1" spans="1:34" ht="17.649999999999999">
      <c r="A1" s="211" t="s">
        <v>2094</v>
      </c>
      <c r="B1" s="211"/>
    </row>
    <row r="2" spans="1:34"/>
    <row r="3" spans="1:34" ht="1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5">
      <c r="A4" s="219" t="s">
        <v>837</v>
      </c>
      <c r="C4" s="237">
        <v>1.0249999999999999</v>
      </c>
      <c r="E4" s="219">
        <f>Application!Y801</f>
        <v>925920</v>
      </c>
      <c r="G4" s="219">
        <f>E4*$C$4</f>
        <v>949067.99999999988</v>
      </c>
      <c r="I4" s="219">
        <f>G4*$C$4</f>
        <v>972794.69999999984</v>
      </c>
      <c r="K4" s="219">
        <f>I4*$C$4</f>
        <v>997114.56749999977</v>
      </c>
      <c r="M4" s="219">
        <f>K4*$C$4</f>
        <v>1022042.4316874996</v>
      </c>
      <c r="O4" s="219">
        <f>M4*$C$4</f>
        <v>1047593.492479687</v>
      </c>
      <c r="Q4" s="219">
        <f>O4*$C$4</f>
        <v>1073783.329791679</v>
      </c>
      <c r="S4" s="219">
        <f>Q4*$C$4</f>
        <v>1100627.913036471</v>
      </c>
      <c r="U4" s="219">
        <f>S4*$C$4</f>
        <v>1128143.6108623827</v>
      </c>
      <c r="W4" s="219">
        <f>U4*$C$4</f>
        <v>1156347.2011339422</v>
      </c>
      <c r="Y4" s="219">
        <f>W4*$C$4</f>
        <v>1185255.8811622907</v>
      </c>
      <c r="AA4" s="219">
        <f>Y4*$C$4</f>
        <v>1214887.2781913478</v>
      </c>
      <c r="AC4" s="219">
        <f>AA4*$C$4</f>
        <v>1245259.4601461315</v>
      </c>
      <c r="AE4" s="219">
        <f>AC4*$C$4</f>
        <v>1276390.9466497847</v>
      </c>
      <c r="AG4" s="219">
        <f>AE4*$C$4</f>
        <v>1308300.7203160292</v>
      </c>
    </row>
    <row r="5" spans="1:34" s="210" customFormat="1" ht="13.5">
      <c r="B5" s="210" t="s">
        <v>838</v>
      </c>
      <c r="C5" s="238">
        <v>0.05</v>
      </c>
      <c r="E5" s="221">
        <f>-E4*$C$5</f>
        <v>-46296</v>
      </c>
      <c r="F5" s="221"/>
      <c r="G5" s="221">
        <f>-G4*$C$5</f>
        <v>-47453.399999999994</v>
      </c>
      <c r="H5" s="221"/>
      <c r="I5" s="221">
        <f>-I4*$C$5</f>
        <v>-48639.734999999993</v>
      </c>
      <c r="J5" s="221"/>
      <c r="K5" s="221">
        <f>-K4*$C$5</f>
        <v>-49855.728374999992</v>
      </c>
      <c r="L5" s="221"/>
      <c r="M5" s="221">
        <f>-M4*$C$5</f>
        <v>-51102.121584374981</v>
      </c>
      <c r="N5" s="221"/>
      <c r="O5" s="221">
        <f>-O4*$C$5</f>
        <v>-52379.674623984349</v>
      </c>
      <c r="P5" s="221"/>
      <c r="Q5" s="221">
        <f>-Q4*$C$5</f>
        <v>-53689.166489583957</v>
      </c>
      <c r="R5" s="221"/>
      <c r="S5" s="221">
        <f>-S4*$C$5</f>
        <v>-55031.39565182355</v>
      </c>
      <c r="T5" s="221"/>
      <c r="U5" s="221">
        <f>-U4*$C$5</f>
        <v>-56407.180543119139</v>
      </c>
      <c r="V5" s="221"/>
      <c r="W5" s="221">
        <f>-W4*$C$5</f>
        <v>-57817.360056697114</v>
      </c>
      <c r="X5" s="221"/>
      <c r="Y5" s="221">
        <f>-Y4*$C$5</f>
        <v>-59262.794058114538</v>
      </c>
      <c r="Z5" s="221"/>
      <c r="AA5" s="221">
        <f>-AA4*$C$5</f>
        <v>-60744.363909567393</v>
      </c>
      <c r="AB5" s="221"/>
      <c r="AC5" s="221">
        <f>-AC4*$C$5</f>
        <v>-62262.973007306573</v>
      </c>
      <c r="AD5" s="221"/>
      <c r="AE5" s="221">
        <f>-AE4*$C$5</f>
        <v>-63819.547332489237</v>
      </c>
      <c r="AF5" s="221"/>
      <c r="AG5" s="221">
        <f>-AG4*$C$5</f>
        <v>-65415.036015801459</v>
      </c>
    </row>
    <row r="6" spans="1:34" s="210" customFormat="1" ht="13.5">
      <c r="A6" s="210" t="s">
        <v>836</v>
      </c>
      <c r="C6" s="237">
        <v>1.0249999999999999</v>
      </c>
      <c r="E6" s="222">
        <f>Application!Z809</f>
        <v>949920</v>
      </c>
      <c r="F6" s="222"/>
      <c r="G6" s="222">
        <f>E6*$C$6</f>
        <v>973667.99999999988</v>
      </c>
      <c r="H6" s="222"/>
      <c r="I6" s="222">
        <f>G6*$C$6</f>
        <v>998009.69999999984</v>
      </c>
      <c r="J6" s="222"/>
      <c r="K6" s="222">
        <f>I6*$C$6</f>
        <v>1022959.9424999998</v>
      </c>
      <c r="L6" s="222"/>
      <c r="M6" s="222">
        <f>K6*$C$6</f>
        <v>1048533.9410624997</v>
      </c>
      <c r="N6" s="222"/>
      <c r="O6" s="222">
        <f>M6*$C$6</f>
        <v>1074747.2895890621</v>
      </c>
      <c r="P6" s="222"/>
      <c r="Q6" s="222">
        <f>O6*$C$6</f>
        <v>1101615.9718287885</v>
      </c>
      <c r="R6" s="222"/>
      <c r="S6" s="222">
        <f>Q6*$C$6</f>
        <v>1129156.3711245081</v>
      </c>
      <c r="T6" s="222"/>
      <c r="U6" s="222">
        <f>S6*$C$6</f>
        <v>1157385.2804026208</v>
      </c>
      <c r="V6" s="222"/>
      <c r="W6" s="222">
        <f>U6*$C$6</f>
        <v>1186319.9124126863</v>
      </c>
      <c r="X6" s="222"/>
      <c r="Y6" s="222">
        <f>W6*$C$6</f>
        <v>1215977.9102230032</v>
      </c>
      <c r="Z6" s="222"/>
      <c r="AA6" s="222">
        <f>Y6*$C$6</f>
        <v>1246377.3579785782</v>
      </c>
      <c r="AB6" s="222"/>
      <c r="AC6" s="222">
        <f>AA6*$C$6</f>
        <v>1277536.7919280424</v>
      </c>
      <c r="AD6" s="222"/>
      <c r="AE6" s="222">
        <f>AC6*$C$6</f>
        <v>1309475.2117262434</v>
      </c>
      <c r="AF6" s="222"/>
      <c r="AG6" s="222">
        <f>AE6*$C$6</f>
        <v>1342212.0920193994</v>
      </c>
    </row>
    <row r="7" spans="1:34" s="210" customFormat="1" ht="13.5">
      <c r="B7" s="210" t="s">
        <v>838</v>
      </c>
      <c r="C7" s="238">
        <v>0.05</v>
      </c>
      <c r="E7" s="221">
        <f>-E6*$C$7</f>
        <v>-47496</v>
      </c>
      <c r="F7" s="221"/>
      <c r="G7" s="221">
        <f>-G6*$C$7</f>
        <v>-48683.399999999994</v>
      </c>
      <c r="H7" s="221"/>
      <c r="I7" s="221">
        <f>-I6*$C$7</f>
        <v>-49900.484999999993</v>
      </c>
      <c r="J7" s="221"/>
      <c r="K7" s="221">
        <f>-K6*$C$7</f>
        <v>-51147.997124999994</v>
      </c>
      <c r="L7" s="221"/>
      <c r="M7" s="221">
        <f>-M6*$C$7</f>
        <v>-52426.697053124983</v>
      </c>
      <c r="N7" s="221"/>
      <c r="O7" s="221">
        <f>-O6*$C$7</f>
        <v>-53737.364479453106</v>
      </c>
      <c r="P7" s="221"/>
      <c r="Q7" s="221">
        <f>-Q6*$C$7</f>
        <v>-55080.79859143943</v>
      </c>
      <c r="R7" s="221"/>
      <c r="S7" s="221">
        <f>-S6*$C$7</f>
        <v>-56457.818556225408</v>
      </c>
      <c r="T7" s="221"/>
      <c r="U7" s="221">
        <f>-U6*$C$7</f>
        <v>-57869.264020131042</v>
      </c>
      <c r="V7" s="221"/>
      <c r="W7" s="221">
        <f>-W6*$C$7</f>
        <v>-59315.995620634319</v>
      </c>
      <c r="X7" s="221"/>
      <c r="Y7" s="221">
        <f>-Y6*$C$7</f>
        <v>-60798.895511150164</v>
      </c>
      <c r="Z7" s="221"/>
      <c r="AA7" s="221">
        <f>-AA6*$C$7</f>
        <v>-62318.867898928911</v>
      </c>
      <c r="AB7" s="221"/>
      <c r="AC7" s="221">
        <f>-AC6*$C$7</f>
        <v>-63876.839596402126</v>
      </c>
      <c r="AD7" s="221"/>
      <c r="AE7" s="221">
        <f>-AE6*$C$7</f>
        <v>-65473.760586312172</v>
      </c>
      <c r="AF7" s="221"/>
      <c r="AG7" s="221">
        <f>-AG6*$C$7</f>
        <v>-67110.604600969978</v>
      </c>
    </row>
    <row r="8" spans="1:34" s="210" customFormat="1" ht="13.5">
      <c r="A8" s="210" t="s">
        <v>287</v>
      </c>
      <c r="C8" s="237">
        <v>1.0249999999999999</v>
      </c>
      <c r="E8" s="222">
        <f>Application!Z817</f>
        <v>3888</v>
      </c>
      <c r="F8" s="222"/>
      <c r="G8" s="222">
        <f>E8*$C$8</f>
        <v>3985.2</v>
      </c>
      <c r="H8" s="222"/>
      <c r="I8" s="222">
        <f>G8*$C$8</f>
        <v>4084.8299999999995</v>
      </c>
      <c r="J8" s="222"/>
      <c r="K8" s="222">
        <f>I8*$C$8</f>
        <v>4186.9507499999991</v>
      </c>
      <c r="L8" s="222"/>
      <c r="M8" s="222">
        <f>K8*$C$8</f>
        <v>4291.624518749999</v>
      </c>
      <c r="N8" s="222"/>
      <c r="O8" s="222">
        <f>M8*$C$8</f>
        <v>4398.9151317187489</v>
      </c>
      <c r="P8" s="222"/>
      <c r="Q8" s="222">
        <f>O8*$C$8</f>
        <v>4508.8880100117176</v>
      </c>
      <c r="R8" s="222"/>
      <c r="S8" s="222">
        <f>Q8*$C$8</f>
        <v>4621.6102102620098</v>
      </c>
      <c r="T8" s="222"/>
      <c r="U8" s="222">
        <f>S8*$C$8</f>
        <v>4737.1504655185599</v>
      </c>
      <c r="V8" s="222"/>
      <c r="W8" s="222">
        <f>U8*$C$8</f>
        <v>4855.5792271565233</v>
      </c>
      <c r="X8" s="222"/>
      <c r="Y8" s="222">
        <f>W8*$C$8</f>
        <v>4976.9687078354364</v>
      </c>
      <c r="Z8" s="222"/>
      <c r="AA8" s="222">
        <f>Y8*$C$8</f>
        <v>5101.3929255313215</v>
      </c>
      <c r="AB8" s="222"/>
      <c r="AC8" s="222">
        <f>AA8*$C$8</f>
        <v>5228.9277486696037</v>
      </c>
      <c r="AD8" s="222"/>
      <c r="AE8" s="222">
        <f>AC8*$C$8</f>
        <v>5359.6509423863436</v>
      </c>
      <c r="AF8" s="222"/>
      <c r="AG8" s="222">
        <f>AE8*$C$8</f>
        <v>5493.6422159460017</v>
      </c>
    </row>
    <row r="9" spans="1:34" s="210" customFormat="1" ht="13.5">
      <c r="B9" s="210" t="s">
        <v>838</v>
      </c>
      <c r="C9" s="238">
        <v>0.05</v>
      </c>
      <c r="E9" s="221">
        <f>-E8*$C$9</f>
        <v>-194.4</v>
      </c>
      <c r="F9" s="221"/>
      <c r="G9" s="221">
        <f>-G8*$C$9</f>
        <v>-199.26</v>
      </c>
      <c r="H9" s="221"/>
      <c r="I9" s="221">
        <f>-I8*$C$9</f>
        <v>-204.24149999999997</v>
      </c>
      <c r="J9" s="221"/>
      <c r="K9" s="221">
        <f>-K8*$C$9</f>
        <v>-209.34753749999996</v>
      </c>
      <c r="L9" s="221"/>
      <c r="M9" s="221">
        <f>-M8*$C$9</f>
        <v>-214.58122593749997</v>
      </c>
      <c r="N9" s="221"/>
      <c r="O9" s="221">
        <f>-O8*$C$9</f>
        <v>-219.94575658593746</v>
      </c>
      <c r="P9" s="221"/>
      <c r="Q9" s="221">
        <f>-Q8*$C$9</f>
        <v>-225.44440050058589</v>
      </c>
      <c r="R9" s="221"/>
      <c r="S9" s="221">
        <f>-S8*$C$9</f>
        <v>-231.08051051310051</v>
      </c>
      <c r="T9" s="221"/>
      <c r="U9" s="221">
        <f>-U8*$C$9</f>
        <v>-236.857523275928</v>
      </c>
      <c r="V9" s="221"/>
      <c r="W9" s="221">
        <f>-W8*$C$9</f>
        <v>-242.77896135782618</v>
      </c>
      <c r="X9" s="221"/>
      <c r="Y9" s="221">
        <f>-Y8*$C$9</f>
        <v>-248.84843539177183</v>
      </c>
      <c r="Z9" s="221"/>
      <c r="AA9" s="221">
        <f>-AA8*$C$9</f>
        <v>-255.06964627656609</v>
      </c>
      <c r="AB9" s="221"/>
      <c r="AC9" s="221">
        <f>-AC8*$C$9</f>
        <v>-261.4463874334802</v>
      </c>
      <c r="AD9" s="221"/>
      <c r="AE9" s="221">
        <f>-AE8*$C$9</f>
        <v>-267.98254711931719</v>
      </c>
      <c r="AF9" s="221"/>
      <c r="AG9" s="221">
        <f>-AG8*$C$9</f>
        <v>-274.68211079730008</v>
      </c>
    </row>
    <row r="10" spans="1:34" s="210" customFormat="1" ht="13.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9">
      <c r="A11" s="223" t="s">
        <v>859</v>
      </c>
      <c r="C11" s="216"/>
      <c r="E11" s="223">
        <f>SUM(E4:E10)</f>
        <v>1785741.6</v>
      </c>
      <c r="G11" s="223">
        <f>SUM(G4:G10)</f>
        <v>1830385.1399999997</v>
      </c>
      <c r="I11" s="223">
        <f>SUM(I4:I10)</f>
        <v>1876144.7684999995</v>
      </c>
      <c r="K11" s="223">
        <f>SUM(K4:K10)</f>
        <v>1923048.3877124996</v>
      </c>
      <c r="M11" s="223">
        <f>SUM(M4:M10)</f>
        <v>1971124.5974053119</v>
      </c>
      <c r="O11" s="223">
        <f>SUM(O4:O10)</f>
        <v>2020402.7123404443</v>
      </c>
      <c r="Q11" s="223">
        <f>SUM(Q4:Q10)</f>
        <v>2070912.7801489555</v>
      </c>
      <c r="S11" s="223">
        <f>SUM(S4:S10)</f>
        <v>2122685.5996526792</v>
      </c>
      <c r="U11" s="223">
        <f>SUM(U4:U10)</f>
        <v>2175752.7396439961</v>
      </c>
      <c r="W11" s="223">
        <f>SUM(W4:W10)</f>
        <v>2230146.5581350955</v>
      </c>
      <c r="Y11" s="223">
        <f>SUM(Y4:Y10)</f>
        <v>2285900.2220884729</v>
      </c>
      <c r="AA11" s="223">
        <f>SUM(AA4:AA10)</f>
        <v>2343047.7276406842</v>
      </c>
      <c r="AC11" s="223">
        <f>SUM(AC4:AC10)</f>
        <v>2401623.9208317013</v>
      </c>
      <c r="AE11" s="223">
        <f>SUM(AE4:AE10)</f>
        <v>2461664.5188524937</v>
      </c>
      <c r="AG11" s="223">
        <f>SUM(AG4:AG10)</f>
        <v>2523206.1318238061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5">
      <c r="A15" s="219" t="s">
        <v>841</v>
      </c>
      <c r="C15" s="176"/>
      <c r="E15" s="219">
        <f>Application!W847</f>
        <v>109040</v>
      </c>
      <c r="G15" s="219">
        <f>E15*$C$14</f>
        <v>112856.4</v>
      </c>
      <c r="I15" s="219">
        <f>G15*$C$14</f>
        <v>116806.37399999998</v>
      </c>
      <c r="K15" s="219">
        <f>I15*$C$14</f>
        <v>120894.59708999997</v>
      </c>
      <c r="M15" s="219">
        <f>K15*$C$14</f>
        <v>125125.90798814995</v>
      </c>
      <c r="O15" s="219">
        <f>M15*$C$14</f>
        <v>129505.31476773518</v>
      </c>
      <c r="Q15" s="219">
        <f>O15*$C$14</f>
        <v>134038.00078460592</v>
      </c>
      <c r="S15" s="219">
        <f>Q15*$C$14</f>
        <v>138729.33081206711</v>
      </c>
      <c r="U15" s="219">
        <f>S15*$C$14</f>
        <v>143584.85739048946</v>
      </c>
      <c r="W15" s="219">
        <f>U15*$C$14</f>
        <v>148610.32739915658</v>
      </c>
      <c r="Y15" s="219">
        <f>W15*$C$14</f>
        <v>153811.68885812705</v>
      </c>
      <c r="AA15" s="219">
        <f>Y15*$C$14</f>
        <v>159195.09796816148</v>
      </c>
      <c r="AC15" s="219">
        <f>AA15*$C$14</f>
        <v>164766.92639704712</v>
      </c>
      <c r="AE15" s="219">
        <f>AC15*$C$14</f>
        <v>170533.76882094375</v>
      </c>
      <c r="AG15" s="219">
        <f>AE15*$C$14</f>
        <v>176502.45072967676</v>
      </c>
    </row>
    <row r="16" spans="1:34" s="210" customFormat="1" ht="13.5">
      <c r="A16" s="210" t="s">
        <v>343</v>
      </c>
      <c r="C16" s="233"/>
      <c r="E16" s="222">
        <f>Application!W849</f>
        <v>68040</v>
      </c>
      <c r="F16" s="222"/>
      <c r="G16" s="222">
        <f t="shared" ref="G16:AG21" si="0">E16*$C$14</f>
        <v>70421.399999999994</v>
      </c>
      <c r="H16" s="222"/>
      <c r="I16" s="222">
        <f t="shared" si="0"/>
        <v>72886.14899999999</v>
      </c>
      <c r="J16" s="222"/>
      <c r="K16" s="222">
        <f t="shared" si="0"/>
        <v>75437.164214999983</v>
      </c>
      <c r="L16" s="222"/>
      <c r="M16" s="222">
        <f t="shared" si="0"/>
        <v>78077.464962524973</v>
      </c>
      <c r="N16" s="222"/>
      <c r="O16" s="222">
        <f t="shared" si="0"/>
        <v>80810.176236213345</v>
      </c>
      <c r="P16" s="222"/>
      <c r="Q16" s="222">
        <f t="shared" si="0"/>
        <v>83638.532404480808</v>
      </c>
      <c r="R16" s="222"/>
      <c r="S16" s="222">
        <f t="shared" si="0"/>
        <v>86565.881038637628</v>
      </c>
      <c r="T16" s="222"/>
      <c r="U16" s="222">
        <f t="shared" si="0"/>
        <v>89595.686874989944</v>
      </c>
      <c r="V16" s="222"/>
      <c r="W16" s="222">
        <f t="shared" si="0"/>
        <v>92731.535915614586</v>
      </c>
      <c r="X16" s="222"/>
      <c r="Y16" s="222">
        <f t="shared" si="0"/>
        <v>95977.139672661084</v>
      </c>
      <c r="Z16" s="222"/>
      <c r="AA16" s="222">
        <f t="shared" si="0"/>
        <v>99336.339561204208</v>
      </c>
      <c r="AB16" s="222"/>
      <c r="AC16" s="222">
        <f t="shared" si="0"/>
        <v>102813.11144584634</v>
      </c>
      <c r="AD16" s="222"/>
      <c r="AE16" s="222">
        <f t="shared" si="0"/>
        <v>106411.57034645096</v>
      </c>
      <c r="AF16" s="222"/>
      <c r="AG16" s="222">
        <f t="shared" si="0"/>
        <v>110135.97530857673</v>
      </c>
    </row>
    <row r="17" spans="1:33" s="210" customFormat="1" ht="13.5">
      <c r="A17" s="210" t="s">
        <v>561</v>
      </c>
      <c r="C17" s="233"/>
      <c r="E17" s="222">
        <f>Application!W855</f>
        <v>90000</v>
      </c>
      <c r="F17" s="222"/>
      <c r="G17" s="222">
        <f t="shared" si="0"/>
        <v>93150</v>
      </c>
      <c r="H17" s="222"/>
      <c r="I17" s="222">
        <f t="shared" si="0"/>
        <v>96410.249999999985</v>
      </c>
      <c r="J17" s="222"/>
      <c r="K17" s="222">
        <f t="shared" si="0"/>
        <v>99784.60874999997</v>
      </c>
      <c r="L17" s="222"/>
      <c r="M17" s="222">
        <f t="shared" si="0"/>
        <v>103277.07005624996</v>
      </c>
      <c r="N17" s="222"/>
      <c r="O17" s="222">
        <f t="shared" si="0"/>
        <v>106891.76750821869</v>
      </c>
      <c r="P17" s="222"/>
      <c r="Q17" s="222">
        <f t="shared" si="0"/>
        <v>110632.97937100634</v>
      </c>
      <c r="R17" s="222"/>
      <c r="S17" s="222">
        <f t="shared" si="0"/>
        <v>114505.13364899156</v>
      </c>
      <c r="T17" s="222"/>
      <c r="U17" s="222">
        <f t="shared" si="0"/>
        <v>118512.81332670625</v>
      </c>
      <c r="V17" s="222"/>
      <c r="W17" s="222">
        <f t="shared" si="0"/>
        <v>122660.76179314096</v>
      </c>
      <c r="X17" s="222"/>
      <c r="Y17" s="222">
        <f t="shared" si="0"/>
        <v>126953.88845590089</v>
      </c>
      <c r="Z17" s="222"/>
      <c r="AA17" s="222">
        <f t="shared" si="0"/>
        <v>131397.27455185741</v>
      </c>
      <c r="AB17" s="222"/>
      <c r="AC17" s="222">
        <f t="shared" si="0"/>
        <v>135996.17916117242</v>
      </c>
      <c r="AD17" s="222"/>
      <c r="AE17" s="222">
        <f t="shared" si="0"/>
        <v>140756.04543181343</v>
      </c>
      <c r="AF17" s="222"/>
      <c r="AG17" s="222">
        <f t="shared" si="0"/>
        <v>145682.5070219269</v>
      </c>
    </row>
    <row r="18" spans="1:33" s="210" customFormat="1" ht="13.5">
      <c r="A18" s="210" t="s">
        <v>842</v>
      </c>
      <c r="C18" s="233"/>
      <c r="E18" s="222">
        <f>Application!W862</f>
        <v>186040</v>
      </c>
      <c r="F18" s="222"/>
      <c r="G18" s="222">
        <f t="shared" si="0"/>
        <v>192551.4</v>
      </c>
      <c r="H18" s="222"/>
      <c r="I18" s="222">
        <f t="shared" si="0"/>
        <v>199290.69899999996</v>
      </c>
      <c r="J18" s="222"/>
      <c r="K18" s="222">
        <f t="shared" si="0"/>
        <v>206265.87346499995</v>
      </c>
      <c r="L18" s="222"/>
      <c r="M18" s="222">
        <f t="shared" si="0"/>
        <v>213485.17903627493</v>
      </c>
      <c r="N18" s="222"/>
      <c r="O18" s="222">
        <f t="shared" si="0"/>
        <v>220957.16030254454</v>
      </c>
      <c r="P18" s="222"/>
      <c r="Q18" s="222">
        <f t="shared" si="0"/>
        <v>228690.66091313359</v>
      </c>
      <c r="R18" s="222"/>
      <c r="S18" s="222">
        <f t="shared" si="0"/>
        <v>236694.83404509324</v>
      </c>
      <c r="T18" s="222"/>
      <c r="U18" s="222">
        <f t="shared" si="0"/>
        <v>244979.1532366715</v>
      </c>
      <c r="V18" s="222"/>
      <c r="W18" s="222">
        <f t="shared" si="0"/>
        <v>253553.42359995499</v>
      </c>
      <c r="X18" s="222"/>
      <c r="Y18" s="222">
        <f t="shared" si="0"/>
        <v>262427.79342595336</v>
      </c>
      <c r="Z18" s="222"/>
      <c r="AA18" s="222">
        <f t="shared" si="0"/>
        <v>271612.76619586174</v>
      </c>
      <c r="AB18" s="222"/>
      <c r="AC18" s="222">
        <f t="shared" si="0"/>
        <v>281119.21301271685</v>
      </c>
      <c r="AD18" s="222"/>
      <c r="AE18" s="222">
        <f t="shared" si="0"/>
        <v>290958.3854681619</v>
      </c>
      <c r="AF18" s="222"/>
      <c r="AG18" s="222">
        <f t="shared" si="0"/>
        <v>301141.92895954754</v>
      </c>
    </row>
    <row r="19" spans="1:33" s="210" customFormat="1" ht="13.5">
      <c r="A19" s="210" t="s">
        <v>155</v>
      </c>
      <c r="C19" s="233"/>
      <c r="E19" s="222">
        <f>Application!W863</f>
        <v>46000</v>
      </c>
      <c r="F19" s="222"/>
      <c r="G19" s="222">
        <f t="shared" si="0"/>
        <v>47609.999999999993</v>
      </c>
      <c r="H19" s="222"/>
      <c r="I19" s="222">
        <f t="shared" si="0"/>
        <v>49276.349999999991</v>
      </c>
      <c r="J19" s="222"/>
      <c r="K19" s="222">
        <f t="shared" si="0"/>
        <v>51001.022249999987</v>
      </c>
      <c r="L19" s="222"/>
      <c r="M19" s="222">
        <f t="shared" si="0"/>
        <v>52786.058028749983</v>
      </c>
      <c r="N19" s="222"/>
      <c r="O19" s="222">
        <f t="shared" si="0"/>
        <v>54633.570059756232</v>
      </c>
      <c r="P19" s="222"/>
      <c r="Q19" s="222">
        <f t="shared" si="0"/>
        <v>56545.745011847699</v>
      </c>
      <c r="R19" s="222"/>
      <c r="S19" s="222">
        <f t="shared" si="0"/>
        <v>58524.846087262362</v>
      </c>
      <c r="T19" s="222"/>
      <c r="U19" s="222">
        <f t="shared" si="0"/>
        <v>60573.215700316541</v>
      </c>
      <c r="V19" s="222"/>
      <c r="W19" s="222">
        <f t="shared" si="0"/>
        <v>62693.278249827614</v>
      </c>
      <c r="X19" s="222"/>
      <c r="Y19" s="222">
        <f t="shared" si="0"/>
        <v>64887.542988571578</v>
      </c>
      <c r="Z19" s="222"/>
      <c r="AA19" s="222">
        <f t="shared" si="0"/>
        <v>67158.606993171576</v>
      </c>
      <c r="AB19" s="222"/>
      <c r="AC19" s="222">
        <f t="shared" si="0"/>
        <v>69509.15823793257</v>
      </c>
      <c r="AD19" s="222"/>
      <c r="AE19" s="222">
        <f t="shared" si="0"/>
        <v>71941.978776260206</v>
      </c>
      <c r="AF19" s="222"/>
      <c r="AG19" s="222">
        <f t="shared" si="0"/>
        <v>74459.948033429304</v>
      </c>
    </row>
    <row r="20" spans="1:33" s="210" customFormat="1" ht="13.5">
      <c r="A20" s="210" t="s">
        <v>389</v>
      </c>
      <c r="C20" s="233"/>
      <c r="E20" s="222">
        <f>Application!W872</f>
        <v>94788</v>
      </c>
      <c r="F20" s="222"/>
      <c r="G20" s="222">
        <f t="shared" si="0"/>
        <v>98105.579999999987</v>
      </c>
      <c r="H20" s="222"/>
      <c r="I20" s="222">
        <f t="shared" si="0"/>
        <v>101539.27529999998</v>
      </c>
      <c r="J20" s="222"/>
      <c r="K20" s="222">
        <f t="shared" si="0"/>
        <v>105093.14993549997</v>
      </c>
      <c r="L20" s="222"/>
      <c r="M20" s="222">
        <f t="shared" si="0"/>
        <v>108771.41018324246</v>
      </c>
      <c r="N20" s="222"/>
      <c r="O20" s="222">
        <f t="shared" si="0"/>
        <v>112578.40953965594</v>
      </c>
      <c r="P20" s="222"/>
      <c r="Q20" s="222">
        <f t="shared" si="0"/>
        <v>116518.6538735439</v>
      </c>
      <c r="R20" s="222"/>
      <c r="S20" s="222">
        <f t="shared" si="0"/>
        <v>120596.80675911793</v>
      </c>
      <c r="T20" s="222"/>
      <c r="U20" s="222">
        <f t="shared" si="0"/>
        <v>124817.69499568705</v>
      </c>
      <c r="V20" s="222"/>
      <c r="W20" s="222">
        <f t="shared" si="0"/>
        <v>129186.31432053608</v>
      </c>
      <c r="X20" s="222"/>
      <c r="Y20" s="222">
        <f t="shared" si="0"/>
        <v>133707.83532175483</v>
      </c>
      <c r="Z20" s="222"/>
      <c r="AA20" s="222">
        <f t="shared" si="0"/>
        <v>138387.60955801624</v>
      </c>
      <c r="AB20" s="222"/>
      <c r="AC20" s="222">
        <f t="shared" si="0"/>
        <v>143231.1758925468</v>
      </c>
      <c r="AD20" s="222"/>
      <c r="AE20" s="222">
        <f t="shared" si="0"/>
        <v>148244.26704878593</v>
      </c>
      <c r="AF20" s="222"/>
      <c r="AG20" s="222">
        <f t="shared" si="0"/>
        <v>153432.81639549343</v>
      </c>
    </row>
    <row r="21" spans="1:33" s="210" customFormat="1" ht="13.5">
      <c r="A21" s="226" t="s">
        <v>962</v>
      </c>
      <c r="B21" s="226"/>
      <c r="C21" s="233"/>
      <c r="E21" s="232">
        <f>Application!W879</f>
        <v>1500</v>
      </c>
      <c r="F21" s="222"/>
      <c r="G21" s="232">
        <f t="shared" si="0"/>
        <v>1552.4999999999998</v>
      </c>
      <c r="H21" s="222"/>
      <c r="I21" s="232">
        <f t="shared" si="0"/>
        <v>1606.8374999999996</v>
      </c>
      <c r="J21" s="222"/>
      <c r="K21" s="232">
        <f t="shared" si="0"/>
        <v>1663.0768124999995</v>
      </c>
      <c r="L21" s="222"/>
      <c r="M21" s="232">
        <f t="shared" si="0"/>
        <v>1721.2845009374994</v>
      </c>
      <c r="N21" s="222"/>
      <c r="O21" s="232">
        <f t="shared" si="0"/>
        <v>1781.5294584703117</v>
      </c>
      <c r="P21" s="222"/>
      <c r="Q21" s="232">
        <f t="shared" si="0"/>
        <v>1843.8829895167726</v>
      </c>
      <c r="R21" s="222"/>
      <c r="S21" s="232">
        <f t="shared" si="0"/>
        <v>1908.4188941498594</v>
      </c>
      <c r="T21" s="222"/>
      <c r="U21" s="232">
        <f t="shared" si="0"/>
        <v>1975.2135554451042</v>
      </c>
      <c r="V21" s="222"/>
      <c r="W21" s="232">
        <f t="shared" si="0"/>
        <v>2044.3460298856828</v>
      </c>
      <c r="X21" s="222"/>
      <c r="Y21" s="232">
        <f t="shared" si="0"/>
        <v>2115.8981409316816</v>
      </c>
      <c r="Z21" s="222"/>
      <c r="AA21" s="232">
        <f t="shared" si="0"/>
        <v>2189.9545758642903</v>
      </c>
      <c r="AB21" s="222"/>
      <c r="AC21" s="232">
        <f t="shared" si="0"/>
        <v>2266.6029860195404</v>
      </c>
      <c r="AD21" s="222"/>
      <c r="AE21" s="232">
        <f t="shared" si="0"/>
        <v>2345.9340905302242</v>
      </c>
      <c r="AF21" s="222"/>
      <c r="AG21" s="232">
        <f t="shared" si="0"/>
        <v>2428.0417836987817</v>
      </c>
    </row>
    <row r="22" spans="1:33" s="223" customFormat="1" ht="13.9">
      <c r="A22" s="223" t="s">
        <v>843</v>
      </c>
      <c r="C22" s="233"/>
      <c r="E22" s="223">
        <f>SUM(E15:E21)</f>
        <v>595408</v>
      </c>
      <c r="G22" s="223">
        <f>SUM(G15:G21)</f>
        <v>616247.27999999991</v>
      </c>
      <c r="I22" s="223">
        <f>SUM(I15:I21)</f>
        <v>637815.93479999993</v>
      </c>
      <c r="K22" s="223">
        <f>SUM(K15:K21)</f>
        <v>660139.49251799984</v>
      </c>
      <c r="M22" s="223">
        <f>SUM(M15:M21)</f>
        <v>683244.37475612969</v>
      </c>
      <c r="O22" s="223">
        <f>SUM(O15:O21)</f>
        <v>707157.92787259421</v>
      </c>
      <c r="Q22" s="223">
        <f>SUM(Q15:Q21)</f>
        <v>731908.45534813497</v>
      </c>
      <c r="S22" s="223">
        <f>SUM(S15:S21)</f>
        <v>757525.25128531968</v>
      </c>
      <c r="U22" s="223">
        <f>SUM(U15:U21)</f>
        <v>784038.63508030598</v>
      </c>
      <c r="W22" s="223">
        <f>SUM(W15:W21)</f>
        <v>811479.9873081164</v>
      </c>
      <c r="Y22" s="223">
        <f>SUM(Y15:Y21)</f>
        <v>839881.78686390049</v>
      </c>
      <c r="AA22" s="223">
        <f>SUM(AA15:AA21)</f>
        <v>869277.64940413705</v>
      </c>
      <c r="AC22" s="223">
        <f>SUM(AC15:AC21)</f>
        <v>899702.36713328166</v>
      </c>
      <c r="AE22" s="223">
        <f>SUM(AE15:AE21)</f>
        <v>931191.94998294639</v>
      </c>
      <c r="AG22" s="223">
        <f>SUM(AG15:AG21)</f>
        <v>963783.66823234956</v>
      </c>
    </row>
    <row r="23" spans="1:33" s="210" customFormat="1" ht="13.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5">
      <c r="A27" s="210" t="s">
        <v>845</v>
      </c>
      <c r="C27" s="1260">
        <v>1.0275000000000001</v>
      </c>
      <c r="E27" s="222">
        <f>Application!AC888</f>
        <v>125000</v>
      </c>
      <c r="F27" s="222"/>
      <c r="G27" s="222">
        <f>E27*$C$27</f>
        <v>128437.50000000001</v>
      </c>
      <c r="H27" s="222"/>
      <c r="I27" s="222">
        <f>G27*$C$27</f>
        <v>131969.53125000003</v>
      </c>
      <c r="J27" s="222"/>
      <c r="K27" s="222">
        <f>I27*$C$27</f>
        <v>135598.69335937503</v>
      </c>
      <c r="L27" s="222"/>
      <c r="M27" s="222">
        <f>K27*$C$27</f>
        <v>139327.65742675785</v>
      </c>
      <c r="N27" s="222"/>
      <c r="O27" s="222">
        <f>M27*$C$27</f>
        <v>143159.16800599371</v>
      </c>
      <c r="P27" s="222"/>
      <c r="Q27" s="222">
        <f>O27*$C$27</f>
        <v>147096.04512615854</v>
      </c>
      <c r="R27" s="222"/>
      <c r="S27" s="222">
        <f>Q27*$C$27</f>
        <v>151141.1863671279</v>
      </c>
      <c r="T27" s="222"/>
      <c r="U27" s="222">
        <f>S27*$C$27</f>
        <v>155297.56899222394</v>
      </c>
      <c r="V27" s="222"/>
      <c r="W27" s="222">
        <f>U27*$C$27</f>
        <v>159568.25213951012</v>
      </c>
      <c r="X27" s="222"/>
      <c r="Y27" s="222">
        <f>W27*$C$27</f>
        <v>163956.37907334667</v>
      </c>
      <c r="Z27" s="222"/>
      <c r="AA27" s="222">
        <f>Y27*$C$27</f>
        <v>168465.17949786372</v>
      </c>
      <c r="AB27" s="222"/>
      <c r="AC27" s="222">
        <f>AA27*$C$27</f>
        <v>173097.97193405498</v>
      </c>
      <c r="AD27" s="222"/>
      <c r="AE27" s="222">
        <f>AC27*$C$27</f>
        <v>177858.16616224151</v>
      </c>
      <c r="AF27" s="222"/>
      <c r="AG27" s="222">
        <f>AE27*$C$27</f>
        <v>182749.26573170317</v>
      </c>
    </row>
    <row r="28" spans="1:33" s="210" customFormat="1" ht="13.5">
      <c r="A28" s="210" t="s">
        <v>846</v>
      </c>
      <c r="C28" s="237">
        <v>1.03</v>
      </c>
      <c r="E28" s="222">
        <f>Application!AC889</f>
        <v>24300</v>
      </c>
      <c r="F28" s="222"/>
      <c r="G28" s="222">
        <f>E28*$C$28</f>
        <v>25029</v>
      </c>
      <c r="H28" s="222"/>
      <c r="I28" s="222">
        <f>G28*$C$28</f>
        <v>25779.87</v>
      </c>
      <c r="J28" s="222"/>
      <c r="K28" s="222">
        <f>I28*$C$28</f>
        <v>26553.266100000001</v>
      </c>
      <c r="L28" s="222"/>
      <c r="M28" s="222">
        <f>K28*$C$28</f>
        <v>27349.864083</v>
      </c>
      <c r="N28" s="222"/>
      <c r="O28" s="222">
        <f>M28</f>
        <v>27349.864083</v>
      </c>
      <c r="P28" s="222"/>
      <c r="Q28" s="222">
        <f>O28</f>
        <v>27349.864083</v>
      </c>
      <c r="R28" s="222"/>
      <c r="S28" s="222">
        <f>Q28</f>
        <v>27349.864083</v>
      </c>
      <c r="T28" s="222"/>
      <c r="U28" s="222">
        <f>S28</f>
        <v>27349.864083</v>
      </c>
      <c r="V28" s="222"/>
      <c r="W28" s="222">
        <f>U28*$C$28</f>
        <v>28170.360005490002</v>
      </c>
      <c r="X28" s="222"/>
      <c r="Y28" s="222">
        <f>W28</f>
        <v>28170.360005490002</v>
      </c>
      <c r="Z28" s="222"/>
      <c r="AA28" s="222">
        <f>Y28</f>
        <v>28170.360005490002</v>
      </c>
      <c r="AB28" s="222"/>
      <c r="AC28" s="222">
        <f>AA28</f>
        <v>28170.360005490002</v>
      </c>
      <c r="AD28" s="222"/>
      <c r="AE28" s="222">
        <f>AC28</f>
        <v>28170.360005490002</v>
      </c>
      <c r="AF28" s="222"/>
      <c r="AG28" s="222">
        <f>AE28*$C$28</f>
        <v>29015.470805654702</v>
      </c>
    </row>
    <row r="29" spans="1:33" s="210" customFormat="1" ht="13.5">
      <c r="A29" s="210" t="s">
        <v>1680</v>
      </c>
      <c r="C29" s="237"/>
      <c r="E29" s="222">
        <f>Application!AC890</f>
        <v>8212</v>
      </c>
      <c r="F29" s="222"/>
      <c r="G29" s="222">
        <f>$E$29</f>
        <v>8212</v>
      </c>
      <c r="H29" s="222"/>
      <c r="I29" s="222">
        <f>$E$29</f>
        <v>8212</v>
      </c>
      <c r="J29" s="222"/>
      <c r="K29" s="222">
        <f>$E$29</f>
        <v>8212</v>
      </c>
      <c r="L29" s="222"/>
      <c r="M29" s="222">
        <f>$E$29</f>
        <v>8212</v>
      </c>
      <c r="N29" s="222"/>
      <c r="O29" s="222">
        <f>$E$29</f>
        <v>8212</v>
      </c>
      <c r="P29" s="222"/>
      <c r="Q29" s="222">
        <f>$E$29</f>
        <v>8212</v>
      </c>
      <c r="R29" s="222"/>
      <c r="S29" s="222">
        <f>$E$29</f>
        <v>8212</v>
      </c>
      <c r="T29" s="222"/>
      <c r="U29" s="222">
        <f>$E$29</f>
        <v>8212</v>
      </c>
      <c r="V29" s="222"/>
      <c r="W29" s="222">
        <f>$E$29</f>
        <v>8212</v>
      </c>
      <c r="X29" s="222"/>
      <c r="Y29" s="222">
        <f>$E$29</f>
        <v>8212</v>
      </c>
      <c r="Z29" s="222"/>
      <c r="AA29" s="222">
        <f>$E$29</f>
        <v>8212</v>
      </c>
      <c r="AB29" s="222"/>
      <c r="AC29" s="222">
        <f>$E$29</f>
        <v>8212</v>
      </c>
      <c r="AD29" s="222"/>
      <c r="AE29" s="222">
        <f>$E$29</f>
        <v>8212</v>
      </c>
      <c r="AF29" s="222"/>
      <c r="AG29" s="222">
        <f>$E$29</f>
        <v>8212</v>
      </c>
    </row>
    <row r="30" spans="1:33" s="210" customFormat="1" ht="13.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5">
      <c r="A31" s="210" t="s">
        <v>1681</v>
      </c>
      <c r="C31" s="237">
        <v>1.02</v>
      </c>
      <c r="E31" s="222">
        <f>Application!AC893</f>
        <v>6000</v>
      </c>
      <c r="F31" s="222"/>
      <c r="G31" s="222">
        <f>E31*$C$31</f>
        <v>6120</v>
      </c>
      <c r="H31" s="222"/>
      <c r="I31" s="222">
        <f>G31*$C$31</f>
        <v>6242.4000000000005</v>
      </c>
      <c r="J31" s="222"/>
      <c r="K31" s="222">
        <f>I31*$C$31</f>
        <v>6367.2480000000005</v>
      </c>
      <c r="L31" s="222"/>
      <c r="M31" s="222">
        <f>K31*$C$31</f>
        <v>6494.5929600000009</v>
      </c>
      <c r="N31" s="222"/>
      <c r="O31" s="222">
        <f>M31*$C$31</f>
        <v>6624.4848192000009</v>
      </c>
      <c r="P31" s="222"/>
      <c r="Q31" s="222">
        <f>O31*$C$31</f>
        <v>6756.974515584001</v>
      </c>
      <c r="R31" s="222"/>
      <c r="S31" s="222">
        <f>Q31*$C$31</f>
        <v>6892.1140058956807</v>
      </c>
      <c r="T31" s="222"/>
      <c r="U31" s="222">
        <f>S31*$C$31</f>
        <v>7029.9562860135948</v>
      </c>
      <c r="V31" s="222"/>
      <c r="W31" s="222">
        <f>U31*$C$31</f>
        <v>7170.555411733867</v>
      </c>
      <c r="X31" s="222"/>
      <c r="Y31" s="222">
        <f>W31*$C$31</f>
        <v>7313.9665199685442</v>
      </c>
      <c r="Z31" s="222"/>
      <c r="AA31" s="222">
        <f>Y31*$C$31</f>
        <v>7460.2458503679154</v>
      </c>
      <c r="AB31" s="222"/>
      <c r="AC31" s="222">
        <f>AA31*$C$31</f>
        <v>7609.4507673752742</v>
      </c>
      <c r="AD31" s="222"/>
      <c r="AE31" s="222">
        <f>AC31*$C$31</f>
        <v>7761.6397827227802</v>
      </c>
      <c r="AF31" s="222"/>
      <c r="AG31" s="222">
        <f>AE31*$C$31</f>
        <v>7916.8725783772361</v>
      </c>
    </row>
    <row r="32" spans="1:33" s="210" customFormat="1" ht="13.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9">
      <c r="A35" s="223" t="s">
        <v>177</v>
      </c>
      <c r="C35" s="224"/>
      <c r="E35" s="223">
        <f>SUM(E22:E33)</f>
        <v>758920</v>
      </c>
      <c r="G35" s="223">
        <f>SUM(G22:G33)</f>
        <v>784045.77999999991</v>
      </c>
      <c r="I35" s="223">
        <f>SUM(I22:I33)</f>
        <v>810019.73604999995</v>
      </c>
      <c r="K35" s="223">
        <f>SUM(K22:K33)</f>
        <v>836870.69997737487</v>
      </c>
      <c r="M35" s="223">
        <f>SUM(M22:M33)</f>
        <v>864628.48922588758</v>
      </c>
      <c r="O35" s="223">
        <f>SUM(O22:O33)</f>
        <v>892503.44478078792</v>
      </c>
      <c r="Q35" s="223">
        <f>SUM(Q22:Q33)</f>
        <v>921323.33907287742</v>
      </c>
      <c r="S35" s="223">
        <f>SUM(S22:S33)</f>
        <v>951120.41574134328</v>
      </c>
      <c r="U35" s="223">
        <f>SUM(U22:U33)</f>
        <v>981928.0244415435</v>
      </c>
      <c r="W35" s="223">
        <f>SUM(W22:W33)</f>
        <v>1014601.1548648505</v>
      </c>
      <c r="Y35" s="223">
        <f>SUM(Y22:Y33)</f>
        <v>1047534.4924627058</v>
      </c>
      <c r="AA35" s="223">
        <f>SUM(AA22:AA33)</f>
        <v>1081585.4347578587</v>
      </c>
      <c r="AC35" s="223">
        <f>SUM(AC22:AC33)</f>
        <v>1116792.1498402019</v>
      </c>
      <c r="AE35" s="223">
        <f>SUM(AE22:AE33)</f>
        <v>1153194.1159334008</v>
      </c>
      <c r="AG35" s="223">
        <f>SUM(AG22:AG33)</f>
        <v>1191677.2773480846</v>
      </c>
    </row>
    <row r="36" spans="1:33" s="210" customFormat="1" ht="13.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9">
      <c r="A37" s="223" t="s">
        <v>847</v>
      </c>
      <c r="C37" s="224"/>
      <c r="E37" s="223">
        <f>E11-E35</f>
        <v>1026821.6000000001</v>
      </c>
      <c r="G37" s="223">
        <f>G11-G35</f>
        <v>1046339.3599999998</v>
      </c>
      <c r="I37" s="223">
        <f>I11-I35</f>
        <v>1066125.0324499996</v>
      </c>
      <c r="K37" s="223">
        <f>K11-K35</f>
        <v>1086177.6877351247</v>
      </c>
      <c r="M37" s="223">
        <f>M11-M35</f>
        <v>1106496.1081794244</v>
      </c>
      <c r="O37" s="223">
        <f>O11-O35</f>
        <v>1127899.2675596564</v>
      </c>
      <c r="Q37" s="223">
        <f>Q11-Q35</f>
        <v>1149589.441076078</v>
      </c>
      <c r="S37" s="223">
        <f>S11-S35</f>
        <v>1171565.1839113359</v>
      </c>
      <c r="U37" s="223">
        <f>U11-U35</f>
        <v>1193824.7152024526</v>
      </c>
      <c r="W37" s="223">
        <f>W11-W35</f>
        <v>1215545.4032702451</v>
      </c>
      <c r="Y37" s="223">
        <f>Y11-Y35</f>
        <v>1238365.7296257671</v>
      </c>
      <c r="AA37" s="223">
        <f>AA11-AA35</f>
        <v>1261462.2928828255</v>
      </c>
      <c r="AC37" s="223">
        <f>AC11-AC35</f>
        <v>1284831.7709914993</v>
      </c>
      <c r="AE37" s="223">
        <f>AE11-AE35</f>
        <v>1308470.4029190929</v>
      </c>
      <c r="AG37" s="223">
        <f>AG11-AG35</f>
        <v>1331528.8544757215</v>
      </c>
    </row>
    <row r="38" spans="1:33" s="210" customFormat="1" ht="13.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9">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5">
      <c r="A40" s="225" t="str">
        <f>Application!C627</f>
        <v>Citibank, N.A.</v>
      </c>
      <c r="B40" s="226"/>
      <c r="C40" s="220"/>
      <c r="E40" s="222">
        <f>Application!AF627</f>
        <v>855622</v>
      </c>
      <c r="F40" s="222"/>
      <c r="G40" s="222">
        <f>$E$40</f>
        <v>855622</v>
      </c>
      <c r="H40" s="222"/>
      <c r="I40" s="222">
        <f>$E$40</f>
        <v>855622</v>
      </c>
      <c r="J40" s="222"/>
      <c r="K40" s="222">
        <f>$E$40</f>
        <v>855622</v>
      </c>
      <c r="L40" s="222"/>
      <c r="M40" s="222">
        <f>$E$40</f>
        <v>855622</v>
      </c>
      <c r="N40" s="222"/>
      <c r="O40" s="222">
        <f>$E$40</f>
        <v>855622</v>
      </c>
      <c r="P40" s="222"/>
      <c r="Q40" s="222">
        <f>$E$40</f>
        <v>855622</v>
      </c>
      <c r="R40" s="222"/>
      <c r="S40" s="222">
        <f>$E$40</f>
        <v>855622</v>
      </c>
      <c r="T40" s="222"/>
      <c r="U40" s="222">
        <f>$E$40</f>
        <v>855622</v>
      </c>
      <c r="V40" s="222"/>
      <c r="W40" s="222">
        <f>$E$40</f>
        <v>855622</v>
      </c>
      <c r="X40" s="222"/>
      <c r="Y40" s="222">
        <f>$E$40</f>
        <v>855622</v>
      </c>
      <c r="Z40" s="222"/>
      <c r="AA40" s="222">
        <f>$E$40</f>
        <v>855622</v>
      </c>
      <c r="AB40" s="222"/>
      <c r="AC40" s="222">
        <f>$E$40</f>
        <v>855622</v>
      </c>
      <c r="AD40" s="222"/>
      <c r="AE40" s="222">
        <f>$E$40</f>
        <v>855622</v>
      </c>
      <c r="AF40" s="222"/>
      <c r="AG40" s="222">
        <f>$E$40</f>
        <v>855622</v>
      </c>
    </row>
    <row r="41" spans="1:33" s="210" customFormat="1" ht="13.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9">
      <c r="A43" s="223" t="s">
        <v>848</v>
      </c>
      <c r="C43" s="224"/>
      <c r="E43" s="223">
        <f>SUM(E40:E42)</f>
        <v>855622</v>
      </c>
      <c r="G43" s="223">
        <f>SUM(G40:G42)</f>
        <v>855622</v>
      </c>
      <c r="I43" s="223">
        <f>SUM(I40:I42)</f>
        <v>855622</v>
      </c>
      <c r="K43" s="223">
        <f>SUM(K40:K42)</f>
        <v>855622</v>
      </c>
      <c r="M43" s="223">
        <f>SUM(M40:M42)</f>
        <v>855622</v>
      </c>
      <c r="O43" s="223">
        <f>SUM(O40:O42)</f>
        <v>855622</v>
      </c>
      <c r="Q43" s="223">
        <f>SUM(Q40:Q42)</f>
        <v>855622</v>
      </c>
      <c r="S43" s="223">
        <f>SUM(S40:S42)</f>
        <v>855622</v>
      </c>
      <c r="U43" s="223">
        <f>SUM(U40:U42)</f>
        <v>855622</v>
      </c>
      <c r="W43" s="223">
        <f>SUM(W40:W42)</f>
        <v>855622</v>
      </c>
      <c r="Y43" s="223">
        <f>SUM(Y40:Y42)</f>
        <v>855622</v>
      </c>
      <c r="AA43" s="223">
        <f>SUM(AA40:AA42)</f>
        <v>855622</v>
      </c>
      <c r="AC43" s="223">
        <f>SUM(AC40:AC42)</f>
        <v>855622</v>
      </c>
      <c r="AE43" s="223">
        <f>SUM(AE40:AE42)</f>
        <v>855622</v>
      </c>
      <c r="AG43" s="223">
        <f>SUM(AG40:AG42)</f>
        <v>855622</v>
      </c>
    </row>
    <row r="44" spans="1:33" s="210" customFormat="1" ht="13.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9">
      <c r="A45" s="223" t="s">
        <v>849</v>
      </c>
      <c r="C45" s="224"/>
      <c r="E45" s="223">
        <f>E37-E43</f>
        <v>171199.60000000009</v>
      </c>
      <c r="G45" s="223">
        <f>G37-G43</f>
        <v>190717.35999999975</v>
      </c>
      <c r="I45" s="223">
        <f>I37-I43</f>
        <v>210503.03244999959</v>
      </c>
      <c r="K45" s="223">
        <f>K37-K43</f>
        <v>230555.68773512472</v>
      </c>
      <c r="M45" s="223">
        <f>M37-M43</f>
        <v>250874.10817942442</v>
      </c>
      <c r="O45" s="223">
        <f>O37-O43</f>
        <v>272277.26755965641</v>
      </c>
      <c r="Q45" s="223">
        <f>Q37-Q43</f>
        <v>293967.44107607799</v>
      </c>
      <c r="S45" s="223">
        <f>S37-S43</f>
        <v>315943.18391133589</v>
      </c>
      <c r="U45" s="223">
        <f>U37-U43</f>
        <v>338202.71520245261</v>
      </c>
      <c r="W45" s="223">
        <f>W37-W43</f>
        <v>359923.40327024506</v>
      </c>
      <c r="Y45" s="223">
        <f>Y37-Y43</f>
        <v>382743.7296257671</v>
      </c>
      <c r="AA45" s="223">
        <f>AA37-AA43</f>
        <v>405840.29288282548</v>
      </c>
      <c r="AC45" s="223">
        <f>AC37-AC43</f>
        <v>429209.7709914993</v>
      </c>
      <c r="AE45" s="223">
        <f>AE37-AE43</f>
        <v>452848.40291909291</v>
      </c>
      <c r="AG45" s="223">
        <f>AG37-AG43</f>
        <v>475906.85447572148</v>
      </c>
    </row>
    <row r="46" spans="1:33" s="210" customFormat="1" ht="13.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5">
      <c r="A47" s="227" t="s">
        <v>851</v>
      </c>
      <c r="C47" s="220"/>
      <c r="E47" s="227">
        <f>E45/(E4+E6+E8)</f>
        <v>9.1076794089357663E-2</v>
      </c>
      <c r="G47" s="227">
        <f>G45/(G4+G6+G8)</f>
        <v>9.8985447401523263E-2</v>
      </c>
      <c r="I47" s="227">
        <f>I45/(I4+I6+I8)</f>
        <v>0.10658979210190923</v>
      </c>
      <c r="K47" s="227">
        <f>K45/(K4+K6+K8)</f>
        <v>0.1138961997773265</v>
      </c>
      <c r="M47" s="227">
        <f>M45/(M4+M6+M8)</f>
        <v>0.12091087650378836</v>
      </c>
      <c r="O47" s="227">
        <f>O45/(O4+O6+O8)</f>
        <v>0.12802566666624429</v>
      </c>
      <c r="Q47" s="227">
        <f>Q45/(Q4+Q6+Q8)</f>
        <v>0.13485312935399771</v>
      </c>
      <c r="S47" s="227">
        <f>S45/(S4+S6+S8)</f>
        <v>0.14139919014143215</v>
      </c>
      <c r="U47" s="227">
        <f>U45/(U4+U6+U8)</f>
        <v>0.1476696196162901</v>
      </c>
      <c r="W47" s="227">
        <f>W45/(W4+W6+W8)</f>
        <v>0.15332052140674599</v>
      </c>
      <c r="Y47" s="227">
        <f>Y45/(Y4+Y6+Y8)</f>
        <v>0.15906492314536633</v>
      </c>
      <c r="AA47" s="227">
        <f>AA45/(AA4+AA6+AA8)</f>
        <v>0.16454990382415699</v>
      </c>
      <c r="AC47" s="227">
        <f>AC45/(AC4+AC6+AC8)</f>
        <v>0.16978065504140949</v>
      </c>
      <c r="AE47" s="227">
        <f>AE45/(AE4+AE6+AE8)</f>
        <v>0.17476223079076555</v>
      </c>
      <c r="AG47" s="227">
        <f>AG45/(AG4+AG6+AG8)</f>
        <v>0.17918136217636063</v>
      </c>
    </row>
    <row r="48" spans="1:33" s="227" customFormat="1" ht="13.5">
      <c r="A48" s="227" t="s">
        <v>852</v>
      </c>
      <c r="C48" s="220"/>
      <c r="E48" s="227">
        <f>E45/E43</f>
        <v>0.20008788927820942</v>
      </c>
      <c r="G48" s="227">
        <f>G45/G43</f>
        <v>0.22289908394127284</v>
      </c>
      <c r="I48" s="227">
        <f>I45/I43</f>
        <v>0.24602339870877513</v>
      </c>
      <c r="K48" s="227">
        <f>K45/K43</f>
        <v>0.26945974710225395</v>
      </c>
      <c r="M48" s="227">
        <f>M45/M43</f>
        <v>0.2932067059746295</v>
      </c>
      <c r="O48" s="227">
        <f>O45/O43</f>
        <v>0.31822144306674727</v>
      </c>
      <c r="Q48" s="227">
        <f>Q45/Q43</f>
        <v>0.3435716251756944</v>
      </c>
      <c r="S48" s="227">
        <f>S45/S43</f>
        <v>0.36925556368505708</v>
      </c>
      <c r="U48" s="227">
        <f>U45/U43</f>
        <v>0.3952711772283235</v>
      </c>
      <c r="W48" s="227">
        <f>W45/W43</f>
        <v>0.42065702292629814</v>
      </c>
      <c r="Y48" s="227">
        <f>Y45/Y43</f>
        <v>0.44732806031841993</v>
      </c>
      <c r="AA48" s="227">
        <f>AA45/AA43</f>
        <v>0.47432194693781304</v>
      </c>
      <c r="AC48" s="227">
        <f>AC45/AC43</f>
        <v>0.50163480017051842</v>
      </c>
      <c r="AE48" s="227">
        <f>AE45/AE43</f>
        <v>0.52926222434567238</v>
      </c>
      <c r="AG48" s="227">
        <f>AG45/AG43</f>
        <v>0.55621156828099494</v>
      </c>
    </row>
    <row r="49" spans="1:34" s="228" customFormat="1" ht="13.5">
      <c r="A49" s="228" t="s">
        <v>850</v>
      </c>
      <c r="C49" s="229"/>
      <c r="E49" s="228">
        <f>E37/E43</f>
        <v>1.2000878892782094</v>
      </c>
      <c r="G49" s="228">
        <f>G37/G43</f>
        <v>1.2228990839412728</v>
      </c>
      <c r="I49" s="228">
        <f>I37/I43</f>
        <v>1.2460233987087752</v>
      </c>
      <c r="K49" s="228">
        <f>K37/K43</f>
        <v>1.269459747102254</v>
      </c>
      <c r="M49" s="228">
        <f>M37/M43</f>
        <v>1.2932067059746295</v>
      </c>
      <c r="O49" s="228">
        <f>O37/O43</f>
        <v>1.3182214430667472</v>
      </c>
      <c r="Q49" s="228">
        <f>Q37/Q43</f>
        <v>1.3435716251756944</v>
      </c>
      <c r="S49" s="228">
        <f>S37/S43</f>
        <v>1.369255563685057</v>
      </c>
      <c r="U49" s="228">
        <f>U37/U43</f>
        <v>1.3952711772283235</v>
      </c>
      <c r="W49" s="228">
        <f>W37/W43</f>
        <v>1.420657022926298</v>
      </c>
      <c r="Y49" s="228">
        <f>Y37/Y43</f>
        <v>1.44732806031842</v>
      </c>
      <c r="AA49" s="228">
        <f>AA37/AA43</f>
        <v>1.474321946937813</v>
      </c>
      <c r="AC49" s="228">
        <f>AC37/AC43</f>
        <v>1.5016348001705184</v>
      </c>
      <c r="AE49" s="228">
        <f>AE37/AE43</f>
        <v>1.5292622243456724</v>
      </c>
      <c r="AG49" s="228">
        <f>AG37/AG43</f>
        <v>1.5562115682809949</v>
      </c>
    </row>
    <row r="50" spans="1:34" s="210" customFormat="1" ht="13.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2721</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v>
      </c>
      <c r="E53" s="964">
        <v>15000</v>
      </c>
      <c r="G53" s="960">
        <f>E53*$C$53</f>
        <v>15000</v>
      </c>
      <c r="I53" s="960">
        <f>G53*$C$53</f>
        <v>15000</v>
      </c>
      <c r="K53" s="960">
        <f>I53*$C$53</f>
        <v>15000</v>
      </c>
      <c r="M53" s="960">
        <f>K53*$C$53</f>
        <v>15000</v>
      </c>
      <c r="O53" s="960">
        <f>M53*$C$53</f>
        <v>15000</v>
      </c>
      <c r="Q53" s="960">
        <f>O53*$C$53</f>
        <v>15000</v>
      </c>
      <c r="S53" s="960">
        <f>Q53*$C$53</f>
        <v>15000</v>
      </c>
      <c r="U53" s="960">
        <f>S53*$C$53</f>
        <v>15000</v>
      </c>
      <c r="W53" s="960">
        <f>U53*$C$53</f>
        <v>15000</v>
      </c>
      <c r="Y53" s="960">
        <f>W53*$C$53</f>
        <v>15000</v>
      </c>
      <c r="AA53" s="960">
        <f>Y53*$C$53</f>
        <v>15000</v>
      </c>
      <c r="AC53" s="960">
        <f>AA53*$C$53</f>
        <v>15000</v>
      </c>
      <c r="AE53" s="960">
        <f>AC53*$C$53</f>
        <v>15000</v>
      </c>
      <c r="AG53" s="960">
        <f>AE53*$C$53</f>
        <v>15000</v>
      </c>
    </row>
    <row r="54" spans="1:34" s="3" customFormat="1">
      <c r="A54" s="3" t="s">
        <v>855</v>
      </c>
      <c r="C54" s="958"/>
      <c r="E54" s="965">
        <v>7500</v>
      </c>
      <c r="F54" s="960"/>
      <c r="G54" s="960">
        <f t="shared" ref="G54:AG57"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22500</v>
      </c>
      <c r="F58" s="960"/>
      <c r="G58" s="960">
        <f>SUM(G53:G57)</f>
        <v>22500</v>
      </c>
      <c r="H58" s="960"/>
      <c r="I58" s="960">
        <f>SUM(I53:I57)</f>
        <v>22500</v>
      </c>
      <c r="J58" s="960"/>
      <c r="K58" s="960">
        <f>SUM(K53:K57)</f>
        <v>22500</v>
      </c>
      <c r="L58" s="960"/>
      <c r="M58" s="960">
        <f>SUM(M53:M57)</f>
        <v>22500</v>
      </c>
      <c r="N58" s="960"/>
      <c r="O58" s="960">
        <f>SUM(O53:O57)</f>
        <v>22500</v>
      </c>
      <c r="P58" s="960"/>
      <c r="Q58" s="960">
        <f>SUM(Q53:Q57)</f>
        <v>22500</v>
      </c>
      <c r="R58" s="960"/>
      <c r="S58" s="960">
        <f>SUM(S53:S57)</f>
        <v>22500</v>
      </c>
      <c r="T58" s="960"/>
      <c r="U58" s="960">
        <f>SUM(U53:U57)</f>
        <v>22500</v>
      </c>
      <c r="V58" s="960"/>
      <c r="W58" s="960">
        <f>SUM(W53:W57)</f>
        <v>22500</v>
      </c>
      <c r="X58" s="960"/>
      <c r="Y58" s="960">
        <f>SUM(Y53:Y57)</f>
        <v>22500</v>
      </c>
      <c r="Z58" s="960"/>
      <c r="AA58" s="960">
        <f>SUM(AA53:AA57)</f>
        <v>22500</v>
      </c>
      <c r="AB58" s="960"/>
      <c r="AC58" s="960">
        <f>SUM(AC53:AC57)</f>
        <v>22500</v>
      </c>
      <c r="AD58" s="960"/>
      <c r="AE58" s="960">
        <f>SUM(AE53:AE57)</f>
        <v>22500</v>
      </c>
      <c r="AF58" s="960"/>
      <c r="AG58" s="960">
        <f>SUM(AG53:AG57)</f>
        <v>22500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148699.60000000009</v>
      </c>
      <c r="G60" s="962">
        <f>G45-G58</f>
        <v>168217.35999999975</v>
      </c>
      <c r="I60" s="962">
        <f>I45-I58</f>
        <v>188003.03244999959</v>
      </c>
      <c r="K60" s="962">
        <f>K45-K58</f>
        <v>208055.68773512472</v>
      </c>
      <c r="M60" s="962">
        <f>M45-M58</f>
        <v>228374.10817942442</v>
      </c>
      <c r="O60" s="962">
        <f>O45-O58</f>
        <v>249777.26755965641</v>
      </c>
      <c r="Q60" s="962">
        <f>Q45-Q58</f>
        <v>271467.44107607799</v>
      </c>
      <c r="S60" s="962">
        <f>S45-S58</f>
        <v>293443.18391133589</v>
      </c>
      <c r="U60" s="962">
        <f>U45-U58</f>
        <v>315702.71520245261</v>
      </c>
      <c r="W60" s="962">
        <f>W45-W58</f>
        <v>337423.40327024506</v>
      </c>
      <c r="Y60" s="962">
        <f>Y45-Y58</f>
        <v>360243.7296257671</v>
      </c>
      <c r="AA60" s="962">
        <f>AA45-AA58</f>
        <v>383340.29288282548</v>
      </c>
      <c r="AC60" s="962">
        <f>AC45-AC58</f>
        <v>406709.7709914993</v>
      </c>
      <c r="AE60" s="962">
        <f>AE45-AE58</f>
        <v>430348.40291909291</v>
      </c>
      <c r="AG60" s="962">
        <f>AG45-AG58</f>
        <v>453406.85447572148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0.25</v>
      </c>
      <c r="E62" s="964">
        <f>E60*$C$62</f>
        <v>37174.900000000023</v>
      </c>
      <c r="G62" s="962">
        <f>G60*$C$62</f>
        <v>42054.339999999938</v>
      </c>
      <c r="I62" s="962">
        <f>I60*$C$62</f>
        <v>47000.758112499898</v>
      </c>
      <c r="K62" s="962">
        <f>K60*$C$62</f>
        <v>52013.921933781181</v>
      </c>
      <c r="M62" s="962">
        <f>M60*$C$62</f>
        <v>57093.527044856106</v>
      </c>
      <c r="O62" s="962">
        <f>O60*$C$62</f>
        <v>62444.316889914102</v>
      </c>
      <c r="Q62" s="962">
        <f>Q60*$C$62</f>
        <v>67866.860269019497</v>
      </c>
      <c r="S62" s="962">
        <f>S60*$C$62</f>
        <v>73360.795977833972</v>
      </c>
      <c r="U62" s="962">
        <f>U60*$C$62</f>
        <v>78925.678800613154</v>
      </c>
      <c r="W62" s="962">
        <f>W60*$C$62</f>
        <v>84355.850817561266</v>
      </c>
      <c r="Y62" s="962">
        <f>Y60*$C$62</f>
        <v>90060.932406441774</v>
      </c>
      <c r="AA62" s="962">
        <f>AA60*$C$62</f>
        <v>95835.07322070637</v>
      </c>
      <c r="AC62" s="962">
        <f>AC60*$C$62</f>
        <v>101677.44274787483</v>
      </c>
      <c r="AE62" s="962">
        <f>AE60*$C$62</f>
        <v>107587.10072977323</v>
      </c>
      <c r="AG62" s="962">
        <f>AG60*$C$62</f>
        <v>113351.71361893037</v>
      </c>
    </row>
    <row r="63" spans="1:34" s="962" customFormat="1">
      <c r="A63" s="2691" t="s">
        <v>2721</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2756</v>
      </c>
      <c r="B66" s="964"/>
      <c r="C66" s="963"/>
      <c r="E66" s="964">
        <f>$E60*$C$65</f>
        <v>111524.70000000007</v>
      </c>
      <c r="G66" s="960">
        <f>G60*$C$65</f>
        <v>126163.01999999981</v>
      </c>
      <c r="I66" s="960">
        <f>I60*$C$65</f>
        <v>141002.27433749969</v>
      </c>
      <c r="K66" s="960">
        <f>K60*$C$65</f>
        <v>156041.76580134354</v>
      </c>
      <c r="M66" s="960">
        <f>M60*$C$65</f>
        <v>171280.58113456832</v>
      </c>
      <c r="O66" s="960">
        <f>O60*$C$65</f>
        <v>187332.95066974231</v>
      </c>
      <c r="Q66" s="960">
        <f>Q60*$C$65</f>
        <v>203600.58080705849</v>
      </c>
      <c r="S66" s="960">
        <f>S60*$C$65</f>
        <v>220082.38793350192</v>
      </c>
      <c r="U66" s="960">
        <f>U60*$C$65</f>
        <v>236777.03640183946</v>
      </c>
      <c r="W66" s="960">
        <f>W60*$C$65</f>
        <v>253067.5524526838</v>
      </c>
      <c r="Y66" s="960">
        <f>Y60*$C$65</f>
        <v>270182.79721932532</v>
      </c>
      <c r="AA66" s="960">
        <f>AA60*$C$65</f>
        <v>287505.21966211911</v>
      </c>
      <c r="AC66" s="960">
        <f>AC60*$C$65</f>
        <v>305032.32824362448</v>
      </c>
      <c r="AE66" s="960">
        <f>AE60*$C$65</f>
        <v>322761.30218931969</v>
      </c>
      <c r="AG66" s="960">
        <f>AG60*$C$65</f>
        <v>340055.14085679111</v>
      </c>
    </row>
    <row r="67" spans="1:34" s="960" customFormat="1">
      <c r="A67" s="965"/>
      <c r="B67" s="965"/>
      <c r="C67" s="970"/>
      <c r="E67" s="964"/>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111524.70000000007</v>
      </c>
      <c r="G70" s="960">
        <f>SUM(G66:G69)</f>
        <v>126163.01999999981</v>
      </c>
      <c r="I70" s="960">
        <f>SUM(I66:I69)</f>
        <v>141002.27433749969</v>
      </c>
      <c r="K70" s="960">
        <f>SUM(K66:K69)</f>
        <v>156041.76580134354</v>
      </c>
      <c r="M70" s="960">
        <f>SUM(M66:M69)</f>
        <v>171280.58113456832</v>
      </c>
      <c r="O70" s="960">
        <f>SUM(O66:O69)</f>
        <v>187332.95066974231</v>
      </c>
      <c r="Q70" s="960">
        <f>SUM(Q66:Q69)</f>
        <v>203600.58080705849</v>
      </c>
      <c r="S70" s="960">
        <f>SUM(S66:S69)</f>
        <v>220082.38793350192</v>
      </c>
      <c r="U70" s="960">
        <f>SUM(U66:U69)</f>
        <v>236777.03640183946</v>
      </c>
      <c r="W70" s="960">
        <f>SUM(W66:W69)</f>
        <v>253067.5524526838</v>
      </c>
      <c r="Y70" s="960">
        <f>SUM(Y66:Y69)</f>
        <v>270182.79721932532</v>
      </c>
      <c r="AA70" s="960">
        <f>SUM(AA66:AA69)</f>
        <v>287505.21966211911</v>
      </c>
      <c r="AC70" s="960">
        <f>SUM(AC66:AC69)</f>
        <v>305032.32824362448</v>
      </c>
      <c r="AE70" s="960">
        <f>SUM(AE66:AE69)</f>
        <v>322761.30218931969</v>
      </c>
      <c r="AG70" s="960">
        <f>SUM(AG66:AG69)</f>
        <v>340055.14085679111</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15">
      <c r="A73" s="529"/>
      <c r="C73" s="970"/>
    </row>
    <row r="74" spans="1:34" s="217" customFormat="1" ht="13.15">
      <c r="A74" s="529"/>
      <c r="C74" s="183"/>
    </row>
    <row r="75" spans="1:34" s="217" customFormat="1">
      <c r="A75" s="960" t="s">
        <v>1722</v>
      </c>
      <c r="C75" s="183"/>
    </row>
    <row r="76" spans="1:34" s="217" customFormat="1">
      <c r="C76" s="183"/>
    </row>
    <row r="77" spans="1:34" s="234"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topLeftCell="A8" workbookViewId="0"/>
  </sheetViews>
  <sheetFormatPr defaultColWidth="0" defaultRowHeight="12.75" zeroHeight="1"/>
  <cols>
    <col min="1" max="1" width="161.73046875" customWidth="1"/>
    <col min="2" max="16384" width="8.86328125" hidden="1"/>
  </cols>
  <sheetData>
    <row r="1" spans="1:1" ht="46.15">
      <c r="A1" s="313" t="s">
        <v>971</v>
      </c>
    </row>
    <row r="2" spans="1:1" ht="15.4">
      <c r="A2" s="314"/>
    </row>
    <row r="3" spans="1:1" ht="15.4">
      <c r="A3" s="315" t="s">
        <v>966</v>
      </c>
    </row>
    <row r="4" spans="1:1" ht="15.4">
      <c r="A4" s="315" t="s">
        <v>967</v>
      </c>
    </row>
    <row r="5" spans="1:1" ht="15.4">
      <c r="A5" s="315" t="s">
        <v>968</v>
      </c>
    </row>
    <row r="6" spans="1:1" ht="15.4">
      <c r="A6" s="315" t="s">
        <v>970</v>
      </c>
    </row>
    <row r="7" spans="1:1" ht="15.4">
      <c r="A7" s="315" t="s">
        <v>969</v>
      </c>
    </row>
    <row r="8" spans="1:1" ht="15.4">
      <c r="A8" s="346" t="s">
        <v>1024</v>
      </c>
    </row>
    <row r="9" spans="1:1" ht="15.4">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328125" defaultRowHeight="12.75" zeroHeight="1"/>
  <cols>
    <col min="1" max="1" width="35.73046875" style="204" customWidth="1"/>
    <col min="2" max="4" width="14.73046875" style="204" customWidth="1"/>
    <col min="5" max="5" width="50.73046875" style="204" customWidth="1"/>
    <col min="6" max="253" width="9.1328125" style="204" customWidth="1"/>
    <col min="254" max="16384" width="9.1328125" style="204"/>
  </cols>
  <sheetData>
    <row r="1" spans="1:6" s="275" customFormat="1" ht="18" customHeight="1">
      <c r="A1" s="513" t="s">
        <v>1217</v>
      </c>
      <c r="D1" s="280"/>
    </row>
    <row r="2" spans="1:6" s="275" customFormat="1" ht="13.15">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1650000</v>
      </c>
      <c r="C5" s="266">
        <f>'Sources and Uses Budget'!$C4</f>
        <v>1650000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1650000</v>
      </c>
      <c r="C9" s="270">
        <f>SUM(C5:C8)</f>
        <v>1650000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130000</v>
      </c>
      <c r="C11" s="266">
        <f>'Sources and Uses Budget'!$C10</f>
        <v>130000</v>
      </c>
      <c r="D11" s="270">
        <f t="shared" si="0"/>
        <v>0</v>
      </c>
      <c r="E11" s="268"/>
      <c r="F11" s="267"/>
    </row>
    <row r="12" spans="1:6" s="352" customFormat="1">
      <c r="A12" s="365" t="s">
        <v>596</v>
      </c>
      <c r="B12" s="270">
        <f>SUM(B10:B11)</f>
        <v>130000</v>
      </c>
      <c r="C12" s="270">
        <f>SUM(C10:C11)</f>
        <v>130000</v>
      </c>
      <c r="D12" s="270">
        <f t="shared" si="0"/>
        <v>0</v>
      </c>
      <c r="E12" s="268"/>
      <c r="F12" s="267"/>
    </row>
    <row r="13" spans="1:6" s="352" customFormat="1">
      <c r="A13" s="365" t="s">
        <v>84</v>
      </c>
      <c r="B13" s="270">
        <f>SUM(B9+B12)</f>
        <v>1780000</v>
      </c>
      <c r="C13" s="270">
        <f>SUM(C9+C12)</f>
        <v>1780000</v>
      </c>
      <c r="D13" s="270">
        <f t="shared" si="0"/>
        <v>0</v>
      </c>
      <c r="E13" s="268"/>
      <c r="F13" s="267"/>
    </row>
    <row r="14" spans="1:6" s="352" customFormat="1">
      <c r="A14" s="366" t="s">
        <v>902</v>
      </c>
      <c r="B14" s="266">
        <f>'Sources and Uses Budget'!$C13</f>
        <v>29000</v>
      </c>
      <c r="C14" s="266">
        <f>'Sources and Uses Budget'!$C13</f>
        <v>29000</v>
      </c>
      <c r="D14" s="270">
        <f t="shared" si="0"/>
        <v>0</v>
      </c>
      <c r="E14" s="268"/>
      <c r="F14" s="267"/>
    </row>
    <row r="15" spans="1:6" s="352" customFormat="1" ht="23.25">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15">
      <c r="A27" s="1018" t="s">
        <v>133</v>
      </c>
      <c r="B27" s="270">
        <f>SUM(B18:B26)</f>
        <v>0</v>
      </c>
      <c r="C27" s="270">
        <f>SUM(C18:C26)</f>
        <v>0</v>
      </c>
      <c r="D27" s="270">
        <f>SUM(D18:D26)</f>
        <v>0</v>
      </c>
      <c r="E27" s="268"/>
      <c r="F27" s="267"/>
    </row>
    <row r="28" spans="1:6" s="352" customFormat="1" ht="13.15">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1400000</v>
      </c>
      <c r="C30" s="266">
        <f>'Sources and Uses Budget'!$C29</f>
        <v>1400000</v>
      </c>
      <c r="D30" s="270">
        <f t="shared" si="0"/>
        <v>0</v>
      </c>
      <c r="E30" s="268"/>
      <c r="F30" s="267"/>
    </row>
    <row r="31" spans="1:6" s="352" customFormat="1">
      <c r="A31" s="145" t="s">
        <v>599</v>
      </c>
      <c r="B31" s="266">
        <f>'Sources and Uses Budget'!$C30</f>
        <v>23684587</v>
      </c>
      <c r="C31" s="266">
        <f>'Sources and Uses Budget'!$C30</f>
        <v>23684587</v>
      </c>
      <c r="D31" s="270">
        <f t="shared" si="0"/>
        <v>0</v>
      </c>
      <c r="E31" s="268"/>
      <c r="F31" s="267"/>
    </row>
    <row r="32" spans="1:6" s="352" customFormat="1">
      <c r="A32" s="145" t="s">
        <v>600</v>
      </c>
      <c r="B32" s="266">
        <f>'Sources and Uses Budget'!$C31</f>
        <v>1958415</v>
      </c>
      <c r="C32" s="266">
        <f>'Sources and Uses Budget'!$C31</f>
        <v>1958415</v>
      </c>
      <c r="D32" s="270">
        <f t="shared" si="0"/>
        <v>0</v>
      </c>
      <c r="E32" s="268"/>
      <c r="F32" s="267"/>
    </row>
    <row r="33" spans="1:6" s="352" customFormat="1">
      <c r="A33" s="145" t="s">
        <v>137</v>
      </c>
      <c r="B33" s="266">
        <f>'Sources and Uses Budget'!$C32</f>
        <v>734405</v>
      </c>
      <c r="C33" s="266">
        <f>'Sources and Uses Budget'!$C32</f>
        <v>734405</v>
      </c>
      <c r="D33" s="270">
        <f t="shared" si="0"/>
        <v>0</v>
      </c>
      <c r="E33" s="268"/>
      <c r="F33" s="267"/>
    </row>
    <row r="34" spans="1:6" s="352" customFormat="1">
      <c r="A34" s="145" t="s">
        <v>138</v>
      </c>
      <c r="B34" s="266">
        <f>'Sources and Uses Budget'!$C33</f>
        <v>734405</v>
      </c>
      <c r="C34" s="266">
        <f>'Sources and Uses Budget'!$C33</f>
        <v>734405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269282</v>
      </c>
      <c r="C36" s="266">
        <f>'Sources and Uses Budget'!$C35</f>
        <v>269282</v>
      </c>
      <c r="D36" s="270">
        <f t="shared" si="0"/>
        <v>0</v>
      </c>
      <c r="E36" s="268"/>
      <c r="F36" s="267"/>
    </row>
    <row r="37" spans="1:6" s="352" customFormat="1">
      <c r="A37" s="283" t="s">
        <v>1640</v>
      </c>
      <c r="B37" s="266">
        <f>'Sources and Uses Budget'!$C36</f>
        <v>200000</v>
      </c>
      <c r="C37" s="266">
        <f>'Sources and Uses Budget'!$C36</f>
        <v>200000</v>
      </c>
      <c r="D37" s="270"/>
      <c r="E37" s="268"/>
      <c r="F37" s="267"/>
    </row>
    <row r="38" spans="1:6" s="352" customFormat="1">
      <c r="A38" s="155" t="str">
        <f>'Sources and Uses Budget'!A37</f>
        <v>Other: Performance and Payment Bond</v>
      </c>
      <c r="B38" s="266">
        <f>'Sources and Uses Budget'!$C37</f>
        <v>269282</v>
      </c>
      <c r="C38" s="266">
        <f>'Sources and Uses Budget'!$C37</f>
        <v>269282</v>
      </c>
      <c r="D38" s="270">
        <f t="shared" si="0"/>
        <v>0</v>
      </c>
      <c r="E38" s="268"/>
      <c r="F38" s="267"/>
    </row>
    <row r="39" spans="1:6" s="352" customFormat="1" ht="13.15">
      <c r="A39" s="271" t="s">
        <v>143</v>
      </c>
      <c r="B39" s="270">
        <f>SUM(B30:B38)</f>
        <v>29250376</v>
      </c>
      <c r="C39" s="270">
        <f>SUM(C30:C38)</f>
        <v>29250376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1389980</v>
      </c>
      <c r="C41" s="266">
        <f>'Sources and Uses Budget'!$C40</f>
        <v>1389980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15">
      <c r="A43" s="271" t="s">
        <v>147</v>
      </c>
      <c r="B43" s="270">
        <f>SUM(B41:B42)</f>
        <v>1389980</v>
      </c>
      <c r="C43" s="270">
        <f>SUM(C41:C42)</f>
        <v>1389980</v>
      </c>
      <c r="D43" s="270">
        <f t="shared" si="0"/>
        <v>0</v>
      </c>
      <c r="E43" s="268"/>
      <c r="F43" s="267"/>
    </row>
    <row r="44" spans="1:6" s="352" customFormat="1" ht="13.15">
      <c r="A44" s="271" t="s">
        <v>148</v>
      </c>
      <c r="B44" s="266">
        <f>'Sources and Uses Budget'!$C43</f>
        <v>209500</v>
      </c>
      <c r="C44" s="266">
        <f>'Sources and Uses Budget'!$C43</f>
        <v>209500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2800000</v>
      </c>
      <c r="C46" s="266">
        <f>'Sources and Uses Budget'!$C45</f>
        <v>2800000</v>
      </c>
      <c r="D46" s="270">
        <f t="shared" si="0"/>
        <v>0</v>
      </c>
      <c r="E46" s="268"/>
      <c r="F46" s="267"/>
    </row>
    <row r="47" spans="1:6" s="352" customFormat="1">
      <c r="A47" s="145" t="s">
        <v>151</v>
      </c>
      <c r="B47" s="266">
        <f>'Sources and Uses Budget'!$C46</f>
        <v>320000</v>
      </c>
      <c r="C47" s="266">
        <f>'Sources and Uses Budget'!$C46</f>
        <v>320000</v>
      </c>
      <c r="D47" s="270">
        <f t="shared" si="0"/>
        <v>0</v>
      </c>
      <c r="E47" s="268"/>
      <c r="F47" s="267"/>
    </row>
    <row r="48" spans="1:6" s="352" customFormat="1" ht="12" customHeight="1">
      <c r="A48" s="186" t="s">
        <v>152</v>
      </c>
      <c r="B48" s="266">
        <f>'Sources and Uses Budget'!$C47</f>
        <v>60500</v>
      </c>
      <c r="C48" s="266">
        <f>'Sources and Uses Budget'!$C47</f>
        <v>60500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156590</v>
      </c>
      <c r="C50" s="266">
        <f>'Sources and Uses Budget'!$C49</f>
        <v>156590</v>
      </c>
      <c r="D50" s="270">
        <f t="shared" si="0"/>
        <v>0</v>
      </c>
      <c r="E50" s="268"/>
      <c r="F50" s="267"/>
    </row>
    <row r="51" spans="1:6" s="352" customFormat="1">
      <c r="A51" s="145" t="s">
        <v>156</v>
      </c>
      <c r="B51" s="266">
        <f>'Sources and Uses Budget'!$C50</f>
        <v>65000</v>
      </c>
      <c r="C51" s="266">
        <f>'Sources and Uses Budget'!$C50</f>
        <v>65000</v>
      </c>
      <c r="D51" s="270">
        <f t="shared" si="0"/>
        <v>0</v>
      </c>
      <c r="E51" s="268"/>
      <c r="F51" s="267"/>
    </row>
    <row r="52" spans="1:6" s="352" customFormat="1">
      <c r="A52" s="283" t="s">
        <v>154</v>
      </c>
      <c r="B52" s="266">
        <f>'Sources and Uses Budget'!$C51</f>
        <v>40000</v>
      </c>
      <c r="C52" s="266">
        <f>'Sources and Uses Budget'!$C51</f>
        <v>40000</v>
      </c>
      <c r="D52" s="270">
        <f t="shared" si="0"/>
        <v>0</v>
      </c>
      <c r="E52" s="268"/>
      <c r="F52" s="267"/>
    </row>
    <row r="53" spans="1:6" s="352" customFormat="1">
      <c r="A53" s="145" t="s">
        <v>155</v>
      </c>
      <c r="B53" s="266">
        <f>'Sources and Uses Budget'!$C52</f>
        <v>422000</v>
      </c>
      <c r="C53" s="266">
        <f>'Sources and Uses Budget'!$C52</f>
        <v>422000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ht="13.15">
      <c r="A55" s="271" t="s">
        <v>157</v>
      </c>
      <c r="B55" s="273">
        <f>SUM(B46:B54)</f>
        <v>3864090</v>
      </c>
      <c r="C55" s="273">
        <f>SUM(C46:C54)</f>
        <v>3864090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12500</v>
      </c>
      <c r="C58" s="266">
        <f>'Sources and Uses Budget'!$C57</f>
        <v>12500</v>
      </c>
      <c r="D58" s="270">
        <f t="shared" si="0"/>
        <v>0</v>
      </c>
      <c r="E58" s="268"/>
      <c r="F58" s="267"/>
    </row>
    <row r="59" spans="1:6" s="352" customFormat="1">
      <c r="A59" s="269" t="s">
        <v>156</v>
      </c>
      <c r="B59" s="266">
        <f>'Sources and Uses Budget'!$C58</f>
        <v>30000</v>
      </c>
      <c r="C59" s="266">
        <f>'Sources and Uses Budget'!$C58</f>
        <v>30000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42500</v>
      </c>
      <c r="C63" s="270">
        <f>SUM(C57:C62)</f>
        <v>42500</v>
      </c>
      <c r="D63" s="270">
        <f t="shared" si="0"/>
        <v>0</v>
      </c>
      <c r="E63" s="268"/>
      <c r="F63" s="267"/>
    </row>
    <row r="64" spans="1:6" s="352" customFormat="1">
      <c r="A64" s="274" t="s">
        <v>301</v>
      </c>
      <c r="B64" s="270">
        <f>SUM(B9+B12+B14+B15+B17+B26+B28+B39+B43+B44+B55+B63)</f>
        <v>36565446</v>
      </c>
      <c r="C64" s="270">
        <f>SUM(C9+C12+C14+C15+C17+C26+C28+C39+C43+C44+C55+C63)</f>
        <v>36565446</v>
      </c>
      <c r="D64" s="270">
        <f t="shared" si="0"/>
        <v>0</v>
      </c>
      <c r="E64" s="268"/>
      <c r="F64" s="267"/>
    </row>
    <row r="65" spans="1:6" s="352" customFormat="1" ht="23.25">
      <c r="A65" s="141" t="s">
        <v>1644</v>
      </c>
      <c r="B65" s="264"/>
      <c r="C65" s="264"/>
      <c r="D65" s="264"/>
      <c r="E65" s="282"/>
      <c r="F65" s="264"/>
    </row>
    <row r="66" spans="1:6" s="352" customFormat="1">
      <c r="A66" s="145" t="s">
        <v>170</v>
      </c>
      <c r="B66" s="266">
        <f>'Sources and Uses Budget'!$C65</f>
        <v>95000</v>
      </c>
      <c r="C66" s="266">
        <f>'Sources and Uses Budget'!$C65</f>
        <v>95000</v>
      </c>
      <c r="D66" s="270">
        <f t="shared" si="0"/>
        <v>0</v>
      </c>
      <c r="E66" s="268"/>
      <c r="F66" s="267"/>
    </row>
    <row r="67" spans="1:6" s="352" customFormat="1" ht="23.25">
      <c r="A67" s="283" t="s">
        <v>1641</v>
      </c>
      <c r="B67" s="266">
        <f>'Sources and Uses Budget'!$C66</f>
        <v>0</v>
      </c>
      <c r="C67" s="266">
        <f>'Sources and Uses Budget'!$C66</f>
        <v>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Owner/Developer Legal</v>
      </c>
      <c r="B70" s="266">
        <f>'Sources and Uses Budget'!$C69</f>
        <v>109100</v>
      </c>
      <c r="C70" s="266">
        <f>'Sources and Uses Budget'!$C69</f>
        <v>109100</v>
      </c>
      <c r="D70" s="270">
        <f t="shared" si="0"/>
        <v>0</v>
      </c>
      <c r="E70" s="268"/>
      <c r="F70" s="267"/>
    </row>
    <row r="71" spans="1:6" s="352" customFormat="1">
      <c r="A71" s="149" t="s">
        <v>1645</v>
      </c>
      <c r="B71" s="270">
        <f>SUM(B66:B70)</f>
        <v>204100</v>
      </c>
      <c r="C71" s="270">
        <f>SUM(C66:C70)</f>
        <v>204100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807271</v>
      </c>
      <c r="C76" s="266">
        <f>'Sources and Uses Budget'!$C75</f>
        <v>807271</v>
      </c>
      <c r="D76" s="270">
        <f t="shared" si="0"/>
        <v>0</v>
      </c>
      <c r="E76" s="268"/>
      <c r="F76" s="267"/>
    </row>
    <row r="77" spans="1:6" s="352" customFormat="1">
      <c r="A77" s="272" t="s">
        <v>34</v>
      </c>
      <c r="B77" s="266">
        <f>'Sources and Uses Budget'!$C76</f>
        <v>24300</v>
      </c>
      <c r="C77" s="266">
        <f>'Sources and Uses Budget'!$C76</f>
        <v>24300</v>
      </c>
      <c r="D77" s="270">
        <f t="shared" si="0"/>
        <v>0</v>
      </c>
      <c r="E77" s="268"/>
      <c r="F77" s="267"/>
    </row>
    <row r="78" spans="1:6" s="352" customFormat="1" ht="13.15">
      <c r="A78" s="271" t="s">
        <v>606</v>
      </c>
      <c r="B78" s="270">
        <f>SUM(B73:B77)</f>
        <v>831571</v>
      </c>
      <c r="C78" s="270">
        <f>SUM(C73:C77)</f>
        <v>831571</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1459019</v>
      </c>
      <c r="C80" s="266">
        <f>'Sources and Uses Budget'!$C79</f>
        <v>1459019</v>
      </c>
      <c r="D80" s="270">
        <f t="shared" si="1"/>
        <v>0</v>
      </c>
      <c r="E80" s="268"/>
      <c r="F80" s="267"/>
    </row>
    <row r="81" spans="1:6" s="352" customFormat="1">
      <c r="A81" s="510" t="s">
        <v>58</v>
      </c>
      <c r="B81" s="266">
        <f>'Sources and Uses Budget'!$C80</f>
        <v>356578</v>
      </c>
      <c r="C81" s="266">
        <f>'Sources and Uses Budget'!$C80</f>
        <v>356578</v>
      </c>
      <c r="D81" s="270">
        <f>C81-B81</f>
        <v>0</v>
      </c>
      <c r="E81" s="268"/>
      <c r="F81" s="267"/>
    </row>
    <row r="82" spans="1:6" s="352" customFormat="1" ht="13.15">
      <c r="A82" s="271" t="s">
        <v>1209</v>
      </c>
      <c r="B82" s="270">
        <f>SUM(B80:B81)</f>
        <v>1815597</v>
      </c>
      <c r="C82" s="270">
        <f>SUM(C80:C81)</f>
        <v>1815597</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81400</v>
      </c>
      <c r="C84" s="266">
        <f>'Sources and Uses Budget'!$C83</f>
        <v>81400</v>
      </c>
      <c r="D84" s="270">
        <f t="shared" si="1"/>
        <v>0</v>
      </c>
      <c r="E84" s="268"/>
      <c r="F84" s="267"/>
    </row>
    <row r="85" spans="1:6" s="352" customFormat="1">
      <c r="A85" s="269" t="s">
        <v>767</v>
      </c>
      <c r="B85" s="266">
        <f>'Sources and Uses Budget'!$C84</f>
        <v>4600</v>
      </c>
      <c r="C85" s="266">
        <f>'Sources and Uses Budget'!$C84</f>
        <v>4600</v>
      </c>
      <c r="D85" s="270">
        <f t="shared" si="1"/>
        <v>0</v>
      </c>
      <c r="E85" s="268"/>
      <c r="F85" s="267"/>
    </row>
    <row r="86" spans="1:6" s="352" customFormat="1">
      <c r="A86" s="269" t="s">
        <v>768</v>
      </c>
      <c r="B86" s="266">
        <f>'Sources and Uses Budget'!$C85</f>
        <v>2822232</v>
      </c>
      <c r="C86" s="266">
        <f>'Sources and Uses Budget'!$C85</f>
        <v>2822232</v>
      </c>
      <c r="D86" s="270">
        <f t="shared" si="1"/>
        <v>0</v>
      </c>
      <c r="E86" s="268"/>
      <c r="F86" s="267"/>
    </row>
    <row r="87" spans="1:6" s="352" customFormat="1">
      <c r="A87" s="269" t="s">
        <v>769</v>
      </c>
      <c r="B87" s="266">
        <f>'Sources and Uses Budget'!$C86</f>
        <v>216111</v>
      </c>
      <c r="C87" s="266">
        <f>'Sources and Uses Budget'!$C86</f>
        <v>216111</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209500</v>
      </c>
      <c r="C89" s="266">
        <f>'Sources and Uses Budget'!$C88</f>
        <v>209500</v>
      </c>
      <c r="D89" s="270">
        <f t="shared" si="1"/>
        <v>0</v>
      </c>
      <c r="E89" s="268"/>
      <c r="F89" s="267"/>
    </row>
    <row r="90" spans="1:6" s="352" customFormat="1">
      <c r="A90" s="269" t="s">
        <v>772</v>
      </c>
      <c r="B90" s="266">
        <f>'Sources and Uses Budget'!$C89</f>
        <v>364200</v>
      </c>
      <c r="C90" s="266">
        <f>'Sources and Uses Budget'!$C89</f>
        <v>364200</v>
      </c>
      <c r="D90" s="270">
        <f t="shared" si="1"/>
        <v>0</v>
      </c>
      <c r="E90" s="268"/>
      <c r="F90" s="267"/>
    </row>
    <row r="91" spans="1:6" s="352" customFormat="1">
      <c r="A91" s="269" t="s">
        <v>773</v>
      </c>
      <c r="B91" s="266">
        <f>'Sources and Uses Budget'!$C90</f>
        <v>14500</v>
      </c>
      <c r="C91" s="266">
        <f>'Sources and Uses Budget'!$C90</f>
        <v>14500</v>
      </c>
      <c r="D91" s="270">
        <f t="shared" si="1"/>
        <v>0</v>
      </c>
      <c r="E91" s="268"/>
      <c r="F91" s="267"/>
    </row>
    <row r="92" spans="1:6" s="352" customFormat="1">
      <c r="A92" s="269" t="s">
        <v>371</v>
      </c>
      <c r="B92" s="266">
        <f>'Sources and Uses Budget'!$C91</f>
        <v>35500</v>
      </c>
      <c r="C92" s="266">
        <f>'Sources and Uses Budget'!$C91</f>
        <v>35500</v>
      </c>
      <c r="D92" s="270">
        <f t="shared" si="1"/>
        <v>0</v>
      </c>
      <c r="E92" s="268"/>
      <c r="F92" s="267"/>
    </row>
    <row r="93" spans="1:6" s="352" customFormat="1">
      <c r="A93" s="510" t="s">
        <v>1211</v>
      </c>
      <c r="B93" s="266">
        <f>'Sources and Uses Budget'!$C92</f>
        <v>4500</v>
      </c>
      <c r="C93" s="266">
        <f>'Sources and Uses Budget'!$C92</f>
        <v>4500</v>
      </c>
      <c r="D93" s="270">
        <f t="shared" si="1"/>
        <v>0</v>
      </c>
      <c r="E93" s="268"/>
      <c r="F93" s="267"/>
    </row>
    <row r="94" spans="1:6" s="352" customFormat="1">
      <c r="A94" s="272" t="s">
        <v>34</v>
      </c>
      <c r="B94" s="266">
        <f>'Sources and Uses Budget'!$C93</f>
        <v>535000</v>
      </c>
      <c r="C94" s="266">
        <f>'Sources and Uses Budget'!$C93</f>
        <v>535000</v>
      </c>
      <c r="D94" s="270">
        <f t="shared" si="1"/>
        <v>0</v>
      </c>
      <c r="E94" s="268"/>
      <c r="F94" s="267"/>
    </row>
    <row r="95" spans="1:6" s="352" customFormat="1">
      <c r="A95" s="272" t="s">
        <v>34</v>
      </c>
      <c r="B95" s="266">
        <f>'Sources and Uses Budget'!$C94</f>
        <v>150000</v>
      </c>
      <c r="C95" s="266">
        <f>'Sources and Uses Budget'!$C94</f>
        <v>150000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15">
      <c r="A97" s="271" t="s">
        <v>774</v>
      </c>
      <c r="B97" s="270">
        <f>SUM(B84:B96)</f>
        <v>4437543</v>
      </c>
      <c r="C97" s="270">
        <f>SUM(C84:C96)</f>
        <v>4437543</v>
      </c>
      <c r="D97" s="270">
        <f t="shared" si="1"/>
        <v>0</v>
      </c>
      <c r="E97" s="268"/>
      <c r="F97" s="267"/>
    </row>
    <row r="98" spans="1:6" s="352" customFormat="1" ht="13.15">
      <c r="A98" s="271" t="s">
        <v>775</v>
      </c>
      <c r="B98" s="270">
        <f>SUM(B64+B71+B78+B82+B97)</f>
        <v>43854257</v>
      </c>
      <c r="C98" s="270">
        <f>SUM(C64+C71+C78+C82+C97)</f>
        <v>43854257</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3900000</v>
      </c>
      <c r="C100" s="266">
        <f>'Sources and Uses Budget'!$C99</f>
        <v>3900000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15">
      <c r="A105" s="271" t="s">
        <v>779</v>
      </c>
      <c r="B105" s="270">
        <f>SUM(B100:B104)</f>
        <v>3900000</v>
      </c>
      <c r="C105" s="270">
        <f>SUM(C100:C104)</f>
        <v>3900000</v>
      </c>
      <c r="D105" s="270">
        <f t="shared" si="1"/>
        <v>0</v>
      </c>
      <c r="E105" s="268"/>
      <c r="F105" s="267"/>
    </row>
    <row r="106" spans="1:6" s="352" customFormat="1" ht="13.15">
      <c r="A106" s="271" t="s">
        <v>780</v>
      </c>
      <c r="B106" s="273">
        <f>SUM(B98+B105)</f>
        <v>47754257</v>
      </c>
      <c r="C106" s="273">
        <f>SUM(C98+C105)</f>
        <v>47754257</v>
      </c>
      <c r="D106" s="270">
        <f t="shared" si="1"/>
        <v>0</v>
      </c>
      <c r="E106" s="268"/>
      <c r="F106" s="267"/>
    </row>
    <row r="107" spans="1:6" s="352" customFormat="1" ht="13.15">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35" workbookViewId="0">
      <selection activeCell="A4" sqref="A4:J18"/>
    </sheetView>
  </sheetViews>
  <sheetFormatPr defaultColWidth="0" defaultRowHeight="12.4" customHeight="1" zeroHeight="1"/>
  <cols>
    <col min="1" max="10" width="10.73046875" style="402" customWidth="1"/>
    <col min="11" max="16384" width="8.86328125" style="402" hidden="1"/>
  </cols>
  <sheetData>
    <row r="1" spans="1:10" ht="15">
      <c r="A1" s="1275" t="s">
        <v>1869</v>
      </c>
      <c r="B1" s="1276"/>
      <c r="C1" s="1276"/>
      <c r="D1" s="1276"/>
      <c r="E1" s="1276"/>
      <c r="F1" s="1276"/>
      <c r="G1" s="1276"/>
      <c r="H1" s="1276"/>
      <c r="I1" s="1276"/>
      <c r="J1" s="1276"/>
    </row>
    <row r="2" spans="1:10" ht="15">
      <c r="A2" s="1279" t="s">
        <v>1268</v>
      </c>
      <c r="B2" s="1280"/>
      <c r="C2" s="1280"/>
      <c r="D2" s="1280"/>
      <c r="E2" s="1280"/>
      <c r="F2" s="1280"/>
      <c r="G2" s="1280"/>
      <c r="H2" s="1280"/>
      <c r="I2" s="1280"/>
      <c r="J2" s="1280"/>
    </row>
    <row r="3" spans="1:10" ht="12.75"/>
    <row r="4" spans="1:10" ht="12.75" customHeight="1">
      <c r="A4" s="1277" t="s">
        <v>2047</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1" t="s">
        <v>1874</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1189</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1190</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3.15">
      <c r="A71" s="1278" t="s">
        <v>1870</v>
      </c>
      <c r="B71" s="1278"/>
      <c r="C71" s="1278"/>
      <c r="D71" s="1278"/>
      <c r="E71" s="1278"/>
      <c r="F71" s="1278"/>
      <c r="G71" s="1278"/>
      <c r="H71" s="1278"/>
      <c r="I71" s="1278"/>
    </row>
    <row r="72" spans="1:9" ht="12.75">
      <c r="A72" s="1270" t="s">
        <v>2045</v>
      </c>
      <c r="B72" s="1270"/>
      <c r="C72" s="1270"/>
      <c r="D72" s="1270"/>
      <c r="E72" s="1270"/>
    </row>
    <row r="73" spans="1:9" ht="12.75">
      <c r="A73" s="1270" t="s">
        <v>2046</v>
      </c>
      <c r="B73" s="1270"/>
      <c r="C73" s="1270"/>
      <c r="D73" s="1270"/>
      <c r="E73" s="1270"/>
    </row>
    <row r="74" spans="1:9" ht="12.75">
      <c r="A74" s="1270" t="s">
        <v>1871</v>
      </c>
      <c r="B74" s="1270"/>
      <c r="C74" s="1270"/>
      <c r="D74" s="1270"/>
      <c r="E74" s="1270"/>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18"/>
  <sheetViews>
    <sheetView showGridLines="0" topLeftCell="A1008" workbookViewId="0">
      <selection activeCell="D794" sqref="D794:F796"/>
    </sheetView>
  </sheetViews>
  <sheetFormatPr defaultColWidth="0" defaultRowHeight="13.15" zeroHeight="1"/>
  <cols>
    <col min="1" max="1" width="3.59765625" style="480" customWidth="1"/>
    <col min="2" max="2" width="13.59765625" style="480" customWidth="1"/>
    <col min="3" max="3" width="2.59765625" style="480" customWidth="1"/>
    <col min="4" max="5" width="3.59765625" style="402" customWidth="1"/>
    <col min="6" max="6" width="65.59765625" style="402" customWidth="1"/>
    <col min="7" max="7" width="1.59765625" style="402" customWidth="1"/>
    <col min="8" max="8" width="3.59765625" style="402" customWidth="1"/>
    <col min="9" max="9" width="9.1328125" style="404" customWidth="1"/>
    <col min="10" max="10" width="8.86328125" style="402" hidden="1" customWidth="1"/>
    <col min="11" max="16384" width="8.86328125" style="402" hidden="1"/>
  </cols>
  <sheetData>
    <row r="1" spans="1:13"/>
    <row r="2" spans="1:13">
      <c r="A2" s="1332" t="s">
        <v>2459</v>
      </c>
      <c r="B2" s="1332"/>
      <c r="C2" s="1332"/>
      <c r="D2" s="1332"/>
      <c r="E2" s="1332"/>
      <c r="F2" s="1332"/>
      <c r="G2" s="1332"/>
      <c r="H2" s="1332"/>
      <c r="I2" s="1332"/>
    </row>
    <row r="3" spans="1:13">
      <c r="A3" s="1320" t="s">
        <v>2219</v>
      </c>
      <c r="B3" s="1320"/>
      <c r="C3" s="1320"/>
      <c r="D3" s="1320"/>
      <c r="E3" s="1320"/>
      <c r="F3" s="1320"/>
      <c r="G3" s="1320"/>
      <c r="H3" s="1320"/>
      <c r="I3" s="1320"/>
    </row>
    <row r="4" spans="1:13">
      <c r="A4" s="1320"/>
      <c r="B4" s="1320"/>
      <c r="C4" s="1280"/>
      <c r="D4" s="1280"/>
      <c r="E4" s="1280"/>
      <c r="F4" s="1280"/>
      <c r="G4" s="1280"/>
    </row>
    <row r="5" spans="1:13">
      <c r="A5" s="1320"/>
      <c r="B5" s="1320"/>
      <c r="C5" s="1280"/>
      <c r="D5" s="1280"/>
      <c r="E5" s="1280"/>
      <c r="F5" s="1280"/>
      <c r="G5" s="1280"/>
    </row>
    <row r="6" spans="1:13" ht="12.75" customHeight="1">
      <c r="A6" s="1323" t="s">
        <v>2218</v>
      </c>
      <c r="B6" s="1323"/>
      <c r="C6" s="1323"/>
      <c r="D6" s="1323"/>
      <c r="E6" s="1323"/>
      <c r="F6" s="1323"/>
      <c r="G6" s="1323"/>
      <c r="I6" s="490"/>
    </row>
    <row r="7" spans="1:13">
      <c r="A7" s="1323"/>
      <c r="B7" s="1323"/>
      <c r="C7" s="1323"/>
      <c r="D7" s="1323"/>
      <c r="E7" s="1323"/>
      <c r="F7" s="1323"/>
      <c r="G7" s="1323"/>
      <c r="I7" s="490"/>
    </row>
    <row r="8" spans="1:13">
      <c r="A8" s="481"/>
      <c r="B8" s="481"/>
      <c r="C8" s="482"/>
      <c r="D8" s="482"/>
      <c r="E8" s="482"/>
      <c r="F8" s="482"/>
    </row>
    <row r="9" spans="1:13">
      <c r="A9" s="1309" t="s">
        <v>1101</v>
      </c>
      <c r="B9" s="1309"/>
      <c r="C9" s="1309"/>
      <c r="D9" s="1309"/>
      <c r="E9" s="1309"/>
      <c r="F9" s="1309"/>
      <c r="G9" s="1309"/>
      <c r="H9" s="1028"/>
      <c r="I9" s="1029"/>
    </row>
    <row r="10" spans="1:13">
      <c r="A10" s="482"/>
      <c r="B10" s="482"/>
      <c r="E10" s="404"/>
    </row>
    <row r="11" spans="1:13" ht="13.7" customHeight="1">
      <c r="C11" s="482"/>
      <c r="D11" s="1322" t="s">
        <v>1100</v>
      </c>
      <c r="E11" s="1322"/>
      <c r="F11" s="1322"/>
    </row>
    <row r="12" spans="1:13">
      <c r="C12" s="482"/>
      <c r="D12" s="1322"/>
      <c r="E12" s="1322"/>
      <c r="F12" s="1322"/>
    </row>
    <row r="13" spans="1:13">
      <c r="A13" s="483"/>
      <c r="B13" s="483"/>
      <c r="C13" s="483"/>
      <c r="D13" s="1300" t="s">
        <v>1090</v>
      </c>
      <c r="E13" s="1300"/>
      <c r="F13" s="1300"/>
      <c r="M13" s="96"/>
    </row>
    <row r="14" spans="1:13">
      <c r="A14" s="483"/>
      <c r="B14" s="483"/>
      <c r="C14" s="483"/>
      <c r="D14" s="476"/>
      <c r="L14" s="312"/>
    </row>
    <row r="15" spans="1:13">
      <c r="A15" s="484"/>
      <c r="B15" s="485" t="s">
        <v>2757</v>
      </c>
      <c r="C15" s="483"/>
      <c r="D15" s="1302" t="s">
        <v>1922</v>
      </c>
      <c r="E15" s="1302"/>
      <c r="F15" s="1302"/>
      <c r="I15" s="490"/>
    </row>
    <row r="16" spans="1:13">
      <c r="A16" s="483"/>
      <c r="B16" s="483"/>
      <c r="C16" s="483"/>
      <c r="D16" s="1302"/>
      <c r="E16" s="1302"/>
      <c r="F16" s="1302"/>
      <c r="I16" s="490"/>
    </row>
    <row r="17" spans="1:9">
      <c r="A17" s="483"/>
      <c r="B17" s="483"/>
      <c r="C17" s="483"/>
      <c r="D17" s="1302"/>
      <c r="E17" s="1302"/>
      <c r="F17" s="1302"/>
      <c r="I17" s="490"/>
    </row>
    <row r="18" spans="1:9">
      <c r="A18" s="483"/>
      <c r="B18" s="483"/>
      <c r="C18" s="483"/>
      <c r="D18" s="445"/>
      <c r="E18" s="312" t="s">
        <v>1920</v>
      </c>
      <c r="F18" s="445"/>
      <c r="I18" s="490"/>
    </row>
    <row r="19" spans="1:9">
      <c r="A19" s="483"/>
      <c r="B19" s="483"/>
      <c r="C19" s="483"/>
      <c r="I19" s="490"/>
    </row>
    <row r="20" spans="1:9">
      <c r="A20" s="484"/>
      <c r="B20" s="485" t="s">
        <v>2757</v>
      </c>
      <c r="D20" s="1302" t="s">
        <v>1923</v>
      </c>
      <c r="E20" s="1302"/>
      <c r="F20" s="1302"/>
      <c r="I20" s="490"/>
    </row>
    <row r="21" spans="1:9">
      <c r="A21" s="484"/>
      <c r="D21" s="1302"/>
      <c r="E21" s="1302"/>
      <c r="F21" s="1302"/>
      <c r="I21" s="490"/>
    </row>
    <row r="22" spans="1:9">
      <c r="A22" s="484"/>
      <c r="D22" s="392"/>
      <c r="E22" s="96" t="s">
        <v>1919</v>
      </c>
      <c r="F22" s="392"/>
      <c r="I22" s="490"/>
    </row>
    <row r="23" spans="1:9">
      <c r="A23" s="484"/>
      <c r="B23" s="484"/>
      <c r="D23" s="446"/>
      <c r="I23" s="490"/>
    </row>
    <row r="24" spans="1:9">
      <c r="A24" s="484"/>
      <c r="B24" s="485" t="s">
        <v>2758</v>
      </c>
      <c r="D24" s="1302" t="s">
        <v>1091</v>
      </c>
      <c r="E24" s="1302"/>
      <c r="F24" s="1302"/>
      <c r="I24" s="490"/>
    </row>
    <row r="25" spans="1:9">
      <c r="A25" s="484"/>
      <c r="B25" s="484"/>
      <c r="D25" s="1302"/>
      <c r="E25" s="1302"/>
      <c r="F25" s="1302"/>
      <c r="I25" s="490"/>
    </row>
    <row r="26" spans="1:9">
      <c r="I26" s="490"/>
    </row>
    <row r="27" spans="1:9">
      <c r="A27" s="484"/>
      <c r="B27" s="485" t="s">
        <v>2757</v>
      </c>
      <c r="D27" s="1302" t="s">
        <v>2048</v>
      </c>
      <c r="E27" s="1302"/>
      <c r="F27" s="1302"/>
      <c r="I27" s="490"/>
    </row>
    <row r="28" spans="1:9">
      <c r="D28" s="1302"/>
      <c r="E28" s="1302"/>
      <c r="F28" s="1302"/>
      <c r="I28" s="490"/>
    </row>
    <row r="29" spans="1:9">
      <c r="D29" s="1302"/>
      <c r="E29" s="1302"/>
      <c r="F29" s="1302"/>
      <c r="I29" s="490"/>
    </row>
    <row r="30" spans="1:9">
      <c r="D30" s="1302"/>
      <c r="E30" s="1302"/>
      <c r="F30" s="1302"/>
      <c r="I30" s="490"/>
    </row>
    <row r="31" spans="1:9">
      <c r="D31" s="1302"/>
      <c r="E31" s="1302"/>
      <c r="F31" s="1302"/>
      <c r="I31" s="490"/>
    </row>
    <row r="32" spans="1:9">
      <c r="D32" s="447"/>
      <c r="I32" s="490"/>
    </row>
    <row r="33" spans="1:9">
      <c r="B33" s="485" t="s">
        <v>2758</v>
      </c>
      <c r="D33" s="1302" t="s">
        <v>2049</v>
      </c>
      <c r="E33" s="1302"/>
      <c r="F33" s="1302"/>
      <c r="I33" s="490"/>
    </row>
    <row r="34" spans="1:9">
      <c r="D34" s="1302"/>
      <c r="E34" s="1302"/>
      <c r="F34" s="1302"/>
      <c r="I34" s="490"/>
    </row>
    <row r="35" spans="1:9">
      <c r="A35" s="484"/>
      <c r="B35" s="484"/>
      <c r="D35" s="447"/>
      <c r="I35" s="490"/>
    </row>
    <row r="36" spans="1:9" ht="14.45" customHeight="1">
      <c r="A36" s="484"/>
      <c r="B36" s="485" t="s">
        <v>2757</v>
      </c>
      <c r="D36" s="1302" t="s">
        <v>1214</v>
      </c>
      <c r="E36" s="1302"/>
      <c r="F36" s="1302"/>
      <c r="I36" s="490"/>
    </row>
    <row r="37" spans="1:9">
      <c r="A37" s="484"/>
      <c r="B37" s="484"/>
      <c r="D37" s="1302"/>
      <c r="E37" s="1302"/>
      <c r="F37" s="1302"/>
      <c r="I37" s="490"/>
    </row>
    <row r="38" spans="1:9">
      <c r="A38" s="484"/>
      <c r="B38" s="484"/>
      <c r="D38" s="1302"/>
      <c r="E38" s="1302"/>
      <c r="F38" s="1302"/>
      <c r="I38" s="490"/>
    </row>
    <row r="39" spans="1:9">
      <c r="A39" s="484"/>
      <c r="B39" s="484"/>
      <c r="D39" s="1302"/>
      <c r="E39" s="1302"/>
      <c r="F39" s="1302"/>
      <c r="I39" s="490"/>
    </row>
    <row r="40" spans="1:9">
      <c r="A40" s="484"/>
      <c r="B40" s="484"/>
      <c r="I40" s="490"/>
    </row>
    <row r="41" spans="1:9">
      <c r="A41" s="484"/>
      <c r="B41" s="485" t="s">
        <v>2758</v>
      </c>
      <c r="D41" s="1302" t="s">
        <v>1092</v>
      </c>
      <c r="E41" s="1302"/>
      <c r="F41" s="1302"/>
      <c r="I41" s="490"/>
    </row>
    <row r="42" spans="1:9">
      <c r="A42" s="484"/>
      <c r="B42" s="484"/>
      <c r="D42" s="1302"/>
      <c r="E42" s="1302"/>
      <c r="F42" s="1302"/>
      <c r="I42" s="490"/>
    </row>
    <row r="43" spans="1:9">
      <c r="A43" s="484"/>
      <c r="B43" s="484"/>
      <c r="D43" s="1302"/>
      <c r="E43" s="1302"/>
      <c r="F43" s="1302"/>
      <c r="I43" s="490"/>
    </row>
    <row r="44" spans="1:9">
      <c r="A44" s="484"/>
      <c r="B44" s="484"/>
      <c r="D44" s="1302"/>
      <c r="E44" s="1302"/>
      <c r="F44" s="1302"/>
      <c r="I44" s="490"/>
    </row>
    <row r="45" spans="1:9">
      <c r="A45" s="484"/>
      <c r="B45" s="484"/>
      <c r="D45" s="1302"/>
      <c r="E45" s="1302"/>
      <c r="F45" s="1302"/>
      <c r="I45" s="490"/>
    </row>
    <row r="46" spans="1:9">
      <c r="A46" s="484"/>
      <c r="B46" s="484"/>
      <c r="D46" s="445"/>
      <c r="E46" s="445"/>
      <c r="F46" s="445"/>
      <c r="I46" s="490"/>
    </row>
    <row r="47" spans="1:9">
      <c r="A47" s="484"/>
      <c r="B47" s="485" t="s">
        <v>2757</v>
      </c>
      <c r="D47" s="1302" t="s">
        <v>1093</v>
      </c>
      <c r="E47" s="1302"/>
      <c r="F47" s="1302"/>
      <c r="I47" s="490"/>
    </row>
    <row r="48" spans="1:9">
      <c r="A48" s="484"/>
      <c r="B48" s="484"/>
      <c r="D48" s="1302"/>
      <c r="E48" s="1302"/>
      <c r="F48" s="1302"/>
      <c r="I48" s="490"/>
    </row>
    <row r="49" spans="1:9">
      <c r="A49" s="484"/>
      <c r="B49" s="484"/>
      <c r="D49" s="1302"/>
      <c r="E49" s="1302"/>
      <c r="F49" s="1302"/>
      <c r="I49" s="490"/>
    </row>
    <row r="50" spans="1:9" ht="23.25" customHeight="1">
      <c r="A50" s="484"/>
      <c r="B50" s="484"/>
      <c r="D50" s="1302"/>
      <c r="E50" s="1302"/>
      <c r="F50" s="1302"/>
      <c r="I50" s="490"/>
    </row>
    <row r="51" spans="1:9">
      <c r="A51" s="484"/>
      <c r="B51" s="484"/>
      <c r="D51" s="446"/>
      <c r="I51" s="490"/>
    </row>
    <row r="52" spans="1:9" ht="14.45" customHeight="1">
      <c r="A52" s="484"/>
      <c r="B52" s="485" t="s">
        <v>2758</v>
      </c>
      <c r="D52" s="1302" t="s">
        <v>1094</v>
      </c>
      <c r="E52" s="1302"/>
      <c r="F52" s="1302"/>
      <c r="I52" s="490"/>
    </row>
    <row r="53" spans="1:9">
      <c r="A53" s="484"/>
      <c r="B53" s="484"/>
      <c r="D53" s="1302"/>
      <c r="E53" s="1302"/>
      <c r="F53" s="1302"/>
      <c r="I53" s="490"/>
    </row>
    <row r="54" spans="1:9">
      <c r="A54" s="484"/>
      <c r="B54" s="484"/>
      <c r="D54" s="1302"/>
      <c r="E54" s="1302"/>
      <c r="F54" s="1302"/>
      <c r="I54" s="490"/>
    </row>
    <row r="55" spans="1:9">
      <c r="A55" s="484"/>
      <c r="B55" s="484"/>
      <c r="I55" s="490"/>
    </row>
    <row r="56" spans="1:9">
      <c r="A56" s="484"/>
      <c r="B56" s="485" t="s">
        <v>2757</v>
      </c>
      <c r="D56" s="1325" t="s">
        <v>1095</v>
      </c>
      <c r="E56" s="1325"/>
      <c r="F56" s="1325"/>
      <c r="I56" s="490"/>
    </row>
    <row r="57" spans="1:9">
      <c r="A57" s="484"/>
      <c r="B57" s="484"/>
      <c r="D57" s="1325"/>
      <c r="E57" s="1325"/>
      <c r="F57" s="1325"/>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2758</v>
      </c>
      <c r="D61" s="1302" t="s">
        <v>1096</v>
      </c>
      <c r="E61" s="1302"/>
      <c r="F61" s="1302"/>
      <c r="I61" s="490"/>
    </row>
    <row r="62" spans="1:9">
      <c r="D62" s="1302"/>
      <c r="E62" s="1302"/>
      <c r="F62" s="1302"/>
      <c r="I62" s="490"/>
    </row>
    <row r="63" spans="1:9">
      <c r="D63" s="1302"/>
      <c r="E63" s="1302"/>
      <c r="F63" s="1302"/>
      <c r="I63" s="490"/>
    </row>
    <row r="64" spans="1:9">
      <c r="I64" s="490"/>
    </row>
    <row r="65" spans="1:9">
      <c r="A65" s="484"/>
      <c r="B65" s="485" t="s">
        <v>2758</v>
      </c>
      <c r="D65" s="1302" t="s">
        <v>1097</v>
      </c>
      <c r="E65" s="1302"/>
      <c r="F65" s="1302"/>
      <c r="I65" s="490"/>
    </row>
    <row r="66" spans="1:9">
      <c r="D66" s="1302"/>
      <c r="E66" s="1302"/>
      <c r="F66" s="1302"/>
      <c r="I66" s="490"/>
    </row>
    <row r="67" spans="1:9">
      <c r="I67" s="490"/>
    </row>
    <row r="68" spans="1:9">
      <c r="A68" s="484"/>
      <c r="B68" s="485" t="s">
        <v>2757</v>
      </c>
      <c r="D68" s="1302" t="s">
        <v>1098</v>
      </c>
      <c r="E68" s="1302"/>
      <c r="F68" s="1302"/>
      <c r="I68" s="490"/>
    </row>
    <row r="69" spans="1:9">
      <c r="D69" s="1302"/>
      <c r="E69" s="1302"/>
      <c r="F69" s="1302"/>
      <c r="I69" s="490"/>
    </row>
    <row r="70" spans="1:9">
      <c r="D70" s="1302"/>
      <c r="E70" s="1302"/>
      <c r="F70" s="1302"/>
      <c r="I70" s="490"/>
    </row>
    <row r="71" spans="1:9">
      <c r="I71" s="490"/>
    </row>
    <row r="72" spans="1:9">
      <c r="A72" s="484"/>
      <c r="B72" s="485" t="s">
        <v>2758</v>
      </c>
      <c r="D72" s="1302" t="s">
        <v>1099</v>
      </c>
      <c r="E72" s="1302"/>
      <c r="F72" s="1302"/>
      <c r="I72" s="490"/>
    </row>
    <row r="73" spans="1:9">
      <c r="D73" s="1302"/>
      <c r="E73" s="1302"/>
      <c r="F73" s="1302"/>
      <c r="I73" s="490"/>
    </row>
    <row r="74" spans="1:9">
      <c r="A74" s="484"/>
      <c r="B74" s="484"/>
      <c r="D74" s="446"/>
      <c r="I74" s="490"/>
    </row>
    <row r="75" spans="1:9">
      <c r="A75" s="1309" t="s">
        <v>1044</v>
      </c>
      <c r="B75" s="1309"/>
      <c r="C75" s="1309"/>
      <c r="D75" s="1309"/>
      <c r="E75" s="1309"/>
      <c r="F75" s="1309"/>
      <c r="G75" s="1309"/>
      <c r="H75" s="1028"/>
      <c r="I75" s="1153"/>
    </row>
    <row r="76" spans="1:9">
      <c r="I76" s="490"/>
    </row>
    <row r="77" spans="1:9">
      <c r="C77" s="486"/>
      <c r="D77" s="1318" t="s">
        <v>1102</v>
      </c>
      <c r="E77" s="1318"/>
      <c r="F77" s="1318"/>
      <c r="I77" s="490"/>
    </row>
    <row r="78" spans="1:9">
      <c r="A78" s="446"/>
      <c r="B78" s="446"/>
      <c r="D78" s="1302" t="s">
        <v>1117</v>
      </c>
      <c r="E78" s="1302"/>
      <c r="F78" s="1302"/>
      <c r="I78" s="490"/>
    </row>
    <row r="79" spans="1:9">
      <c r="A79" s="446"/>
      <c r="B79" s="446"/>
      <c r="I79" s="490"/>
    </row>
    <row r="80" spans="1:9" ht="13.7" customHeight="1">
      <c r="A80" s="484"/>
      <c r="B80" s="485" t="s">
        <v>2757</v>
      </c>
      <c r="D80" s="1302" t="s">
        <v>1245</v>
      </c>
      <c r="E80" s="1302"/>
      <c r="F80" s="1302"/>
      <c r="I80" s="490"/>
    </row>
    <row r="81" spans="1:9">
      <c r="A81" s="484"/>
      <c r="B81" s="484"/>
      <c r="D81" s="1302"/>
      <c r="E81" s="1302"/>
      <c r="F81" s="1302"/>
      <c r="I81" s="490"/>
    </row>
    <row r="82" spans="1:9">
      <c r="A82" s="484"/>
      <c r="B82" s="484"/>
      <c r="D82" s="1302"/>
      <c r="E82" s="1302"/>
      <c r="F82" s="1302"/>
      <c r="I82" s="490"/>
    </row>
    <row r="83" spans="1:9">
      <c r="A83" s="484"/>
      <c r="B83" s="484"/>
      <c r="D83" s="1302"/>
      <c r="E83" s="1302"/>
      <c r="F83" s="1302"/>
      <c r="I83" s="490"/>
    </row>
    <row r="84" spans="1:9">
      <c r="A84" s="484"/>
      <c r="B84" s="484"/>
      <c r="D84" s="1302"/>
      <c r="E84" s="1302"/>
      <c r="F84" s="1302"/>
      <c r="I84" s="490"/>
    </row>
    <row r="85" spans="1:9">
      <c r="A85" s="484"/>
      <c r="B85" s="484"/>
      <c r="D85" s="1302"/>
      <c r="E85" s="1302"/>
      <c r="F85" s="1302"/>
      <c r="I85" s="490"/>
    </row>
    <row r="86" spans="1:9">
      <c r="A86" s="484"/>
      <c r="B86" s="484"/>
      <c r="D86" s="1302"/>
      <c r="E86" s="1302"/>
      <c r="F86" s="1302"/>
      <c r="I86" s="490"/>
    </row>
    <row r="87" spans="1:9">
      <c r="A87" s="484"/>
      <c r="B87" s="484"/>
      <c r="D87" s="1302"/>
      <c r="E87" s="1302"/>
      <c r="F87" s="1302"/>
      <c r="I87" s="490"/>
    </row>
    <row r="88" spans="1:9">
      <c r="A88" s="484"/>
      <c r="B88" s="484"/>
      <c r="D88" s="385"/>
      <c r="E88" s="385"/>
      <c r="F88" s="385"/>
      <c r="I88" s="490"/>
    </row>
    <row r="89" spans="1:9" ht="15" customHeight="1">
      <c r="A89" s="484"/>
      <c r="B89" s="485" t="s">
        <v>2757</v>
      </c>
      <c r="D89" s="1302" t="s">
        <v>1742</v>
      </c>
      <c r="E89" s="1302"/>
      <c r="F89" s="1302"/>
      <c r="I89" s="490"/>
    </row>
    <row r="90" spans="1:9">
      <c r="A90" s="484"/>
      <c r="B90" s="484"/>
      <c r="D90" s="1302"/>
      <c r="E90" s="1302"/>
      <c r="F90" s="1302"/>
      <c r="I90" s="490"/>
    </row>
    <row r="91" spans="1:9">
      <c r="A91" s="484"/>
      <c r="B91" s="484"/>
      <c r="D91" s="445"/>
      <c r="E91" s="445"/>
      <c r="F91" s="445"/>
      <c r="I91" s="490"/>
    </row>
    <row r="92" spans="1:9">
      <c r="A92" s="484"/>
      <c r="B92" s="485" t="s">
        <v>2757</v>
      </c>
      <c r="D92" s="1302" t="s">
        <v>1745</v>
      </c>
      <c r="E92" s="1302"/>
      <c r="F92" s="1302"/>
      <c r="I92" s="490"/>
    </row>
    <row r="93" spans="1:9">
      <c r="A93" s="484"/>
      <c r="B93" s="484"/>
      <c r="D93" s="1302"/>
      <c r="E93" s="1302"/>
      <c r="F93" s="1302"/>
      <c r="I93" s="490"/>
    </row>
    <row r="94" spans="1:9">
      <c r="A94" s="484"/>
      <c r="B94" s="484"/>
      <c r="D94" s="1302"/>
      <c r="E94" s="1302"/>
      <c r="F94" s="1302"/>
      <c r="I94" s="490"/>
    </row>
    <row r="95" spans="1:9">
      <c r="A95" s="484"/>
      <c r="B95" s="484"/>
      <c r="D95" s="445"/>
      <c r="E95" s="445"/>
      <c r="F95" s="445"/>
      <c r="I95" s="490"/>
    </row>
    <row r="96" spans="1:9">
      <c r="A96" s="484"/>
      <c r="B96" s="485" t="s">
        <v>2757</v>
      </c>
      <c r="D96" s="1302" t="s">
        <v>1744</v>
      </c>
      <c r="E96" s="1302"/>
      <c r="F96" s="1302"/>
      <c r="I96" s="490"/>
    </row>
    <row r="97" spans="1:9" s="987" customFormat="1">
      <c r="A97" s="985"/>
      <c r="B97" s="985"/>
      <c r="C97" s="986"/>
      <c r="D97" s="1302"/>
      <c r="E97" s="1302"/>
      <c r="F97" s="1302"/>
      <c r="I97" s="1154"/>
    </row>
    <row r="98" spans="1:9">
      <c r="A98" s="484"/>
      <c r="B98" s="484"/>
      <c r="D98" s="392"/>
      <c r="E98" s="312" t="s">
        <v>1924</v>
      </c>
      <c r="F98" s="445"/>
      <c r="I98" s="490"/>
    </row>
    <row r="99" spans="1:9">
      <c r="A99" s="484"/>
      <c r="B99" s="484"/>
      <c r="D99" s="385"/>
      <c r="E99" s="385"/>
      <c r="F99" s="385"/>
      <c r="I99" s="490"/>
    </row>
    <row r="100" spans="1:9">
      <c r="A100" s="484"/>
      <c r="B100" s="485" t="s">
        <v>2758</v>
      </c>
      <c r="D100" s="1302" t="s">
        <v>1743</v>
      </c>
      <c r="E100" s="1302"/>
      <c r="F100" s="1302"/>
      <c r="I100" s="490"/>
    </row>
    <row r="101" spans="1:9">
      <c r="A101" s="484"/>
      <c r="B101" s="484"/>
      <c r="D101" s="1302"/>
      <c r="E101" s="1302"/>
      <c r="F101" s="1302"/>
      <c r="I101" s="490"/>
    </row>
    <row r="102" spans="1:9">
      <c r="A102" s="484"/>
      <c r="B102" s="484"/>
      <c r="D102" s="445"/>
      <c r="E102" s="445"/>
      <c r="F102" s="445"/>
      <c r="I102" s="490"/>
    </row>
    <row r="103" spans="1:9" ht="14.45" customHeight="1">
      <c r="A103" s="484"/>
      <c r="B103" s="485" t="s">
        <v>2758</v>
      </c>
      <c r="D103" s="1302" t="s">
        <v>1194</v>
      </c>
      <c r="E103" s="1302"/>
      <c r="F103" s="1302"/>
      <c r="I103" s="490"/>
    </row>
    <row r="104" spans="1:9">
      <c r="A104" s="484"/>
      <c r="B104" s="484"/>
      <c r="D104" s="1302"/>
      <c r="E104" s="1302"/>
      <c r="F104" s="1302"/>
      <c r="I104" s="490"/>
    </row>
    <row r="105" spans="1:9">
      <c r="A105" s="484"/>
      <c r="B105" s="484"/>
      <c r="D105" s="1302"/>
      <c r="E105" s="1302"/>
      <c r="F105" s="1302"/>
      <c r="I105" s="490"/>
    </row>
    <row r="106" spans="1:9">
      <c r="A106" s="484"/>
      <c r="B106" s="484"/>
      <c r="D106" s="1302"/>
      <c r="E106" s="1302"/>
      <c r="F106" s="1302"/>
      <c r="I106" s="490"/>
    </row>
    <row r="107" spans="1:9">
      <c r="A107" s="484"/>
      <c r="B107" s="484"/>
      <c r="D107" s="1302"/>
      <c r="E107" s="1302"/>
      <c r="F107" s="1302"/>
      <c r="I107" s="490"/>
    </row>
    <row r="108" spans="1:9">
      <c r="A108" s="484"/>
      <c r="B108" s="484"/>
      <c r="D108" s="1302"/>
      <c r="E108" s="1302"/>
      <c r="F108" s="1302"/>
      <c r="I108" s="490"/>
    </row>
    <row r="109" spans="1:9">
      <c r="A109" s="484"/>
      <c r="B109" s="484"/>
      <c r="D109" s="1302"/>
      <c r="E109" s="1302"/>
      <c r="F109" s="1302"/>
      <c r="I109" s="490"/>
    </row>
    <row r="110" spans="1:9">
      <c r="A110" s="484"/>
      <c r="B110" s="484"/>
      <c r="D110" s="1302"/>
      <c r="E110" s="1302"/>
      <c r="F110" s="1302"/>
      <c r="I110" s="490"/>
    </row>
    <row r="111" spans="1:9">
      <c r="A111" s="484"/>
      <c r="B111" s="484"/>
      <c r="D111" s="1302"/>
      <c r="E111" s="1302"/>
      <c r="F111" s="1302"/>
      <c r="I111" s="490"/>
    </row>
    <row r="112" spans="1:9">
      <c r="A112" s="484"/>
      <c r="B112" s="484"/>
      <c r="D112" s="1302"/>
      <c r="E112" s="1302"/>
      <c r="F112" s="1302"/>
      <c r="I112" s="490"/>
    </row>
    <row r="113" spans="1:9">
      <c r="A113" s="484"/>
      <c r="B113" s="484"/>
      <c r="D113" s="1302"/>
      <c r="E113" s="1302"/>
      <c r="F113" s="1302"/>
      <c r="I113" s="490"/>
    </row>
    <row r="114" spans="1:9">
      <c r="A114" s="484"/>
      <c r="B114" s="484"/>
      <c r="D114" s="1302"/>
      <c r="E114" s="1302"/>
      <c r="F114" s="1302"/>
      <c r="I114" s="490"/>
    </row>
    <row r="115" spans="1:9">
      <c r="A115" s="484"/>
      <c r="B115" s="484"/>
      <c r="D115" s="1302"/>
      <c r="E115" s="1302"/>
      <c r="F115" s="1302"/>
      <c r="I115" s="490"/>
    </row>
    <row r="116" spans="1:9">
      <c r="A116" s="484"/>
      <c r="B116" s="484"/>
      <c r="D116" s="1302"/>
      <c r="E116" s="1302"/>
      <c r="F116" s="1302"/>
      <c r="I116" s="490"/>
    </row>
    <row r="117" spans="1:9">
      <c r="A117" s="484"/>
      <c r="B117" s="484"/>
      <c r="D117" s="1302"/>
      <c r="E117" s="1302"/>
      <c r="F117" s="1302"/>
      <c r="I117" s="490"/>
    </row>
    <row r="118" spans="1:9">
      <c r="A118" s="484"/>
      <c r="B118" s="484"/>
      <c r="D118" s="524"/>
      <c r="E118" s="524"/>
      <c r="F118" s="524"/>
      <c r="I118" s="490"/>
    </row>
    <row r="119" spans="1:9" ht="14.25" customHeight="1">
      <c r="A119" s="484"/>
      <c r="B119" s="485" t="s">
        <v>2758</v>
      </c>
      <c r="D119" s="1324" t="s">
        <v>1103</v>
      </c>
      <c r="E119" s="1324"/>
      <c r="F119" s="1324"/>
      <c r="I119" s="490"/>
    </row>
    <row r="120" spans="1:9">
      <c r="A120" s="484"/>
      <c r="B120" s="484"/>
      <c r="D120" s="1324"/>
      <c r="E120" s="1324"/>
      <c r="F120" s="1324"/>
      <c r="I120" s="490"/>
    </row>
    <row r="121" spans="1:9">
      <c r="A121" s="484"/>
      <c r="B121" s="484"/>
      <c r="D121" s="1324"/>
      <c r="E121" s="1324"/>
      <c r="F121" s="1324"/>
      <c r="I121" s="490"/>
    </row>
    <row r="122" spans="1:9">
      <c r="A122" s="484"/>
      <c r="B122" s="484"/>
      <c r="D122" s="1324"/>
      <c r="E122" s="1324"/>
      <c r="F122" s="1324"/>
      <c r="I122" s="490"/>
    </row>
    <row r="123" spans="1:9">
      <c r="A123" s="484"/>
      <c r="B123" s="484"/>
      <c r="D123" s="1324"/>
      <c r="E123" s="1324"/>
      <c r="F123" s="1324"/>
      <c r="I123" s="490"/>
    </row>
    <row r="124" spans="1:9">
      <c r="A124" s="484"/>
      <c r="B124" s="484"/>
      <c r="D124" s="1324"/>
      <c r="E124" s="1324"/>
      <c r="F124" s="1324"/>
      <c r="I124" s="490"/>
    </row>
    <row r="125" spans="1:9">
      <c r="A125" s="484"/>
      <c r="B125" s="484"/>
      <c r="D125" s="1324"/>
      <c r="E125" s="1324"/>
      <c r="F125" s="1324"/>
      <c r="I125" s="490"/>
    </row>
    <row r="126" spans="1:9">
      <c r="A126" s="484"/>
      <c r="B126" s="484"/>
      <c r="D126" s="1324"/>
      <c r="E126" s="1324"/>
      <c r="F126" s="1324"/>
      <c r="I126" s="490"/>
    </row>
    <row r="127" spans="1:9">
      <c r="C127" s="402"/>
      <c r="D127" s="525"/>
      <c r="E127" s="525"/>
      <c r="F127" s="525"/>
      <c r="I127" s="490"/>
    </row>
    <row r="128" spans="1:9">
      <c r="A128" s="484"/>
      <c r="B128" s="485" t="s">
        <v>2757</v>
      </c>
      <c r="C128" s="402"/>
      <c r="D128" s="1324" t="s">
        <v>2050</v>
      </c>
      <c r="E128" s="1324"/>
      <c r="F128" s="1324"/>
      <c r="I128" s="490"/>
    </row>
    <row r="129" spans="1:9">
      <c r="A129" s="484"/>
      <c r="B129" s="484"/>
      <c r="C129" s="402"/>
      <c r="D129" s="1324"/>
      <c r="E129" s="1324"/>
      <c r="F129" s="1324"/>
      <c r="I129" s="490"/>
    </row>
    <row r="130" spans="1:9">
      <c r="I130" s="490"/>
    </row>
    <row r="131" spans="1:9">
      <c r="A131" s="484"/>
      <c r="B131" s="485" t="s">
        <v>2757</v>
      </c>
      <c r="D131" s="1302" t="s">
        <v>1104</v>
      </c>
      <c r="E131" s="1302"/>
      <c r="F131" s="1302"/>
      <c r="I131" s="490"/>
    </row>
    <row r="132" spans="1:9">
      <c r="D132" s="1302"/>
      <c r="E132" s="1302"/>
      <c r="F132" s="1302"/>
      <c r="I132" s="490"/>
    </row>
    <row r="133" spans="1:9">
      <c r="D133" s="1302"/>
      <c r="E133" s="1302"/>
      <c r="F133" s="1302"/>
      <c r="I133" s="490"/>
    </row>
    <row r="134" spans="1:9">
      <c r="D134" s="1302"/>
      <c r="E134" s="1302"/>
      <c r="F134" s="1302"/>
      <c r="I134" s="490"/>
    </row>
    <row r="135" spans="1:9">
      <c r="D135" s="1302"/>
      <c r="E135" s="1302"/>
      <c r="F135" s="1302"/>
      <c r="I135" s="490"/>
    </row>
    <row r="136" spans="1:9">
      <c r="I136" s="490"/>
    </row>
    <row r="137" spans="1:9">
      <c r="A137" s="484"/>
      <c r="B137" s="485" t="s">
        <v>2758</v>
      </c>
      <c r="D137" s="1302" t="s">
        <v>1105</v>
      </c>
      <c r="E137" s="1302"/>
      <c r="F137" s="1302"/>
      <c r="I137" s="490"/>
    </row>
    <row r="138" spans="1:9" s="417" customFormat="1" ht="13.7" customHeight="1">
      <c r="A138" s="488"/>
      <c r="B138" s="488"/>
      <c r="C138" s="488"/>
      <c r="D138" s="1302"/>
      <c r="E138" s="1302"/>
      <c r="F138" s="1302"/>
      <c r="I138" s="1155"/>
    </row>
    <row r="139" spans="1:9" ht="13.7" customHeight="1">
      <c r="D139" s="1302"/>
      <c r="E139" s="1302"/>
      <c r="F139" s="1302"/>
      <c r="I139" s="490"/>
    </row>
    <row r="140" spans="1:9" ht="13.7" customHeight="1">
      <c r="D140" s="1302"/>
      <c r="E140" s="1302"/>
      <c r="F140" s="1302"/>
      <c r="I140" s="490"/>
    </row>
    <row r="141" spans="1:9" ht="13.7" customHeight="1">
      <c r="D141" s="1302"/>
      <c r="E141" s="1302"/>
      <c r="F141" s="1302"/>
      <c r="I141" s="490"/>
    </row>
    <row r="142" spans="1:9" ht="13.7" customHeight="1">
      <c r="A142" s="489"/>
      <c r="B142" s="489"/>
      <c r="D142" s="1302"/>
      <c r="E142" s="1302"/>
      <c r="F142" s="1302"/>
      <c r="I142" s="490"/>
    </row>
    <row r="143" spans="1:9" ht="13.7" customHeight="1">
      <c r="D143" s="1302"/>
      <c r="E143" s="1302"/>
      <c r="F143" s="1302"/>
      <c r="I143" s="490"/>
    </row>
    <row r="144" spans="1:9" ht="13.7" customHeight="1">
      <c r="D144" s="1302"/>
      <c r="E144" s="1302"/>
      <c r="F144" s="1302"/>
      <c r="I144" s="490"/>
    </row>
    <row r="145" spans="2:9" ht="13.7" customHeight="1">
      <c r="D145" s="1302"/>
      <c r="E145" s="1302"/>
      <c r="F145" s="1302"/>
      <c r="I145" s="490"/>
    </row>
    <row r="146" spans="2:9" ht="13.7" customHeight="1">
      <c r="D146" s="1302"/>
      <c r="E146" s="1302"/>
      <c r="F146" s="1302"/>
      <c r="I146" s="490"/>
    </row>
    <row r="147" spans="2:9" ht="13.7" customHeight="1">
      <c r="D147" s="1302"/>
      <c r="E147" s="1302"/>
      <c r="F147" s="1302"/>
      <c r="I147" s="490"/>
    </row>
    <row r="148" spans="2:9" ht="13.7" customHeight="1">
      <c r="D148" s="1302"/>
      <c r="E148" s="1302"/>
      <c r="F148" s="1302"/>
      <c r="I148" s="490"/>
    </row>
    <row r="149" spans="2:9" ht="13.7" customHeight="1">
      <c r="D149" s="1302"/>
      <c r="E149" s="1302"/>
      <c r="F149" s="1302"/>
      <c r="I149" s="490"/>
    </row>
    <row r="150" spans="2:9" ht="13.7" customHeight="1">
      <c r="D150" s="476"/>
      <c r="E150" s="446"/>
      <c r="F150" s="446"/>
      <c r="I150" s="490"/>
    </row>
    <row r="151" spans="2:9" ht="13.7" customHeight="1">
      <c r="B151" s="485" t="s">
        <v>2758</v>
      </c>
      <c r="D151" s="1302" t="s">
        <v>1177</v>
      </c>
      <c r="E151" s="1302"/>
      <c r="F151" s="1302"/>
      <c r="I151" s="490"/>
    </row>
    <row r="152" spans="2:9" ht="13.7" customHeight="1">
      <c r="D152" s="1302"/>
      <c r="E152" s="1302"/>
      <c r="F152" s="1302"/>
      <c r="I152" s="490"/>
    </row>
    <row r="153" spans="2:9" ht="13.7" customHeight="1">
      <c r="D153" s="1302"/>
      <c r="E153" s="1302"/>
      <c r="F153" s="1302"/>
      <c r="I153" s="490"/>
    </row>
    <row r="154" spans="2:9" ht="13.7" customHeight="1">
      <c r="D154" s="1302"/>
      <c r="E154" s="1302"/>
      <c r="F154" s="1302"/>
      <c r="I154" s="490"/>
    </row>
    <row r="155" spans="2:9" ht="13.7" customHeight="1">
      <c r="D155" s="1302"/>
      <c r="E155" s="1302"/>
      <c r="F155" s="1302"/>
      <c r="I155" s="490"/>
    </row>
    <row r="156" spans="2:9" ht="13.7" customHeight="1">
      <c r="D156" s="1302"/>
      <c r="E156" s="1302"/>
      <c r="F156" s="1302"/>
      <c r="I156" s="490"/>
    </row>
    <row r="157" spans="2:9" ht="13.7" customHeight="1">
      <c r="D157" s="1302"/>
      <c r="E157" s="1302"/>
      <c r="F157" s="1302"/>
      <c r="I157" s="490"/>
    </row>
    <row r="158" spans="2:9" ht="13.7" customHeight="1">
      <c r="D158" s="1302"/>
      <c r="E158" s="1302"/>
      <c r="F158" s="1302"/>
      <c r="I158" s="490"/>
    </row>
    <row r="159" spans="2:9" ht="13.7" customHeight="1">
      <c r="D159" s="1302"/>
      <c r="E159" s="1302"/>
      <c r="F159" s="1302"/>
      <c r="I159" s="490"/>
    </row>
    <row r="160" spans="2:9" ht="13.7" customHeight="1">
      <c r="D160" s="1302"/>
      <c r="E160" s="1302"/>
      <c r="F160" s="1302"/>
      <c r="I160" s="490"/>
    </row>
    <row r="161" spans="1:9" ht="13.7" customHeight="1">
      <c r="D161" s="1302"/>
      <c r="E161" s="1302"/>
      <c r="F161" s="1302"/>
      <c r="I161" s="490"/>
    </row>
    <row r="162" spans="1:9" ht="13.7" customHeight="1">
      <c r="D162" s="1302"/>
      <c r="E162" s="1302"/>
      <c r="F162" s="1302"/>
      <c r="I162" s="490"/>
    </row>
    <row r="163" spans="1:9" ht="13.7" customHeight="1">
      <c r="D163" s="1302"/>
      <c r="E163" s="1302"/>
      <c r="F163" s="1302"/>
      <c r="I163" s="490"/>
    </row>
    <row r="164" spans="1:9" ht="13.7" customHeight="1">
      <c r="D164" s="1302"/>
      <c r="E164" s="1302"/>
      <c r="F164" s="1302"/>
      <c r="I164" s="490"/>
    </row>
    <row r="165" spans="1:9" ht="13.7" customHeight="1">
      <c r="D165" s="1302"/>
      <c r="E165" s="1302"/>
      <c r="F165" s="1302"/>
      <c r="I165" s="490"/>
    </row>
    <row r="166" spans="1:9" ht="13.7" customHeight="1">
      <c r="D166" s="1302"/>
      <c r="E166" s="1302"/>
      <c r="F166" s="1302"/>
      <c r="I166" s="490"/>
    </row>
    <row r="167" spans="1:9" ht="13.7" customHeight="1">
      <c r="D167" s="1302"/>
      <c r="E167" s="1302"/>
      <c r="F167" s="1302"/>
      <c r="I167" s="490"/>
    </row>
    <row r="168" spans="1:9" ht="13.7" customHeight="1">
      <c r="D168" s="1302"/>
      <c r="E168" s="1302"/>
      <c r="F168" s="1302"/>
      <c r="I168" s="490"/>
    </row>
    <row r="169" spans="1:9" ht="13.7" customHeight="1">
      <c r="D169" s="1321" t="s">
        <v>2073</v>
      </c>
      <c r="E169" s="1321"/>
      <c r="F169" s="1321"/>
      <c r="G169" s="507"/>
      <c r="I169" s="490"/>
    </row>
    <row r="170" spans="1:9" ht="13.7" customHeight="1">
      <c r="D170" s="1319"/>
      <c r="E170" s="1319"/>
      <c r="F170" s="1319"/>
      <c r="G170" s="1319"/>
      <c r="I170" s="490"/>
    </row>
    <row r="171" spans="1:9" ht="14.45" customHeight="1">
      <c r="A171" s="489"/>
      <c r="B171" s="485" t="s">
        <v>2758</v>
      </c>
      <c r="C171" s="476"/>
      <c r="D171" s="1273" t="s">
        <v>2213</v>
      </c>
      <c r="E171" s="1273"/>
      <c r="F171" s="1273"/>
      <c r="G171" s="476"/>
      <c r="I171" s="490"/>
    </row>
    <row r="172" spans="1:9" ht="14.45" customHeight="1">
      <c r="A172" s="489"/>
      <c r="B172" s="489"/>
      <c r="C172" s="476"/>
      <c r="D172" s="1273"/>
      <c r="E172" s="1273"/>
      <c r="F172" s="1273"/>
      <c r="G172" s="476"/>
      <c r="I172" s="490"/>
    </row>
    <row r="173" spans="1:9" ht="14.45" customHeight="1">
      <c r="A173" s="489"/>
      <c r="B173" s="489"/>
      <c r="C173" s="476"/>
      <c r="D173" s="1273"/>
      <c r="E173" s="1273"/>
      <c r="F173" s="1273"/>
      <c r="G173" s="476"/>
      <c r="I173" s="490"/>
    </row>
    <row r="174" spans="1:9" ht="14.45" customHeight="1">
      <c r="A174" s="489"/>
      <c r="B174" s="489"/>
      <c r="C174" s="476"/>
      <c r="D174" s="1273"/>
      <c r="E174" s="1273"/>
      <c r="F174" s="1273"/>
      <c r="G174" s="476"/>
      <c r="I174" s="490"/>
    </row>
    <row r="175" spans="1:9" ht="13.7" customHeight="1">
      <c r="A175" s="489"/>
      <c r="B175" s="489"/>
      <c r="C175" s="476"/>
      <c r="D175" s="1273"/>
      <c r="E175" s="1273"/>
      <c r="F175" s="1273"/>
      <c r="G175" s="476"/>
      <c r="I175" s="490"/>
    </row>
    <row r="176" spans="1:9" ht="13.7" customHeight="1">
      <c r="A176" s="489"/>
      <c r="B176" s="489"/>
      <c r="C176" s="476"/>
      <c r="D176" s="476"/>
      <c r="E176" s="476"/>
      <c r="F176" s="476"/>
      <c r="G176" s="476"/>
      <c r="I176" s="490"/>
    </row>
    <row r="177" spans="1:9" ht="13.7" customHeight="1">
      <c r="A177" s="489"/>
      <c r="B177" s="485" t="s">
        <v>2757</v>
      </c>
      <c r="C177" s="476"/>
      <c r="D177" s="1273" t="s">
        <v>1106</v>
      </c>
      <c r="E177" s="1273"/>
      <c r="F177" s="1273"/>
      <c r="G177" s="476"/>
      <c r="I177" s="490"/>
    </row>
    <row r="178" spans="1:9" ht="13.7" customHeight="1">
      <c r="A178" s="489"/>
      <c r="B178" s="489"/>
      <c r="C178" s="476"/>
      <c r="D178" s="1273"/>
      <c r="E178" s="1273"/>
      <c r="F178" s="1273"/>
      <c r="G178" s="476"/>
      <c r="I178" s="490"/>
    </row>
    <row r="179" spans="1:9" ht="13.7" customHeight="1">
      <c r="A179" s="489"/>
      <c r="B179" s="489"/>
      <c r="C179" s="476"/>
      <c r="D179" s="1273"/>
      <c r="E179" s="1273"/>
      <c r="F179" s="1273"/>
      <c r="G179" s="476"/>
      <c r="I179" s="490"/>
    </row>
    <row r="180" spans="1:9" ht="13.7" customHeight="1">
      <c r="A180" s="489"/>
      <c r="B180" s="489"/>
      <c r="C180" s="476"/>
      <c r="D180" s="1273"/>
      <c r="E180" s="1273"/>
      <c r="F180" s="1273"/>
      <c r="G180" s="476"/>
      <c r="I180" s="490"/>
    </row>
    <row r="181" spans="1:9" ht="13.7" customHeight="1">
      <c r="D181" s="446"/>
      <c r="E181" s="446"/>
      <c r="F181" s="446"/>
      <c r="I181" s="490"/>
    </row>
    <row r="182" spans="1:9" ht="13.7" customHeight="1">
      <c r="B182" s="485" t="s">
        <v>2758</v>
      </c>
      <c r="D182" s="1314" t="s">
        <v>2051</v>
      </c>
      <c r="E182" s="1314"/>
      <c r="F182" s="1314"/>
      <c r="I182" s="490"/>
    </row>
    <row r="183" spans="1:9" ht="13.7" customHeight="1">
      <c r="D183" s="1314"/>
      <c r="E183" s="1314"/>
      <c r="F183" s="1314"/>
      <c r="I183" s="490"/>
    </row>
    <row r="184" spans="1:9" ht="13.7" customHeight="1">
      <c r="D184" s="1314"/>
      <c r="E184" s="1314"/>
      <c r="F184" s="1314"/>
      <c r="I184" s="490"/>
    </row>
    <row r="185" spans="1:9" ht="13.7" customHeight="1">
      <c r="A185" s="490"/>
      <c r="B185" s="490"/>
      <c r="E185" s="446"/>
      <c r="F185" s="446"/>
      <c r="I185" s="490"/>
    </row>
    <row r="186" spans="1:9">
      <c r="A186" s="1309" t="s">
        <v>2052</v>
      </c>
      <c r="B186" s="1309"/>
      <c r="C186" s="1309"/>
      <c r="D186" s="1309"/>
      <c r="E186" s="1309"/>
      <c r="F186" s="1309"/>
      <c r="G186" s="1309"/>
      <c r="H186" s="1028"/>
      <c r="I186" s="1153"/>
    </row>
    <row r="187" spans="1:9" ht="12" customHeight="1">
      <c r="D187" s="446"/>
      <c r="E187" s="446"/>
      <c r="F187" s="446"/>
      <c r="I187" s="490"/>
    </row>
    <row r="188" spans="1:9">
      <c r="B188" s="1304" t="s">
        <v>446</v>
      </c>
      <c r="C188" s="1304"/>
      <c r="D188" s="1304"/>
      <c r="E188" s="1304"/>
      <c r="F188" s="1304"/>
      <c r="I188" s="490"/>
    </row>
    <row r="189" spans="1:9">
      <c r="B189" s="392" t="s">
        <v>1875</v>
      </c>
      <c r="C189" s="392"/>
      <c r="D189" s="392"/>
      <c r="E189" s="392"/>
      <c r="F189" s="392"/>
      <c r="I189" s="490"/>
    </row>
    <row r="190" spans="1:9" ht="12" customHeight="1">
      <c r="A190" s="482"/>
      <c r="B190" s="482"/>
      <c r="C190" s="482"/>
      <c r="I190" s="490"/>
    </row>
    <row r="191" spans="1:9">
      <c r="A191" s="1309" t="s">
        <v>1045</v>
      </c>
      <c r="B191" s="1309"/>
      <c r="C191" s="1309"/>
      <c r="D191" s="1309"/>
      <c r="E191" s="1309"/>
      <c r="F191" s="1309"/>
      <c r="G191" s="1309"/>
      <c r="H191" s="1028"/>
      <c r="I191" s="1153"/>
    </row>
    <row r="192" spans="1:9" ht="12" customHeight="1">
      <c r="A192" s="404"/>
      <c r="B192" s="404"/>
      <c r="E192" s="404"/>
      <c r="I192" s="490"/>
    </row>
    <row r="193" spans="1:9" ht="13.7" customHeight="1">
      <c r="A193" s="404"/>
      <c r="B193" s="404"/>
      <c r="D193" s="1318" t="s">
        <v>1746</v>
      </c>
      <c r="E193" s="1318"/>
      <c r="F193" s="1318"/>
      <c r="I193" s="490"/>
    </row>
    <row r="194" spans="1:9">
      <c r="A194" s="404"/>
      <c r="B194" s="404"/>
      <c r="D194" s="1318"/>
      <c r="E194" s="1318"/>
      <c r="F194" s="1318"/>
      <c r="I194" s="490"/>
    </row>
    <row r="195" spans="1:9">
      <c r="A195" s="404"/>
      <c r="B195" s="404"/>
      <c r="D195" s="1304" t="s">
        <v>1195</v>
      </c>
      <c r="E195" s="1304"/>
      <c r="F195" s="1304"/>
      <c r="I195" s="490"/>
    </row>
    <row r="196" spans="1:9">
      <c r="A196" s="404"/>
      <c r="B196" s="404"/>
      <c r="D196" s="392"/>
      <c r="E196" s="392"/>
      <c r="F196" s="392"/>
      <c r="I196" s="490"/>
    </row>
    <row r="197" spans="1:9">
      <c r="A197" s="404"/>
      <c r="B197" s="485" t="s">
        <v>2758</v>
      </c>
      <c r="D197" s="1289" t="s">
        <v>1747</v>
      </c>
      <c r="E197" s="1289"/>
      <c r="F197" s="1289"/>
      <c r="I197" s="490"/>
    </row>
    <row r="198" spans="1:9">
      <c r="A198" s="404"/>
      <c r="B198" s="404"/>
      <c r="D198" s="1288" t="s">
        <v>1902</v>
      </c>
      <c r="E198" s="1288"/>
      <c r="F198" s="1288"/>
      <c r="I198" s="490"/>
    </row>
    <row r="199" spans="1:9">
      <c r="A199" s="404"/>
      <c r="B199" s="404"/>
      <c r="D199" s="96" t="s">
        <v>1748</v>
      </c>
      <c r="E199" s="1326" t="s">
        <v>1925</v>
      </c>
      <c r="F199" s="1326"/>
      <c r="I199" s="490"/>
    </row>
    <row r="200" spans="1:9">
      <c r="A200" s="404"/>
      <c r="B200" s="404"/>
      <c r="D200" s="3"/>
      <c r="E200" s="3"/>
      <c r="F200" s="3"/>
      <c r="I200" s="490"/>
    </row>
    <row r="201" spans="1:9">
      <c r="A201" s="404"/>
      <c r="B201" s="485" t="s">
        <v>2758</v>
      </c>
      <c r="D201" s="1288" t="s">
        <v>1749</v>
      </c>
      <c r="E201" s="1288"/>
      <c r="F201" s="1288"/>
      <c r="I201" s="490"/>
    </row>
    <row r="202" spans="1:9">
      <c r="A202" s="404"/>
      <c r="B202" s="404"/>
      <c r="D202" s="1289" t="s">
        <v>1902</v>
      </c>
      <c r="E202" s="1289"/>
      <c r="F202" s="1289"/>
      <c r="I202" s="490"/>
    </row>
    <row r="203" spans="1:9">
      <c r="A203" s="404"/>
      <c r="B203" s="404"/>
      <c r="D203" s="57" t="s">
        <v>1750</v>
      </c>
      <c r="E203" s="1326" t="s">
        <v>1926</v>
      </c>
      <c r="F203" s="1326"/>
      <c r="I203" s="490"/>
    </row>
    <row r="204" spans="1:9">
      <c r="A204" s="404"/>
      <c r="B204" s="404"/>
      <c r="D204" s="3"/>
      <c r="E204" s="3"/>
      <c r="F204" s="3"/>
      <c r="I204" s="490"/>
    </row>
    <row r="205" spans="1:9">
      <c r="A205" s="404"/>
      <c r="B205" s="485" t="s">
        <v>2757</v>
      </c>
      <c r="D205" s="1288" t="s">
        <v>1751</v>
      </c>
      <c r="E205" s="1288"/>
      <c r="F205" s="1288"/>
      <c r="I205" s="490"/>
    </row>
    <row r="206" spans="1:9">
      <c r="A206" s="404"/>
      <c r="B206" s="404"/>
      <c r="D206" s="1289" t="s">
        <v>1902</v>
      </c>
      <c r="E206" s="1289"/>
      <c r="F206" s="1289"/>
      <c r="I206" s="490"/>
    </row>
    <row r="207" spans="1:9">
      <c r="A207" s="404"/>
      <c r="B207" s="404"/>
      <c r="D207" s="57" t="s">
        <v>1748</v>
      </c>
      <c r="E207" s="1326" t="s">
        <v>1927</v>
      </c>
      <c r="F207" s="1326"/>
      <c r="I207" s="490"/>
    </row>
    <row r="208" spans="1:9">
      <c r="A208" s="404"/>
      <c r="B208" s="404"/>
      <c r="D208" s="392"/>
      <c r="E208" s="392"/>
      <c r="F208" s="392"/>
      <c r="I208" s="490"/>
    </row>
    <row r="209" spans="1:9" ht="14.25" customHeight="1">
      <c r="A209" s="484"/>
      <c r="B209" s="485" t="s">
        <v>2758</v>
      </c>
      <c r="D209" s="386" t="s">
        <v>1895</v>
      </c>
      <c r="E209" s="385"/>
      <c r="F209" s="385"/>
      <c r="I209" s="490"/>
    </row>
    <row r="210" spans="1:9">
      <c r="A210" s="484"/>
      <c r="B210" s="484"/>
      <c r="D210" s="1289" t="s">
        <v>1902</v>
      </c>
      <c r="E210" s="1289"/>
      <c r="F210" s="1289"/>
      <c r="I210" s="490"/>
    </row>
    <row r="211" spans="1:9">
      <c r="D211" s="385"/>
      <c r="E211" s="1326" t="s">
        <v>1928</v>
      </c>
      <c r="F211" s="1326"/>
      <c r="I211" s="490"/>
    </row>
    <row r="212" spans="1:9">
      <c r="D212" s="447"/>
      <c r="I212" s="490"/>
    </row>
    <row r="213" spans="1:9">
      <c r="B213" s="485" t="s">
        <v>2758</v>
      </c>
      <c r="D213" s="1288" t="s">
        <v>1752</v>
      </c>
      <c r="E213" s="1288"/>
      <c r="F213" s="1288"/>
      <c r="I213" s="490"/>
    </row>
    <row r="214" spans="1:9">
      <c r="D214" s="1289" t="s">
        <v>1902</v>
      </c>
      <c r="E214" s="1289"/>
      <c r="F214" s="1289"/>
      <c r="I214" s="490"/>
    </row>
    <row r="215" spans="1:9">
      <c r="D215" s="57" t="s">
        <v>1748</v>
      </c>
      <c r="E215" s="1326" t="s">
        <v>1929</v>
      </c>
      <c r="F215" s="1326"/>
      <c r="I215" s="490"/>
    </row>
    <row r="216" spans="1:9">
      <c r="D216" s="451"/>
      <c r="E216" s="451"/>
      <c r="F216" s="451"/>
      <c r="I216" s="490"/>
    </row>
    <row r="217" spans="1:9">
      <c r="A217" s="484"/>
      <c r="B217" s="485" t="s">
        <v>2758</v>
      </c>
      <c r="D217" s="1302" t="s">
        <v>1216</v>
      </c>
      <c r="E217" s="1302"/>
      <c r="F217" s="1302"/>
      <c r="I217" s="490"/>
    </row>
    <row r="218" spans="1:9" ht="14.45" customHeight="1">
      <c r="A218" s="484"/>
      <c r="B218" s="402"/>
      <c r="D218" s="1302"/>
      <c r="E218" s="1302"/>
      <c r="F218" s="1302"/>
      <c r="I218" s="490"/>
    </row>
    <row r="219" spans="1:9">
      <c r="A219" s="484"/>
      <c r="D219" s="1302"/>
      <c r="E219" s="1302"/>
      <c r="F219" s="1302"/>
      <c r="I219" s="490"/>
    </row>
    <row r="220" spans="1:9">
      <c r="A220" s="484"/>
      <c r="D220" s="1302"/>
      <c r="E220" s="1302"/>
      <c r="F220" s="1302"/>
      <c r="I220" s="490"/>
    </row>
    <row r="221" spans="1:9">
      <c r="D221" s="451"/>
      <c r="E221" s="451"/>
      <c r="F221" s="451"/>
      <c r="I221" s="490"/>
    </row>
    <row r="222" spans="1:9">
      <c r="A222" s="1309" t="s">
        <v>1046</v>
      </c>
      <c r="B222" s="1309"/>
      <c r="C222" s="1309"/>
      <c r="D222" s="1309"/>
      <c r="E222" s="1309"/>
      <c r="F222" s="1309"/>
      <c r="G222" s="1309"/>
      <c r="H222" s="1028"/>
      <c r="I222" s="1153"/>
    </row>
    <row r="223" spans="1:9" ht="12" customHeight="1">
      <c r="D223" s="446"/>
      <c r="E223" s="446"/>
      <c r="F223" s="446"/>
      <c r="I223" s="490"/>
    </row>
    <row r="224" spans="1:9">
      <c r="C224" s="486"/>
      <c r="D224" s="1310" t="s">
        <v>207</v>
      </c>
      <c r="E224" s="1310"/>
      <c r="F224" s="1310"/>
      <c r="I224" s="490"/>
    </row>
    <row r="225" spans="1:9">
      <c r="A225" s="482"/>
      <c r="B225" s="482"/>
      <c r="C225" s="482"/>
      <c r="D225" s="1300" t="s">
        <v>1120</v>
      </c>
      <c r="E225" s="1300"/>
      <c r="F225" s="1300"/>
      <c r="I225" s="490"/>
    </row>
    <row r="226" spans="1:9" ht="12" customHeight="1">
      <c r="A226" s="490"/>
      <c r="B226" s="490"/>
      <c r="C226" s="490"/>
      <c r="I226" s="490"/>
    </row>
    <row r="227" spans="1:9" ht="13.7" customHeight="1">
      <c r="A227" s="490"/>
      <c r="C227" s="490"/>
      <c r="D227" s="1310" t="s">
        <v>546</v>
      </c>
      <c r="E227" s="1310"/>
      <c r="F227" s="1310"/>
      <c r="I227" s="490"/>
    </row>
    <row r="228" spans="1:9">
      <c r="A228" s="484"/>
      <c r="B228" s="485" t="s">
        <v>2757</v>
      </c>
      <c r="D228" s="1302" t="s">
        <v>1753</v>
      </c>
      <c r="E228" s="1302"/>
      <c r="F228" s="1302"/>
      <c r="I228" s="490"/>
    </row>
    <row r="229" spans="1:9" ht="14.25" customHeight="1">
      <c r="A229" s="484"/>
      <c r="B229" s="484"/>
      <c r="D229" s="1302"/>
      <c r="E229" s="1302"/>
      <c r="F229" s="1302"/>
      <c r="I229" s="490"/>
    </row>
    <row r="230" spans="1:9" ht="14.25" customHeight="1">
      <c r="A230" s="484"/>
      <c r="B230" s="484"/>
      <c r="D230" s="1302"/>
      <c r="E230" s="1302"/>
      <c r="F230" s="1302"/>
      <c r="I230" s="490"/>
    </row>
    <row r="231" spans="1:9">
      <c r="A231" s="484"/>
      <c r="B231" s="484"/>
      <c r="D231" s="1302"/>
      <c r="E231" s="1302"/>
      <c r="F231" s="1302"/>
      <c r="I231" s="490"/>
    </row>
    <row r="232" spans="1:9">
      <c r="A232" s="484"/>
      <c r="B232" s="484"/>
      <c r="D232" s="445"/>
      <c r="E232" s="445"/>
      <c r="F232" s="445"/>
      <c r="I232" s="490"/>
    </row>
    <row r="233" spans="1:9">
      <c r="A233" s="484"/>
      <c r="B233" s="485" t="s">
        <v>2757</v>
      </c>
      <c r="D233" s="1302" t="s">
        <v>1754</v>
      </c>
      <c r="E233" s="1302"/>
      <c r="F233" s="1302"/>
      <c r="I233" s="490"/>
    </row>
    <row r="234" spans="1:9">
      <c r="A234" s="484"/>
      <c r="B234" s="484"/>
      <c r="D234" s="1302"/>
      <c r="E234" s="1302"/>
      <c r="F234" s="1302"/>
      <c r="I234" s="490"/>
    </row>
    <row r="235" spans="1:9">
      <c r="A235" s="484"/>
      <c r="B235" s="484"/>
      <c r="D235" s="1302"/>
      <c r="E235" s="1302"/>
      <c r="F235" s="1302"/>
      <c r="I235" s="490"/>
    </row>
    <row r="236" spans="1:9">
      <c r="A236" s="484"/>
      <c r="B236" s="484"/>
      <c r="D236" s="1302"/>
      <c r="E236" s="1302"/>
      <c r="F236" s="1302"/>
      <c r="I236" s="490"/>
    </row>
    <row r="237" spans="1:9" ht="14.25" customHeight="1">
      <c r="A237" s="484"/>
      <c r="B237" s="484"/>
      <c r="D237" s="1302"/>
      <c r="E237" s="1302"/>
      <c r="F237" s="1302"/>
      <c r="I237" s="490"/>
    </row>
    <row r="238" spans="1:9" ht="14.25" customHeight="1">
      <c r="A238" s="484"/>
      <c r="B238" s="484"/>
      <c r="D238" s="445"/>
      <c r="E238" s="445"/>
      <c r="F238" s="445"/>
      <c r="I238" s="490"/>
    </row>
    <row r="239" spans="1:9">
      <c r="A239" s="484"/>
      <c r="B239" s="484"/>
      <c r="D239" s="1302" t="s">
        <v>1118</v>
      </c>
      <c r="E239" s="1302"/>
      <c r="F239" s="1302"/>
      <c r="I239" s="490"/>
    </row>
    <row r="240" spans="1:9">
      <c r="A240" s="484"/>
      <c r="B240" s="484"/>
      <c r="D240" s="1302"/>
      <c r="E240" s="1302"/>
      <c r="F240" s="1302"/>
      <c r="I240" s="490"/>
    </row>
    <row r="241" spans="1:9">
      <c r="A241" s="484"/>
      <c r="B241" s="484"/>
      <c r="D241" s="1302"/>
      <c r="E241" s="1302"/>
      <c r="F241" s="1302"/>
      <c r="I241" s="490"/>
    </row>
    <row r="242" spans="1:9">
      <c r="A242" s="484"/>
      <c r="B242" s="484"/>
      <c r="D242" s="1302"/>
      <c r="E242" s="1302"/>
      <c r="F242" s="1302"/>
      <c r="I242" s="490"/>
    </row>
    <row r="243" spans="1:9">
      <c r="A243" s="484"/>
      <c r="B243" s="484"/>
      <c r="D243" s="1302"/>
      <c r="E243" s="1302"/>
      <c r="F243" s="1302"/>
      <c r="I243" s="490"/>
    </row>
    <row r="244" spans="1:9">
      <c r="A244" s="484"/>
      <c r="B244" s="484"/>
      <c r="D244" s="446"/>
      <c r="E244" s="446"/>
      <c r="F244" s="446"/>
      <c r="I244" s="490"/>
    </row>
    <row r="245" spans="1:9">
      <c r="A245" s="484"/>
      <c r="B245" s="485" t="s">
        <v>2757</v>
      </c>
      <c r="D245" s="1302" t="s">
        <v>2053</v>
      </c>
      <c r="E245" s="1302"/>
      <c r="F245" s="1302"/>
      <c r="I245" s="490"/>
    </row>
    <row r="246" spans="1:9">
      <c r="A246" s="484"/>
      <c r="B246" s="484"/>
      <c r="D246" s="1302"/>
      <c r="E246" s="1302"/>
      <c r="F246" s="1302"/>
      <c r="I246" s="490"/>
    </row>
    <row r="247" spans="1:9">
      <c r="A247" s="484"/>
      <c r="B247" s="484"/>
      <c r="D247" s="1302"/>
      <c r="E247" s="1302"/>
      <c r="F247" s="1302"/>
      <c r="I247" s="490"/>
    </row>
    <row r="248" spans="1:9">
      <c r="A248" s="484"/>
      <c r="B248" s="484"/>
      <c r="E248" s="1036" t="s">
        <v>1896</v>
      </c>
      <c r="I248" s="490"/>
    </row>
    <row r="249" spans="1:9">
      <c r="A249" s="484"/>
      <c r="B249" s="484"/>
      <c r="D249" s="446"/>
      <c r="E249" s="446"/>
      <c r="F249" s="446"/>
      <c r="I249" s="490"/>
    </row>
    <row r="250" spans="1:9" ht="14.45" customHeight="1">
      <c r="A250" s="484"/>
      <c r="B250" s="485" t="s">
        <v>2758</v>
      </c>
      <c r="D250" s="1302" t="s">
        <v>2054</v>
      </c>
      <c r="E250" s="1302"/>
      <c r="F250" s="1302"/>
      <c r="I250" s="490"/>
    </row>
    <row r="251" spans="1:9">
      <c r="A251" s="484"/>
      <c r="B251" s="484"/>
      <c r="D251" s="1302"/>
      <c r="E251" s="1302"/>
      <c r="F251" s="1302"/>
      <c r="I251" s="490"/>
    </row>
    <row r="252" spans="1:9">
      <c r="A252" s="484"/>
      <c r="B252" s="484"/>
      <c r="D252" s="1302"/>
      <c r="E252" s="1302"/>
      <c r="F252" s="1302"/>
      <c r="I252" s="490"/>
    </row>
    <row r="253" spans="1:9">
      <c r="A253" s="484"/>
      <c r="B253" s="484"/>
      <c r="D253" s="1302"/>
      <c r="E253" s="1302"/>
      <c r="F253" s="1302"/>
      <c r="I253" s="490"/>
    </row>
    <row r="254" spans="1:9">
      <c r="A254" s="484"/>
      <c r="B254" s="484"/>
      <c r="D254" s="1302"/>
      <c r="E254" s="1302"/>
      <c r="F254" s="1302"/>
      <c r="I254" s="490"/>
    </row>
    <row r="255" spans="1:9">
      <c r="A255" s="484"/>
      <c r="B255" s="484"/>
      <c r="D255" s="445"/>
      <c r="E255" s="445"/>
      <c r="F255" s="445"/>
      <c r="I255" s="490"/>
    </row>
    <row r="256" spans="1:9">
      <c r="A256" s="484"/>
      <c r="B256" s="485" t="s">
        <v>2757</v>
      </c>
      <c r="D256" s="392" t="s">
        <v>2055</v>
      </c>
      <c r="E256" s="445"/>
      <c r="F256" s="445"/>
      <c r="I256" s="490"/>
    </row>
    <row r="257" spans="1:9">
      <c r="A257" s="484"/>
      <c r="B257" s="484"/>
      <c r="E257" s="1036" t="s">
        <v>1897</v>
      </c>
      <c r="I257" s="490"/>
    </row>
    <row r="258" spans="1:9">
      <c r="D258" s="446"/>
      <c r="E258" s="446"/>
      <c r="F258" s="446"/>
      <c r="I258" s="490"/>
    </row>
    <row r="259" spans="1:9">
      <c r="A259" s="484"/>
      <c r="B259" s="485" t="s">
        <v>2757</v>
      </c>
      <c r="D259" s="1302" t="s">
        <v>1119</v>
      </c>
      <c r="E259" s="1302"/>
      <c r="F259" s="1302"/>
      <c r="I259" s="490"/>
    </row>
    <row r="260" spans="1:9">
      <c r="A260" s="484"/>
      <c r="B260" s="484"/>
      <c r="D260" s="1302"/>
      <c r="E260" s="1302"/>
      <c r="F260" s="1302"/>
      <c r="I260" s="490"/>
    </row>
    <row r="261" spans="1:9">
      <c r="D261" s="491"/>
      <c r="I261" s="490"/>
    </row>
    <row r="262" spans="1:9">
      <c r="A262" s="1309" t="s">
        <v>1047</v>
      </c>
      <c r="B262" s="1309"/>
      <c r="C262" s="1309"/>
      <c r="D262" s="1309"/>
      <c r="E262" s="1309"/>
      <c r="F262" s="1309"/>
      <c r="G262" s="1309"/>
      <c r="H262" s="1028"/>
      <c r="I262" s="1153"/>
    </row>
    <row r="263" spans="1:9">
      <c r="D263" s="491"/>
      <c r="I263" s="490"/>
    </row>
    <row r="264" spans="1:9">
      <c r="C264" s="486"/>
      <c r="D264" s="1310" t="s">
        <v>1121</v>
      </c>
      <c r="E264" s="1310"/>
      <c r="F264" s="1310"/>
      <c r="I264" s="490"/>
    </row>
    <row r="265" spans="1:9">
      <c r="A265" s="482"/>
      <c r="B265" s="482"/>
      <c r="C265" s="482"/>
      <c r="D265" s="446"/>
      <c r="E265" s="446"/>
      <c r="F265" s="446"/>
      <c r="I265" s="490"/>
    </row>
    <row r="266" spans="1:9">
      <c r="A266" s="483"/>
      <c r="B266" s="483"/>
      <c r="C266" s="483"/>
      <c r="D266" s="1310" t="s">
        <v>268</v>
      </c>
      <c r="E266" s="1310"/>
      <c r="F266" s="1310"/>
      <c r="I266" s="490"/>
    </row>
    <row r="267" spans="1:9" ht="14.45" customHeight="1">
      <c r="A267" s="484"/>
      <c r="B267" s="485" t="s">
        <v>2757</v>
      </c>
      <c r="D267" s="1302" t="s">
        <v>1196</v>
      </c>
      <c r="E267" s="1302"/>
      <c r="F267" s="1302"/>
      <c r="I267" s="490"/>
    </row>
    <row r="268" spans="1:9">
      <c r="D268" s="1302"/>
      <c r="E268" s="1302"/>
      <c r="F268" s="1302"/>
      <c r="I268" s="490"/>
    </row>
    <row r="269" spans="1:9">
      <c r="E269" s="1036" t="s">
        <v>1898</v>
      </c>
      <c r="I269" s="490"/>
    </row>
    <row r="270" spans="1:9">
      <c r="D270" s="446"/>
      <c r="E270" s="446"/>
      <c r="F270" s="446"/>
      <c r="I270" s="490"/>
    </row>
    <row r="271" spans="1:9" ht="14.45" customHeight="1">
      <c r="A271" s="484"/>
      <c r="B271" s="485" t="s">
        <v>2758</v>
      </c>
      <c r="D271" s="1302" t="s">
        <v>2056</v>
      </c>
      <c r="E271" s="1302"/>
      <c r="F271" s="1302"/>
      <c r="I271" s="490"/>
    </row>
    <row r="272" spans="1:9">
      <c r="D272" s="1302"/>
      <c r="E272" s="1302"/>
      <c r="F272" s="1302"/>
      <c r="I272" s="490"/>
    </row>
    <row r="273" spans="1:9">
      <c r="D273" s="1302"/>
      <c r="E273" s="1302"/>
      <c r="F273" s="1302"/>
      <c r="I273" s="490"/>
    </row>
    <row r="274" spans="1:9">
      <c r="D274" s="1302"/>
      <c r="E274" s="1302"/>
      <c r="F274" s="1302"/>
      <c r="I274" s="490"/>
    </row>
    <row r="275" spans="1:9">
      <c r="D275" s="1302"/>
      <c r="E275" s="1302"/>
      <c r="F275" s="1302"/>
      <c r="I275" s="490"/>
    </row>
    <row r="276" spans="1:9">
      <c r="D276" s="1302"/>
      <c r="E276" s="1302"/>
      <c r="F276" s="1302"/>
      <c r="I276" s="490"/>
    </row>
    <row r="277" spans="1:9">
      <c r="D277" s="446"/>
      <c r="E277" s="446"/>
      <c r="F277" s="446"/>
      <c r="I277" s="490"/>
    </row>
    <row r="278" spans="1:9">
      <c r="A278" s="484"/>
      <c r="B278" s="485" t="s">
        <v>2758</v>
      </c>
      <c r="D278" s="1302" t="s">
        <v>1122</v>
      </c>
      <c r="E278" s="1302"/>
      <c r="F278" s="1302"/>
      <c r="I278" s="490"/>
    </row>
    <row r="279" spans="1:9">
      <c r="D279" s="1302"/>
      <c r="E279" s="1302"/>
      <c r="F279" s="1302"/>
      <c r="I279" s="490"/>
    </row>
    <row r="280" spans="1:9">
      <c r="D280" s="1302"/>
      <c r="E280" s="1302"/>
      <c r="F280" s="1302"/>
      <c r="I280" s="490"/>
    </row>
    <row r="281" spans="1:9">
      <c r="D281" s="492"/>
      <c r="E281" s="446"/>
      <c r="F281" s="446"/>
      <c r="I281" s="490"/>
    </row>
    <row r="282" spans="1:9">
      <c r="A282" s="1309" t="s">
        <v>1048</v>
      </c>
      <c r="B282" s="1309"/>
      <c r="C282" s="1309"/>
      <c r="D282" s="1309"/>
      <c r="E282" s="1309"/>
      <c r="F282" s="1309"/>
      <c r="G282" s="1309"/>
      <c r="H282" s="1028"/>
      <c r="I282" s="1153"/>
    </row>
    <row r="283" spans="1:9">
      <c r="D283" s="492"/>
      <c r="E283" s="446"/>
      <c r="F283" s="446"/>
      <c r="I283" s="490"/>
    </row>
    <row r="284" spans="1:9">
      <c r="C284" s="482"/>
      <c r="D284" s="1318" t="s">
        <v>1123</v>
      </c>
      <c r="E284" s="1318"/>
      <c r="F284" s="1318"/>
      <c r="I284" s="490"/>
    </row>
    <row r="285" spans="1:9">
      <c r="C285" s="482"/>
      <c r="D285" s="1318"/>
      <c r="E285" s="1318"/>
      <c r="F285" s="1318"/>
      <c r="I285" s="490"/>
    </row>
    <row r="286" spans="1:9">
      <c r="A286" s="483"/>
      <c r="B286" s="483"/>
      <c r="C286" s="483"/>
      <c r="D286" s="404"/>
      <c r="I286" s="490"/>
    </row>
    <row r="287" spans="1:9">
      <c r="C287" s="483"/>
      <c r="D287" s="1310" t="s">
        <v>208</v>
      </c>
      <c r="E287" s="1310"/>
      <c r="F287" s="1310"/>
      <c r="I287" s="490"/>
    </row>
    <row r="288" spans="1:9" ht="15.75" customHeight="1">
      <c r="A288" s="484"/>
      <c r="B288" s="484"/>
      <c r="D288" s="1327" t="s">
        <v>1124</v>
      </c>
      <c r="E288" s="1327"/>
      <c r="F288" s="1327"/>
      <c r="I288" s="490"/>
    </row>
    <row r="289" spans="1:9">
      <c r="E289" s="446"/>
      <c r="F289" s="446"/>
      <c r="I289" s="490"/>
    </row>
    <row r="290" spans="1:9">
      <c r="A290" s="484"/>
      <c r="B290" s="485" t="s">
        <v>2758</v>
      </c>
      <c r="D290" s="1302" t="s">
        <v>1125</v>
      </c>
      <c r="E290" s="1302"/>
      <c r="F290" s="1302"/>
      <c r="I290" s="490"/>
    </row>
    <row r="291" spans="1:9">
      <c r="A291" s="484"/>
      <c r="B291" s="484"/>
      <c r="D291" s="1302"/>
      <c r="E291" s="1302"/>
      <c r="F291" s="1302"/>
      <c r="I291" s="490"/>
    </row>
    <row r="292" spans="1:9">
      <c r="D292" s="446"/>
      <c r="E292" s="446"/>
      <c r="F292" s="446"/>
      <c r="I292" s="490"/>
    </row>
    <row r="293" spans="1:9">
      <c r="A293" s="484"/>
      <c r="B293" s="485" t="s">
        <v>2758</v>
      </c>
      <c r="D293" s="1302" t="s">
        <v>1126</v>
      </c>
      <c r="E293" s="1302"/>
      <c r="F293" s="1302"/>
      <c r="I293" s="490"/>
    </row>
    <row r="294" spans="1:9">
      <c r="A294" s="484"/>
      <c r="B294" s="484"/>
      <c r="D294" s="1302"/>
      <c r="E294" s="1302"/>
      <c r="F294" s="1302"/>
      <c r="I294" s="490"/>
    </row>
    <row r="295" spans="1:9">
      <c r="A295" s="484"/>
      <c r="B295" s="484"/>
      <c r="D295" s="1302"/>
      <c r="E295" s="1302"/>
      <c r="F295" s="1302"/>
      <c r="I295" s="490"/>
    </row>
    <row r="296" spans="1:9">
      <c r="D296" s="446"/>
      <c r="E296" s="446"/>
      <c r="F296" s="446"/>
      <c r="I296" s="490"/>
    </row>
    <row r="297" spans="1:9">
      <c r="A297" s="484"/>
      <c r="B297" s="485" t="s">
        <v>2758</v>
      </c>
      <c r="D297" s="1302" t="s">
        <v>1127</v>
      </c>
      <c r="E297" s="1302"/>
      <c r="F297" s="1302"/>
      <c r="I297" s="490"/>
    </row>
    <row r="298" spans="1:9">
      <c r="A298" s="484"/>
      <c r="B298" s="484"/>
      <c r="D298" s="1302"/>
      <c r="E298" s="1302"/>
      <c r="F298" s="1302"/>
      <c r="I298" s="490"/>
    </row>
    <row r="299" spans="1:9">
      <c r="A299" s="490"/>
      <c r="B299" s="490"/>
      <c r="E299" s="446"/>
      <c r="F299" s="446"/>
      <c r="I299" s="490"/>
    </row>
    <row r="300" spans="1:9">
      <c r="A300" s="1309" t="s">
        <v>1049</v>
      </c>
      <c r="B300" s="1309"/>
      <c r="C300" s="1309"/>
      <c r="D300" s="1309"/>
      <c r="E300" s="1309"/>
      <c r="F300" s="1309"/>
      <c r="G300" s="1309"/>
      <c r="H300" s="1028"/>
      <c r="I300" s="1153"/>
    </row>
    <row r="301" spans="1:9">
      <c r="A301" s="490"/>
      <c r="B301" s="490"/>
      <c r="D301" s="446"/>
      <c r="E301" s="446"/>
      <c r="F301" s="446"/>
      <c r="I301" s="490"/>
    </row>
    <row r="302" spans="1:9">
      <c r="C302" s="490"/>
      <c r="D302" s="1310" t="s">
        <v>682</v>
      </c>
      <c r="E302" s="1310"/>
      <c r="F302" s="1310"/>
      <c r="I302" s="490"/>
    </row>
    <row r="303" spans="1:9">
      <c r="C303" s="490"/>
      <c r="D303" s="1300" t="s">
        <v>1128</v>
      </c>
      <c r="E303" s="1300"/>
      <c r="F303" s="1300"/>
      <c r="I303" s="490"/>
    </row>
    <row r="304" spans="1:9">
      <c r="C304" s="490"/>
      <c r="D304" s="493"/>
      <c r="I304" s="490"/>
    </row>
    <row r="305" spans="1:9">
      <c r="B305" s="485" t="s">
        <v>2758</v>
      </c>
      <c r="D305" s="1300" t="s">
        <v>1129</v>
      </c>
      <c r="E305" s="1300"/>
      <c r="F305" s="1300"/>
      <c r="I305" s="490"/>
    </row>
    <row r="306" spans="1:9">
      <c r="A306" s="484"/>
      <c r="B306" s="484"/>
      <c r="D306" s="494"/>
      <c r="E306" s="495"/>
      <c r="F306" s="495"/>
      <c r="I306" s="490"/>
    </row>
    <row r="307" spans="1:9" ht="13.7" customHeight="1">
      <c r="B307" s="485" t="s">
        <v>2758</v>
      </c>
      <c r="D307" s="1311" t="s">
        <v>1219</v>
      </c>
      <c r="E307" s="1311"/>
      <c r="F307" s="1311"/>
      <c r="I307" s="490"/>
    </row>
    <row r="308" spans="1:9">
      <c r="A308" s="484"/>
      <c r="B308" s="484"/>
      <c r="D308" s="1311"/>
      <c r="E308" s="1311"/>
      <c r="F308" s="1311"/>
      <c r="I308" s="490"/>
    </row>
    <row r="309" spans="1:9">
      <c r="A309" s="484"/>
      <c r="B309" s="484"/>
      <c r="D309" s="1311"/>
      <c r="E309" s="1311"/>
      <c r="F309" s="1311"/>
      <c r="I309" s="490"/>
    </row>
    <row r="310" spans="1:9">
      <c r="A310" s="484"/>
      <c r="B310" s="484"/>
      <c r="D310" s="1311"/>
      <c r="E310" s="1311"/>
      <c r="F310" s="1311"/>
      <c r="I310" s="490"/>
    </row>
    <row r="311" spans="1:9">
      <c r="A311" s="484"/>
      <c r="B311" s="484"/>
      <c r="D311" s="1311"/>
      <c r="E311" s="1311"/>
      <c r="F311" s="1311"/>
      <c r="I311" s="490"/>
    </row>
    <row r="312" spans="1:9">
      <c r="A312" s="484"/>
      <c r="B312" s="484"/>
      <c r="D312" s="494"/>
      <c r="E312" s="495"/>
      <c r="F312" s="495"/>
      <c r="I312" s="490"/>
    </row>
    <row r="313" spans="1:9" ht="13.7" customHeight="1">
      <c r="B313" s="485" t="s">
        <v>2758</v>
      </c>
      <c r="D313" s="1311" t="s">
        <v>1130</v>
      </c>
      <c r="E313" s="1311"/>
      <c r="F313" s="1311"/>
      <c r="I313" s="490"/>
    </row>
    <row r="314" spans="1:9">
      <c r="D314" s="1311"/>
      <c r="E314" s="1311"/>
      <c r="F314" s="1311"/>
      <c r="I314" s="490"/>
    </row>
    <row r="315" spans="1:9">
      <c r="A315" s="484"/>
      <c r="B315" s="484"/>
      <c r="D315" s="494"/>
      <c r="E315" s="495"/>
      <c r="F315" s="495"/>
      <c r="I315" s="490"/>
    </row>
    <row r="316" spans="1:9">
      <c r="B316" s="485" t="s">
        <v>2758</v>
      </c>
      <c r="D316" s="1300" t="s">
        <v>1131</v>
      </c>
      <c r="E316" s="1300"/>
      <c r="F316" s="1300"/>
      <c r="I316" s="490"/>
    </row>
    <row r="317" spans="1:9">
      <c r="E317" s="446"/>
      <c r="F317" s="446"/>
      <c r="I317" s="490"/>
    </row>
    <row r="318" spans="1:9">
      <c r="A318" s="484"/>
      <c r="B318" s="485" t="s">
        <v>2758</v>
      </c>
      <c r="D318" s="1302" t="s">
        <v>2246</v>
      </c>
      <c r="E318" s="1302"/>
      <c r="F318" s="1302"/>
      <c r="I318" s="490"/>
    </row>
    <row r="319" spans="1:9">
      <c r="A319" s="484"/>
      <c r="B319" s="484"/>
      <c r="D319" s="1302"/>
      <c r="E319" s="1302"/>
      <c r="F319" s="1302"/>
      <c r="I319" s="490"/>
    </row>
    <row r="320" spans="1:9">
      <c r="A320" s="484"/>
      <c r="B320" s="484"/>
      <c r="D320" s="1302"/>
      <c r="E320" s="1302"/>
      <c r="F320" s="1302"/>
      <c r="I320" s="490"/>
    </row>
    <row r="321" spans="1:9">
      <c r="A321" s="484"/>
      <c r="B321" s="484"/>
      <c r="D321" s="1302"/>
      <c r="E321" s="1302"/>
      <c r="F321" s="1302"/>
      <c r="I321" s="490"/>
    </row>
    <row r="322" spans="1:9">
      <c r="A322" s="484"/>
      <c r="B322" s="484"/>
      <c r="D322" s="1302"/>
      <c r="E322" s="1302"/>
      <c r="F322" s="1302"/>
      <c r="I322" s="490"/>
    </row>
    <row r="323" spans="1:9">
      <c r="A323" s="484"/>
      <c r="B323" s="484"/>
      <c r="D323" s="1302"/>
      <c r="E323" s="1302"/>
      <c r="F323" s="1302"/>
      <c r="I323" s="490"/>
    </row>
    <row r="324" spans="1:9">
      <c r="A324" s="484"/>
      <c r="B324" s="484"/>
      <c r="D324" s="1302"/>
      <c r="E324" s="1302"/>
      <c r="F324" s="1302"/>
      <c r="I324" s="490"/>
    </row>
    <row r="325" spans="1:9">
      <c r="A325" s="484"/>
      <c r="B325" s="484"/>
      <c r="D325" s="1302"/>
      <c r="E325" s="1302"/>
      <c r="F325" s="1302"/>
      <c r="I325" s="490"/>
    </row>
    <row r="326" spans="1:9">
      <c r="A326" s="484"/>
      <c r="B326" s="484"/>
      <c r="D326" s="1302"/>
      <c r="E326" s="1302"/>
      <c r="F326" s="1302"/>
      <c r="I326" s="490"/>
    </row>
    <row r="327" spans="1:9">
      <c r="A327" s="484"/>
      <c r="B327" s="484"/>
      <c r="D327" s="1302"/>
      <c r="E327" s="1302"/>
      <c r="F327" s="1302"/>
      <c r="I327" s="490"/>
    </row>
    <row r="328" spans="1:9">
      <c r="A328" s="484"/>
      <c r="B328" s="484"/>
      <c r="D328" s="1302"/>
      <c r="E328" s="1302"/>
      <c r="F328" s="1302"/>
      <c r="I328" s="490"/>
    </row>
    <row r="329" spans="1:9">
      <c r="A329" s="484"/>
      <c r="B329" s="484"/>
      <c r="D329" s="1302"/>
      <c r="E329" s="1302"/>
      <c r="F329" s="1302"/>
      <c r="I329" s="490"/>
    </row>
    <row r="330" spans="1:9">
      <c r="A330" s="484"/>
      <c r="B330" s="484"/>
      <c r="D330" s="1302"/>
      <c r="E330" s="1302"/>
      <c r="F330" s="1302"/>
      <c r="I330" s="490"/>
    </row>
    <row r="331" spans="1:9">
      <c r="A331" s="484"/>
      <c r="B331" s="484"/>
      <c r="D331" s="1302"/>
      <c r="E331" s="1302"/>
      <c r="F331" s="1302"/>
      <c r="I331" s="490"/>
    </row>
    <row r="332" spans="1:9">
      <c r="A332" s="484"/>
      <c r="B332" s="484"/>
      <c r="D332" s="1302"/>
      <c r="E332" s="1302"/>
      <c r="F332" s="1302"/>
      <c r="I332" s="490"/>
    </row>
    <row r="333" spans="1:9">
      <c r="D333" s="446"/>
      <c r="E333" s="446"/>
      <c r="F333" s="446"/>
      <c r="I333" s="490"/>
    </row>
    <row r="334" spans="1:9">
      <c r="A334" s="484"/>
      <c r="B334" s="485" t="s">
        <v>2758</v>
      </c>
      <c r="D334" s="1302" t="s">
        <v>1132</v>
      </c>
      <c r="E334" s="1302"/>
      <c r="F334" s="1302"/>
      <c r="I334" s="490"/>
    </row>
    <row r="335" spans="1:9">
      <c r="D335" s="1302"/>
      <c r="E335" s="1302"/>
      <c r="F335" s="1302"/>
      <c r="I335" s="490"/>
    </row>
    <row r="336" spans="1:9">
      <c r="D336" s="1302"/>
      <c r="E336" s="1302"/>
      <c r="F336" s="1302"/>
      <c r="I336" s="490"/>
    </row>
    <row r="337" spans="1:9">
      <c r="D337" s="1302"/>
      <c r="E337" s="1302"/>
      <c r="F337" s="1302"/>
      <c r="I337" s="490"/>
    </row>
    <row r="338" spans="1:9">
      <c r="D338" s="1302"/>
      <c r="E338" s="1302"/>
      <c r="F338" s="1302"/>
      <c r="I338" s="490"/>
    </row>
    <row r="339" spans="1:9">
      <c r="D339" s="1302"/>
      <c r="E339" s="1302"/>
      <c r="F339" s="1302"/>
      <c r="I339" s="490"/>
    </row>
    <row r="340" spans="1:9">
      <c r="D340" s="1302"/>
      <c r="E340" s="1302"/>
      <c r="F340" s="1302"/>
      <c r="I340" s="490"/>
    </row>
    <row r="341" spans="1:9">
      <c r="D341" s="1302"/>
      <c r="E341" s="1302"/>
      <c r="F341" s="1302"/>
      <c r="I341" s="490"/>
    </row>
    <row r="342" spans="1:9">
      <c r="D342" s="1302"/>
      <c r="E342" s="1302"/>
      <c r="F342" s="1302"/>
      <c r="I342" s="490"/>
    </row>
    <row r="343" spans="1:9">
      <c r="D343" s="446"/>
      <c r="E343" s="446"/>
      <c r="F343" s="446"/>
      <c r="I343" s="490"/>
    </row>
    <row r="344" spans="1:9" ht="14.25" customHeight="1">
      <c r="A344" s="484"/>
      <c r="B344" s="485" t="s">
        <v>2758</v>
      </c>
      <c r="D344" s="1302" t="s">
        <v>1903</v>
      </c>
      <c r="E344" s="1302"/>
      <c r="F344" s="1302"/>
      <c r="I344" s="490"/>
    </row>
    <row r="345" spans="1:9">
      <c r="D345" s="1302"/>
      <c r="E345" s="1302"/>
      <c r="F345" s="1302"/>
      <c r="I345" s="490"/>
    </row>
    <row r="346" spans="1:9">
      <c r="D346" s="1302"/>
      <c r="E346" s="1302"/>
      <c r="F346" s="1302"/>
      <c r="I346" s="490"/>
    </row>
    <row r="347" spans="1:9">
      <c r="D347" s="1302"/>
      <c r="E347" s="1302"/>
      <c r="F347" s="1302"/>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30" t="s">
        <v>979</v>
      </c>
      <c r="E351" s="1330"/>
      <c r="F351" s="1330"/>
      <c r="G351" s="1027"/>
      <c r="H351" s="1027"/>
      <c r="I351" s="1156"/>
    </row>
    <row r="352" spans="1:9" ht="13.5" thickTop="1">
      <c r="D352" s="1329" t="s">
        <v>2247</v>
      </c>
      <c r="E352" s="1329"/>
      <c r="F352" s="1329"/>
      <c r="I352" s="490"/>
    </row>
    <row r="353" spans="1:9">
      <c r="D353" s="446"/>
      <c r="E353" s="446"/>
      <c r="F353" s="446"/>
      <c r="I353" s="490"/>
    </row>
    <row r="354" spans="1:9">
      <c r="A354" s="476"/>
      <c r="B354" s="476"/>
      <c r="C354" s="476"/>
      <c r="D354" s="447"/>
      <c r="E354" s="447"/>
      <c r="F354" s="446"/>
      <c r="I354" s="490"/>
    </row>
    <row r="355" spans="1:9">
      <c r="A355" s="484"/>
      <c r="B355" s="485" t="s">
        <v>2758</v>
      </c>
      <c r="C355" s="487"/>
      <c r="D355" s="1300" t="s">
        <v>1901</v>
      </c>
      <c r="E355" s="1300"/>
      <c r="F355" s="1300"/>
      <c r="I355" s="490"/>
    </row>
    <row r="356" spans="1:9" ht="12.75" customHeight="1">
      <c r="D356" s="1037"/>
      <c r="E356" s="96" t="s">
        <v>1900</v>
      </c>
      <c r="F356" s="1037"/>
      <c r="I356" s="490"/>
    </row>
    <row r="357" spans="1:9">
      <c r="D357" s="1302" t="s">
        <v>1239</v>
      </c>
      <c r="E357" s="1302"/>
      <c r="F357" s="1302"/>
      <c r="I357" s="490"/>
    </row>
    <row r="358" spans="1:9">
      <c r="D358" s="1302"/>
      <c r="E358" s="1302"/>
      <c r="F358" s="1302"/>
      <c r="I358" s="490"/>
    </row>
    <row r="359" spans="1:9">
      <c r="D359" s="1302"/>
      <c r="E359" s="1302"/>
      <c r="F359" s="1302"/>
      <c r="I359" s="490"/>
    </row>
    <row r="360" spans="1:9">
      <c r="A360" s="484"/>
      <c r="B360" s="485" t="s">
        <v>2758</v>
      </c>
      <c r="C360" s="476"/>
      <c r="D360" s="1319" t="s">
        <v>2057</v>
      </c>
      <c r="E360" s="1319"/>
      <c r="F360" s="1319"/>
      <c r="I360" s="480"/>
    </row>
    <row r="361" spans="1:9">
      <c r="A361" s="476"/>
      <c r="B361" s="476"/>
      <c r="C361" s="476"/>
      <c r="D361" s="447"/>
      <c r="E361" s="447"/>
      <c r="F361" s="446"/>
      <c r="I361" s="490"/>
    </row>
    <row r="362" spans="1:9">
      <c r="A362" s="476"/>
      <c r="B362" s="485" t="s">
        <v>2758</v>
      </c>
      <c r="C362" s="476"/>
      <c r="D362" s="1273" t="s">
        <v>2058</v>
      </c>
      <c r="E362" s="1273"/>
      <c r="F362" s="1273"/>
      <c r="I362" s="490"/>
    </row>
    <row r="363" spans="1:9">
      <c r="A363" s="476"/>
      <c r="B363" s="476"/>
      <c r="C363" s="476"/>
      <c r="D363" s="1273"/>
      <c r="E363" s="1273"/>
      <c r="F363" s="1273"/>
      <c r="I363" s="490"/>
    </row>
    <row r="364" spans="1:9">
      <c r="A364" s="476"/>
      <c r="B364" s="476"/>
      <c r="C364" s="476"/>
      <c r="D364" s="1273"/>
      <c r="E364" s="1273"/>
      <c r="F364" s="1273"/>
      <c r="I364" s="490"/>
    </row>
    <row r="365" spans="1:9">
      <c r="A365" s="476"/>
      <c r="B365" s="476"/>
      <c r="C365" s="476"/>
      <c r="D365" s="1273"/>
      <c r="E365" s="1273"/>
      <c r="F365" s="1273"/>
      <c r="I365" s="490"/>
    </row>
    <row r="366" spans="1:9">
      <c r="A366" s="476"/>
      <c r="B366" s="476"/>
      <c r="C366" s="476"/>
      <c r="D366" s="1273"/>
      <c r="E366" s="1273"/>
      <c r="F366" s="1273"/>
      <c r="I366" s="490"/>
    </row>
    <row r="367" spans="1:9">
      <c r="A367" s="476"/>
      <c r="B367" s="476"/>
      <c r="C367" s="476"/>
      <c r="D367" s="1273"/>
      <c r="E367" s="1273"/>
      <c r="F367" s="1273"/>
      <c r="I367" s="490"/>
    </row>
    <row r="368" spans="1:9">
      <c r="A368" s="476"/>
      <c r="B368" s="476"/>
      <c r="C368" s="476"/>
      <c r="D368" s="1273"/>
      <c r="E368" s="1273"/>
      <c r="F368" s="1273"/>
      <c r="I368" s="490"/>
    </row>
    <row r="369" spans="1:9">
      <c r="A369" s="476"/>
      <c r="B369" s="476"/>
      <c r="C369" s="476"/>
      <c r="D369" s="1273"/>
      <c r="E369" s="1273"/>
      <c r="F369" s="1273"/>
      <c r="I369" s="490"/>
    </row>
    <row r="370" spans="1:9">
      <c r="A370" s="476"/>
      <c r="B370" s="476"/>
      <c r="C370" s="476"/>
      <c r="D370" s="1273"/>
      <c r="E370" s="1273"/>
      <c r="F370" s="1273"/>
      <c r="I370" s="490"/>
    </row>
    <row r="371" spans="1:9">
      <c r="A371" s="476"/>
      <c r="B371" s="476"/>
      <c r="C371" s="476"/>
      <c r="D371" s="1273"/>
      <c r="E371" s="1273"/>
      <c r="F371" s="1273"/>
      <c r="I371" s="490"/>
    </row>
    <row r="372" spans="1:9">
      <c r="A372" s="476"/>
      <c r="B372" s="476"/>
      <c r="C372" s="476"/>
      <c r="D372" s="1273"/>
      <c r="E372" s="1273"/>
      <c r="F372" s="1273"/>
      <c r="I372" s="490"/>
    </row>
    <row r="373" spans="1:9">
      <c r="A373" s="476"/>
      <c r="B373" s="476"/>
      <c r="C373" s="476"/>
      <c r="D373" s="1273"/>
      <c r="E373" s="1273"/>
      <c r="F373" s="1273"/>
      <c r="I373" s="490"/>
    </row>
    <row r="374" spans="1:9">
      <c r="A374" s="476"/>
      <c r="B374" s="476"/>
      <c r="C374" s="476"/>
      <c r="D374" s="451"/>
      <c r="E374" s="451"/>
      <c r="F374" s="451"/>
      <c r="I374" s="490"/>
    </row>
    <row r="375" spans="1:9" ht="12.4" customHeight="1">
      <c r="A375" s="476"/>
      <c r="B375" s="485" t="s">
        <v>2758</v>
      </c>
      <c r="C375" s="476"/>
      <c r="D375" s="1281" t="s">
        <v>1221</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2758</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2758</v>
      </c>
      <c r="C387" s="476"/>
      <c r="D387" s="1273" t="s">
        <v>1133</v>
      </c>
      <c r="E387" s="1273"/>
      <c r="F387" s="1273"/>
      <c r="I387" s="490"/>
    </row>
    <row r="388" spans="1:9">
      <c r="A388" s="476"/>
      <c r="B388" s="476"/>
      <c r="C388" s="476"/>
      <c r="D388" s="1273"/>
      <c r="E388" s="1273"/>
      <c r="F388" s="1273"/>
      <c r="I388" s="490"/>
    </row>
    <row r="389" spans="1:9">
      <c r="A389" s="476"/>
      <c r="B389" s="476"/>
      <c r="C389" s="476"/>
      <c r="D389" s="1273"/>
      <c r="E389" s="1273"/>
      <c r="F389" s="1273"/>
      <c r="I389" s="490"/>
    </row>
    <row r="390" spans="1:9">
      <c r="A390" s="476"/>
      <c r="B390" s="476"/>
      <c r="C390" s="476"/>
      <c r="D390" s="1273"/>
      <c r="E390" s="1273"/>
      <c r="F390" s="1273"/>
      <c r="I390" s="490"/>
    </row>
    <row r="391" spans="1:9">
      <c r="A391" s="476"/>
      <c r="B391" s="476"/>
      <c r="C391" s="476"/>
      <c r="D391" s="447"/>
      <c r="E391" s="447"/>
      <c r="F391" s="446"/>
      <c r="I391" s="490"/>
    </row>
    <row r="392" spans="1:9">
      <c r="A392" s="476"/>
      <c r="B392" s="476"/>
      <c r="C392" s="476"/>
      <c r="D392" s="1273" t="s">
        <v>1134</v>
      </c>
      <c r="E392" s="1273"/>
      <c r="F392" s="1273"/>
      <c r="I392" s="490"/>
    </row>
    <row r="393" spans="1:9">
      <c r="A393" s="476"/>
      <c r="B393" s="476"/>
      <c r="C393" s="476"/>
      <c r="D393" s="1273"/>
      <c r="E393" s="1273"/>
      <c r="F393" s="1273"/>
      <c r="I393" s="490"/>
    </row>
    <row r="394" spans="1:9">
      <c r="A394" s="476"/>
      <c r="B394" s="476"/>
      <c r="C394" s="476"/>
      <c r="D394" s="1273"/>
      <c r="E394" s="1273"/>
      <c r="F394" s="1273"/>
      <c r="I394" s="490"/>
    </row>
    <row r="395" spans="1:9">
      <c r="A395" s="476"/>
      <c r="B395" s="476"/>
      <c r="C395" s="476"/>
      <c r="D395" s="1273"/>
      <c r="E395" s="1273"/>
      <c r="F395" s="1273"/>
      <c r="I395" s="490"/>
    </row>
    <row r="396" spans="1:9" ht="18" customHeight="1">
      <c r="A396" s="476"/>
      <c r="B396" s="476"/>
      <c r="C396" s="476"/>
      <c r="D396" s="1273"/>
      <c r="E396" s="1273"/>
      <c r="F396" s="1273"/>
      <c r="I396" s="490"/>
    </row>
    <row r="397" spans="1:9">
      <c r="A397" s="476"/>
      <c r="B397" s="476"/>
      <c r="C397" s="476"/>
      <c r="D397" s="1273"/>
      <c r="E397" s="1273"/>
      <c r="F397" s="1273"/>
      <c r="I397" s="490"/>
    </row>
    <row r="398" spans="1:9">
      <c r="A398" s="476"/>
      <c r="B398" s="476"/>
      <c r="C398" s="476"/>
      <c r="D398" s="1273"/>
      <c r="E398" s="1273"/>
      <c r="F398" s="1273"/>
      <c r="I398" s="490"/>
    </row>
    <row r="399" spans="1:9">
      <c r="A399" s="476"/>
      <c r="B399" s="476"/>
      <c r="C399" s="476"/>
      <c r="D399" s="1273"/>
      <c r="E399" s="1273"/>
      <c r="F399" s="1273"/>
      <c r="I399" s="490"/>
    </row>
    <row r="400" spans="1:9" ht="8.25" customHeight="1">
      <c r="A400" s="476"/>
      <c r="B400" s="476"/>
      <c r="C400" s="476"/>
      <c r="D400" s="1273"/>
      <c r="E400" s="1273"/>
      <c r="F400" s="1273"/>
      <c r="I400" s="490"/>
    </row>
    <row r="401" spans="1:9" ht="13.7" customHeight="1">
      <c r="A401" s="476"/>
      <c r="B401" s="476"/>
      <c r="C401" s="476"/>
      <c r="D401" s="1273" t="s">
        <v>1135</v>
      </c>
      <c r="E401" s="1273"/>
      <c r="F401" s="1273"/>
      <c r="I401" s="490"/>
    </row>
    <row r="402" spans="1:9">
      <c r="A402" s="476"/>
      <c r="B402" s="476"/>
      <c r="C402" s="476"/>
      <c r="D402" s="1273"/>
      <c r="E402" s="1273"/>
      <c r="F402" s="1273"/>
      <c r="I402" s="490"/>
    </row>
    <row r="403" spans="1:9">
      <c r="A403" s="476"/>
      <c r="B403" s="476"/>
      <c r="C403" s="476"/>
      <c r="D403" s="1273"/>
      <c r="E403" s="1273"/>
      <c r="F403" s="1273"/>
      <c r="I403" s="490"/>
    </row>
    <row r="404" spans="1:9">
      <c r="A404" s="476"/>
      <c r="B404" s="476"/>
      <c r="C404" s="476"/>
      <c r="D404" s="1273"/>
      <c r="E404" s="1273"/>
      <c r="F404" s="1273"/>
      <c r="I404" s="490"/>
    </row>
    <row r="405" spans="1:9">
      <c r="A405" s="476"/>
      <c r="B405" s="476"/>
      <c r="C405" s="476"/>
      <c r="D405" s="1273"/>
      <c r="E405" s="1273"/>
      <c r="F405" s="1273"/>
      <c r="I405" s="490"/>
    </row>
    <row r="406" spans="1:9">
      <c r="A406" s="476"/>
      <c r="B406" s="476"/>
      <c r="C406" s="476"/>
      <c r="D406" s="1273"/>
      <c r="E406" s="1273"/>
      <c r="F406" s="1273"/>
      <c r="I406" s="490"/>
    </row>
    <row r="407" spans="1:9">
      <c r="A407" s="476"/>
      <c r="B407" s="476"/>
      <c r="C407" s="476"/>
      <c r="D407" s="1273"/>
      <c r="E407" s="1273"/>
      <c r="F407" s="1273"/>
      <c r="I407" s="490"/>
    </row>
    <row r="408" spans="1:9">
      <c r="A408" s="476"/>
      <c r="B408" s="476"/>
      <c r="C408" s="476"/>
      <c r="D408" s="1273"/>
      <c r="E408" s="1273"/>
      <c r="F408" s="1273"/>
      <c r="I408" s="490"/>
    </row>
    <row r="409" spans="1:9">
      <c r="A409" s="476"/>
      <c r="B409" s="476"/>
      <c r="C409" s="476"/>
      <c r="D409" s="1273"/>
      <c r="E409" s="1273"/>
      <c r="F409" s="1273"/>
      <c r="I409" s="490"/>
    </row>
    <row r="410" spans="1:9">
      <c r="A410" s="476"/>
      <c r="B410" s="476"/>
      <c r="C410" s="476"/>
      <c r="D410" s="1273"/>
      <c r="E410" s="1273"/>
      <c r="F410" s="1273"/>
      <c r="I410" s="490"/>
    </row>
    <row r="411" spans="1:9">
      <c r="A411" s="476"/>
      <c r="B411" s="476"/>
      <c r="C411" s="476"/>
      <c r="D411" s="1273"/>
      <c r="E411" s="1273"/>
      <c r="F411" s="1273"/>
      <c r="I411" s="490"/>
    </row>
    <row r="412" spans="1:9">
      <c r="A412" s="476"/>
      <c r="B412" s="476"/>
      <c r="C412" s="476"/>
      <c r="D412" s="1273"/>
      <c r="E412" s="1273"/>
      <c r="F412" s="1273"/>
      <c r="I412" s="490"/>
    </row>
    <row r="413" spans="1:9">
      <c r="A413" s="476"/>
      <c r="B413" s="476"/>
      <c r="C413" s="496"/>
      <c r="D413" s="1273"/>
      <c r="E413" s="1273"/>
      <c r="F413" s="1273"/>
      <c r="I413" s="490"/>
    </row>
    <row r="414" spans="1:9">
      <c r="A414" s="476"/>
      <c r="B414" s="476"/>
      <c r="C414" s="496"/>
      <c r="D414" s="1273"/>
      <c r="E414" s="1273"/>
      <c r="F414" s="1273"/>
      <c r="I414" s="490"/>
    </row>
    <row r="415" spans="1:9">
      <c r="A415" s="476"/>
      <c r="B415" s="476"/>
      <c r="C415" s="476"/>
      <c r="D415" s="1273"/>
      <c r="E415" s="1273"/>
      <c r="F415" s="1273"/>
      <c r="I415" s="490"/>
    </row>
    <row r="416" spans="1:9">
      <c r="A416" s="476"/>
      <c r="B416" s="476"/>
      <c r="C416" s="496"/>
      <c r="D416" s="1273"/>
      <c r="E416" s="1273"/>
      <c r="F416" s="1273"/>
      <c r="I416" s="490"/>
    </row>
    <row r="417" spans="1:9">
      <c r="A417" s="476"/>
      <c r="B417" s="476"/>
      <c r="C417" s="496"/>
      <c r="D417" s="1273"/>
      <c r="E417" s="1273"/>
      <c r="F417" s="1273"/>
      <c r="I417" s="490"/>
    </row>
    <row r="418" spans="1:9">
      <c r="A418" s="476"/>
      <c r="B418" s="476"/>
      <c r="C418" s="496"/>
      <c r="D418" s="1273"/>
      <c r="E418" s="1273"/>
      <c r="F418" s="1273"/>
      <c r="I418" s="490"/>
    </row>
    <row r="419" spans="1:9">
      <c r="A419" s="476"/>
      <c r="B419" s="476"/>
      <c r="C419" s="476"/>
      <c r="D419" s="447"/>
      <c r="E419" s="447"/>
      <c r="F419" s="446"/>
      <c r="I419" s="490"/>
    </row>
    <row r="420" spans="1:9">
      <c r="A420" s="476"/>
      <c r="B420" s="485" t="s">
        <v>2758</v>
      </c>
      <c r="C420" s="476"/>
      <c r="D420" s="1273" t="s">
        <v>1136</v>
      </c>
      <c r="E420" s="1273"/>
      <c r="F420" s="1273"/>
      <c r="I420" s="490"/>
    </row>
    <row r="421" spans="1:9">
      <c r="A421" s="476"/>
      <c r="B421" s="476"/>
      <c r="C421" s="476"/>
      <c r="D421" s="1273"/>
      <c r="E421" s="1273"/>
      <c r="F421" s="1273"/>
      <c r="I421" s="490"/>
    </row>
    <row r="422" spans="1:9">
      <c r="A422" s="476"/>
      <c r="B422" s="476"/>
      <c r="C422" s="476"/>
      <c r="D422" s="451"/>
      <c r="E422" s="451"/>
      <c r="F422" s="451"/>
      <c r="I422" s="490"/>
    </row>
    <row r="423" spans="1:9" ht="14.45" customHeight="1">
      <c r="A423" s="484"/>
      <c r="B423" s="485" t="s">
        <v>2758</v>
      </c>
      <c r="D423" s="1273" t="s">
        <v>1882</v>
      </c>
      <c r="E423" s="1273"/>
      <c r="F423" s="1273"/>
      <c r="I423" s="490"/>
    </row>
    <row r="424" spans="1:9" ht="14.45" customHeight="1">
      <c r="A424" s="484"/>
      <c r="D424" s="1273"/>
      <c r="E424" s="1273"/>
      <c r="F424" s="1273"/>
      <c r="I424" s="490"/>
    </row>
    <row r="425" spans="1:9" ht="14.45" customHeight="1">
      <c r="A425" s="484"/>
      <c r="D425" s="1273"/>
      <c r="E425" s="1273"/>
      <c r="F425" s="1273"/>
      <c r="I425" s="490"/>
    </row>
    <row r="426" spans="1:9" ht="14.45" customHeight="1">
      <c r="A426" s="484"/>
      <c r="D426" s="1273"/>
      <c r="E426" s="1273"/>
      <c r="F426" s="1273"/>
      <c r="I426" s="490"/>
    </row>
    <row r="427" spans="1:9" ht="14.45" customHeight="1">
      <c r="A427" s="484"/>
      <c r="D427" s="1273"/>
      <c r="E427" s="1273"/>
      <c r="F427" s="1273"/>
      <c r="I427" s="490"/>
    </row>
    <row r="428" spans="1:9" ht="14.45" customHeight="1">
      <c r="A428" s="484"/>
      <c r="D428" s="385"/>
      <c r="E428" s="385"/>
      <c r="F428" s="385"/>
      <c r="I428" s="490"/>
    </row>
    <row r="429" spans="1:9" ht="13.7" customHeight="1">
      <c r="A429" s="484"/>
      <c r="B429" s="485" t="s">
        <v>2758</v>
      </c>
      <c r="C429" s="476"/>
      <c r="D429" s="1273" t="s">
        <v>1240</v>
      </c>
      <c r="E429" s="1273"/>
      <c r="F429" s="1273"/>
      <c r="I429" s="490"/>
    </row>
    <row r="430" spans="1:9">
      <c r="A430" s="497"/>
      <c r="B430" s="497"/>
      <c r="C430" s="476"/>
      <c r="D430" s="1273"/>
      <c r="E430" s="1273"/>
      <c r="F430" s="1273"/>
      <c r="I430" s="490"/>
    </row>
    <row r="431" spans="1:9">
      <c r="A431" s="497"/>
      <c r="B431" s="497"/>
      <c r="C431" s="476"/>
      <c r="D431" s="1273"/>
      <c r="E431" s="1273"/>
      <c r="F431" s="1273"/>
      <c r="I431" s="490"/>
    </row>
    <row r="432" spans="1:9">
      <c r="A432" s="497"/>
      <c r="B432" s="497"/>
      <c r="C432" s="476"/>
      <c r="D432" s="1273"/>
      <c r="E432" s="1273"/>
      <c r="F432" s="1273"/>
      <c r="I432" s="490"/>
    </row>
    <row r="433" spans="1:9" ht="15.75" customHeight="1">
      <c r="A433" s="497"/>
      <c r="B433" s="497"/>
      <c r="C433" s="476"/>
      <c r="D433" s="1331" t="s">
        <v>2074</v>
      </c>
      <c r="E433" s="1273"/>
      <c r="F433" s="1273"/>
      <c r="I433" s="490"/>
    </row>
    <row r="434" spans="1:9">
      <c r="D434" s="446"/>
      <c r="E434" s="446"/>
      <c r="F434" s="446"/>
      <c r="I434" s="490"/>
    </row>
    <row r="435" spans="1:9">
      <c r="A435" s="484"/>
      <c r="B435" s="485" t="s">
        <v>2758</v>
      </c>
      <c r="C435" s="487"/>
      <c r="D435" s="1302" t="s">
        <v>2059</v>
      </c>
      <c r="E435" s="1302"/>
      <c r="F435" s="1302"/>
      <c r="I435" s="490"/>
    </row>
    <row r="436" spans="1:9">
      <c r="A436" s="484"/>
      <c r="B436" s="484"/>
      <c r="D436" s="1302"/>
      <c r="E436" s="1302"/>
      <c r="F436" s="1302"/>
      <c r="I436" s="490"/>
    </row>
    <row r="437" spans="1:9">
      <c r="D437" s="1302"/>
      <c r="E437" s="1302"/>
      <c r="F437" s="1302"/>
      <c r="I437" s="490"/>
    </row>
    <row r="438" spans="1:9">
      <c r="D438" s="1302"/>
      <c r="E438" s="1302"/>
      <c r="F438" s="1302"/>
      <c r="I438" s="490"/>
    </row>
    <row r="439" spans="1:9">
      <c r="D439" s="1302"/>
      <c r="E439" s="1302"/>
      <c r="F439" s="1302"/>
      <c r="I439" s="490"/>
    </row>
    <row r="440" spans="1:9">
      <c r="D440" s="1302"/>
      <c r="E440" s="1302"/>
      <c r="F440" s="1302"/>
      <c r="I440" s="490"/>
    </row>
    <row r="441" spans="1:9">
      <c r="D441" s="1302"/>
      <c r="E441" s="1302"/>
      <c r="F441" s="1302"/>
      <c r="I441" s="490"/>
    </row>
    <row r="442" spans="1:9">
      <c r="D442" s="1302"/>
      <c r="E442" s="1302"/>
      <c r="F442" s="1302"/>
      <c r="I442" s="490"/>
    </row>
    <row r="443" spans="1:9">
      <c r="D443" s="1302"/>
      <c r="E443" s="1302"/>
      <c r="F443" s="1302"/>
      <c r="I443" s="490"/>
    </row>
    <row r="444" spans="1:9">
      <c r="D444" s="1302"/>
      <c r="E444" s="1302"/>
      <c r="F444" s="1302"/>
      <c r="I444" s="490"/>
    </row>
    <row r="445" spans="1:9">
      <c r="D445" s="1302"/>
      <c r="E445" s="1302"/>
      <c r="F445" s="1302"/>
      <c r="I445" s="490"/>
    </row>
    <row r="446" spans="1:9">
      <c r="D446" s="1302"/>
      <c r="E446" s="1302"/>
      <c r="F446" s="1302"/>
      <c r="I446" s="490"/>
    </row>
    <row r="447" spans="1:9">
      <c r="D447" s="1302"/>
      <c r="E447" s="1302"/>
      <c r="F447" s="1302"/>
      <c r="I447" s="490"/>
    </row>
    <row r="448" spans="1:9">
      <c r="A448" s="402"/>
      <c r="B448" s="402"/>
      <c r="C448" s="402"/>
      <c r="D448" s="1302"/>
      <c r="E448" s="1302"/>
      <c r="F448" s="1302"/>
      <c r="I448" s="490"/>
    </row>
    <row r="449" spans="1:9">
      <c r="A449" s="402"/>
      <c r="B449" s="402"/>
      <c r="C449" s="402"/>
      <c r="D449" s="1302"/>
      <c r="E449" s="1302"/>
      <c r="F449" s="1302"/>
      <c r="I449" s="490"/>
    </row>
    <row r="450" spans="1:9">
      <c r="A450" s="402"/>
      <c r="B450" s="402"/>
      <c r="C450" s="402"/>
      <c r="D450" s="1302"/>
      <c r="E450" s="1302"/>
      <c r="F450" s="1302"/>
      <c r="I450" s="490"/>
    </row>
    <row r="451" spans="1:9">
      <c r="A451" s="402"/>
      <c r="B451" s="402"/>
      <c r="C451" s="402"/>
      <c r="D451" s="1302"/>
      <c r="E451" s="1302"/>
      <c r="F451" s="1302"/>
      <c r="I451" s="490"/>
    </row>
    <row r="452" spans="1:9">
      <c r="A452" s="402"/>
      <c r="B452" s="402"/>
      <c r="C452" s="402"/>
      <c r="D452" s="1302"/>
      <c r="E452" s="1302"/>
      <c r="F452" s="1302"/>
      <c r="I452" s="490"/>
    </row>
    <row r="453" spans="1:9">
      <c r="A453" s="402"/>
      <c r="B453" s="402"/>
      <c r="C453" s="402"/>
      <c r="D453" s="1302"/>
      <c r="E453" s="1302"/>
      <c r="F453" s="1302"/>
      <c r="I453" s="490"/>
    </row>
    <row r="454" spans="1:9">
      <c r="A454" s="402"/>
      <c r="B454" s="402"/>
      <c r="C454" s="402"/>
      <c r="D454" s="1302"/>
      <c r="E454" s="1302"/>
      <c r="F454" s="1302"/>
      <c r="I454" s="490"/>
    </row>
    <row r="455" spans="1:9">
      <c r="A455" s="402"/>
      <c r="B455" s="402"/>
      <c r="C455" s="402"/>
      <c r="D455" s="1302"/>
      <c r="E455" s="1302"/>
      <c r="F455" s="1302"/>
      <c r="I455" s="490"/>
    </row>
    <row r="456" spans="1:9">
      <c r="A456" s="402"/>
      <c r="B456" s="402"/>
      <c r="C456" s="402"/>
      <c r="D456" s="1302"/>
      <c r="E456" s="1302"/>
      <c r="F456" s="1302"/>
      <c r="I456" s="490"/>
    </row>
    <row r="457" spans="1:9">
      <c r="A457" s="402"/>
      <c r="B457" s="402"/>
      <c r="C457" s="402"/>
      <c r="D457" s="1302"/>
      <c r="E457" s="1302"/>
      <c r="F457" s="1302"/>
      <c r="I457" s="490"/>
    </row>
    <row r="458" spans="1:9">
      <c r="A458" s="402"/>
      <c r="B458" s="402"/>
      <c r="C458" s="402"/>
      <c r="D458" s="1302"/>
      <c r="E458" s="1302"/>
      <c r="F458" s="1302"/>
      <c r="I458" s="490"/>
    </row>
    <row r="459" spans="1:9">
      <c r="A459" s="402"/>
      <c r="B459" s="402"/>
      <c r="C459" s="402"/>
      <c r="D459" s="1302"/>
      <c r="E459" s="1302"/>
      <c r="F459" s="1302"/>
      <c r="I459" s="490"/>
    </row>
    <row r="460" spans="1:9">
      <c r="A460" s="402"/>
      <c r="B460" s="402"/>
      <c r="C460" s="402"/>
      <c r="D460" s="1302"/>
      <c r="E460" s="1302"/>
      <c r="F460" s="1302"/>
      <c r="I460" s="490"/>
    </row>
    <row r="461" spans="1:9">
      <c r="A461" s="402"/>
      <c r="B461" s="402"/>
      <c r="C461" s="402"/>
      <c r="D461" s="1302"/>
      <c r="E461" s="1302"/>
      <c r="F461" s="1302"/>
      <c r="I461" s="490"/>
    </row>
    <row r="462" spans="1:9">
      <c r="A462" s="402"/>
      <c r="B462" s="402"/>
      <c r="C462" s="402"/>
      <c r="D462" s="1302"/>
      <c r="E462" s="1302"/>
      <c r="F462" s="1302"/>
      <c r="I462" s="490"/>
    </row>
    <row r="463" spans="1:9">
      <c r="A463" s="402"/>
      <c r="B463" s="402"/>
      <c r="C463" s="402"/>
      <c r="D463" s="1302"/>
      <c r="E463" s="1302"/>
      <c r="F463" s="1302"/>
      <c r="I463" s="490"/>
    </row>
    <row r="464" spans="1:9">
      <c r="D464" s="1302"/>
      <c r="E464" s="1302"/>
      <c r="F464" s="1302"/>
      <c r="I464" s="490"/>
    </row>
    <row r="465" spans="1:9" ht="40.700000000000003" customHeight="1">
      <c r="D465" s="1302"/>
      <c r="E465" s="1302"/>
      <c r="F465" s="1302"/>
      <c r="I465" s="490"/>
    </row>
    <row r="466" spans="1:9">
      <c r="D466" s="446"/>
      <c r="E466" s="446"/>
      <c r="F466" s="446"/>
      <c r="I466" s="490"/>
    </row>
    <row r="467" spans="1:9">
      <c r="A467" s="484"/>
      <c r="B467" s="485" t="s">
        <v>2758</v>
      </c>
      <c r="C467" s="487"/>
      <c r="D467" s="1302" t="s">
        <v>1137</v>
      </c>
      <c r="E467" s="1302"/>
      <c r="F467" s="1302"/>
      <c r="I467" s="490"/>
    </row>
    <row r="468" spans="1:9">
      <c r="D468" s="1302"/>
      <c r="E468" s="1302"/>
      <c r="F468" s="1302"/>
      <c r="I468" s="490"/>
    </row>
    <row r="469" spans="1:9">
      <c r="D469" s="1302"/>
      <c r="E469" s="1302"/>
      <c r="F469" s="1302"/>
      <c r="I469" s="490"/>
    </row>
    <row r="470" spans="1:9">
      <c r="D470" s="445"/>
      <c r="E470" s="445"/>
      <c r="F470" s="445"/>
      <c r="I470" s="490"/>
    </row>
    <row r="471" spans="1:9">
      <c r="B471" s="485" t="s">
        <v>2758</v>
      </c>
      <c r="C471" s="484"/>
      <c r="D471" s="1302" t="s">
        <v>1197</v>
      </c>
      <c r="E471" s="1302"/>
      <c r="F471" s="1302"/>
      <c r="I471" s="490"/>
    </row>
    <row r="472" spans="1:9">
      <c r="D472" s="1302"/>
      <c r="E472" s="1302"/>
      <c r="F472" s="1302"/>
      <c r="I472" s="490"/>
    </row>
    <row r="473" spans="1:9">
      <c r="D473" s="446"/>
      <c r="E473" s="446"/>
      <c r="F473" s="446"/>
      <c r="I473" s="490"/>
    </row>
    <row r="474" spans="1:9">
      <c r="B474" s="485" t="s">
        <v>2758</v>
      </c>
      <c r="C474" s="484"/>
      <c r="D474" s="1302" t="s">
        <v>1138</v>
      </c>
      <c r="E474" s="1302"/>
      <c r="F474" s="1302"/>
      <c r="I474" s="490"/>
    </row>
    <row r="475" spans="1:9">
      <c r="D475" s="1302"/>
      <c r="E475" s="1302"/>
      <c r="F475" s="1302"/>
      <c r="I475" s="490"/>
    </row>
    <row r="476" spans="1:9">
      <c r="D476" s="1302"/>
      <c r="E476" s="1302"/>
      <c r="F476" s="1302"/>
      <c r="I476" s="490"/>
    </row>
    <row r="477" spans="1:9">
      <c r="D477" s="1302"/>
      <c r="E477" s="1302"/>
      <c r="F477" s="1302"/>
      <c r="I477" s="490"/>
    </row>
    <row r="478" spans="1:9">
      <c r="B478" s="485" t="s">
        <v>2758</v>
      </c>
      <c r="D478" s="1302"/>
      <c r="E478" s="1302"/>
      <c r="F478" s="1302"/>
      <c r="I478" s="490"/>
    </row>
    <row r="479" spans="1:9">
      <c r="A479" s="402"/>
      <c r="B479" s="402"/>
      <c r="C479" s="402"/>
      <c r="D479" s="1302"/>
      <c r="E479" s="1302"/>
      <c r="F479" s="1302"/>
      <c r="I479" s="490"/>
    </row>
    <row r="480" spans="1:9">
      <c r="A480" s="402"/>
      <c r="C480" s="402"/>
      <c r="D480" s="1302"/>
      <c r="E480" s="1302"/>
      <c r="F480" s="1302"/>
      <c r="I480" s="490"/>
    </row>
    <row r="481" spans="1:9">
      <c r="A481" s="402"/>
      <c r="B481" s="485" t="s">
        <v>2758</v>
      </c>
      <c r="C481" s="402"/>
      <c r="D481" s="1302"/>
      <c r="E481" s="1302"/>
      <c r="F481" s="1302"/>
      <c r="I481" s="490"/>
    </row>
    <row r="482" spans="1:9">
      <c r="A482" s="402"/>
      <c r="B482" s="402"/>
      <c r="C482" s="402"/>
      <c r="D482" s="1302"/>
      <c r="E482" s="1302"/>
      <c r="F482" s="1302"/>
      <c r="I482" s="490"/>
    </row>
    <row r="483" spans="1:9">
      <c r="A483" s="402"/>
      <c r="C483" s="402"/>
      <c r="D483" s="1302"/>
      <c r="E483" s="1302"/>
      <c r="F483" s="1302"/>
      <c r="I483" s="490"/>
    </row>
    <row r="484" spans="1:9">
      <c r="A484" s="402"/>
      <c r="C484" s="402"/>
      <c r="D484" s="1302"/>
      <c r="E484" s="1302"/>
      <c r="F484" s="1302"/>
      <c r="I484" s="490"/>
    </row>
    <row r="485" spans="1:9">
      <c r="A485" s="402"/>
      <c r="C485" s="402"/>
      <c r="D485" s="1302"/>
      <c r="E485" s="1302"/>
      <c r="F485" s="1302"/>
      <c r="I485" s="490"/>
    </row>
    <row r="486" spans="1:9">
      <c r="A486" s="402"/>
      <c r="B486" s="485" t="s">
        <v>2758</v>
      </c>
      <c r="C486" s="402"/>
      <c r="D486" s="1302"/>
      <c r="E486" s="1302"/>
      <c r="F486" s="1302"/>
      <c r="I486" s="490"/>
    </row>
    <row r="487" spans="1:9">
      <c r="A487" s="402"/>
      <c r="C487" s="402"/>
      <c r="D487" s="1302"/>
      <c r="E487" s="1302"/>
      <c r="F487" s="1302"/>
      <c r="I487" s="490"/>
    </row>
    <row r="488" spans="1:9">
      <c r="A488" s="402"/>
      <c r="B488" s="485" t="s">
        <v>2758</v>
      </c>
      <c r="C488" s="402"/>
      <c r="D488" s="1302" t="s">
        <v>1139</v>
      </c>
      <c r="E488" s="1302"/>
      <c r="F488" s="1302"/>
      <c r="I488" s="490"/>
    </row>
    <row r="489" spans="1:9">
      <c r="A489" s="402"/>
      <c r="B489" s="402"/>
      <c r="C489" s="402"/>
      <c r="D489" s="1302"/>
      <c r="E489" s="1302"/>
      <c r="F489" s="1302"/>
      <c r="I489" s="490"/>
    </row>
    <row r="490" spans="1:9">
      <c r="A490" s="402"/>
      <c r="B490" s="402"/>
      <c r="C490" s="402"/>
      <c r="D490" s="1302"/>
      <c r="E490" s="1302"/>
      <c r="F490" s="1302"/>
      <c r="I490" s="490"/>
    </row>
    <row r="491" spans="1:9">
      <c r="A491" s="402"/>
      <c r="B491" s="402"/>
      <c r="C491" s="402"/>
      <c r="D491" s="1302"/>
      <c r="E491" s="1302"/>
      <c r="F491" s="1302"/>
      <c r="I491" s="490"/>
    </row>
    <row r="492" spans="1:9">
      <c r="D492" s="1302"/>
      <c r="E492" s="1302"/>
      <c r="F492" s="1302"/>
      <c r="I492" s="490"/>
    </row>
    <row r="493" spans="1:9">
      <c r="D493" s="446"/>
      <c r="E493" s="446"/>
      <c r="F493" s="446"/>
      <c r="I493" s="490"/>
    </row>
    <row r="494" spans="1:9">
      <c r="B494" s="485" t="s">
        <v>2758</v>
      </c>
      <c r="D494" s="1300" t="s">
        <v>1140</v>
      </c>
      <c r="E494" s="1300"/>
      <c r="F494" s="1300"/>
      <c r="I494" s="490"/>
    </row>
    <row r="495" spans="1:9">
      <c r="A495" s="446"/>
      <c r="B495" s="446"/>
      <c r="I495" s="490"/>
    </row>
    <row r="496" spans="1:9">
      <c r="A496" s="1309" t="s">
        <v>1050</v>
      </c>
      <c r="B496" s="1309"/>
      <c r="C496" s="1309"/>
      <c r="D496" s="1309"/>
      <c r="E496" s="1309"/>
      <c r="F496" s="1309"/>
      <c r="G496" s="1309"/>
      <c r="H496" s="1028"/>
      <c r="I496" s="1153"/>
    </row>
    <row r="497" spans="1:9">
      <c r="A497" s="446"/>
      <c r="B497" s="446"/>
      <c r="I497" s="490"/>
    </row>
    <row r="498" spans="1:9">
      <c r="D498" s="1328" t="s">
        <v>883</v>
      </c>
      <c r="E498" s="1328"/>
      <c r="F498" s="1328"/>
      <c r="I498" s="490"/>
    </row>
    <row r="499" spans="1:9">
      <c r="A499" s="484"/>
      <c r="B499" s="484"/>
      <c r="D499" s="1319" t="s">
        <v>1141</v>
      </c>
      <c r="E499" s="1319"/>
      <c r="F499" s="1319"/>
      <c r="I499" s="490"/>
    </row>
    <row r="500" spans="1:9">
      <c r="A500" s="484"/>
      <c r="B500" s="484"/>
      <c r="D500" s="447"/>
      <c r="I500" s="490"/>
    </row>
    <row r="501" spans="1:9">
      <c r="A501" s="484"/>
      <c r="B501" s="485" t="s">
        <v>2758</v>
      </c>
      <c r="D501" s="1273" t="s">
        <v>1142</v>
      </c>
      <c r="E501" s="1273"/>
      <c r="F501" s="1273"/>
      <c r="I501" s="490"/>
    </row>
    <row r="502" spans="1:9">
      <c r="A502" s="484"/>
      <c r="B502" s="484"/>
      <c r="D502" s="1273"/>
      <c r="E502" s="1273"/>
      <c r="F502" s="1273"/>
      <c r="I502" s="490"/>
    </row>
    <row r="503" spans="1:9">
      <c r="A503" s="484"/>
      <c r="B503" s="484"/>
      <c r="D503" s="446"/>
      <c r="I503" s="490"/>
    </row>
    <row r="504" spans="1:9" ht="12.75" customHeight="1">
      <c r="B504" s="485" t="s">
        <v>2758</v>
      </c>
      <c r="D504" s="1314" t="s">
        <v>1273</v>
      </c>
      <c r="E504" s="1314"/>
      <c r="F504" s="1314"/>
      <c r="I504" s="490"/>
    </row>
    <row r="505" spans="1:9">
      <c r="A505" s="484"/>
      <c r="D505" s="1314"/>
      <c r="E505" s="1314"/>
      <c r="F505" s="1314"/>
      <c r="I505" s="490"/>
    </row>
    <row r="506" spans="1:9">
      <c r="A506" s="484"/>
      <c r="B506" s="484"/>
      <c r="D506" s="1314"/>
      <c r="E506" s="1314"/>
      <c r="F506" s="1314"/>
      <c r="I506" s="490"/>
    </row>
    <row r="507" spans="1:9">
      <c r="A507" s="484"/>
      <c r="B507" s="484"/>
      <c r="D507" s="1314"/>
      <c r="E507" s="1314"/>
      <c r="F507" s="1314"/>
      <c r="I507" s="490"/>
    </row>
    <row r="508" spans="1:9">
      <c r="A508" s="484"/>
      <c r="D508" s="520"/>
      <c r="E508" s="520"/>
      <c r="F508" s="520"/>
      <c r="I508" s="490"/>
    </row>
    <row r="509" spans="1:9">
      <c r="A509" s="484"/>
      <c r="B509" s="485" t="s">
        <v>2758</v>
      </c>
      <c r="D509" s="1300" t="s">
        <v>1143</v>
      </c>
      <c r="E509" s="1300"/>
      <c r="F509" s="1300"/>
      <c r="I509" s="490"/>
    </row>
    <row r="510" spans="1:9">
      <c r="A510" s="484"/>
      <c r="B510" s="484"/>
      <c r="D510" s="446"/>
      <c r="I510" s="490"/>
    </row>
    <row r="511" spans="1:9">
      <c r="A511" s="484"/>
      <c r="B511" s="485" t="s">
        <v>2758</v>
      </c>
      <c r="D511" s="1302" t="s">
        <v>1144</v>
      </c>
      <c r="E511" s="1302"/>
      <c r="F511" s="1302"/>
      <c r="I511" s="490"/>
    </row>
    <row r="512" spans="1:9">
      <c r="A512" s="484"/>
      <c r="D512" s="1302"/>
      <c r="E512" s="1302"/>
      <c r="F512" s="1302"/>
      <c r="I512" s="490"/>
    </row>
    <row r="513" spans="1:9">
      <c r="A513" s="490"/>
      <c r="B513" s="490"/>
      <c r="D513" s="447"/>
      <c r="I513" s="490"/>
    </row>
    <row r="514" spans="1:9">
      <c r="A514" s="490"/>
      <c r="B514" s="485" t="s">
        <v>2758</v>
      </c>
      <c r="D514" s="1300" t="s">
        <v>1145</v>
      </c>
      <c r="E514" s="1300"/>
      <c r="F514" s="1300"/>
      <c r="I514" s="490"/>
    </row>
    <row r="515" spans="1:9">
      <c r="D515" s="446"/>
      <c r="E515" s="446"/>
      <c r="F515" s="446"/>
      <c r="I515" s="490"/>
    </row>
    <row r="516" spans="1:9">
      <c r="B516" s="485" t="s">
        <v>2758</v>
      </c>
      <c r="D516" s="1302" t="s">
        <v>2281</v>
      </c>
      <c r="E516" s="1302"/>
      <c r="F516" s="1302"/>
      <c r="I516" s="490"/>
    </row>
    <row r="517" spans="1:9">
      <c r="D517" s="1302"/>
      <c r="E517" s="1302"/>
      <c r="F517" s="1302"/>
      <c r="I517" s="490"/>
    </row>
    <row r="518" spans="1:9">
      <c r="D518" s="1302"/>
      <c r="E518" s="1302"/>
      <c r="F518" s="1302"/>
      <c r="I518" s="490"/>
    </row>
    <row r="519" spans="1:9">
      <c r="D519" s="446"/>
      <c r="E519" s="446"/>
      <c r="F519" s="446"/>
      <c r="I519" s="490"/>
    </row>
    <row r="520" spans="1:9">
      <c r="A520" s="484"/>
      <c r="B520" s="484"/>
      <c r="D520" s="446"/>
      <c r="I520" s="490"/>
    </row>
    <row r="521" spans="1:9">
      <c r="A521" s="1309" t="s">
        <v>1051</v>
      </c>
      <c r="B521" s="1309"/>
      <c r="C521" s="1309"/>
      <c r="D521" s="1309"/>
      <c r="E521" s="1309"/>
      <c r="F521" s="1309"/>
      <c r="G521" s="1309"/>
      <c r="H521" s="1028"/>
      <c r="I521" s="1153"/>
    </row>
    <row r="522" spans="1:9" ht="12" customHeight="1">
      <c r="A522" s="484"/>
      <c r="B522" s="484"/>
      <c r="D522" s="446"/>
      <c r="I522" s="490"/>
    </row>
    <row r="523" spans="1:9">
      <c r="C523" s="482"/>
      <c r="D523" s="1310" t="s">
        <v>793</v>
      </c>
      <c r="E523" s="1310"/>
      <c r="F523" s="1310"/>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2757</v>
      </c>
      <c r="C527" s="483"/>
      <c r="D527" s="1273" t="s">
        <v>2060</v>
      </c>
      <c r="E527" s="1273"/>
      <c r="F527" s="1273"/>
      <c r="I527" s="490"/>
    </row>
    <row r="528" spans="1:9">
      <c r="A528" s="483"/>
      <c r="B528" s="483"/>
      <c r="C528" s="483"/>
      <c r="D528" s="1273"/>
      <c r="E528" s="1273"/>
      <c r="F528" s="1273"/>
      <c r="I528" s="490"/>
    </row>
    <row r="529" spans="1:9">
      <c r="A529" s="483"/>
      <c r="B529" s="483"/>
      <c r="C529" s="483"/>
      <c r="D529" s="451"/>
      <c r="E529" s="451"/>
      <c r="F529" s="451"/>
      <c r="I529" s="480"/>
    </row>
    <row r="530" spans="1:9" ht="12.75" customHeight="1">
      <c r="A530" s="483"/>
      <c r="B530" s="485" t="s">
        <v>2757</v>
      </c>
      <c r="D530" s="386" t="s">
        <v>1904</v>
      </c>
      <c r="E530" s="385"/>
      <c r="F530" s="385"/>
      <c r="I530" s="490"/>
    </row>
    <row r="531" spans="1:9">
      <c r="A531" s="483"/>
      <c r="B531" s="483"/>
      <c r="C531" s="483"/>
      <c r="D531" s="385"/>
      <c r="E531" s="96" t="s">
        <v>1905</v>
      </c>
      <c r="I531" s="490"/>
    </row>
    <row r="532" spans="1:9">
      <c r="A532" s="483"/>
      <c r="B532" s="483"/>
      <c r="D532" s="1281" t="s">
        <v>2061</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2758</v>
      </c>
      <c r="C536" s="483"/>
      <c r="D536" s="1302" t="s">
        <v>2062</v>
      </c>
      <c r="E536" s="1302"/>
      <c r="F536" s="1302"/>
      <c r="I536" s="490"/>
    </row>
    <row r="537" spans="1:9">
      <c r="A537" s="483"/>
      <c r="B537" s="483"/>
      <c r="C537" s="483"/>
      <c r="D537" s="1302"/>
      <c r="E537" s="1302"/>
      <c r="F537" s="1302"/>
      <c r="I537" s="490"/>
    </row>
    <row r="538" spans="1:9" ht="12" customHeight="1">
      <c r="A538" s="446"/>
      <c r="B538" s="446"/>
      <c r="C538" s="487"/>
      <c r="D538" s="446"/>
      <c r="F538" s="448"/>
      <c r="I538" s="490"/>
    </row>
    <row r="539" spans="1:9">
      <c r="A539" s="1309" t="s">
        <v>1052</v>
      </c>
      <c r="B539" s="1309"/>
      <c r="C539" s="1309"/>
      <c r="D539" s="1309"/>
      <c r="E539" s="1309"/>
      <c r="F539" s="1309"/>
      <c r="G539" s="1309"/>
      <c r="H539" s="1028"/>
      <c r="I539" s="1153"/>
    </row>
    <row r="540" spans="1:9">
      <c r="A540" s="446"/>
      <c r="B540" s="446"/>
      <c r="C540" s="487"/>
      <c r="F540" s="448"/>
      <c r="I540" s="490"/>
    </row>
    <row r="541" spans="1:9">
      <c r="B541" s="1304" t="s">
        <v>446</v>
      </c>
      <c r="C541" s="1304"/>
      <c r="D541" s="1304"/>
      <c r="E541" s="1304"/>
      <c r="F541" s="1304"/>
      <c r="I541" s="490"/>
    </row>
    <row r="542" spans="1:9">
      <c r="A542" s="446"/>
      <c r="B542" s="446"/>
      <c r="C542" s="487"/>
      <c r="D542" s="446"/>
      <c r="F542" s="446"/>
      <c r="I542" s="490"/>
    </row>
    <row r="543" spans="1:9">
      <c r="A543" s="1301" t="s">
        <v>1053</v>
      </c>
      <c r="B543" s="1301"/>
      <c r="C543" s="1301"/>
      <c r="D543" s="1301"/>
      <c r="E543" s="1301"/>
      <c r="F543" s="1301"/>
      <c r="G543" s="1301"/>
      <c r="H543" s="1028"/>
      <c r="I543" s="1153"/>
    </row>
    <row r="544" spans="1:9">
      <c r="A544" s="446"/>
      <c r="B544" s="446"/>
      <c r="C544" s="487"/>
      <c r="D544" s="446"/>
      <c r="F544" s="446"/>
      <c r="I544" s="490"/>
    </row>
    <row r="545" spans="1:9">
      <c r="C545" s="487"/>
      <c r="D545" s="1310" t="s">
        <v>683</v>
      </c>
      <c r="E545" s="1310"/>
      <c r="F545" s="1310"/>
      <c r="I545" s="490"/>
    </row>
    <row r="546" spans="1:9">
      <c r="C546" s="487"/>
      <c r="D546" s="1300" t="s">
        <v>1081</v>
      </c>
      <c r="E546" s="1300"/>
      <c r="F546" s="1300"/>
      <c r="I546" s="490"/>
    </row>
    <row r="547" spans="1:9">
      <c r="C547" s="487"/>
      <c r="D547" s="446"/>
      <c r="E547" s="446"/>
      <c r="F547" s="446"/>
      <c r="I547" s="490"/>
    </row>
    <row r="548" spans="1:9" ht="13.7" customHeight="1">
      <c r="A548" s="484"/>
      <c r="B548" s="485" t="s">
        <v>2757</v>
      </c>
      <c r="C548" s="487"/>
      <c r="D548" s="1300" t="s">
        <v>884</v>
      </c>
      <c r="E548" s="1300"/>
      <c r="F548" s="1300"/>
      <c r="I548" s="490"/>
    </row>
    <row r="549" spans="1:9" ht="13.7" customHeight="1">
      <c r="A549" s="487"/>
      <c r="B549" s="487"/>
      <c r="C549" s="487"/>
      <c r="D549" s="446"/>
      <c r="I549" s="490"/>
    </row>
    <row r="550" spans="1:9">
      <c r="A550" s="484"/>
      <c r="B550" s="485" t="s">
        <v>2757</v>
      </c>
      <c r="C550" s="487"/>
      <c r="D550" s="1302" t="s">
        <v>1082</v>
      </c>
      <c r="E550" s="1302"/>
      <c r="F550" s="1302"/>
      <c r="I550" s="490"/>
    </row>
    <row r="551" spans="1:9">
      <c r="A551" s="487"/>
      <c r="B551" s="487"/>
      <c r="C551" s="487"/>
      <c r="D551" s="1302"/>
      <c r="E551" s="1302"/>
      <c r="F551" s="1302"/>
      <c r="I551" s="490"/>
    </row>
    <row r="552" spans="1:9">
      <c r="A552" s="487"/>
      <c r="B552" s="487"/>
      <c r="C552" s="487"/>
      <c r="D552" s="446"/>
      <c r="E552" s="446"/>
      <c r="F552" s="446"/>
      <c r="I552" s="490"/>
    </row>
    <row r="553" spans="1:9">
      <c r="A553" s="484"/>
      <c r="B553" s="485" t="s">
        <v>2757</v>
      </c>
      <c r="C553" s="487"/>
      <c r="D553" s="1302" t="s">
        <v>1083</v>
      </c>
      <c r="E553" s="1302"/>
      <c r="F553" s="1302"/>
      <c r="I553" s="490"/>
    </row>
    <row r="554" spans="1:9">
      <c r="A554" s="487"/>
      <c r="B554" s="487"/>
      <c r="C554" s="487"/>
      <c r="D554" s="1302"/>
      <c r="E554" s="1302"/>
      <c r="F554" s="1302"/>
      <c r="I554" s="490"/>
    </row>
    <row r="555" spans="1:9">
      <c r="A555" s="487"/>
      <c r="B555" s="487"/>
      <c r="C555" s="487"/>
      <c r="D555" s="446"/>
      <c r="E555" s="446"/>
      <c r="F555" s="446"/>
      <c r="I555" s="490"/>
    </row>
    <row r="556" spans="1:9">
      <c r="A556" s="484"/>
      <c r="B556" s="485" t="s">
        <v>2757</v>
      </c>
      <c r="C556" s="487"/>
      <c r="D556" s="1302" t="s">
        <v>1084</v>
      </c>
      <c r="E556" s="1302"/>
      <c r="F556" s="1302"/>
      <c r="I556" s="490"/>
    </row>
    <row r="557" spans="1:9">
      <c r="A557" s="487"/>
      <c r="B557" s="487"/>
      <c r="C557" s="487"/>
      <c r="D557" s="1302"/>
      <c r="E557" s="1302"/>
      <c r="F557" s="1302"/>
      <c r="I557" s="490"/>
    </row>
    <row r="558" spans="1:9">
      <c r="A558" s="487"/>
      <c r="B558" s="487"/>
      <c r="C558" s="487"/>
      <c r="D558" s="446"/>
      <c r="E558" s="446"/>
      <c r="F558" s="446"/>
      <c r="I558" s="490"/>
    </row>
    <row r="559" spans="1:9">
      <c r="A559" s="484"/>
      <c r="B559" s="485" t="s">
        <v>2757</v>
      </c>
      <c r="C559" s="487"/>
      <c r="D559" s="1302" t="s">
        <v>1085</v>
      </c>
      <c r="E559" s="1302"/>
      <c r="F559" s="1302"/>
      <c r="I559" s="490"/>
    </row>
    <row r="560" spans="1:9">
      <c r="A560" s="487"/>
      <c r="B560" s="487"/>
      <c r="C560" s="487"/>
      <c r="D560" s="1302"/>
      <c r="E560" s="1302"/>
      <c r="F560" s="1302"/>
      <c r="I560" s="490"/>
    </row>
    <row r="561" spans="1:9">
      <c r="A561" s="487"/>
      <c r="B561" s="487"/>
      <c r="C561" s="487"/>
      <c r="D561" s="1302"/>
      <c r="E561" s="1302"/>
      <c r="F561" s="1302"/>
      <c r="I561" s="490"/>
    </row>
    <row r="562" spans="1:9">
      <c r="A562" s="487"/>
      <c r="B562" s="487"/>
      <c r="C562" s="487"/>
      <c r="D562" s="446"/>
      <c r="E562" s="446"/>
      <c r="F562" s="446"/>
      <c r="I562" s="490"/>
    </row>
    <row r="563" spans="1:9">
      <c r="A563" s="484"/>
      <c r="B563" s="485" t="s">
        <v>2758</v>
      </c>
      <c r="C563" s="487"/>
      <c r="D563" s="1302" t="s">
        <v>2248</v>
      </c>
      <c r="E563" s="1302"/>
      <c r="F563" s="1302"/>
      <c r="I563" s="490"/>
    </row>
    <row r="564" spans="1:9">
      <c r="A564" s="487"/>
      <c r="B564" s="487"/>
      <c r="C564" s="487"/>
      <c r="D564" s="1302"/>
      <c r="E564" s="1302"/>
      <c r="F564" s="1302"/>
      <c r="I564" s="490"/>
    </row>
    <row r="565" spans="1:9">
      <c r="A565" s="487"/>
      <c r="B565" s="487"/>
      <c r="C565" s="487"/>
      <c r="D565" s="446"/>
      <c r="E565" s="446"/>
      <c r="F565" s="446"/>
      <c r="I565" s="490"/>
    </row>
    <row r="566" spans="1:9">
      <c r="A566" s="484"/>
      <c r="B566" s="485" t="s">
        <v>2757</v>
      </c>
      <c r="C566" s="487"/>
      <c r="D566" s="1302" t="s">
        <v>1086</v>
      </c>
      <c r="E566" s="1302"/>
      <c r="F566" s="1302"/>
      <c r="I566" s="490"/>
    </row>
    <row r="567" spans="1:9">
      <c r="A567" s="487"/>
      <c r="B567" s="487"/>
      <c r="C567" s="487"/>
      <c r="D567" s="1302"/>
      <c r="E567" s="1302"/>
      <c r="F567" s="1302"/>
      <c r="I567" s="490"/>
    </row>
    <row r="568" spans="1:9">
      <c r="A568" s="487"/>
      <c r="B568" s="487"/>
      <c r="C568" s="487"/>
      <c r="D568" s="446"/>
      <c r="E568" s="446"/>
      <c r="F568" s="446"/>
      <c r="I568" s="490"/>
    </row>
    <row r="569" spans="1:9">
      <c r="A569" s="484"/>
      <c r="B569" s="485" t="s">
        <v>2757</v>
      </c>
      <c r="C569" s="487"/>
      <c r="D569" s="1300" t="s">
        <v>1087</v>
      </c>
      <c r="E569" s="1300"/>
      <c r="F569" s="1300"/>
      <c r="I569" s="490"/>
    </row>
    <row r="570" spans="1:9">
      <c r="A570" s="490"/>
      <c r="B570" s="490"/>
      <c r="C570" s="487"/>
      <c r="D570" s="1300" t="s">
        <v>1907</v>
      </c>
      <c r="E570" s="1300"/>
      <c r="F570" s="1300"/>
      <c r="I570" s="490"/>
    </row>
    <row r="571" spans="1:9">
      <c r="A571" s="490"/>
      <c r="B571" s="490"/>
      <c r="C571" s="487"/>
      <c r="E571" s="96" t="s">
        <v>1906</v>
      </c>
      <c r="F571" s="404"/>
      <c r="I571" s="490"/>
    </row>
    <row r="572" spans="1:9">
      <c r="A572" s="484"/>
      <c r="B572" s="484"/>
      <c r="C572" s="487"/>
      <c r="E572" s="446"/>
      <c r="F572" s="446"/>
      <c r="I572" s="490"/>
    </row>
    <row r="573" spans="1:9">
      <c r="A573" s="484"/>
      <c r="B573" s="485" t="s">
        <v>2757</v>
      </c>
      <c r="C573" s="487"/>
      <c r="D573" s="1300" t="s">
        <v>1088</v>
      </c>
      <c r="E573" s="1300"/>
      <c r="F573" s="1300"/>
      <c r="I573" s="490"/>
    </row>
    <row r="574" spans="1:9">
      <c r="C574" s="487"/>
      <c r="D574" s="1302" t="s">
        <v>1089</v>
      </c>
      <c r="E574" s="1302"/>
      <c r="F574" s="1302"/>
      <c r="I574" s="490"/>
    </row>
    <row r="575" spans="1:9">
      <c r="A575" s="487"/>
      <c r="B575" s="487"/>
      <c r="C575" s="487"/>
      <c r="D575" s="1302"/>
      <c r="E575" s="1302"/>
      <c r="F575" s="1302"/>
      <c r="I575" s="490"/>
    </row>
    <row r="576" spans="1:9">
      <c r="A576" s="487"/>
      <c r="B576" s="487"/>
      <c r="C576" s="487"/>
      <c r="D576" s="1302"/>
      <c r="E576" s="1302"/>
      <c r="F576" s="1302"/>
      <c r="I576" s="490"/>
    </row>
    <row r="577" spans="1:9">
      <c r="A577" s="487"/>
      <c r="B577" s="487"/>
      <c r="C577" s="487"/>
      <c r="D577" s="446"/>
      <c r="E577" s="446"/>
      <c r="F577" s="446"/>
      <c r="I577" s="490"/>
    </row>
    <row r="578" spans="1:9">
      <c r="A578" s="484"/>
      <c r="B578" s="485" t="s">
        <v>2757</v>
      </c>
      <c r="C578" s="487"/>
      <c r="D578" s="1302" t="s">
        <v>2063</v>
      </c>
      <c r="E578" s="1302"/>
      <c r="F578" s="1302"/>
      <c r="I578" s="490"/>
    </row>
    <row r="579" spans="1:9">
      <c r="A579" s="484"/>
      <c r="B579" s="484"/>
      <c r="C579" s="487"/>
      <c r="D579" s="1302"/>
      <c r="E579" s="1302"/>
      <c r="F579" s="1302"/>
      <c r="I579" s="490"/>
    </row>
    <row r="580" spans="1:9">
      <c r="A580" s="484"/>
      <c r="B580" s="484"/>
      <c r="C580" s="487"/>
      <c r="D580" s="1302"/>
      <c r="E580" s="1302"/>
      <c r="F580" s="1302"/>
      <c r="I580" s="490"/>
    </row>
    <row r="581" spans="1:9">
      <c r="A581" s="484"/>
      <c r="B581" s="484"/>
      <c r="C581" s="487"/>
      <c r="D581" s="1302"/>
      <c r="E581" s="1302"/>
      <c r="F581" s="1302"/>
      <c r="I581" s="490"/>
    </row>
    <row r="582" spans="1:9">
      <c r="A582" s="484"/>
      <c r="B582" s="484"/>
      <c r="C582" s="487"/>
      <c r="D582" s="446"/>
      <c r="E582" s="446"/>
      <c r="F582" s="446"/>
      <c r="I582" s="490"/>
    </row>
    <row r="583" spans="1:9">
      <c r="A583" s="1309" t="s">
        <v>1054</v>
      </c>
      <c r="B583" s="1309"/>
      <c r="C583" s="1309"/>
      <c r="D583" s="1309"/>
      <c r="E583" s="1309"/>
      <c r="F583" s="1309"/>
      <c r="G583" s="1309"/>
      <c r="H583" s="1028"/>
      <c r="I583" s="1153"/>
    </row>
    <row r="584" spans="1:9">
      <c r="A584" s="487"/>
      <c r="B584" s="487"/>
      <c r="C584" s="487"/>
      <c r="E584" s="446"/>
      <c r="F584" s="446"/>
      <c r="I584" s="490"/>
    </row>
    <row r="585" spans="1:9" ht="12.75" customHeight="1">
      <c r="C585" s="482"/>
      <c r="D585" s="1318" t="s">
        <v>209</v>
      </c>
      <c r="E585" s="1318"/>
      <c r="F585" s="1318"/>
      <c r="I585" s="490"/>
    </row>
    <row r="586" spans="1:9">
      <c r="A586" s="483"/>
      <c r="B586" s="483"/>
      <c r="C586" s="483"/>
      <c r="D586" s="1314" t="s">
        <v>1067</v>
      </c>
      <c r="E586" s="1314"/>
      <c r="F586" s="1314"/>
      <c r="I586" s="490"/>
    </row>
    <row r="587" spans="1:9">
      <c r="A587" s="402"/>
      <c r="B587" s="402"/>
      <c r="C587" s="483"/>
      <c r="D587" s="499"/>
      <c r="I587" s="490"/>
    </row>
    <row r="588" spans="1:9">
      <c r="A588" s="483"/>
      <c r="B588" s="485" t="s">
        <v>2757</v>
      </c>
      <c r="D588" s="1314" t="s">
        <v>888</v>
      </c>
      <c r="E588" s="1314"/>
      <c r="F588" s="1314"/>
      <c r="I588" s="490"/>
    </row>
    <row r="589" spans="1:9">
      <c r="A589" s="490"/>
      <c r="B589" s="490"/>
      <c r="D589" s="476"/>
      <c r="I589" s="490"/>
    </row>
    <row r="590" spans="1:9">
      <c r="A590" s="490"/>
      <c r="B590" s="485" t="s">
        <v>2757</v>
      </c>
      <c r="D590" s="1314" t="s">
        <v>2064</v>
      </c>
      <c r="E590" s="1314"/>
      <c r="F590" s="1314"/>
      <c r="I590" s="490"/>
    </row>
    <row r="591" spans="1:9">
      <c r="A591" s="490"/>
      <c r="B591" s="490"/>
      <c r="D591" s="1314"/>
      <c r="E591" s="1314"/>
      <c r="F591" s="1314"/>
      <c r="I591" s="490"/>
    </row>
    <row r="592" spans="1:9">
      <c r="A592" s="490"/>
      <c r="B592" s="490"/>
      <c r="D592" s="1314"/>
      <c r="E592" s="1314"/>
      <c r="F592" s="1314"/>
      <c r="I592" s="490"/>
    </row>
    <row r="593" spans="1:9">
      <c r="A593" s="490"/>
      <c r="B593" s="490"/>
      <c r="D593" s="1314"/>
      <c r="E593" s="1314"/>
      <c r="F593" s="1314"/>
      <c r="I593" s="490"/>
    </row>
    <row r="594" spans="1:9">
      <c r="A594" s="490"/>
      <c r="B594" s="485" t="s">
        <v>2758</v>
      </c>
      <c r="D594" s="1314" t="s">
        <v>1068</v>
      </c>
      <c r="E594" s="1314"/>
      <c r="F594" s="1314"/>
      <c r="I594" s="490"/>
    </row>
    <row r="595" spans="1:9">
      <c r="A595" s="490"/>
      <c r="B595" s="490"/>
      <c r="D595" s="1314"/>
      <c r="E595" s="1314"/>
      <c r="F595" s="1314"/>
      <c r="I595" s="490"/>
    </row>
    <row r="596" spans="1:9">
      <c r="A596" s="490"/>
      <c r="B596" s="490"/>
      <c r="D596" s="1314"/>
      <c r="E596" s="1314"/>
      <c r="F596" s="1314"/>
      <c r="I596" s="490"/>
    </row>
    <row r="597" spans="1:9">
      <c r="A597" s="490"/>
      <c r="B597" s="490"/>
      <c r="D597" s="1314"/>
      <c r="E597" s="1314"/>
      <c r="F597" s="1314"/>
      <c r="I597" s="490"/>
    </row>
    <row r="598" spans="1:9">
      <c r="A598" s="490"/>
      <c r="B598" s="490"/>
      <c r="D598" s="440"/>
      <c r="E598" s="440"/>
      <c r="F598" s="440"/>
      <c r="I598" s="490"/>
    </row>
    <row r="599" spans="1:9">
      <c r="A599" s="490"/>
      <c r="B599" s="485" t="s">
        <v>2757</v>
      </c>
      <c r="D599" s="1314" t="s">
        <v>2065</v>
      </c>
      <c r="E599" s="1314"/>
      <c r="F599" s="1314"/>
      <c r="I599" s="490"/>
    </row>
    <row r="600" spans="1:9">
      <c r="A600" s="490"/>
      <c r="B600" s="490"/>
      <c r="D600" s="1314"/>
      <c r="E600" s="1314"/>
      <c r="F600" s="1314"/>
      <c r="I600" s="490"/>
    </row>
    <row r="601" spans="1:9">
      <c r="A601" s="490"/>
      <c r="B601" s="490"/>
      <c r="D601" s="499"/>
      <c r="I601" s="490"/>
    </row>
    <row r="602" spans="1:9">
      <c r="A602" s="490"/>
      <c r="B602" s="485" t="s">
        <v>2758</v>
      </c>
      <c r="D602" s="1314" t="s">
        <v>1069</v>
      </c>
      <c r="E602" s="1314"/>
      <c r="F602" s="1314"/>
      <c r="I602" s="490"/>
    </row>
    <row r="603" spans="1:9">
      <c r="A603" s="490"/>
      <c r="B603" s="490"/>
      <c r="D603" s="1314"/>
      <c r="E603" s="1314"/>
      <c r="F603" s="1314"/>
      <c r="I603" s="490"/>
    </row>
    <row r="604" spans="1:9">
      <c r="A604" s="484"/>
      <c r="B604" s="484"/>
      <c r="D604" s="499"/>
      <c r="I604" s="490"/>
    </row>
    <row r="605" spans="1:9">
      <c r="A605" s="1309" t="s">
        <v>1055</v>
      </c>
      <c r="B605" s="1309"/>
      <c r="C605" s="1309"/>
      <c r="D605" s="1309"/>
      <c r="E605" s="1309"/>
      <c r="F605" s="1309"/>
      <c r="G605" s="1309"/>
      <c r="H605" s="1028"/>
      <c r="I605" s="1153"/>
    </row>
    <row r="606" spans="1:9">
      <c r="I606" s="490"/>
    </row>
    <row r="607" spans="1:9">
      <c r="D607" s="1310" t="s">
        <v>1107</v>
      </c>
      <c r="E607" s="1310"/>
      <c r="F607" s="1310"/>
      <c r="I607" s="490"/>
    </row>
    <row r="608" spans="1:9">
      <c r="D608" s="1282" t="s">
        <v>1108</v>
      </c>
      <c r="E608" s="1282"/>
      <c r="F608" s="1282"/>
      <c r="I608" s="490"/>
    </row>
    <row r="609" spans="1:9">
      <c r="D609" s="444"/>
      <c r="I609" s="490"/>
    </row>
    <row r="610" spans="1:9" ht="14.25" customHeight="1">
      <c r="A610" s="484"/>
      <c r="B610" s="485" t="s">
        <v>2757</v>
      </c>
      <c r="D610" s="1315" t="s">
        <v>1908</v>
      </c>
      <c r="E610" s="1315"/>
      <c r="F610" s="1315"/>
      <c r="I610" s="490"/>
    </row>
    <row r="611" spans="1:9">
      <c r="D611" s="1315"/>
      <c r="E611" s="1315"/>
      <c r="F611" s="1315"/>
      <c r="I611" s="490"/>
    </row>
    <row r="612" spans="1:9">
      <c r="D612" s="385"/>
      <c r="E612" s="1036" t="s">
        <v>1909</v>
      </c>
      <c r="F612" s="385"/>
      <c r="I612" s="490"/>
    </row>
    <row r="613" spans="1:9">
      <c r="I613" s="490"/>
    </row>
    <row r="614" spans="1:9">
      <c r="A614" s="1309" t="s">
        <v>1056</v>
      </c>
      <c r="B614" s="1309"/>
      <c r="C614" s="1309"/>
      <c r="D614" s="1309"/>
      <c r="E614" s="1309"/>
      <c r="F614" s="1309"/>
      <c r="G614" s="1309"/>
      <c r="H614" s="1028"/>
      <c r="I614" s="1153"/>
    </row>
    <row r="615" spans="1:9">
      <c r="A615" s="446"/>
      <c r="B615" s="446"/>
      <c r="I615" s="490"/>
    </row>
    <row r="616" spans="1:9">
      <c r="A616" s="482"/>
      <c r="B616" s="482"/>
      <c r="C616" s="482"/>
      <c r="D616" s="1299" t="s">
        <v>1109</v>
      </c>
      <c r="E616" s="1299"/>
      <c r="F616" s="1299"/>
      <c r="I616" s="490"/>
    </row>
    <row r="617" spans="1:9">
      <c r="A617" s="482"/>
      <c r="B617" s="482"/>
      <c r="C617" s="482"/>
      <c r="D617" s="1299"/>
      <c r="E617" s="1299"/>
      <c r="F617" s="1299"/>
      <c r="I617" s="490"/>
    </row>
    <row r="618" spans="1:9">
      <c r="C618" s="483"/>
      <c r="D618" s="1282" t="s">
        <v>1110</v>
      </c>
      <c r="E618" s="1282"/>
      <c r="F618" s="1282"/>
      <c r="I618" s="490"/>
    </row>
    <row r="619" spans="1:9">
      <c r="C619" s="483"/>
      <c r="D619" s="444"/>
      <c r="E619" s="444"/>
      <c r="F619" s="444"/>
      <c r="I619" s="490"/>
    </row>
    <row r="620" spans="1:9" ht="12.75" customHeight="1">
      <c r="A620" s="490"/>
      <c r="B620" s="485" t="s">
        <v>2757</v>
      </c>
      <c r="D620" s="1308" t="s">
        <v>1111</v>
      </c>
      <c r="E620" s="1308"/>
      <c r="F620" s="1308"/>
      <c r="I620" s="490"/>
    </row>
    <row r="621" spans="1:9">
      <c r="D621" s="1308"/>
      <c r="E621" s="1308"/>
      <c r="F621" s="1308"/>
      <c r="I621" s="490"/>
    </row>
    <row r="622" spans="1:9">
      <c r="I622" s="490"/>
    </row>
    <row r="623" spans="1:9">
      <c r="B623" s="485" t="s">
        <v>2757</v>
      </c>
      <c r="D623" s="1308" t="s">
        <v>1112</v>
      </c>
      <c r="E623" s="1308"/>
      <c r="F623" s="1308"/>
      <c r="I623" s="490"/>
    </row>
    <row r="624" spans="1:9">
      <c r="C624" s="500"/>
      <c r="D624" s="1308"/>
      <c r="E624" s="1308"/>
      <c r="F624" s="1308"/>
      <c r="I624" s="490"/>
    </row>
    <row r="625" spans="1:9">
      <c r="C625" s="500"/>
      <c r="I625" s="490"/>
    </row>
    <row r="626" spans="1:9">
      <c r="B626" s="485" t="s">
        <v>2758</v>
      </c>
      <c r="C626" s="500"/>
      <c r="D626" s="1308" t="s">
        <v>1113</v>
      </c>
      <c r="E626" s="1308"/>
      <c r="F626" s="1308"/>
      <c r="I626" s="490"/>
    </row>
    <row r="627" spans="1:9">
      <c r="C627" s="500"/>
      <c r="D627" s="1308"/>
      <c r="E627" s="1308"/>
      <c r="F627" s="1308"/>
      <c r="I627" s="500"/>
    </row>
    <row r="628" spans="1:9">
      <c r="C628" s="500"/>
      <c r="I628" s="490"/>
    </row>
    <row r="629" spans="1:9">
      <c r="A629" s="1309" t="s">
        <v>1057</v>
      </c>
      <c r="B629" s="1309"/>
      <c r="C629" s="1309"/>
      <c r="D629" s="1309"/>
      <c r="E629" s="1309"/>
      <c r="F629" s="1309"/>
      <c r="G629" s="1309"/>
      <c r="H629" s="1028"/>
      <c r="I629" s="1153"/>
    </row>
    <row r="630" spans="1:9">
      <c r="A630" s="482"/>
      <c r="B630" s="482"/>
      <c r="C630" s="482"/>
      <c r="I630" s="490"/>
    </row>
    <row r="631" spans="1:9">
      <c r="C631" s="490"/>
      <c r="D631" s="1310" t="s">
        <v>1114</v>
      </c>
      <c r="E631" s="1310"/>
      <c r="F631" s="1310"/>
      <c r="I631" s="490"/>
    </row>
    <row r="632" spans="1:9">
      <c r="A632" s="490"/>
      <c r="B632" s="490"/>
      <c r="D632" s="404"/>
      <c r="I632" s="490"/>
    </row>
    <row r="633" spans="1:9" ht="14.25" customHeight="1">
      <c r="A633" s="484"/>
      <c r="B633" s="485" t="s">
        <v>2757</v>
      </c>
      <c r="D633" s="1315" t="s">
        <v>2066</v>
      </c>
      <c r="E633" s="1315"/>
      <c r="F633" s="1315"/>
      <c r="I633" s="490"/>
    </row>
    <row r="634" spans="1:9">
      <c r="D634" s="1315"/>
      <c r="E634" s="1315"/>
      <c r="F634" s="1315"/>
      <c r="I634" s="490"/>
    </row>
    <row r="635" spans="1:9">
      <c r="D635" s="385"/>
      <c r="E635" s="1036" t="s">
        <v>1911</v>
      </c>
      <c r="F635" s="385"/>
      <c r="I635" s="490"/>
    </row>
    <row r="636" spans="1:9">
      <c r="D636" s="1302" t="s">
        <v>1910</v>
      </c>
      <c r="E636" s="1302"/>
      <c r="F636" s="1302"/>
      <c r="I636" s="490"/>
    </row>
    <row r="637" spans="1:9">
      <c r="D637" s="1302"/>
      <c r="E637" s="1302"/>
      <c r="F637" s="1302"/>
      <c r="I637" s="490"/>
    </row>
    <row r="638" spans="1:9">
      <c r="D638" s="1302"/>
      <c r="E638" s="1302"/>
      <c r="F638" s="1302"/>
      <c r="I638" s="490"/>
    </row>
    <row r="639" spans="1:9">
      <c r="D639" s="445"/>
      <c r="E639" s="445"/>
      <c r="F639" s="445"/>
      <c r="I639" s="490"/>
    </row>
    <row r="640" spans="1:9">
      <c r="A640" s="484"/>
      <c r="B640" s="485" t="s">
        <v>2758</v>
      </c>
      <c r="D640" s="1302" t="s">
        <v>1115</v>
      </c>
      <c r="E640" s="1302"/>
      <c r="F640" s="1302"/>
      <c r="I640" s="490"/>
    </row>
    <row r="641" spans="1:9">
      <c r="A641" s="487"/>
      <c r="B641" s="487"/>
      <c r="C641" s="487"/>
      <c r="D641" s="1302"/>
      <c r="E641" s="1302"/>
      <c r="F641" s="1302"/>
      <c r="I641" s="490"/>
    </row>
    <row r="642" spans="1:9">
      <c r="A642" s="487"/>
      <c r="B642" s="487"/>
      <c r="C642" s="487"/>
      <c r="D642" s="446"/>
      <c r="E642" s="446"/>
      <c r="F642" s="446"/>
      <c r="I642" s="490"/>
    </row>
    <row r="643" spans="1:9">
      <c r="A643" s="484"/>
      <c r="B643" s="485" t="s">
        <v>2758</v>
      </c>
      <c r="C643" s="487"/>
      <c r="D643" s="1302" t="s">
        <v>1225</v>
      </c>
      <c r="E643" s="1302"/>
      <c r="F643" s="1302"/>
      <c r="I643" s="490"/>
    </row>
    <row r="644" spans="1:9">
      <c r="A644" s="484"/>
      <c r="B644" s="484"/>
      <c r="C644" s="487"/>
      <c r="D644" s="1302"/>
      <c r="E644" s="1302"/>
      <c r="F644" s="1302"/>
      <c r="I644" s="490"/>
    </row>
    <row r="645" spans="1:9">
      <c r="A645" s="484"/>
      <c r="B645" s="484"/>
      <c r="C645" s="487"/>
      <c r="D645" s="1302"/>
      <c r="E645" s="1302"/>
      <c r="F645" s="1302"/>
      <c r="I645" s="490"/>
    </row>
    <row r="646" spans="1:9">
      <c r="A646" s="487"/>
      <c r="B646" s="485" t="s">
        <v>2758</v>
      </c>
      <c r="C646" s="487"/>
      <c r="D646" s="1300" t="s">
        <v>1116</v>
      </c>
      <c r="E646" s="1300"/>
      <c r="F646" s="1300"/>
      <c r="I646" s="490"/>
    </row>
    <row r="647" spans="1:9">
      <c r="A647" s="487"/>
      <c r="B647" s="487"/>
      <c r="C647" s="487"/>
      <c r="D647" s="446"/>
      <c r="E647" s="446"/>
      <c r="F647" s="446"/>
      <c r="I647" s="490"/>
    </row>
    <row r="648" spans="1:9">
      <c r="A648" s="1309" t="s">
        <v>1058</v>
      </c>
      <c r="B648" s="1309"/>
      <c r="C648" s="1309"/>
      <c r="D648" s="1309"/>
      <c r="E648" s="1309"/>
      <c r="F648" s="1309"/>
      <c r="G648" s="1309"/>
      <c r="H648" s="1028"/>
      <c r="I648" s="1153"/>
    </row>
    <row r="649" spans="1:9">
      <c r="A649" s="446"/>
      <c r="B649" s="446"/>
      <c r="C649" s="487"/>
      <c r="D649" s="446"/>
      <c r="E649" s="446"/>
      <c r="F649" s="446"/>
      <c r="I649" s="490"/>
    </row>
    <row r="650" spans="1:9">
      <c r="C650" s="482"/>
      <c r="D650" s="1310" t="s">
        <v>1146</v>
      </c>
      <c r="E650" s="1310"/>
      <c r="F650" s="1310"/>
      <c r="I650" s="490"/>
    </row>
    <row r="651" spans="1:9">
      <c r="A651" s="483"/>
      <c r="B651" s="483"/>
      <c r="C651" s="483"/>
      <c r="D651" s="1300" t="s">
        <v>1147</v>
      </c>
      <c r="E651" s="1300"/>
      <c r="F651" s="1300"/>
      <c r="I651" s="490"/>
    </row>
    <row r="652" spans="1:9">
      <c r="A652" s="483"/>
      <c r="B652" s="483"/>
      <c r="C652" s="483"/>
      <c r="D652" s="446"/>
      <c r="E652" s="446"/>
      <c r="F652" s="446"/>
      <c r="I652" s="490"/>
    </row>
    <row r="653" spans="1:9" ht="12.75" customHeight="1">
      <c r="B653" s="485" t="s">
        <v>306</v>
      </c>
      <c r="C653" s="487"/>
      <c r="D653" s="1302" t="s">
        <v>1281</v>
      </c>
      <c r="E653" s="1302"/>
      <c r="F653" s="1302"/>
      <c r="I653" s="490"/>
    </row>
    <row r="654" spans="1:9">
      <c r="D654" s="1302"/>
      <c r="E654" s="1302"/>
      <c r="F654" s="1302"/>
      <c r="I654" s="490"/>
    </row>
    <row r="655" spans="1:9">
      <c r="D655" s="1302"/>
      <c r="E655" s="1302"/>
      <c r="F655" s="1302"/>
      <c r="I655" s="490"/>
    </row>
    <row r="656" spans="1:9">
      <c r="D656" s="1302"/>
      <c r="E656" s="1302"/>
      <c r="F656" s="1302"/>
      <c r="I656" s="490"/>
    </row>
    <row r="657" spans="1:9" ht="14.45" customHeight="1">
      <c r="A657" s="484"/>
      <c r="B657" s="484"/>
      <c r="C657" s="487"/>
      <c r="D657" s="385"/>
      <c r="E657" s="385"/>
      <c r="F657" s="385"/>
      <c r="I657" s="490"/>
    </row>
    <row r="658" spans="1:9" ht="12.75" customHeight="1">
      <c r="A658" s="483"/>
      <c r="B658" s="485" t="s">
        <v>2757</v>
      </c>
      <c r="C658" s="487"/>
      <c r="D658" s="1302" t="s">
        <v>1283</v>
      </c>
      <c r="E658" s="1302"/>
      <c r="F658" s="1302"/>
      <c r="I658" s="490"/>
    </row>
    <row r="659" spans="1:9">
      <c r="A659" s="483"/>
      <c r="B659" s="484"/>
      <c r="C659" s="487"/>
      <c r="D659" s="1302"/>
      <c r="E659" s="1302"/>
      <c r="F659" s="1302"/>
      <c r="I659" s="490"/>
    </row>
    <row r="660" spans="1:9">
      <c r="A660" s="483"/>
      <c r="B660" s="484"/>
      <c r="C660" s="487"/>
      <c r="D660" s="1302"/>
      <c r="E660" s="1302"/>
      <c r="F660" s="1302"/>
      <c r="I660" s="490"/>
    </row>
    <row r="661" spans="1:9">
      <c r="A661" s="483"/>
      <c r="B661" s="484"/>
      <c r="C661" s="487"/>
      <c r="D661" s="1302"/>
      <c r="E661" s="1302"/>
      <c r="F661" s="1302"/>
      <c r="I661" s="490"/>
    </row>
    <row r="662" spans="1:9">
      <c r="A662" s="483"/>
      <c r="B662" s="484"/>
      <c r="C662" s="487"/>
      <c r="D662" s="1302"/>
      <c r="E662" s="1302"/>
      <c r="F662" s="1302"/>
      <c r="I662" s="490"/>
    </row>
    <row r="663" spans="1:9" ht="14.25" customHeight="1">
      <c r="A663" s="483"/>
      <c r="B663" s="484"/>
      <c r="C663" s="487"/>
      <c r="F663" s="386"/>
      <c r="I663" s="490"/>
    </row>
    <row r="664" spans="1:9" ht="12.75" customHeight="1">
      <c r="A664" s="483"/>
      <c r="B664" s="485" t="s">
        <v>2758</v>
      </c>
      <c r="C664" s="487"/>
      <c r="D664" s="1302" t="s">
        <v>1282</v>
      </c>
      <c r="E664" s="1302"/>
      <c r="F664" s="1302"/>
      <c r="I664" s="490"/>
    </row>
    <row r="665" spans="1:9">
      <c r="A665" s="483"/>
      <c r="B665" s="484"/>
      <c r="C665" s="487"/>
      <c r="D665" s="1302"/>
      <c r="E665" s="1302"/>
      <c r="F665" s="1302"/>
      <c r="I665" s="490"/>
    </row>
    <row r="666" spans="1:9">
      <c r="A666" s="484"/>
      <c r="B666" s="484"/>
      <c r="C666" s="487"/>
      <c r="D666" s="1302"/>
      <c r="E666" s="1302"/>
      <c r="F666" s="1302"/>
      <c r="I666" s="490"/>
    </row>
    <row r="667" spans="1:9">
      <c r="A667" s="484"/>
      <c r="B667" s="484"/>
      <c r="C667" s="487"/>
      <c r="D667" s="1302"/>
      <c r="E667" s="1302"/>
      <c r="F667" s="1302"/>
      <c r="I667" s="490"/>
    </row>
    <row r="668" spans="1:9">
      <c r="A668" s="484"/>
      <c r="B668" s="484"/>
      <c r="C668" s="487"/>
      <c r="D668" s="445"/>
      <c r="E668" s="445"/>
      <c r="F668" s="445"/>
      <c r="I668" s="490"/>
    </row>
    <row r="669" spans="1:9" ht="12.75" customHeight="1">
      <c r="A669" s="483"/>
      <c r="B669" s="485" t="s">
        <v>2758</v>
      </c>
      <c r="C669" s="487"/>
      <c r="D669" s="1302" t="s">
        <v>2067</v>
      </c>
      <c r="E669" s="1302"/>
      <c r="F669" s="1302"/>
      <c r="I669" s="490"/>
    </row>
    <row r="670" spans="1:9" ht="12.75" customHeight="1">
      <c r="A670" s="483"/>
      <c r="B670" s="484"/>
      <c r="C670" s="487"/>
      <c r="D670" s="1302"/>
      <c r="E670" s="1302"/>
      <c r="F670" s="1302"/>
      <c r="I670" s="490"/>
    </row>
    <row r="671" spans="1:9" ht="12.75" customHeight="1">
      <c r="A671" s="483"/>
      <c r="B671" s="484"/>
      <c r="C671" s="487"/>
      <c r="D671" s="1302"/>
      <c r="E671" s="1302"/>
      <c r="F671" s="1302"/>
      <c r="I671" s="490"/>
    </row>
    <row r="672" spans="1:9" ht="12.75" customHeight="1">
      <c r="A672" s="483"/>
      <c r="B672" s="484"/>
      <c r="C672" s="487"/>
      <c r="D672" s="1302"/>
      <c r="E672" s="1302"/>
      <c r="F672" s="1302"/>
      <c r="I672" s="490"/>
    </row>
    <row r="673" spans="1:11" ht="12.75" customHeight="1">
      <c r="A673" s="483"/>
      <c r="B673" s="484"/>
      <c r="C673" s="487"/>
      <c r="D673" s="1302"/>
      <c r="E673" s="1302"/>
      <c r="F673" s="1302"/>
      <c r="I673" s="490"/>
    </row>
    <row r="674" spans="1:11" ht="12.75" customHeight="1">
      <c r="A674" s="483"/>
      <c r="B674" s="484"/>
      <c r="C674" s="487"/>
      <c r="D674" s="1302"/>
      <c r="E674" s="1302"/>
      <c r="F674" s="1302"/>
      <c r="I674" s="490"/>
    </row>
    <row r="675" spans="1:11" ht="12.75" customHeight="1">
      <c r="A675" s="483"/>
      <c r="B675" s="484"/>
      <c r="C675" s="487"/>
      <c r="D675" s="1302"/>
      <c r="E675" s="1302"/>
      <c r="F675" s="1302"/>
      <c r="I675" s="490"/>
    </row>
    <row r="676" spans="1:11" ht="12.75" customHeight="1">
      <c r="A676" s="483"/>
      <c r="B676" s="484"/>
      <c r="C676" s="487"/>
      <c r="D676" s="1302"/>
      <c r="E676" s="1302"/>
      <c r="F676" s="1302"/>
      <c r="I676" s="490"/>
    </row>
    <row r="677" spans="1:11" ht="12.75" customHeight="1">
      <c r="A677" s="483"/>
      <c r="B677" s="484"/>
      <c r="C677" s="487"/>
      <c r="D677" s="1302"/>
      <c r="E677" s="1302"/>
      <c r="F677" s="1302"/>
      <c r="I677" s="490"/>
    </row>
    <row r="678" spans="1:11">
      <c r="A678" s="487"/>
      <c r="B678" s="487"/>
      <c r="C678" s="487"/>
      <c r="D678" s="446"/>
      <c r="E678" s="446"/>
      <c r="F678" s="446"/>
      <c r="I678" s="490"/>
    </row>
    <row r="679" spans="1:11">
      <c r="A679" s="1309" t="s">
        <v>1059</v>
      </c>
      <c r="B679" s="1309"/>
      <c r="C679" s="1309"/>
      <c r="D679" s="1309"/>
      <c r="E679" s="1309"/>
      <c r="F679" s="1309"/>
      <c r="G679" s="1309"/>
      <c r="H679" s="1030"/>
      <c r="I679" s="1157"/>
      <c r="J679" s="501"/>
      <c r="K679" s="501"/>
    </row>
    <row r="680" spans="1:11">
      <c r="A680" s="448"/>
      <c r="B680" s="448"/>
      <c r="C680" s="448"/>
      <c r="D680" s="448"/>
      <c r="E680" s="448"/>
      <c r="F680" s="448"/>
      <c r="G680" s="448"/>
      <c r="H680" s="501"/>
      <c r="I680" s="483"/>
      <c r="J680" s="501"/>
      <c r="K680" s="501"/>
    </row>
    <row r="681" spans="1:11">
      <c r="C681" s="482"/>
      <c r="D681" s="1310" t="s">
        <v>99</v>
      </c>
      <c r="E681" s="1310"/>
      <c r="F681" s="1310"/>
      <c r="H681" s="501"/>
      <c r="I681" s="483"/>
      <c r="J681" s="501"/>
      <c r="K681" s="501"/>
    </row>
    <row r="682" spans="1:11">
      <c r="A682" s="482"/>
      <c r="B682" s="482"/>
      <c r="C682" s="482"/>
      <c r="D682" s="1310" t="s">
        <v>123</v>
      </c>
      <c r="E682" s="1310"/>
      <c r="F682" s="1310"/>
      <c r="H682" s="501"/>
      <c r="I682" s="483"/>
      <c r="J682" s="501"/>
      <c r="K682" s="501"/>
    </row>
    <row r="683" spans="1:11">
      <c r="A683" s="483"/>
      <c r="B683" s="483"/>
      <c r="C683" s="483"/>
      <c r="D683" s="1300" t="s">
        <v>1076</v>
      </c>
      <c r="E683" s="1300"/>
      <c r="F683" s="1300"/>
      <c r="H683" s="501"/>
      <c r="I683" s="483"/>
      <c r="J683" s="501"/>
      <c r="K683" s="501"/>
    </row>
    <row r="684" spans="1:11">
      <c r="A684" s="483"/>
      <c r="B684" s="483"/>
      <c r="C684" s="483"/>
      <c r="H684" s="501"/>
      <c r="I684" s="483"/>
      <c r="J684" s="501"/>
      <c r="K684" s="501"/>
    </row>
    <row r="685" spans="1:11">
      <c r="A685" s="484"/>
      <c r="B685" s="485" t="s">
        <v>2758</v>
      </c>
      <c r="C685" s="483"/>
      <c r="D685" s="1300" t="s">
        <v>885</v>
      </c>
      <c r="E685" s="1300"/>
      <c r="F685" s="1300"/>
      <c r="H685" s="501"/>
      <c r="I685" s="483"/>
      <c r="J685" s="501"/>
      <c r="K685" s="501"/>
    </row>
    <row r="686" spans="1:11">
      <c r="A686" s="483"/>
      <c r="B686" s="483"/>
      <c r="C686" s="483"/>
      <c r="D686" s="1300" t="s">
        <v>894</v>
      </c>
      <c r="E686" s="1300"/>
      <c r="F686" s="1300"/>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2758</v>
      </c>
      <c r="C690" s="483"/>
      <c r="D690" s="1302" t="s">
        <v>2068</v>
      </c>
      <c r="E690" s="1302"/>
      <c r="F690" s="1302"/>
      <c r="H690" s="501"/>
      <c r="I690" s="483"/>
      <c r="J690" s="501"/>
      <c r="K690" s="501"/>
    </row>
    <row r="691" spans="1:11">
      <c r="A691" s="490"/>
      <c r="B691" s="490"/>
      <c r="C691" s="483"/>
      <c r="D691" s="1302"/>
      <c r="E691" s="1302"/>
      <c r="F691" s="1302"/>
      <c r="H691" s="501"/>
      <c r="I691" s="483"/>
      <c r="J691" s="501"/>
      <c r="K691" s="501"/>
    </row>
    <row r="692" spans="1:11">
      <c r="A692" s="483"/>
      <c r="B692" s="483"/>
      <c r="C692" s="483"/>
      <c r="D692" s="1302"/>
      <c r="E692" s="1302"/>
      <c r="F692" s="1302"/>
      <c r="H692" s="501"/>
      <c r="I692" s="483"/>
      <c r="J692" s="501"/>
      <c r="K692" s="501"/>
    </row>
    <row r="693" spans="1:11">
      <c r="A693" s="483"/>
      <c r="B693" s="483"/>
      <c r="C693" s="483"/>
      <c r="H693" s="501"/>
      <c r="J693" s="501"/>
      <c r="K693" s="501"/>
    </row>
    <row r="694" spans="1:11">
      <c r="A694" s="484"/>
      <c r="B694" s="485" t="s">
        <v>2757</v>
      </c>
      <c r="C694" s="483"/>
      <c r="D694" s="1300" t="s">
        <v>917</v>
      </c>
      <c r="E694" s="1300"/>
      <c r="F694" s="1300"/>
      <c r="H694" s="501"/>
      <c r="I694" s="483"/>
      <c r="J694" s="501"/>
      <c r="K694" s="501"/>
    </row>
    <row r="695" spans="1:11">
      <c r="A695" s="484"/>
      <c r="B695" s="484"/>
      <c r="C695" s="483"/>
      <c r="D695" s="1300" t="s">
        <v>894</v>
      </c>
      <c r="E695" s="1300"/>
      <c r="F695" s="1300"/>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2758</v>
      </c>
      <c r="C698" s="483"/>
      <c r="D698" s="1300" t="s">
        <v>2470</v>
      </c>
      <c r="E698" s="1300"/>
      <c r="F698" s="1300"/>
      <c r="H698" s="501"/>
      <c r="I698" s="483"/>
      <c r="J698" s="501"/>
      <c r="K698" s="501"/>
    </row>
    <row r="699" spans="1:11">
      <c r="A699" s="484"/>
      <c r="B699" s="484"/>
      <c r="C699" s="483"/>
      <c r="D699" s="1300" t="s">
        <v>894</v>
      </c>
      <c r="E699" s="1300"/>
      <c r="F699" s="1300"/>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2757</v>
      </c>
      <c r="C702" s="483"/>
      <c r="D702" s="1302" t="s">
        <v>2245</v>
      </c>
      <c r="E702" s="1302"/>
      <c r="F702" s="1302"/>
      <c r="H702" s="501"/>
      <c r="I702" s="483"/>
      <c r="J702" s="501"/>
      <c r="K702" s="501"/>
    </row>
    <row r="703" spans="1:11">
      <c r="A703" s="483"/>
      <c r="B703" s="483"/>
      <c r="C703" s="483"/>
      <c r="D703" s="1302"/>
      <c r="E703" s="1302"/>
      <c r="F703" s="1302"/>
      <c r="H703" s="501"/>
      <c r="I703" s="483"/>
      <c r="J703" s="501"/>
      <c r="K703" s="501"/>
    </row>
    <row r="704" spans="1:11">
      <c r="A704" s="483"/>
      <c r="B704" s="483"/>
      <c r="C704" s="483"/>
      <c r="D704" s="1302"/>
      <c r="E704" s="1302"/>
      <c r="F704" s="1302"/>
      <c r="H704" s="501"/>
      <c r="I704" s="483"/>
      <c r="J704" s="501"/>
      <c r="K704" s="501"/>
    </row>
    <row r="705" spans="1:11">
      <c r="A705" s="483"/>
      <c r="B705" s="483"/>
      <c r="C705" s="483"/>
      <c r="D705" s="1302"/>
      <c r="E705" s="1302"/>
      <c r="F705" s="1302"/>
      <c r="H705" s="501"/>
      <c r="I705" s="483"/>
      <c r="J705" s="501"/>
      <c r="K705" s="501"/>
    </row>
    <row r="706" spans="1:11">
      <c r="A706" s="483"/>
      <c r="B706" s="483"/>
      <c r="C706" s="483"/>
      <c r="D706" s="1302"/>
      <c r="E706" s="1302"/>
      <c r="F706" s="1302"/>
      <c r="H706" s="501"/>
      <c r="I706" s="483"/>
      <c r="J706" s="501"/>
      <c r="K706" s="501"/>
    </row>
    <row r="707" spans="1:11">
      <c r="A707" s="483"/>
      <c r="B707" s="483"/>
      <c r="C707" s="483"/>
      <c r="D707" s="1302"/>
      <c r="E707" s="1302"/>
      <c r="F707" s="1302"/>
      <c r="H707" s="501"/>
      <c r="I707" s="483"/>
      <c r="J707" s="501"/>
      <c r="K707" s="501"/>
    </row>
    <row r="708" spans="1:11">
      <c r="A708" s="483"/>
      <c r="B708" s="483"/>
      <c r="C708" s="483"/>
      <c r="D708" s="445"/>
      <c r="E708" s="445"/>
      <c r="F708" s="445"/>
      <c r="H708" s="501"/>
      <c r="I708" s="483"/>
      <c r="J708" s="501"/>
      <c r="K708" s="501"/>
    </row>
    <row r="709" spans="1:11">
      <c r="A709" s="483"/>
      <c r="B709" s="485" t="s">
        <v>2757</v>
      </c>
      <c r="C709" s="483"/>
      <c r="D709" s="1302" t="s">
        <v>1201</v>
      </c>
      <c r="E709" s="1302"/>
      <c r="F709" s="1302"/>
      <c r="H709" s="501"/>
      <c r="I709" s="483"/>
      <c r="J709" s="501"/>
      <c r="K709" s="501"/>
    </row>
    <row r="710" spans="1:11">
      <c r="A710" s="483"/>
      <c r="B710" s="483"/>
      <c r="C710" s="483"/>
      <c r="D710" s="1302"/>
      <c r="E710" s="1302"/>
      <c r="F710" s="1302"/>
      <c r="H710" s="501"/>
      <c r="I710" s="483"/>
      <c r="J710" s="501"/>
      <c r="K710" s="501"/>
    </row>
    <row r="711" spans="1:11">
      <c r="A711" s="483"/>
      <c r="B711" s="483"/>
      <c r="C711" s="483"/>
      <c r="D711" s="445"/>
      <c r="E711" s="445"/>
      <c r="F711" s="445"/>
      <c r="H711" s="501"/>
      <c r="I711" s="483"/>
      <c r="J711" s="501"/>
      <c r="K711" s="501"/>
    </row>
    <row r="712" spans="1:11">
      <c r="A712" s="484"/>
      <c r="B712" s="485" t="s">
        <v>2758</v>
      </c>
      <c r="C712" s="483"/>
      <c r="D712" s="1302" t="s">
        <v>1077</v>
      </c>
      <c r="E712" s="1302"/>
      <c r="F712" s="1302"/>
      <c r="H712" s="501"/>
      <c r="I712" s="483"/>
      <c r="J712" s="501"/>
      <c r="K712" s="501"/>
    </row>
    <row r="713" spans="1:11">
      <c r="A713" s="483"/>
      <c r="B713" s="483"/>
      <c r="C713" s="483"/>
      <c r="D713" s="1302"/>
      <c r="E713" s="1302"/>
      <c r="F713" s="1302"/>
      <c r="H713" s="501"/>
      <c r="I713" s="483"/>
      <c r="J713" s="501"/>
      <c r="K713" s="501"/>
    </row>
    <row r="714" spans="1:11">
      <c r="A714" s="483"/>
      <c r="B714" s="483"/>
      <c r="C714" s="483"/>
      <c r="D714" s="1302"/>
      <c r="E714" s="1302"/>
      <c r="F714" s="1302"/>
      <c r="H714" s="501"/>
      <c r="I714" s="483"/>
      <c r="J714" s="501"/>
      <c r="K714" s="501"/>
    </row>
    <row r="715" spans="1:11" ht="15" customHeight="1">
      <c r="A715" s="483"/>
      <c r="B715" s="483"/>
      <c r="C715" s="483"/>
      <c r="D715" s="1302"/>
      <c r="E715" s="1302"/>
      <c r="F715" s="1302"/>
      <c r="H715" s="501"/>
      <c r="I715" s="483"/>
      <c r="J715" s="501"/>
      <c r="K715" s="501"/>
    </row>
    <row r="716" spans="1:11" ht="15" customHeight="1">
      <c r="A716" s="483"/>
      <c r="B716" s="483"/>
      <c r="C716" s="483"/>
      <c r="D716" s="1302"/>
      <c r="E716" s="1302"/>
      <c r="F716" s="1302"/>
      <c r="H716" s="501"/>
      <c r="I716" s="483"/>
      <c r="J716" s="501"/>
      <c r="K716" s="501"/>
    </row>
    <row r="717" spans="1:11">
      <c r="A717" s="483"/>
      <c r="B717" s="483"/>
      <c r="C717" s="483"/>
      <c r="D717" s="1302"/>
      <c r="E717" s="1302"/>
      <c r="F717" s="1302"/>
      <c r="H717" s="501"/>
      <c r="I717" s="483"/>
      <c r="J717" s="501"/>
      <c r="K717" s="501"/>
    </row>
    <row r="718" spans="1:11">
      <c r="A718" s="483"/>
      <c r="B718" s="483"/>
      <c r="C718" s="483"/>
      <c r="D718" s="1302"/>
      <c r="E718" s="1302"/>
      <c r="F718" s="1302"/>
      <c r="H718" s="501"/>
      <c r="I718" s="483"/>
      <c r="J718" s="501"/>
      <c r="K718" s="501"/>
    </row>
    <row r="719" spans="1:11">
      <c r="A719" s="483"/>
      <c r="B719" s="483"/>
      <c r="C719" s="483"/>
      <c r="D719" s="1302"/>
      <c r="E719" s="1302"/>
      <c r="F719" s="1302"/>
      <c r="H719" s="501"/>
      <c r="I719" s="483"/>
      <c r="J719" s="501"/>
      <c r="K719" s="501"/>
    </row>
    <row r="720" spans="1:11" ht="15" customHeight="1">
      <c r="A720" s="483"/>
      <c r="B720" s="483"/>
      <c r="C720" s="483"/>
      <c r="D720" s="1302"/>
      <c r="E720" s="1302"/>
      <c r="F720" s="1302"/>
      <c r="H720" s="501"/>
      <c r="I720" s="483"/>
      <c r="J720" s="501"/>
      <c r="K720" s="501"/>
    </row>
    <row r="721" spans="1:11">
      <c r="A721" s="483"/>
      <c r="B721" s="483"/>
      <c r="C721" s="483"/>
      <c r="D721" s="1302"/>
      <c r="E721" s="1302"/>
      <c r="F721" s="1302"/>
      <c r="H721" s="501"/>
      <c r="I721" s="483"/>
      <c r="J721" s="501"/>
      <c r="K721" s="501"/>
    </row>
    <row r="722" spans="1:11">
      <c r="A722" s="483"/>
      <c r="B722" s="483"/>
      <c r="C722" s="483"/>
      <c r="D722" s="1302"/>
      <c r="E722" s="1302"/>
      <c r="F722" s="1302"/>
      <c r="H722" s="501"/>
      <c r="I722" s="483"/>
      <c r="J722" s="501"/>
      <c r="K722" s="501"/>
    </row>
    <row r="723" spans="1:11">
      <c r="A723" s="483"/>
      <c r="B723" s="483"/>
      <c r="C723" s="483"/>
      <c r="D723" s="1302"/>
      <c r="E723" s="1302"/>
      <c r="F723" s="1302"/>
      <c r="H723" s="501"/>
      <c r="I723" s="483"/>
      <c r="J723" s="501"/>
      <c r="K723" s="501"/>
    </row>
    <row r="724" spans="1:11">
      <c r="A724" s="483"/>
      <c r="B724" s="483"/>
      <c r="C724" s="483"/>
      <c r="D724" s="1302"/>
      <c r="E724" s="1302"/>
      <c r="F724" s="1302"/>
      <c r="H724" s="501"/>
      <c r="I724" s="483"/>
      <c r="J724" s="501"/>
      <c r="K724" s="501"/>
    </row>
    <row r="725" spans="1:11">
      <c r="A725" s="483"/>
      <c r="B725" s="485" t="s">
        <v>2758</v>
      </c>
      <c r="C725" s="483"/>
      <c r="D725" s="1302" t="s">
        <v>2463</v>
      </c>
      <c r="E725" s="1302"/>
      <c r="F725" s="1302"/>
      <c r="H725" s="501"/>
      <c r="I725" s="483"/>
      <c r="J725" s="501"/>
      <c r="K725" s="501"/>
    </row>
    <row r="726" spans="1:11">
      <c r="A726" s="483"/>
      <c r="B726" s="483"/>
      <c r="C726" s="483"/>
      <c r="D726" s="1302"/>
      <c r="E726" s="1302"/>
      <c r="F726" s="1302"/>
      <c r="H726" s="501"/>
      <c r="I726" s="483"/>
      <c r="J726" s="501"/>
      <c r="K726" s="501"/>
    </row>
    <row r="727" spans="1:11">
      <c r="A727" s="483"/>
      <c r="B727" s="483"/>
      <c r="C727" s="483"/>
      <c r="D727" s="1302"/>
      <c r="E727" s="1302"/>
      <c r="F727" s="1302"/>
      <c r="H727" s="501"/>
      <c r="I727" s="483"/>
      <c r="J727" s="501"/>
      <c r="K727" s="501"/>
    </row>
    <row r="728" spans="1:11">
      <c r="A728" s="483"/>
      <c r="B728" s="483"/>
      <c r="C728" s="483"/>
      <c r="D728" s="445"/>
      <c r="E728" s="445"/>
      <c r="F728" s="445"/>
      <c r="H728" s="501"/>
      <c r="I728" s="483"/>
      <c r="J728" s="501"/>
      <c r="K728" s="501"/>
    </row>
    <row r="729" spans="1:11">
      <c r="A729" s="483"/>
      <c r="B729" s="485" t="s">
        <v>2758</v>
      </c>
      <c r="C729" s="483"/>
      <c r="D729" s="1302" t="s">
        <v>2462</v>
      </c>
      <c r="E729" s="1302"/>
      <c r="F729" s="1302"/>
      <c r="H729" s="501"/>
      <c r="I729" s="483"/>
      <c r="J729" s="501"/>
      <c r="K729" s="501"/>
    </row>
    <row r="730" spans="1:11">
      <c r="A730" s="483"/>
      <c r="B730" s="483"/>
      <c r="C730" s="483"/>
      <c r="D730" s="1302"/>
      <c r="E730" s="1302"/>
      <c r="F730" s="1302"/>
      <c r="H730" s="501"/>
      <c r="I730" s="483"/>
      <c r="J730" s="501"/>
      <c r="K730" s="501"/>
    </row>
    <row r="731" spans="1:11">
      <c r="A731" s="483"/>
      <c r="B731" s="483"/>
      <c r="C731" s="483"/>
      <c r="D731" s="1302"/>
      <c r="E731" s="1302"/>
      <c r="F731" s="1302"/>
      <c r="H731" s="501"/>
      <c r="I731" s="483"/>
      <c r="J731" s="501"/>
      <c r="K731" s="501"/>
    </row>
    <row r="732" spans="1:11">
      <c r="A732" s="483"/>
      <c r="B732" s="483"/>
      <c r="C732" s="483"/>
      <c r="H732" s="501"/>
      <c r="I732" s="483"/>
      <c r="J732" s="501"/>
      <c r="K732" s="501"/>
    </row>
    <row r="733" spans="1:11">
      <c r="A733" s="483"/>
      <c r="B733" s="485" t="s">
        <v>2758</v>
      </c>
      <c r="C733" s="483"/>
      <c r="D733" s="1302" t="s">
        <v>2461</v>
      </c>
      <c r="E733" s="1302"/>
      <c r="F733" s="1302"/>
      <c r="H733" s="501"/>
      <c r="I733" s="483"/>
      <c r="J733" s="501"/>
      <c r="K733" s="501"/>
    </row>
    <row r="734" spans="1:11">
      <c r="A734" s="483"/>
      <c r="B734" s="483"/>
      <c r="C734" s="483"/>
      <c r="D734" s="1302"/>
      <c r="E734" s="1302"/>
      <c r="F734" s="1302"/>
      <c r="H734" s="501"/>
      <c r="I734" s="483"/>
      <c r="J734" s="501"/>
      <c r="K734" s="501"/>
    </row>
    <row r="735" spans="1:11">
      <c r="A735" s="483"/>
      <c r="B735" s="483"/>
      <c r="C735" s="483"/>
      <c r="D735" s="1302"/>
      <c r="E735" s="1302"/>
      <c r="F735" s="1302"/>
      <c r="H735" s="501"/>
      <c r="I735" s="483"/>
      <c r="J735" s="501"/>
      <c r="K735" s="501"/>
    </row>
    <row r="736" spans="1:11">
      <c r="A736" s="483"/>
      <c r="B736" s="483"/>
      <c r="C736" s="483"/>
      <c r="D736" s="1302"/>
      <c r="E736" s="1302"/>
      <c r="F736" s="1302"/>
      <c r="H736" s="501"/>
      <c r="I736" s="483"/>
      <c r="J736" s="501"/>
      <c r="K736" s="501"/>
    </row>
    <row r="737" spans="1:11">
      <c r="A737" s="483"/>
      <c r="B737" s="483"/>
      <c r="C737" s="483"/>
      <c r="H737" s="501"/>
      <c r="I737" s="483"/>
      <c r="J737" s="501"/>
      <c r="K737" s="501"/>
    </row>
    <row r="738" spans="1:11">
      <c r="A738" s="484"/>
      <c r="B738" s="485" t="s">
        <v>2758</v>
      </c>
      <c r="C738" s="483"/>
      <c r="D738" s="1302" t="s">
        <v>1078</v>
      </c>
      <c r="E738" s="1302"/>
      <c r="F738" s="1302"/>
      <c r="H738" s="501"/>
      <c r="I738" s="483"/>
      <c r="J738" s="501"/>
      <c r="K738" s="501"/>
    </row>
    <row r="739" spans="1:11">
      <c r="A739" s="483"/>
      <c r="B739" s="483"/>
      <c r="C739" s="483"/>
      <c r="D739" s="1302"/>
      <c r="E739" s="1302"/>
      <c r="F739" s="1302"/>
      <c r="H739" s="501"/>
      <c r="I739" s="483"/>
      <c r="J739" s="501"/>
      <c r="K739" s="501"/>
    </row>
    <row r="740" spans="1:11">
      <c r="A740" s="483"/>
      <c r="B740" s="483"/>
      <c r="C740" s="483"/>
      <c r="D740" s="1302"/>
      <c r="E740" s="1302"/>
      <c r="F740" s="1302"/>
      <c r="H740" s="501"/>
      <c r="I740" s="483"/>
      <c r="J740" s="501"/>
      <c r="K740" s="501"/>
    </row>
    <row r="741" spans="1:11">
      <c r="A741" s="483"/>
      <c r="B741" s="483"/>
      <c r="C741" s="483"/>
      <c r="D741" s="1302"/>
      <c r="E741" s="1302"/>
      <c r="F741" s="1302"/>
      <c r="H741" s="501"/>
      <c r="I741" s="483"/>
      <c r="J741" s="501"/>
      <c r="K741" s="501"/>
    </row>
    <row r="742" spans="1:11">
      <c r="A742" s="483"/>
      <c r="B742" s="483"/>
      <c r="C742" s="483"/>
      <c r="D742" s="1302"/>
      <c r="E742" s="1302"/>
      <c r="F742" s="1302"/>
      <c r="H742" s="501"/>
      <c r="I742" s="483"/>
      <c r="J742" s="501"/>
      <c r="K742" s="501"/>
    </row>
    <row r="743" spans="1:11">
      <c r="A743" s="483"/>
      <c r="B743" s="483"/>
      <c r="C743" s="483"/>
      <c r="D743" s="492"/>
      <c r="H743" s="501"/>
      <c r="I743" s="483"/>
      <c r="J743" s="501"/>
      <c r="K743" s="501"/>
    </row>
    <row r="744" spans="1:11">
      <c r="A744" s="484"/>
      <c r="B744" s="485" t="s">
        <v>2757</v>
      </c>
      <c r="C744" s="483"/>
      <c r="D744" s="1302" t="s">
        <v>2146</v>
      </c>
      <c r="E744" s="1302"/>
      <c r="F744" s="1302"/>
      <c r="H744" s="501"/>
      <c r="I744" s="483"/>
      <c r="J744" s="501"/>
      <c r="K744" s="501"/>
    </row>
    <row r="745" spans="1:11">
      <c r="A745" s="483"/>
      <c r="B745" s="483"/>
      <c r="C745" s="483"/>
      <c r="D745" s="1302"/>
      <c r="E745" s="1302"/>
      <c r="F745" s="1302"/>
      <c r="H745" s="501"/>
      <c r="I745" s="483"/>
      <c r="J745" s="501"/>
      <c r="K745" s="501"/>
    </row>
    <row r="746" spans="1:11">
      <c r="A746" s="483"/>
      <c r="B746" s="483"/>
      <c r="C746" s="483"/>
      <c r="D746" s="1302"/>
      <c r="E746" s="1302"/>
      <c r="F746" s="1302"/>
      <c r="H746" s="501"/>
      <c r="I746" s="483"/>
      <c r="J746" s="501"/>
      <c r="K746" s="501"/>
    </row>
    <row r="747" spans="1:11">
      <c r="A747" s="483"/>
      <c r="B747" s="483"/>
      <c r="C747" s="483"/>
      <c r="D747" s="1302"/>
      <c r="E747" s="1302"/>
      <c r="F747" s="1302"/>
      <c r="H747" s="501"/>
      <c r="I747" s="483"/>
      <c r="J747" s="501"/>
      <c r="K747" s="501"/>
    </row>
    <row r="748" spans="1:11">
      <c r="A748" s="483"/>
      <c r="B748" s="483"/>
      <c r="C748" s="483"/>
      <c r="D748" s="1302"/>
      <c r="E748" s="1302"/>
      <c r="F748" s="1302"/>
      <c r="H748" s="501"/>
      <c r="I748" s="483"/>
      <c r="J748" s="501"/>
      <c r="K748" s="501"/>
    </row>
    <row r="749" spans="1:11">
      <c r="A749" s="483"/>
      <c r="B749" s="483"/>
      <c r="C749" s="483"/>
      <c r="D749" s="1302"/>
      <c r="E749" s="1302"/>
      <c r="F749" s="1302"/>
      <c r="H749" s="501"/>
      <c r="I749" s="483"/>
      <c r="J749" s="501"/>
      <c r="K749" s="501"/>
    </row>
    <row r="750" spans="1:11">
      <c r="A750" s="483"/>
      <c r="B750" s="483"/>
      <c r="C750" s="483"/>
      <c r="D750" s="1302"/>
      <c r="E750" s="1302"/>
      <c r="F750" s="1302"/>
      <c r="H750" s="501"/>
      <c r="I750" s="483"/>
      <c r="J750" s="501"/>
      <c r="K750" s="501"/>
    </row>
    <row r="751" spans="1:11">
      <c r="A751" s="483"/>
      <c r="B751" s="483"/>
      <c r="C751" s="483"/>
      <c r="D751" s="1303" t="s">
        <v>2075</v>
      </c>
      <c r="E751" s="1303"/>
      <c r="F751" s="1303"/>
      <c r="H751" s="501"/>
      <c r="I751" s="483"/>
      <c r="J751" s="501"/>
      <c r="K751" s="501"/>
    </row>
    <row r="752" spans="1:11">
      <c r="A752" s="483"/>
      <c r="B752" s="483"/>
      <c r="C752" s="483"/>
      <c r="D752" s="341"/>
      <c r="H752" s="501"/>
      <c r="I752" s="483"/>
      <c r="J752" s="501"/>
      <c r="K752" s="501"/>
    </row>
    <row r="753" spans="1:11">
      <c r="A753" s="1301" t="s">
        <v>1060</v>
      </c>
      <c r="B753" s="1301"/>
      <c r="C753" s="1301"/>
      <c r="D753" s="1301"/>
      <c r="E753" s="1301"/>
      <c r="F753" s="1301"/>
      <c r="G753" s="1301"/>
      <c r="H753" s="1030"/>
      <c r="I753" s="1157"/>
      <c r="J753" s="501"/>
      <c r="K753" s="501"/>
    </row>
    <row r="754" spans="1:11">
      <c r="A754" s="483"/>
      <c r="B754" s="483"/>
      <c r="C754" s="483"/>
      <c r="D754" s="492"/>
      <c r="G754" s="501"/>
      <c r="H754" s="501"/>
      <c r="I754" s="483"/>
      <c r="J754" s="501"/>
      <c r="K754" s="501"/>
    </row>
    <row r="755" spans="1:11" ht="13.7" customHeight="1">
      <c r="C755" s="483"/>
      <c r="D755" s="1318" t="s">
        <v>1070</v>
      </c>
      <c r="E755" s="1318"/>
      <c r="F755" s="1318"/>
      <c r="G755" s="501"/>
      <c r="H755" s="501"/>
      <c r="I755" s="483"/>
      <c r="J755" s="501"/>
      <c r="K755" s="501"/>
    </row>
    <row r="756" spans="1:11">
      <c r="A756" s="483"/>
      <c r="B756" s="483"/>
      <c r="C756" s="483"/>
      <c r="D756" s="1304" t="s">
        <v>1071</v>
      </c>
      <c r="E756" s="1304"/>
      <c r="F756" s="1304"/>
      <c r="G756" s="501"/>
      <c r="H756" s="501"/>
      <c r="I756" s="483"/>
      <c r="J756" s="501"/>
      <c r="K756" s="501"/>
    </row>
    <row r="757" spans="1:11">
      <c r="A757" s="483"/>
      <c r="B757" s="483"/>
      <c r="C757" s="483"/>
      <c r="G757" s="501"/>
      <c r="H757" s="501"/>
      <c r="I757" s="483"/>
      <c r="J757" s="501"/>
      <c r="K757" s="501"/>
    </row>
    <row r="758" spans="1:11">
      <c r="A758" s="484"/>
      <c r="B758" s="485" t="s">
        <v>2757</v>
      </c>
      <c r="D758" s="1302" t="s">
        <v>1072</v>
      </c>
      <c r="E758" s="1302"/>
      <c r="F758" s="1302"/>
      <c r="G758" s="501"/>
      <c r="H758" s="501"/>
      <c r="I758" s="483"/>
      <c r="J758" s="501"/>
      <c r="K758" s="501"/>
    </row>
    <row r="759" spans="1:11" ht="10.5" customHeight="1">
      <c r="D759" s="1302"/>
      <c r="E759" s="1302"/>
      <c r="F759" s="1302"/>
      <c r="G759" s="501"/>
      <c r="H759" s="501"/>
      <c r="I759" s="483"/>
      <c r="J759" s="501"/>
      <c r="K759" s="501"/>
    </row>
    <row r="760" spans="1:11">
      <c r="D760" s="1302"/>
      <c r="E760" s="1302"/>
      <c r="F760" s="1302"/>
      <c r="G760" s="501"/>
      <c r="H760" s="501"/>
      <c r="I760" s="483"/>
      <c r="J760" s="501"/>
      <c r="K760" s="501"/>
    </row>
    <row r="761" spans="1:11">
      <c r="D761" s="1302"/>
      <c r="E761" s="1302"/>
      <c r="F761" s="1302"/>
      <c r="G761" s="501"/>
      <c r="H761" s="501"/>
      <c r="I761" s="483"/>
      <c r="J761" s="501"/>
      <c r="K761" s="501"/>
    </row>
    <row r="762" spans="1:11">
      <c r="D762" s="1302"/>
      <c r="E762" s="1302"/>
      <c r="F762" s="1302"/>
      <c r="G762" s="501"/>
      <c r="H762" s="501"/>
      <c r="I762" s="483"/>
      <c r="J762" s="501"/>
      <c r="K762" s="501"/>
    </row>
    <row r="763" spans="1:11" ht="15.6" customHeight="1">
      <c r="D763" s="1302"/>
      <c r="E763" s="1302"/>
      <c r="F763" s="1302"/>
      <c r="G763" s="501"/>
      <c r="H763" s="501"/>
      <c r="I763" s="483"/>
      <c r="J763" s="501"/>
      <c r="K763" s="501"/>
    </row>
    <row r="764" spans="1:11">
      <c r="D764" s="499"/>
      <c r="E764" s="446"/>
      <c r="F764" s="446"/>
      <c r="G764" s="501"/>
      <c r="H764" s="501"/>
      <c r="I764" s="483"/>
      <c r="J764" s="501"/>
      <c r="K764" s="501"/>
    </row>
    <row r="765" spans="1:11" s="505" customFormat="1">
      <c r="A765" s="503"/>
      <c r="B765" s="485" t="s">
        <v>2757</v>
      </c>
      <c r="C765" s="504"/>
      <c r="D765" s="1302" t="s">
        <v>1241</v>
      </c>
      <c r="E765" s="1302"/>
      <c r="F765" s="1302"/>
      <c r="I765" s="1158"/>
    </row>
    <row r="766" spans="1:11" s="505" customFormat="1">
      <c r="A766" s="504"/>
      <c r="B766" s="504"/>
      <c r="C766" s="504"/>
      <c r="D766" s="1302"/>
      <c r="E766" s="1302"/>
      <c r="F766" s="1302"/>
      <c r="I766" s="1158"/>
    </row>
    <row r="767" spans="1:11" s="505" customFormat="1">
      <c r="A767" s="504"/>
      <c r="B767" s="504"/>
      <c r="C767" s="504"/>
      <c r="D767" s="1302"/>
      <c r="E767" s="1302"/>
      <c r="F767" s="1302"/>
      <c r="I767" s="1158"/>
    </row>
    <row r="768" spans="1:11" s="505" customFormat="1">
      <c r="A768" s="504"/>
      <c r="B768" s="504"/>
      <c r="C768" s="504"/>
      <c r="D768" s="1302"/>
      <c r="E768" s="1302"/>
      <c r="F768" s="1302"/>
      <c r="I768" s="1158"/>
    </row>
    <row r="769" spans="1:11" s="505" customFormat="1">
      <c r="A769" s="504"/>
      <c r="B769" s="504"/>
      <c r="C769" s="504"/>
      <c r="D769" s="499"/>
      <c r="I769" s="1158"/>
    </row>
    <row r="770" spans="1:11" s="505" customFormat="1">
      <c r="A770" s="484"/>
      <c r="B770" s="485" t="s">
        <v>2757</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2758</v>
      </c>
      <c r="D774" s="1302" t="s">
        <v>1198</v>
      </c>
      <c r="E774" s="1302"/>
      <c r="F774" s="1302"/>
      <c r="G774" s="501"/>
      <c r="H774" s="501"/>
      <c r="I774" s="483"/>
      <c r="J774" s="501"/>
      <c r="K774" s="501"/>
    </row>
    <row r="775" spans="1:11">
      <c r="D775" s="1302"/>
      <c r="E775" s="1302"/>
      <c r="F775" s="1302"/>
      <c r="G775" s="501"/>
      <c r="H775" s="501"/>
      <c r="I775" s="483"/>
      <c r="J775" s="501"/>
      <c r="K775" s="501"/>
    </row>
    <row r="776" spans="1:11">
      <c r="D776" s="445"/>
      <c r="E776" s="445"/>
      <c r="F776" s="445"/>
      <c r="G776" s="501"/>
      <c r="H776" s="501"/>
      <c r="I776" s="483"/>
      <c r="J776" s="501"/>
      <c r="K776" s="501"/>
    </row>
    <row r="777" spans="1:11">
      <c r="B777" s="485" t="s">
        <v>2758</v>
      </c>
      <c r="D777" s="1302" t="s">
        <v>1215</v>
      </c>
      <c r="E777" s="1302"/>
      <c r="F777" s="1302"/>
      <c r="G777" s="501"/>
      <c r="H777" s="501"/>
      <c r="I777" s="483"/>
      <c r="J777" s="501"/>
      <c r="K777" s="501"/>
    </row>
    <row r="778" spans="1:11">
      <c r="D778" s="1302"/>
      <c r="E778" s="1302"/>
      <c r="F778" s="1302"/>
      <c r="G778" s="501"/>
      <c r="H778" s="501"/>
      <c r="I778" s="483"/>
      <c r="J778" s="501"/>
      <c r="K778" s="501"/>
    </row>
    <row r="779" spans="1:11">
      <c r="D779" s="1302"/>
      <c r="E779" s="1302"/>
      <c r="F779" s="1302"/>
      <c r="G779" s="501"/>
      <c r="H779" s="501"/>
      <c r="I779" s="483"/>
      <c r="J779" s="501"/>
      <c r="K779" s="501"/>
    </row>
    <row r="780" spans="1:11">
      <c r="D780" s="445"/>
      <c r="E780" s="445"/>
      <c r="F780" s="445"/>
      <c r="G780" s="501"/>
      <c r="H780" s="501"/>
      <c r="I780" s="483"/>
      <c r="J780" s="501"/>
      <c r="K780" s="501"/>
    </row>
    <row r="781" spans="1:11">
      <c r="A781" s="1317" t="s">
        <v>1801</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1855</v>
      </c>
      <c r="E783" s="1316"/>
      <c r="F783" s="1316"/>
      <c r="G783" s="3"/>
      <c r="I783" s="490"/>
    </row>
    <row r="784" spans="1:11">
      <c r="A784" s="57"/>
      <c r="B784" s="57"/>
      <c r="C784" s="354"/>
      <c r="D784" s="1319" t="s">
        <v>1755</v>
      </c>
      <c r="E784" s="1319"/>
      <c r="F784" s="1319"/>
      <c r="G784" s="3"/>
      <c r="I784" s="490"/>
    </row>
    <row r="785" spans="1:9">
      <c r="A785" s="57"/>
      <c r="B785" s="57"/>
      <c r="C785" s="354"/>
      <c r="D785" s="447"/>
      <c r="E785" s="447"/>
      <c r="F785" s="447"/>
      <c r="G785" s="3"/>
      <c r="I785" s="490"/>
    </row>
    <row r="786" spans="1:9">
      <c r="A786" s="57"/>
      <c r="B786" s="485" t="s">
        <v>2757</v>
      </c>
      <c r="C786" s="354"/>
      <c r="D786" s="1295" t="s">
        <v>1756</v>
      </c>
      <c r="E786" s="1295"/>
      <c r="F786" s="1295"/>
      <c r="G786" s="3"/>
      <c r="I786" s="483"/>
    </row>
    <row r="787" spans="1:9">
      <c r="A787" s="57"/>
      <c r="B787" s="57"/>
      <c r="C787" s="354"/>
      <c r="D787" s="1295"/>
      <c r="E787" s="1295"/>
      <c r="F787" s="1295"/>
      <c r="G787" s="3"/>
      <c r="I787" s="490"/>
    </row>
    <row r="788" spans="1:9">
      <c r="A788" s="174"/>
      <c r="B788" s="174"/>
      <c r="C788" s="174"/>
      <c r="D788" s="1295"/>
      <c r="E788" s="1295"/>
      <c r="F788" s="1295"/>
      <c r="G788" s="118"/>
      <c r="I788" s="490"/>
    </row>
    <row r="789" spans="1:9">
      <c r="A789" s="354"/>
      <c r="B789" s="354"/>
      <c r="C789" s="354"/>
      <c r="D789" s="173"/>
      <c r="E789" s="3"/>
      <c r="F789" s="3"/>
      <c r="G789" s="3"/>
      <c r="I789" s="490"/>
    </row>
    <row r="790" spans="1:9">
      <c r="A790" s="172"/>
      <c r="B790" s="485" t="s">
        <v>2757</v>
      </c>
      <c r="C790" s="172"/>
      <c r="D790" s="1295" t="s">
        <v>1757</v>
      </c>
      <c r="E790" s="1295"/>
      <c r="F790" s="1295"/>
      <c r="G790" s="3"/>
      <c r="I790" s="483"/>
    </row>
    <row r="791" spans="1:9">
      <c r="A791" s="172"/>
      <c r="B791" s="172"/>
      <c r="C791" s="172"/>
      <c r="D791" s="1295"/>
      <c r="E791" s="1295"/>
      <c r="F791" s="1295"/>
      <c r="G791" s="3"/>
      <c r="I791" s="490"/>
    </row>
    <row r="792" spans="1:9">
      <c r="A792" s="172"/>
      <c r="B792" s="172"/>
      <c r="C792" s="172"/>
      <c r="D792" s="1295"/>
      <c r="E792" s="1295"/>
      <c r="F792" s="1295"/>
      <c r="G792" s="3"/>
      <c r="I792" s="490"/>
    </row>
    <row r="793" spans="1:9">
      <c r="A793" s="174"/>
      <c r="B793" s="174"/>
      <c r="C793" s="174"/>
      <c r="D793" s="3"/>
      <c r="E793" s="988"/>
      <c r="F793" s="988"/>
      <c r="G793" s="988"/>
      <c r="I793" s="490"/>
    </row>
    <row r="794" spans="1:9">
      <c r="A794" s="175"/>
      <c r="B794" s="485" t="s">
        <v>2758</v>
      </c>
      <c r="C794" s="989"/>
      <c r="D794" s="1295" t="s">
        <v>1758</v>
      </c>
      <c r="E794" s="1295"/>
      <c r="F794" s="1295"/>
      <c r="G794" s="988"/>
      <c r="I794" s="483"/>
    </row>
    <row r="795" spans="1:9">
      <c r="A795" s="175"/>
      <c r="B795" s="175"/>
      <c r="C795" s="989"/>
      <c r="D795" s="1295"/>
      <c r="E795" s="1295"/>
      <c r="F795" s="1295"/>
      <c r="G795" s="988"/>
      <c r="I795" s="490"/>
    </row>
    <row r="796" spans="1:9">
      <c r="A796" s="175"/>
      <c r="B796" s="175"/>
      <c r="C796" s="989"/>
      <c r="D796" s="1295"/>
      <c r="E796" s="1295"/>
      <c r="F796" s="1295"/>
      <c r="G796" s="988"/>
      <c r="I796" s="490"/>
    </row>
    <row r="797" spans="1:9">
      <c r="A797" s="175"/>
      <c r="B797" s="175"/>
      <c r="C797" s="989"/>
      <c r="D797" s="118"/>
      <c r="E797" s="3"/>
      <c r="F797" s="3"/>
      <c r="G797" s="988"/>
      <c r="I797" s="490"/>
    </row>
    <row r="798" spans="1:9">
      <c r="A798" s="175"/>
      <c r="B798" s="485" t="s">
        <v>2758</v>
      </c>
      <c r="C798" s="989"/>
      <c r="D798" s="1295" t="s">
        <v>1759</v>
      </c>
      <c r="E798" s="1295"/>
      <c r="F798" s="1295"/>
      <c r="G798" s="988"/>
      <c r="I798" s="483"/>
    </row>
    <row r="799" spans="1:9">
      <c r="A799" s="175"/>
      <c r="B799" s="175"/>
      <c r="C799" s="989"/>
      <c r="D799" s="1295"/>
      <c r="E799" s="1295"/>
      <c r="F799" s="1295"/>
      <c r="G799" s="988"/>
      <c r="I799" s="490"/>
    </row>
    <row r="800" spans="1:9">
      <c r="A800" s="175"/>
      <c r="B800" s="175"/>
      <c r="C800" s="989"/>
      <c r="D800" s="1295"/>
      <c r="E800" s="1295"/>
      <c r="F800" s="1295"/>
      <c r="G800" s="988"/>
      <c r="I800" s="490"/>
    </row>
    <row r="801" spans="1:9">
      <c r="A801" s="175"/>
      <c r="B801" s="175"/>
      <c r="C801" s="989"/>
      <c r="D801" s="1295"/>
      <c r="E801" s="1295"/>
      <c r="F801" s="1295"/>
      <c r="G801" s="988"/>
      <c r="I801" s="490"/>
    </row>
    <row r="802" spans="1:9">
      <c r="A802" s="175"/>
      <c r="B802" s="175"/>
      <c r="C802" s="989"/>
      <c r="D802" s="1295"/>
      <c r="E802" s="1295"/>
      <c r="F802" s="1295"/>
      <c r="G802" s="988"/>
      <c r="I802" s="490"/>
    </row>
    <row r="803" spans="1:9">
      <c r="A803" s="175"/>
      <c r="B803" s="175"/>
      <c r="C803" s="989"/>
      <c r="D803" s="1295"/>
      <c r="E803" s="1295"/>
      <c r="F803" s="1295"/>
      <c r="G803" s="988"/>
      <c r="I803" s="490"/>
    </row>
    <row r="804" spans="1:9">
      <c r="A804" s="175"/>
      <c r="B804" s="175"/>
      <c r="C804" s="989"/>
      <c r="D804" s="1295" t="s">
        <v>1802</v>
      </c>
      <c r="E804" s="1295"/>
      <c r="F804" s="1295"/>
      <c r="G804" s="988"/>
      <c r="I804" s="490"/>
    </row>
    <row r="805" spans="1:9">
      <c r="A805" s="175"/>
      <c r="B805" s="175"/>
      <c r="C805" s="989"/>
      <c r="D805" s="1295"/>
      <c r="E805" s="1295"/>
      <c r="F805" s="1295"/>
      <c r="G805" s="988"/>
      <c r="I805" s="490"/>
    </row>
    <row r="806" spans="1:9">
      <c r="A806" s="175"/>
      <c r="B806" s="175"/>
      <c r="C806" s="989"/>
      <c r="D806" s="1295"/>
      <c r="E806" s="1295"/>
      <c r="F806" s="1295"/>
      <c r="G806" s="988"/>
      <c r="I806" s="490"/>
    </row>
    <row r="807" spans="1:9">
      <c r="A807" s="175"/>
      <c r="B807" s="354"/>
      <c r="C807" s="989"/>
      <c r="D807" s="990"/>
      <c r="E807" s="990"/>
      <c r="F807" s="990"/>
      <c r="G807" s="988"/>
      <c r="I807" s="490"/>
    </row>
    <row r="808" spans="1:9">
      <c r="A808" s="175"/>
      <c r="B808" s="485" t="s">
        <v>2758</v>
      </c>
      <c r="C808" s="989"/>
      <c r="D808" s="1295" t="s">
        <v>1760</v>
      </c>
      <c r="E808" s="1295"/>
      <c r="F808" s="1295"/>
      <c r="G808" s="988"/>
      <c r="I808" s="483"/>
    </row>
    <row r="809" spans="1:9">
      <c r="A809" s="175"/>
      <c r="B809" s="175"/>
      <c r="C809" s="989"/>
      <c r="D809" s="1295"/>
      <c r="E809" s="1295"/>
      <c r="F809" s="1295"/>
      <c r="G809" s="988"/>
      <c r="I809" s="490"/>
    </row>
    <row r="810" spans="1:9">
      <c r="A810" s="175"/>
      <c r="B810" s="175"/>
      <c r="C810" s="989"/>
      <c r="D810" s="1295"/>
      <c r="E810" s="1295"/>
      <c r="F810" s="1295"/>
      <c r="G810" s="988"/>
      <c r="I810" s="490"/>
    </row>
    <row r="811" spans="1:9">
      <c r="A811" s="175"/>
      <c r="B811" s="175"/>
      <c r="C811" s="989"/>
      <c r="D811" s="1295"/>
      <c r="E811" s="1295"/>
      <c r="F811" s="1295"/>
      <c r="G811" s="988"/>
      <c r="I811" s="490"/>
    </row>
    <row r="812" spans="1:9">
      <c r="A812" s="175"/>
      <c r="B812" s="175"/>
      <c r="C812" s="989"/>
      <c r="D812" s="1295"/>
      <c r="E812" s="1295"/>
      <c r="F812" s="1295"/>
      <c r="G812" s="988"/>
      <c r="I812" s="490"/>
    </row>
    <row r="813" spans="1:9">
      <c r="A813" s="175"/>
      <c r="B813" s="175"/>
      <c r="C813" s="989"/>
      <c r="D813" s="1295"/>
      <c r="E813" s="1295"/>
      <c r="F813" s="1295"/>
      <c r="G813" s="988"/>
      <c r="I813" s="490"/>
    </row>
    <row r="814" spans="1:9">
      <c r="A814" s="175"/>
      <c r="B814" s="175"/>
      <c r="C814" s="989"/>
      <c r="D814" s="982"/>
      <c r="E814" s="982"/>
      <c r="F814" s="982"/>
      <c r="G814" s="988"/>
      <c r="I814" s="490"/>
    </row>
    <row r="815" spans="1:9">
      <c r="A815" s="175"/>
      <c r="B815" s="485" t="s">
        <v>2758</v>
      </c>
      <c r="C815" s="989"/>
      <c r="D815" s="1295" t="s">
        <v>1761</v>
      </c>
      <c r="E815" s="1295"/>
      <c r="F815" s="1295"/>
      <c r="G815" s="988"/>
      <c r="I815" s="483"/>
    </row>
    <row r="816" spans="1:9">
      <c r="A816" s="175"/>
      <c r="B816" s="175"/>
      <c r="C816" s="989"/>
      <c r="D816" s="1295"/>
      <c r="E816" s="1295"/>
      <c r="F816" s="1295"/>
      <c r="G816" s="988"/>
      <c r="I816" s="490"/>
    </row>
    <row r="817" spans="1:9">
      <c r="A817" s="175"/>
      <c r="B817" s="175"/>
      <c r="C817" s="989"/>
      <c r="D817" s="1295"/>
      <c r="E817" s="1295"/>
      <c r="F817" s="1295"/>
      <c r="G817" s="988"/>
      <c r="I817" s="490"/>
    </row>
    <row r="818" spans="1:9">
      <c r="A818" s="175"/>
      <c r="B818" s="175"/>
      <c r="C818" s="989"/>
      <c r="D818" s="1295"/>
      <c r="E818" s="1295"/>
      <c r="F818" s="1295"/>
      <c r="G818" s="988"/>
      <c r="I818" s="490"/>
    </row>
    <row r="819" spans="1:9">
      <c r="A819" s="175"/>
      <c r="B819" s="175"/>
      <c r="C819" s="989"/>
      <c r="D819" s="1295"/>
      <c r="E819" s="1295"/>
      <c r="F819" s="1295"/>
      <c r="G819" s="988"/>
      <c r="I819" s="490"/>
    </row>
    <row r="820" spans="1:9">
      <c r="A820" s="175"/>
      <c r="B820" s="175"/>
      <c r="C820" s="989"/>
      <c r="D820" s="1295"/>
      <c r="E820" s="1295"/>
      <c r="F820" s="1295"/>
      <c r="G820" s="988"/>
      <c r="I820" s="490"/>
    </row>
    <row r="821" spans="1:9">
      <c r="A821" s="175"/>
      <c r="B821" s="175"/>
      <c r="C821" s="989"/>
      <c r="D821" s="982"/>
      <c r="E821" s="982"/>
      <c r="F821" s="982"/>
      <c r="G821" s="988"/>
      <c r="I821" s="490"/>
    </row>
    <row r="822" spans="1:9">
      <c r="A822" s="175"/>
      <c r="B822" s="485" t="s">
        <v>2758</v>
      </c>
      <c r="C822" s="989"/>
      <c r="D822" s="1290" t="s">
        <v>1762</v>
      </c>
      <c r="E822" s="1290"/>
      <c r="F822" s="1290"/>
      <c r="G822" s="988"/>
      <c r="I822" s="483"/>
    </row>
    <row r="823" spans="1:9">
      <c r="A823" s="175"/>
      <c r="B823" s="175"/>
      <c r="C823" s="989"/>
      <c r="D823" s="1290"/>
      <c r="E823" s="1290"/>
      <c r="F823" s="1290"/>
      <c r="G823" s="988"/>
      <c r="I823" s="490"/>
    </row>
    <row r="824" spans="1:9">
      <c r="A824" s="13"/>
      <c r="B824" s="13"/>
      <c r="C824" s="989"/>
      <c r="D824" s="1290"/>
      <c r="E824" s="1290"/>
      <c r="F824" s="1290"/>
      <c r="G824" s="988"/>
      <c r="I824" s="490"/>
    </row>
    <row r="825" spans="1:9">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286" t="s">
        <v>1763</v>
      </c>
      <c r="B829" s="1286"/>
      <c r="C829" s="1286"/>
      <c r="D829" s="1286"/>
      <c r="E829" s="1286"/>
      <c r="F829" s="1286"/>
      <c r="G829" s="1286"/>
      <c r="H829" s="1028"/>
      <c r="I829" s="1153"/>
    </row>
    <row r="830" spans="1:9" ht="12.75" customHeight="1">
      <c r="A830" s="172"/>
      <c r="B830" s="172"/>
      <c r="C830" s="989"/>
      <c r="D830" s="988"/>
      <c r="E830" s="988"/>
      <c r="F830" s="988"/>
      <c r="G830" s="988"/>
      <c r="I830" s="490"/>
    </row>
    <row r="831" spans="1:9" ht="12.75" customHeight="1">
      <c r="A831" s="175"/>
      <c r="B831" s="175"/>
      <c r="C831" s="354"/>
      <c r="D831" s="1306" t="s">
        <v>1803</v>
      </c>
      <c r="E831" s="1306"/>
      <c r="F831" s="1306"/>
      <c r="G831" s="3"/>
      <c r="I831" s="490"/>
    </row>
    <row r="832" spans="1:9" ht="14.25" customHeight="1">
      <c r="A832" s="175"/>
      <c r="B832" s="175"/>
      <c r="C832" s="354"/>
      <c r="D832" s="1263" t="s">
        <v>1764</v>
      </c>
      <c r="E832" s="1263"/>
      <c r="F832" s="1263"/>
      <c r="G832" s="3"/>
      <c r="I832" s="490"/>
    </row>
    <row r="833" spans="1:9" ht="12.75" customHeight="1">
      <c r="A833" s="175"/>
      <c r="B833" s="175"/>
      <c r="C833" s="354"/>
      <c r="D833" s="441"/>
      <c r="E833" s="441"/>
      <c r="F833" s="441"/>
      <c r="G833" s="3"/>
      <c r="I833" s="490"/>
    </row>
    <row r="834" spans="1:9" ht="12.75" customHeight="1">
      <c r="A834" s="354"/>
      <c r="B834" s="485" t="s">
        <v>2757</v>
      </c>
      <c r="C834" s="989"/>
      <c r="D834" s="1263" t="s">
        <v>1765</v>
      </c>
      <c r="E834" s="1263"/>
      <c r="F834" s="1263"/>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7" t="s">
        <v>2076</v>
      </c>
      <c r="E837" s="1307"/>
      <c r="F837" s="1307"/>
      <c r="G837" s="3"/>
      <c r="I837" s="490"/>
    </row>
    <row r="838" spans="1:9" ht="12.75" hidden="1" customHeight="1">
      <c r="A838" s="13"/>
      <c r="B838" s="13"/>
      <c r="C838" s="989"/>
      <c r="D838" s="1307"/>
      <c r="E838" s="1307"/>
      <c r="F838" s="1307"/>
      <c r="G838" s="3"/>
      <c r="I838" s="490"/>
    </row>
    <row r="839" spans="1:9" ht="12.75" hidden="1" customHeight="1">
      <c r="A839" s="13"/>
      <c r="B839" s="13"/>
      <c r="C839" s="989"/>
      <c r="D839" s="1307"/>
      <c r="E839" s="1307"/>
      <c r="F839" s="1307"/>
      <c r="G839" s="3"/>
      <c r="I839" s="490"/>
    </row>
    <row r="840" spans="1:9" ht="12.75" hidden="1" customHeight="1">
      <c r="A840" s="13"/>
      <c r="B840" s="13"/>
      <c r="C840" s="989"/>
      <c r="D840" s="1307"/>
      <c r="E840" s="1307"/>
      <c r="F840" s="1307"/>
      <c r="G840" s="3"/>
      <c r="I840" s="490"/>
    </row>
    <row r="841" spans="1:9" ht="12.75" hidden="1" customHeight="1">
      <c r="A841" s="13"/>
      <c r="B841" s="13"/>
      <c r="C841" s="989"/>
      <c r="D841" s="1307"/>
      <c r="E841" s="1307"/>
      <c r="F841" s="1307"/>
      <c r="G841" s="3"/>
      <c r="I841" s="490"/>
    </row>
    <row r="842" spans="1:9" ht="12.75" hidden="1" customHeight="1">
      <c r="A842" s="13"/>
      <c r="B842" s="13"/>
      <c r="C842" s="989"/>
      <c r="D842" s="1307"/>
      <c r="E842" s="1307"/>
      <c r="F842" s="1307"/>
      <c r="G842" s="3"/>
      <c r="I842" s="490"/>
    </row>
    <row r="843" spans="1:9" ht="12.75" hidden="1" customHeight="1">
      <c r="A843" s="13"/>
      <c r="B843" s="13"/>
      <c r="C843" s="989"/>
      <c r="D843" s="1307"/>
      <c r="E843" s="1307"/>
      <c r="F843" s="1307"/>
      <c r="G843" s="3"/>
      <c r="I843" s="490"/>
    </row>
    <row r="844" spans="1:9" ht="12.75" hidden="1" customHeight="1">
      <c r="A844" s="13"/>
      <c r="B844" s="13"/>
      <c r="C844" s="989"/>
      <c r="D844" s="1307"/>
      <c r="E844" s="1307"/>
      <c r="F844" s="1307"/>
      <c r="G844" s="3"/>
      <c r="I844" s="490"/>
    </row>
    <row r="845" spans="1:9" ht="12.75" hidden="1" customHeight="1">
      <c r="A845" s="13"/>
      <c r="B845" s="13"/>
      <c r="C845" s="989"/>
      <c r="D845" s="1307"/>
      <c r="E845" s="1307"/>
      <c r="F845" s="1307"/>
      <c r="G845" s="3"/>
      <c r="I845" s="490"/>
    </row>
    <row r="846" spans="1:9" ht="12.75" hidden="1" customHeight="1">
      <c r="A846" s="13"/>
      <c r="B846" s="13"/>
      <c r="C846" s="989"/>
      <c r="D846" s="1307"/>
      <c r="E846" s="1307"/>
      <c r="F846" s="1307"/>
      <c r="G846" s="3"/>
      <c r="I846" s="490"/>
    </row>
    <row r="847" spans="1:9" ht="12.75" hidden="1" customHeight="1">
      <c r="A847" s="13"/>
      <c r="B847" s="13"/>
      <c r="C847" s="989"/>
      <c r="D847" s="991"/>
      <c r="E847" s="3"/>
      <c r="F847" s="3"/>
      <c r="G847" s="3"/>
      <c r="I847" s="490"/>
    </row>
    <row r="848" spans="1:9" ht="12.75" customHeight="1">
      <c r="A848" s="175"/>
      <c r="B848" s="485" t="s">
        <v>2757</v>
      </c>
      <c r="C848" s="989"/>
      <c r="D848" s="1263" t="s">
        <v>1766</v>
      </c>
      <c r="E848" s="1263"/>
      <c r="F848" s="1263"/>
      <c r="G848" s="3"/>
      <c r="I848" s="490" t="s">
        <v>1883</v>
      </c>
    </row>
    <row r="849" spans="1:9" ht="12.75" customHeight="1">
      <c r="A849" s="175"/>
      <c r="B849" s="175"/>
      <c r="C849" s="989"/>
      <c r="D849" s="1263"/>
      <c r="E849" s="1263"/>
      <c r="F849" s="1263"/>
      <c r="G849" s="3"/>
      <c r="I849" s="490"/>
    </row>
    <row r="850" spans="1:9" ht="12.75" customHeight="1">
      <c r="A850" s="175"/>
      <c r="B850" s="175"/>
      <c r="C850" s="989"/>
      <c r="D850" s="1263"/>
      <c r="E850" s="1263"/>
      <c r="F850" s="1263"/>
      <c r="G850" s="3"/>
      <c r="I850" s="490"/>
    </row>
    <row r="851" spans="1:9" ht="12.75" customHeight="1">
      <c r="A851" s="175"/>
      <c r="B851" s="175"/>
      <c r="C851" s="989"/>
      <c r="D851" s="118"/>
      <c r="E851" s="3"/>
      <c r="F851" s="3"/>
      <c r="G851" s="3"/>
      <c r="I851" s="490"/>
    </row>
    <row r="852" spans="1:9" ht="12.75" customHeight="1">
      <c r="A852" s="992"/>
      <c r="B852" s="485" t="s">
        <v>2758</v>
      </c>
      <c r="C852" s="989"/>
      <c r="D852" s="1306" t="s">
        <v>1767</v>
      </c>
      <c r="E852" s="1306"/>
      <c r="F852" s="1306"/>
      <c r="G852" s="3"/>
      <c r="I852" s="490"/>
    </row>
    <row r="853" spans="1:9" ht="12.75" customHeight="1">
      <c r="A853" s="354"/>
      <c r="B853" s="992"/>
      <c r="C853" s="989"/>
      <c r="D853" s="1306"/>
      <c r="E853" s="1306"/>
      <c r="F853" s="1306"/>
      <c r="G853" s="3"/>
      <c r="I853" s="490"/>
    </row>
    <row r="854" spans="1:9" ht="12.75" customHeight="1">
      <c r="A854" s="175"/>
      <c r="B854" s="354"/>
      <c r="C854" s="989"/>
      <c r="D854" s="1263" t="s">
        <v>2069</v>
      </c>
      <c r="E854" s="1263"/>
      <c r="F854" s="1263"/>
      <c r="G854" s="3"/>
      <c r="I854" s="490"/>
    </row>
    <row r="855" spans="1:9" ht="12.75" customHeight="1">
      <c r="A855" s="175"/>
      <c r="B855" s="175"/>
      <c r="C855" s="989"/>
      <c r="D855" s="1263"/>
      <c r="E855" s="1263"/>
      <c r="F855" s="1263"/>
      <c r="G855" s="3"/>
      <c r="I855" s="490"/>
    </row>
    <row r="856" spans="1:9" ht="12.75" customHeight="1">
      <c r="A856" s="175"/>
      <c r="B856" s="175"/>
      <c r="C856" s="989"/>
      <c r="D856" s="1263"/>
      <c r="E856" s="1263"/>
      <c r="F856" s="1263"/>
      <c r="G856" s="3"/>
      <c r="I856" s="490"/>
    </row>
    <row r="857" spans="1:9" ht="12.75" customHeight="1">
      <c r="A857" s="175"/>
      <c r="B857" s="175"/>
      <c r="C857" s="989"/>
      <c r="D857" s="1263"/>
      <c r="E857" s="1263"/>
      <c r="F857" s="1263"/>
      <c r="G857" s="3"/>
      <c r="I857" s="490"/>
    </row>
    <row r="858" spans="1:9" ht="12.75" customHeight="1">
      <c r="A858" s="175"/>
      <c r="B858" s="175"/>
      <c r="C858" s="989"/>
      <c r="D858" s="1263"/>
      <c r="E858" s="1263"/>
      <c r="F858" s="1263"/>
      <c r="G858" s="3"/>
      <c r="I858" s="490"/>
    </row>
    <row r="859" spans="1:9" ht="12.75" customHeight="1">
      <c r="A859" s="175"/>
      <c r="B859" s="175"/>
      <c r="C859" s="989"/>
      <c r="D859" s="1263"/>
      <c r="E859" s="1263"/>
      <c r="F859" s="1263"/>
      <c r="G859" s="3"/>
      <c r="I859" s="490"/>
    </row>
    <row r="860" spans="1:9" ht="12.75" customHeight="1">
      <c r="A860" s="175"/>
      <c r="B860" s="175"/>
      <c r="C860" s="989"/>
      <c r="D860" s="118"/>
      <c r="E860" s="3"/>
      <c r="F860" s="3"/>
      <c r="G860" s="3"/>
      <c r="I860" s="490"/>
    </row>
    <row r="861" spans="1:9" ht="12.75" customHeight="1">
      <c r="A861" s="175"/>
      <c r="B861" s="485" t="s">
        <v>2758</v>
      </c>
      <c r="C861" s="989"/>
      <c r="D861" s="1263" t="s">
        <v>1768</v>
      </c>
      <c r="E861" s="1263"/>
      <c r="F861" s="1263"/>
      <c r="G861" s="3"/>
      <c r="I861" s="490" t="s">
        <v>1881</v>
      </c>
    </row>
    <row r="862" spans="1:9" ht="12.75" customHeight="1">
      <c r="A862" s="175"/>
      <c r="B862" s="175"/>
      <c r="C862" s="989"/>
      <c r="D862" s="1263" t="s">
        <v>1769</v>
      </c>
      <c r="E862" s="1263"/>
      <c r="F862" s="1263"/>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2758</v>
      </c>
      <c r="C865" s="989"/>
      <c r="D865" s="1263" t="s">
        <v>1770</v>
      </c>
      <c r="E865" s="1263"/>
      <c r="F865" s="1263"/>
      <c r="G865" s="3"/>
      <c r="I865" s="490" t="s">
        <v>1884</v>
      </c>
    </row>
    <row r="866" spans="1:9" ht="12.75" customHeight="1">
      <c r="A866" s="175"/>
      <c r="B866" s="175"/>
      <c r="C866" s="989"/>
      <c r="D866" s="1263"/>
      <c r="E866" s="1263"/>
      <c r="F866" s="1263"/>
      <c r="G866" s="3"/>
      <c r="I866" s="490"/>
    </row>
    <row r="867" spans="1:9" ht="12.75" customHeight="1">
      <c r="A867" s="175"/>
      <c r="B867" s="175"/>
      <c r="C867" s="989"/>
      <c r="D867" s="1263"/>
      <c r="E867" s="1263"/>
      <c r="F867" s="1263"/>
      <c r="G867" s="3"/>
      <c r="I867" s="490"/>
    </row>
    <row r="868" spans="1:9" ht="12.75" customHeight="1">
      <c r="A868" s="175"/>
      <c r="B868" s="175"/>
      <c r="C868" s="989"/>
      <c r="D868" s="1263"/>
      <c r="E868" s="1263"/>
      <c r="F868" s="1263"/>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6" t="s">
        <v>1804</v>
      </c>
      <c r="E872" s="1296"/>
      <c r="F872" s="1296"/>
      <c r="G872" s="988"/>
      <c r="I872" s="490"/>
    </row>
    <row r="873" spans="1:9" ht="12.75" customHeight="1">
      <c r="A873" s="354"/>
      <c r="B873" s="354"/>
      <c r="C873" s="174"/>
      <c r="D873" s="1305" t="s">
        <v>1772</v>
      </c>
      <c r="E873" s="1305"/>
      <c r="F873" s="1305"/>
      <c r="G873" s="988"/>
      <c r="I873" s="490"/>
    </row>
    <row r="874" spans="1:9" ht="12.75" customHeight="1">
      <c r="A874" s="354"/>
      <c r="B874" s="354"/>
      <c r="C874" s="174"/>
      <c r="D874" s="995"/>
      <c r="E874" s="995"/>
      <c r="F874" s="995"/>
      <c r="G874" s="988"/>
      <c r="I874" s="490"/>
    </row>
    <row r="875" spans="1:9" ht="12.75" customHeight="1">
      <c r="A875" s="175"/>
      <c r="B875" s="485" t="s">
        <v>2757</v>
      </c>
      <c r="C875" s="354"/>
      <c r="D875" s="1289" t="s">
        <v>1773</v>
      </c>
      <c r="E875" s="1289"/>
      <c r="F875" s="1289"/>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2757</v>
      </c>
      <c r="C878" s="354"/>
      <c r="D878" s="1263" t="s">
        <v>1774</v>
      </c>
      <c r="E878" s="1312"/>
      <c r="F878" s="1312"/>
      <c r="G878" s="3"/>
      <c r="I878" s="490" t="s">
        <v>1884</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2758</v>
      </c>
      <c r="C881" s="354"/>
      <c r="D881" s="1313" t="s">
        <v>1775</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3" t="s">
        <v>2069</v>
      </c>
      <c r="E883" s="1263"/>
      <c r="F883" s="1263"/>
      <c r="G883" s="988"/>
      <c r="I883" s="490"/>
    </row>
    <row r="884" spans="1:9" ht="12.75" customHeight="1">
      <c r="A884" s="175"/>
      <c r="B884" s="175"/>
      <c r="C884" s="354"/>
      <c r="D884" s="1263"/>
      <c r="E884" s="1263"/>
      <c r="F884" s="1263"/>
      <c r="G884" s="988"/>
      <c r="I884" s="490"/>
    </row>
    <row r="885" spans="1:9" ht="12.75" customHeight="1">
      <c r="A885" s="175"/>
      <c r="B885" s="175"/>
      <c r="C885" s="354"/>
      <c r="D885" s="1263"/>
      <c r="E885" s="1263"/>
      <c r="F885" s="1263"/>
      <c r="G885" s="988"/>
      <c r="I885" s="490"/>
    </row>
    <row r="886" spans="1:9" ht="12.75" customHeight="1">
      <c r="A886" s="175"/>
      <c r="B886" s="175"/>
      <c r="C886" s="354"/>
      <c r="D886" s="1263"/>
      <c r="E886" s="1263"/>
      <c r="F886" s="1263"/>
      <c r="G886" s="988"/>
      <c r="I886" s="490"/>
    </row>
    <row r="887" spans="1:9" ht="12.75" customHeight="1">
      <c r="A887" s="175"/>
      <c r="B887" s="175"/>
      <c r="C887" s="354"/>
      <c r="D887" s="1263"/>
      <c r="E887" s="1263"/>
      <c r="F887" s="1263"/>
      <c r="G887" s="988"/>
      <c r="I887" s="490"/>
    </row>
    <row r="888" spans="1:9" ht="12.75" customHeight="1">
      <c r="A888" s="175"/>
      <c r="B888" s="175"/>
      <c r="C888" s="354"/>
      <c r="D888" s="1263"/>
      <c r="E888" s="1263"/>
      <c r="F888" s="1263"/>
      <c r="G888" s="988"/>
      <c r="I888" s="490"/>
    </row>
    <row r="889" spans="1:9" ht="12.75" customHeight="1">
      <c r="A889" s="175"/>
      <c r="B889" s="175"/>
      <c r="C889" s="354"/>
      <c r="D889" s="118"/>
      <c r="E889" s="988"/>
      <c r="F889" s="988"/>
      <c r="G889" s="988"/>
      <c r="I889" s="490"/>
    </row>
    <row r="890" spans="1:9" ht="12.75" customHeight="1">
      <c r="A890" s="175"/>
      <c r="B890" s="485" t="s">
        <v>2758</v>
      </c>
      <c r="C890" s="354"/>
      <c r="D890" s="1288" t="s">
        <v>1768</v>
      </c>
      <c r="E890" s="1288"/>
      <c r="F890" s="1288"/>
      <c r="G890" s="988"/>
      <c r="I890" s="490"/>
    </row>
    <row r="891" spans="1:9" ht="12.75" customHeight="1">
      <c r="A891" s="175"/>
      <c r="B891" s="175"/>
      <c r="C891" s="354"/>
      <c r="D891" s="1288" t="s">
        <v>1769</v>
      </c>
      <c r="E891" s="1288"/>
      <c r="F891" s="1288"/>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2758</v>
      </c>
      <c r="C894" s="354"/>
      <c r="D894" s="1263" t="s">
        <v>1770</v>
      </c>
      <c r="E894" s="1263"/>
      <c r="F894" s="1263"/>
      <c r="G894" s="988"/>
      <c r="I894" s="490"/>
    </row>
    <row r="895" spans="1:9" ht="12.75" customHeight="1">
      <c r="A895" s="175"/>
      <c r="B895" s="175"/>
      <c r="C895" s="354"/>
      <c r="D895" s="1263"/>
      <c r="E895" s="1263"/>
      <c r="F895" s="1263"/>
      <c r="G895" s="988"/>
      <c r="I895" s="490"/>
    </row>
    <row r="896" spans="1:9" ht="12.75" customHeight="1">
      <c r="A896" s="175"/>
      <c r="B896" s="175"/>
      <c r="C896" s="354"/>
      <c r="D896" s="1263"/>
      <c r="E896" s="1263"/>
      <c r="F896" s="1263"/>
      <c r="G896" s="988"/>
      <c r="I896" s="490"/>
    </row>
    <row r="897" spans="1:9" ht="12.75" customHeight="1">
      <c r="A897" s="175"/>
      <c r="B897" s="175"/>
      <c r="C897" s="354"/>
      <c r="D897" s="1263"/>
      <c r="E897" s="1263"/>
      <c r="F897" s="1263"/>
      <c r="G897" s="988"/>
      <c r="I897" s="490"/>
    </row>
    <row r="898" spans="1:9" ht="12.75" customHeight="1">
      <c r="A898" s="118"/>
      <c r="B898" s="118"/>
      <c r="C898" s="989"/>
      <c r="D898" s="988"/>
      <c r="E898" s="988"/>
      <c r="F898" s="988"/>
      <c r="G898" s="988"/>
      <c r="I898" s="490"/>
    </row>
    <row r="899" spans="1:9" ht="12.75" customHeight="1">
      <c r="A899" s="1286" t="s">
        <v>1805</v>
      </c>
      <c r="B899" s="1286"/>
      <c r="C899" s="1286"/>
      <c r="D899" s="1286"/>
      <c r="E899" s="1286"/>
      <c r="F899" s="1286"/>
      <c r="G899" s="1286"/>
      <c r="H899" s="1028"/>
      <c r="I899" s="1153"/>
    </row>
    <row r="900" spans="1:9" ht="12.75" customHeight="1">
      <c r="A900" s="57"/>
      <c r="B900" s="57"/>
      <c r="C900" s="57"/>
      <c r="D900" s="57"/>
      <c r="E900" s="57"/>
      <c r="F900" s="57"/>
      <c r="G900" s="57"/>
      <c r="I900" s="490"/>
    </row>
    <row r="901" spans="1:9" ht="12.75" customHeight="1">
      <c r="A901" s="57"/>
      <c r="B901" s="57"/>
      <c r="C901" s="57"/>
      <c r="D901" s="1284" t="s">
        <v>1811</v>
      </c>
      <c r="E901" s="1284"/>
      <c r="F901" s="1284"/>
      <c r="G901" s="57"/>
      <c r="I901" s="490"/>
    </row>
    <row r="902" spans="1:9" ht="12.75" customHeight="1">
      <c r="A902" s="57"/>
      <c r="B902" s="57"/>
      <c r="C902" s="57"/>
      <c r="D902" s="981"/>
      <c r="E902" s="981"/>
      <c r="F902" s="981"/>
      <c r="G902" s="57"/>
      <c r="I902" s="490"/>
    </row>
    <row r="903" spans="1:9" ht="12.75" customHeight="1">
      <c r="A903" s="57"/>
      <c r="B903" s="485" t="s">
        <v>2757</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4" t="s">
        <v>1806</v>
      </c>
      <c r="E905" s="1284"/>
      <c r="F905" s="1284"/>
      <c r="G905" s="988"/>
      <c r="I905" s="490"/>
    </row>
    <row r="906" spans="1:9" ht="12.75" customHeight="1">
      <c r="A906" s="172"/>
      <c r="B906" s="172"/>
      <c r="C906" s="172"/>
      <c r="D906" s="1289" t="s">
        <v>1776</v>
      </c>
      <c r="E906" s="1289"/>
      <c r="F906" s="1289"/>
      <c r="G906" s="988"/>
      <c r="I906" s="490"/>
    </row>
    <row r="907" spans="1:9" ht="12.75" customHeight="1">
      <c r="A907" s="989"/>
      <c r="B907" s="989"/>
      <c r="C907" s="989"/>
      <c r="D907" s="2"/>
      <c r="E907" s="988"/>
      <c r="F907" s="988"/>
      <c r="G907" s="988"/>
      <c r="I907" s="490"/>
    </row>
    <row r="908" spans="1:9" ht="12.75" customHeight="1">
      <c r="A908" s="175"/>
      <c r="B908" s="485" t="s">
        <v>2757</v>
      </c>
      <c r="C908" s="354"/>
      <c r="D908" s="1263" t="s">
        <v>1780</v>
      </c>
      <c r="E908" s="1263"/>
      <c r="F908" s="1263"/>
      <c r="G908" s="3"/>
      <c r="I908" s="490"/>
    </row>
    <row r="909" spans="1:9" ht="12.75" customHeight="1">
      <c r="A909" s="354"/>
      <c r="B909" s="354"/>
      <c r="C909" s="354"/>
      <c r="D909" s="1263"/>
      <c r="E909" s="1263"/>
      <c r="F909" s="1263"/>
      <c r="G909" s="3"/>
      <c r="I909" s="490"/>
    </row>
    <row r="910" spans="1:9" ht="12.75" customHeight="1">
      <c r="A910" s="172"/>
      <c r="B910" s="172"/>
      <c r="C910" s="172"/>
      <c r="D910" s="1263" t="s">
        <v>1779</v>
      </c>
      <c r="E910" s="1263"/>
      <c r="F910" s="1263"/>
      <c r="G910" s="988"/>
      <c r="I910" s="490"/>
    </row>
    <row r="911" spans="1:9" ht="12.75" customHeight="1">
      <c r="A911" s="172"/>
      <c r="B911" s="172"/>
      <c r="C911" s="172"/>
      <c r="D911" s="1263"/>
      <c r="E911" s="1263"/>
      <c r="F911" s="1263"/>
      <c r="G911" s="988"/>
      <c r="I911" s="490"/>
    </row>
    <row r="912" spans="1:9" ht="12.75" customHeight="1">
      <c r="A912" s="172"/>
      <c r="B912" s="172"/>
      <c r="C912" s="172"/>
      <c r="D912" s="3"/>
      <c r="E912" s="3"/>
      <c r="F912" s="988"/>
      <c r="G912" s="988"/>
      <c r="I912" s="490"/>
    </row>
    <row r="913" spans="1:9" ht="12.75" customHeight="1">
      <c r="A913" s="175"/>
      <c r="B913" s="485" t="s">
        <v>2757</v>
      </c>
      <c r="C913" s="174"/>
      <c r="D913" s="1274" t="s">
        <v>1777</v>
      </c>
      <c r="E913" s="1274"/>
      <c r="F913" s="1274"/>
      <c r="G913" s="988"/>
      <c r="I913" s="490"/>
    </row>
    <row r="914" spans="1:9" ht="12.75" customHeight="1">
      <c r="A914" s="175"/>
      <c r="B914" s="175"/>
      <c r="C914" s="174"/>
      <c r="D914" s="1274"/>
      <c r="E914" s="1274"/>
      <c r="F914" s="1274"/>
      <c r="G914" s="988"/>
      <c r="I914" s="490"/>
    </row>
    <row r="915" spans="1:9" ht="12.75" customHeight="1">
      <c r="A915" s="175"/>
      <c r="B915" s="175"/>
      <c r="C915" s="174"/>
      <c r="D915" s="1274"/>
      <c r="E915" s="1274"/>
      <c r="F915" s="1274"/>
      <c r="G915" s="988"/>
      <c r="I915" s="490"/>
    </row>
    <row r="916" spans="1:9" ht="12.75" customHeight="1">
      <c r="A916" s="175"/>
      <c r="B916" s="175"/>
      <c r="C916" s="174"/>
      <c r="D916" s="1274"/>
      <c r="E916" s="1274"/>
      <c r="F916" s="1274"/>
      <c r="G916" s="988"/>
      <c r="I916" s="490"/>
    </row>
    <row r="917" spans="1:9" ht="12.75" customHeight="1">
      <c r="A917" s="175"/>
      <c r="B917" s="175"/>
      <c r="C917" s="174"/>
      <c r="D917" s="1274"/>
      <c r="E917" s="1274"/>
      <c r="F917" s="1274"/>
      <c r="G917" s="988"/>
      <c r="I917" s="490"/>
    </row>
    <row r="918" spans="1:9" ht="12.75" customHeight="1">
      <c r="A918" s="174"/>
      <c r="B918" s="174"/>
      <c r="C918" s="174"/>
      <c r="D918" s="1274"/>
      <c r="E918" s="1274"/>
      <c r="F918" s="1274"/>
      <c r="G918" s="988"/>
      <c r="I918" s="490"/>
    </row>
    <row r="919" spans="1:9" ht="12.75" customHeight="1">
      <c r="A919" s="174"/>
      <c r="B919" s="174"/>
      <c r="C919" s="174"/>
      <c r="D919" s="1274"/>
      <c r="E919" s="1274"/>
      <c r="F919" s="1274"/>
      <c r="G919" s="988"/>
      <c r="I919" s="490"/>
    </row>
    <row r="920" spans="1:9" ht="12.75" customHeight="1">
      <c r="A920" s="174"/>
      <c r="B920" s="174"/>
      <c r="C920" s="174"/>
      <c r="D920" s="1274"/>
      <c r="E920" s="1274"/>
      <c r="F920" s="1274"/>
      <c r="G920" s="988"/>
      <c r="I920" s="490"/>
    </row>
    <row r="921" spans="1:9" ht="12.75" customHeight="1">
      <c r="A921" s="174"/>
      <c r="B921" s="174"/>
      <c r="C921" s="174"/>
      <c r="D921" s="335"/>
      <c r="E921" s="335"/>
      <c r="F921" s="335"/>
      <c r="G921" s="988"/>
      <c r="I921" s="490"/>
    </row>
    <row r="922" spans="1:9" ht="12.75" customHeight="1">
      <c r="A922" s="989"/>
      <c r="B922" s="485" t="s">
        <v>2758</v>
      </c>
      <c r="C922" s="989"/>
      <c r="D922" s="1263" t="s">
        <v>1781</v>
      </c>
      <c r="E922" s="1263"/>
      <c r="F922" s="1263"/>
      <c r="G922" s="988"/>
      <c r="I922" s="490"/>
    </row>
    <row r="923" spans="1:9" ht="12.75" customHeight="1">
      <c r="A923" s="989"/>
      <c r="B923" s="989"/>
      <c r="C923" s="989"/>
      <c r="D923" s="1263"/>
      <c r="E923" s="1263"/>
      <c r="F923" s="1263"/>
      <c r="G923" s="988"/>
      <c r="I923" s="490"/>
    </row>
    <row r="924" spans="1:9" ht="12.75" customHeight="1">
      <c r="A924" s="989"/>
      <c r="B924" s="989"/>
      <c r="C924" s="989"/>
      <c r="D924" s="988"/>
      <c r="E924" s="988"/>
      <c r="F924" s="988"/>
      <c r="G924" s="988"/>
      <c r="I924" s="490"/>
    </row>
    <row r="925" spans="1:9" ht="12.75" customHeight="1">
      <c r="A925" s="989"/>
      <c r="B925" s="485" t="s">
        <v>2758</v>
      </c>
      <c r="C925" s="989"/>
      <c r="D925" s="1290" t="s">
        <v>1782</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2758</v>
      </c>
      <c r="C930" s="989"/>
      <c r="D930" s="1289" t="s">
        <v>2070</v>
      </c>
      <c r="E930" s="1289"/>
      <c r="F930" s="1289"/>
      <c r="G930" s="988"/>
      <c r="I930" s="490"/>
    </row>
    <row r="931" spans="1:9" ht="12.75" customHeight="1">
      <c r="A931" s="989"/>
      <c r="B931" s="989"/>
      <c r="C931" s="989"/>
      <c r="D931" s="118"/>
      <c r="E931" s="988"/>
      <c r="F931" s="988"/>
      <c r="G931" s="988"/>
      <c r="I931" s="490"/>
    </row>
    <row r="932" spans="1:9" ht="12.75" customHeight="1">
      <c r="A932" s="989"/>
      <c r="B932" s="485" t="s">
        <v>2758</v>
      </c>
      <c r="C932" s="989"/>
      <c r="D932" s="1289" t="s">
        <v>2071</v>
      </c>
      <c r="E932" s="1289"/>
      <c r="F932" s="1289"/>
      <c r="G932" s="988"/>
      <c r="I932" s="490"/>
    </row>
    <row r="933" spans="1:9" ht="12.75" customHeight="1">
      <c r="A933" s="174"/>
      <c r="B933" s="174"/>
      <c r="C933" s="174"/>
      <c r="D933" s="2"/>
      <c r="E933" s="3"/>
      <c r="F933" s="988"/>
      <c r="G933" s="988"/>
      <c r="I933" s="490"/>
    </row>
    <row r="934" spans="1:9" ht="12.75" customHeight="1">
      <c r="A934" s="997"/>
      <c r="B934" s="485" t="s">
        <v>2758</v>
      </c>
      <c r="C934" s="998"/>
      <c r="D934" s="1274" t="s">
        <v>1778</v>
      </c>
      <c r="E934" s="1274"/>
      <c r="F934" s="1274"/>
      <c r="G934" s="999"/>
      <c r="I934" s="490"/>
    </row>
    <row r="935" spans="1:9" ht="12.75" customHeight="1">
      <c r="A935" s="997"/>
      <c r="B935" s="997"/>
      <c r="C935" s="998"/>
      <c r="D935" s="1274"/>
      <c r="E935" s="1274"/>
      <c r="F935" s="1274"/>
      <c r="G935" s="999"/>
      <c r="I935" s="490"/>
    </row>
    <row r="936" spans="1:9" ht="12.75" customHeight="1">
      <c r="A936" s="997"/>
      <c r="B936" s="997"/>
      <c r="C936" s="998"/>
      <c r="D936" s="1274"/>
      <c r="E936" s="1274"/>
      <c r="F936" s="1274"/>
      <c r="G936" s="999"/>
      <c r="I936" s="490"/>
    </row>
    <row r="937" spans="1:9" ht="12.75" customHeight="1">
      <c r="A937" s="997"/>
      <c r="B937" s="997"/>
      <c r="C937" s="998"/>
      <c r="D937" s="1274"/>
      <c r="E937" s="1274"/>
      <c r="F937" s="1274"/>
      <c r="G937" s="999"/>
      <c r="I937" s="490"/>
    </row>
    <row r="938" spans="1:9" ht="12.75" customHeight="1">
      <c r="A938" s="997"/>
      <c r="B938" s="997"/>
      <c r="C938" s="998"/>
      <c r="D938" s="1274"/>
      <c r="E938" s="1274"/>
      <c r="F938" s="1274"/>
      <c r="G938" s="999"/>
      <c r="I938" s="490"/>
    </row>
    <row r="939" spans="1:9" ht="12.75" customHeight="1">
      <c r="A939" s="997"/>
      <c r="B939" s="997"/>
      <c r="C939" s="998"/>
      <c r="D939" s="1274"/>
      <c r="E939" s="1274"/>
      <c r="F939" s="1274"/>
      <c r="G939" s="999"/>
      <c r="I939" s="490"/>
    </row>
    <row r="940" spans="1:9" ht="12.75" customHeight="1">
      <c r="A940" s="997"/>
      <c r="B940" s="997"/>
      <c r="C940" s="998"/>
      <c r="D940" s="1274"/>
      <c r="E940" s="1274"/>
      <c r="F940" s="1274"/>
      <c r="G940" s="999"/>
      <c r="I940" s="490"/>
    </row>
    <row r="941" spans="1:9" ht="12.75" customHeight="1">
      <c r="A941" s="997"/>
      <c r="B941" s="997"/>
      <c r="C941" s="998"/>
      <c r="D941" s="1274"/>
      <c r="E941" s="1274"/>
      <c r="F941" s="1274"/>
      <c r="G941" s="999"/>
      <c r="I941" s="490"/>
    </row>
    <row r="942" spans="1:9" ht="12.75" customHeight="1">
      <c r="A942" s="997"/>
      <c r="B942" s="997"/>
      <c r="C942" s="998"/>
      <c r="D942" s="1274"/>
      <c r="E942" s="1274"/>
      <c r="F942" s="1274"/>
      <c r="G942" s="999"/>
      <c r="I942" s="490"/>
    </row>
    <row r="943" spans="1:9" ht="12.75" customHeight="1">
      <c r="A943" s="174"/>
      <c r="B943" s="174"/>
      <c r="C943" s="174"/>
      <c r="D943" s="2"/>
      <c r="E943" s="3"/>
      <c r="F943" s="988"/>
      <c r="G943" s="988"/>
      <c r="I943" s="490"/>
    </row>
    <row r="944" spans="1:9" ht="12.75" customHeight="1">
      <c r="A944" s="175"/>
      <c r="B944" s="485" t="s">
        <v>2757</v>
      </c>
      <c r="C944" s="174"/>
      <c r="D944" s="1298" t="s">
        <v>1887</v>
      </c>
      <c r="E944" s="1298"/>
      <c r="F944" s="1298"/>
      <c r="G944" s="988"/>
      <c r="I944" s="490"/>
    </row>
    <row r="945" spans="1:9" ht="12.75" customHeight="1">
      <c r="A945" s="175"/>
      <c r="B945" s="175"/>
      <c r="C945" s="174"/>
      <c r="D945" s="1298"/>
      <c r="E945" s="1298"/>
      <c r="F945" s="1298"/>
      <c r="G945" s="988"/>
      <c r="I945" s="490"/>
    </row>
    <row r="946" spans="1:9" ht="12.75" customHeight="1">
      <c r="A946" s="175"/>
      <c r="B946" s="175"/>
      <c r="C946" s="174"/>
      <c r="D946" s="1298"/>
      <c r="E946" s="1298"/>
      <c r="F946" s="1298"/>
      <c r="G946" s="988"/>
      <c r="I946" s="490"/>
    </row>
    <row r="947" spans="1:9" ht="12.75" customHeight="1">
      <c r="A947" s="175"/>
      <c r="B947" s="175"/>
      <c r="C947" s="174"/>
      <c r="D947" s="1298"/>
      <c r="E947" s="1298"/>
      <c r="F947" s="1298"/>
      <c r="G947" s="988"/>
      <c r="I947" s="490"/>
    </row>
    <row r="948" spans="1:9" ht="12.75" customHeight="1">
      <c r="A948" s="175"/>
      <c r="B948" s="175"/>
      <c r="C948" s="174"/>
      <c r="D948" s="1298"/>
      <c r="E948" s="1298"/>
      <c r="F948" s="1298"/>
      <c r="G948" s="988"/>
      <c r="I948" s="490"/>
    </row>
    <row r="949" spans="1:9" ht="12.75" customHeight="1">
      <c r="A949" s="175"/>
      <c r="B949" s="175"/>
      <c r="C949" s="174"/>
      <c r="D949" s="1298"/>
      <c r="E949" s="1298"/>
      <c r="F949" s="1298"/>
      <c r="G949" s="988"/>
      <c r="I949" s="490"/>
    </row>
    <row r="950" spans="1:9" ht="12.75" customHeight="1">
      <c r="A950" s="175"/>
      <c r="B950" s="175"/>
      <c r="C950" s="174"/>
      <c r="D950" s="1298"/>
      <c r="E950" s="1298"/>
      <c r="F950" s="1298"/>
      <c r="G950" s="988"/>
      <c r="I950" s="490"/>
    </row>
    <row r="951" spans="1:9" ht="12.75" customHeight="1">
      <c r="A951" s="175"/>
      <c r="B951" s="175"/>
      <c r="C951" s="174"/>
      <c r="D951" s="1026"/>
      <c r="E951" s="1026"/>
      <c r="F951" s="1026"/>
      <c r="G951" s="988"/>
      <c r="I951" s="490"/>
    </row>
    <row r="952" spans="1:9" ht="12.75" customHeight="1">
      <c r="A952" s="175"/>
      <c r="B952" s="485" t="s">
        <v>2758</v>
      </c>
      <c r="C952" s="174"/>
      <c r="D952" s="1273" t="s">
        <v>2138</v>
      </c>
      <c r="E952" s="1273"/>
      <c r="F952" s="1273"/>
      <c r="G952" s="988"/>
      <c r="I952" s="490"/>
    </row>
    <row r="953" spans="1:9" ht="12.75" customHeight="1">
      <c r="A953" s="175"/>
      <c r="B953" s="175"/>
      <c r="C953" s="174"/>
      <c r="D953" s="1273"/>
      <c r="E953" s="1273"/>
      <c r="F953" s="1273"/>
      <c r="G953" s="988"/>
      <c r="I953" s="490"/>
    </row>
    <row r="954" spans="1:9" ht="12.75" customHeight="1">
      <c r="A954" s="175"/>
      <c r="B954" s="175"/>
      <c r="C954" s="174"/>
      <c r="D954" s="1273"/>
      <c r="E954" s="1273"/>
      <c r="F954" s="1273"/>
      <c r="G954" s="988"/>
      <c r="I954" s="490"/>
    </row>
    <row r="955" spans="1:9" ht="12.75" customHeight="1">
      <c r="A955" s="175"/>
      <c r="B955" s="175"/>
      <c r="C955" s="174"/>
      <c r="D955" s="1273"/>
      <c r="E955" s="1273"/>
      <c r="F955" s="1273"/>
      <c r="G955" s="988"/>
      <c r="I955" s="490"/>
    </row>
    <row r="956" spans="1:9" ht="12.75" customHeight="1">
      <c r="A956" s="175"/>
      <c r="B956" s="175"/>
      <c r="C956" s="174"/>
      <c r="D956" s="1273"/>
      <c r="E956" s="1273"/>
      <c r="F956" s="1273"/>
      <c r="G956" s="988"/>
      <c r="I956" s="490"/>
    </row>
    <row r="957" spans="1:9" ht="12.75" customHeight="1">
      <c r="A957" s="175"/>
      <c r="B957" s="175"/>
      <c r="C957" s="174"/>
      <c r="D957" s="1273"/>
      <c r="E957" s="1273"/>
      <c r="F957" s="1273"/>
      <c r="G957" s="988"/>
      <c r="I957" s="490"/>
    </row>
    <row r="958" spans="1:9" ht="12.75" customHeight="1">
      <c r="A958" s="175"/>
      <c r="B958" s="175"/>
      <c r="C958" s="174"/>
      <c r="D958" s="1026"/>
      <c r="E958" s="1026"/>
      <c r="F958" s="1026"/>
      <c r="G958" s="988"/>
      <c r="I958" s="490"/>
    </row>
    <row r="959" spans="1:9" ht="12.75" customHeight="1">
      <c r="A959" s="989"/>
      <c r="B959" s="485" t="s">
        <v>2758</v>
      </c>
      <c r="C959" s="989"/>
      <c r="D959" s="1290" t="s">
        <v>1783</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2758</v>
      </c>
      <c r="C964" s="174"/>
      <c r="D964" s="1274" t="s">
        <v>1886</v>
      </c>
      <c r="E964" s="1274"/>
      <c r="F964" s="1274"/>
      <c r="G964" s="988"/>
      <c r="I964" s="490"/>
    </row>
    <row r="965" spans="1:9" ht="12.75" customHeight="1">
      <c r="A965" s="175"/>
      <c r="B965" s="175"/>
      <c r="C965" s="174"/>
      <c r="D965" s="1274"/>
      <c r="E965" s="1274"/>
      <c r="F965" s="1274"/>
      <c r="G965" s="988"/>
      <c r="I965" s="490"/>
    </row>
    <row r="966" spans="1:9" ht="12.75" customHeight="1">
      <c r="A966" s="175"/>
      <c r="B966" s="175"/>
      <c r="C966" s="174"/>
      <c r="D966" s="1274"/>
      <c r="E966" s="1274"/>
      <c r="F966" s="1274"/>
      <c r="G966" s="988"/>
      <c r="I966" s="490"/>
    </row>
    <row r="967" spans="1:9" ht="12.75" customHeight="1">
      <c r="A967" s="175"/>
      <c r="B967" s="175"/>
      <c r="C967" s="174"/>
      <c r="D967" s="1274"/>
      <c r="E967" s="1274"/>
      <c r="F967" s="1274"/>
      <c r="G967" s="988"/>
      <c r="I967" s="490"/>
    </row>
    <row r="968" spans="1:9" ht="12.75" customHeight="1">
      <c r="A968" s="989"/>
      <c r="B968" s="989"/>
      <c r="C968" s="989"/>
      <c r="D968" s="980"/>
      <c r="E968" s="980"/>
      <c r="F968" s="980"/>
      <c r="G968" s="980"/>
      <c r="I968" s="490"/>
    </row>
    <row r="969" spans="1:9" ht="12.75" customHeight="1">
      <c r="A969" s="354"/>
      <c r="B969" s="354"/>
      <c r="C969" s="354"/>
      <c r="D969" s="1296" t="s">
        <v>1784</v>
      </c>
      <c r="E969" s="1296"/>
      <c r="F969" s="1296"/>
      <c r="G969" s="3"/>
      <c r="I969" s="490"/>
    </row>
    <row r="970" spans="1:9" ht="12.75" customHeight="1">
      <c r="A970" s="175"/>
      <c r="B970" s="485" t="s">
        <v>2758</v>
      </c>
      <c r="C970" s="354"/>
      <c r="D970" s="1289" t="s">
        <v>1807</v>
      </c>
      <c r="E970" s="1289"/>
      <c r="F970" s="1289"/>
      <c r="G970" s="3"/>
      <c r="I970" s="490"/>
    </row>
    <row r="971" spans="1:9" ht="12.75" customHeight="1">
      <c r="A971" s="354"/>
      <c r="B971" s="354"/>
      <c r="C971" s="354"/>
      <c r="D971" s="3"/>
      <c r="E971" s="3"/>
      <c r="F971" s="3"/>
      <c r="G971" s="3"/>
      <c r="I971" s="490"/>
    </row>
    <row r="972" spans="1:9" ht="12.75" customHeight="1">
      <c r="A972" s="354"/>
      <c r="B972" s="354"/>
      <c r="C972" s="354"/>
      <c r="D972" s="1296" t="s">
        <v>1785</v>
      </c>
      <c r="E972" s="1296"/>
      <c r="F972" s="1296"/>
      <c r="G972"/>
      <c r="I972" s="490"/>
    </row>
    <row r="973" spans="1:9" ht="12.75" customHeight="1">
      <c r="A973" s="175"/>
      <c r="B973" s="485" t="s">
        <v>2758</v>
      </c>
      <c r="C973" s="354"/>
      <c r="D973" s="1263" t="s">
        <v>2072</v>
      </c>
      <c r="E973" s="1263"/>
      <c r="F973" s="1263"/>
      <c r="G973"/>
      <c r="I973" s="490"/>
    </row>
    <row r="974" spans="1:9" ht="12.75" customHeight="1">
      <c r="A974" s="175"/>
      <c r="B974" s="175"/>
      <c r="C974" s="354"/>
      <c r="D974" s="1263"/>
      <c r="E974" s="1263"/>
      <c r="F974" s="1263"/>
      <c r="G974"/>
      <c r="I974" s="490"/>
    </row>
    <row r="975" spans="1:9" ht="12.75" customHeight="1">
      <c r="A975" s="175"/>
      <c r="B975" s="175"/>
      <c r="C975" s="354"/>
      <c r="D975" s="1263"/>
      <c r="E975" s="1263"/>
      <c r="F975" s="1263"/>
      <c r="G975"/>
      <c r="I975" s="490"/>
    </row>
    <row r="976" spans="1:9" ht="12.75" customHeight="1">
      <c r="A976" s="175"/>
      <c r="B976" s="175"/>
      <c r="C976" s="354"/>
      <c r="D976" s="1263"/>
      <c r="E976" s="1263"/>
      <c r="F976" s="1263"/>
      <c r="G976"/>
      <c r="I976" s="490"/>
    </row>
    <row r="977" spans="1:9" ht="12.75" customHeight="1">
      <c r="A977" s="175"/>
      <c r="B977" s="175"/>
      <c r="C977" s="354"/>
      <c r="D977" s="1263"/>
      <c r="E977" s="1263"/>
      <c r="F977" s="1263"/>
      <c r="G977"/>
      <c r="I977" s="490"/>
    </row>
    <row r="978" spans="1:9" ht="12.75" customHeight="1">
      <c r="A978" s="175"/>
      <c r="B978" s="175"/>
      <c r="C978" s="354"/>
      <c r="D978" s="1263"/>
      <c r="E978" s="1263"/>
      <c r="F978" s="1263"/>
      <c r="G978"/>
      <c r="I978" s="490"/>
    </row>
    <row r="979" spans="1:9" ht="12.75" customHeight="1">
      <c r="A979" s="175"/>
      <c r="B979" s="175"/>
      <c r="C979" s="354"/>
      <c r="D979" s="1263"/>
      <c r="E979" s="1263"/>
      <c r="F979" s="1263"/>
      <c r="G979"/>
      <c r="I979" s="490"/>
    </row>
    <row r="980" spans="1:9" ht="12.75" customHeight="1">
      <c r="A980" s="175"/>
      <c r="B980" s="175"/>
      <c r="C980" s="354"/>
      <c r="D980" s="1263"/>
      <c r="E980" s="1263"/>
      <c r="F980" s="1263"/>
      <c r="G980"/>
      <c r="I980" s="490"/>
    </row>
    <row r="981" spans="1:9" ht="12.75" customHeight="1">
      <c r="A981" s="175"/>
      <c r="B981" s="175"/>
      <c r="C981" s="354"/>
      <c r="D981" s="1263"/>
      <c r="E981" s="1263"/>
      <c r="F981" s="1263"/>
      <c r="G981"/>
      <c r="I981" s="490"/>
    </row>
    <row r="982" spans="1:9" ht="12.75" customHeight="1">
      <c r="A982" s="175"/>
      <c r="B982" s="175"/>
      <c r="C982" s="354"/>
      <c r="D982" s="1263"/>
      <c r="E982" s="1263"/>
      <c r="F982" s="1263"/>
      <c r="G982"/>
      <c r="I982" s="490"/>
    </row>
    <row r="983" spans="1:9" ht="12.75" customHeight="1">
      <c r="A983" s="175"/>
      <c r="B983" s="175"/>
      <c r="C983" s="354"/>
      <c r="D983" s="1263"/>
      <c r="E983" s="1263"/>
      <c r="F983" s="1263"/>
      <c r="G983"/>
      <c r="I983" s="490"/>
    </row>
    <row r="984" spans="1:9" ht="12.75" customHeight="1">
      <c r="A984" s="175"/>
      <c r="B984" s="175"/>
      <c r="C984" s="354"/>
      <c r="D984" s="1263"/>
      <c r="E984" s="1263"/>
      <c r="F984" s="1263"/>
      <c r="G984"/>
      <c r="I984" s="490"/>
    </row>
    <row r="985" spans="1:9" ht="12.75" customHeight="1">
      <c r="A985" s="175"/>
      <c r="B985" s="175"/>
      <c r="C985" s="354"/>
      <c r="D985" s="1263"/>
      <c r="E985" s="1263"/>
      <c r="F985" s="1263"/>
      <c r="G985"/>
      <c r="I985" s="490"/>
    </row>
    <row r="986" spans="1:9" ht="12.75" customHeight="1">
      <c r="A986" s="175"/>
      <c r="B986" s="175"/>
      <c r="C986" s="354"/>
      <c r="D986" s="1263"/>
      <c r="E986" s="1263"/>
      <c r="F986" s="1263"/>
      <c r="G986"/>
      <c r="I986" s="490"/>
    </row>
    <row r="987" spans="1:9" ht="12.75" customHeight="1">
      <c r="A987" s="175"/>
      <c r="B987" s="175"/>
      <c r="C987" s="354"/>
      <c r="D987" s="1263"/>
      <c r="E987" s="1263"/>
      <c r="F987" s="1263"/>
      <c r="G987" s="3"/>
      <c r="I987" s="490"/>
    </row>
    <row r="988" spans="1:9" ht="12.75" customHeight="1">
      <c r="A988" s="354"/>
      <c r="B988" s="354"/>
      <c r="C988" s="354"/>
      <c r="D988" s="3"/>
      <c r="E988" s="3"/>
      <c r="F988" s="3"/>
      <c r="G988" s="3"/>
      <c r="I988" s="490"/>
    </row>
    <row r="989" spans="1:9" ht="12.75" customHeight="1">
      <c r="A989" s="1286" t="s">
        <v>1786</v>
      </c>
      <c r="B989" s="1286"/>
      <c r="C989" s="1286"/>
      <c r="D989" s="1286"/>
      <c r="E989" s="1286"/>
      <c r="F989" s="1286"/>
      <c r="G989" s="1286"/>
      <c r="H989" s="1028"/>
      <c r="I989" s="1153"/>
    </row>
    <row r="990" spans="1:9" ht="12.75" customHeight="1">
      <c r="A990" s="118"/>
      <c r="B990" s="118"/>
      <c r="C990" s="354"/>
      <c r="D990" s="3"/>
      <c r="E990" s="3"/>
      <c r="F990" s="3"/>
      <c r="G990" s="3"/>
      <c r="I990" s="490"/>
    </row>
    <row r="991" spans="1:9" ht="12.75" customHeight="1">
      <c r="A991" s="354"/>
      <c r="B991" s="354"/>
      <c r="C991" s="989"/>
      <c r="D991" s="1296" t="s">
        <v>1808</v>
      </c>
      <c r="E991" s="1296"/>
      <c r="F991" s="1296"/>
      <c r="G991" s="3"/>
      <c r="I991" s="490"/>
    </row>
    <row r="992" spans="1:9" ht="12.75" customHeight="1">
      <c r="A992" s="172"/>
      <c r="B992" s="172"/>
      <c r="C992" s="172"/>
      <c r="D992" s="1289" t="s">
        <v>1787</v>
      </c>
      <c r="E992" s="1289"/>
      <c r="F992" s="1289"/>
      <c r="G992" s="3"/>
      <c r="I992" s="490"/>
    </row>
    <row r="993" spans="1:9" ht="12.75" customHeight="1">
      <c r="A993" s="172"/>
      <c r="B993" s="172"/>
      <c r="C993" s="172"/>
      <c r="D993" s="3"/>
      <c r="E993" s="3"/>
      <c r="F993" s="988"/>
      <c r="G993"/>
      <c r="I993" s="490"/>
    </row>
    <row r="994" spans="1:9" ht="12.75" customHeight="1">
      <c r="A994" s="354"/>
      <c r="B994" s="485" t="s">
        <v>2757</v>
      </c>
      <c r="C994" s="354"/>
      <c r="D994" s="1297" t="s">
        <v>1916</v>
      </c>
      <c r="E994" s="1297"/>
      <c r="F994" s="1297"/>
      <c r="G994"/>
      <c r="I994" s="490"/>
    </row>
    <row r="995" spans="1:9" ht="12.75" customHeight="1">
      <c r="A995" s="354"/>
      <c r="B995" s="354"/>
      <c r="C995" s="354"/>
      <c r="D995" s="1297"/>
      <c r="E995" s="1297"/>
      <c r="F995" s="1297"/>
      <c r="G995"/>
      <c r="I995" s="490"/>
    </row>
    <row r="996" spans="1:9" ht="12.75" customHeight="1">
      <c r="A996" s="354"/>
      <c r="B996" s="354"/>
      <c r="C996" s="354"/>
      <c r="D996" s="1038"/>
      <c r="E996" s="1036" t="s">
        <v>1917</v>
      </c>
      <c r="F996" s="1038"/>
      <c r="G996"/>
      <c r="I996" s="490"/>
    </row>
    <row r="997" spans="1:9" ht="12.75" customHeight="1">
      <c r="A997" s="354"/>
      <c r="B997" s="354"/>
      <c r="C997" s="354"/>
      <c r="D997" s="1268" t="s">
        <v>1915</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2758</v>
      </c>
      <c r="C1002" s="174"/>
      <c r="D1002" s="1263" t="s">
        <v>1788</v>
      </c>
      <c r="E1002" s="1263"/>
      <c r="F1002" s="1263"/>
      <c r="G1002"/>
      <c r="I1002" s="490"/>
    </row>
    <row r="1003" spans="1:9" ht="12.75" customHeight="1">
      <c r="A1003" s="174"/>
      <c r="B1003" s="174"/>
      <c r="C1003" s="174"/>
      <c r="D1003" s="1263"/>
      <c r="E1003" s="1263"/>
      <c r="F1003" s="1263"/>
      <c r="G1003"/>
      <c r="I1003" s="490"/>
    </row>
    <row r="1004" spans="1:9" ht="12.75" customHeight="1">
      <c r="A1004" s="174"/>
      <c r="B1004" s="174"/>
      <c r="C1004" s="174"/>
      <c r="D1004" s="1263"/>
      <c r="E1004" s="1263"/>
      <c r="F1004" s="1263"/>
      <c r="G1004"/>
      <c r="I1004" s="490"/>
    </row>
    <row r="1005" spans="1:9" ht="12.75" customHeight="1">
      <c r="A1005" s="174"/>
      <c r="B1005" s="174"/>
      <c r="C1005" s="174"/>
      <c r="D1005" s="1263"/>
      <c r="E1005" s="1263"/>
      <c r="F1005" s="1263"/>
      <c r="G1005"/>
      <c r="I1005" s="490"/>
    </row>
    <row r="1006" spans="1:9" ht="12.75" customHeight="1">
      <c r="A1006" s="174"/>
      <c r="B1006" s="174"/>
      <c r="C1006" s="174"/>
      <c r="D1006" s="441"/>
      <c r="E1006" s="441"/>
      <c r="F1006" s="441"/>
      <c r="G1006"/>
      <c r="I1006" s="490"/>
    </row>
    <row r="1007" spans="1:9" ht="12.75" customHeight="1">
      <c r="A1007" s="174"/>
      <c r="B1007" s="485" t="s">
        <v>2758</v>
      </c>
      <c r="C1007" s="174"/>
      <c r="D1007" s="1263" t="s">
        <v>2231</v>
      </c>
      <c r="E1007" s="1263"/>
      <c r="F1007" s="1263"/>
      <c r="G1007"/>
      <c r="I1007" s="490"/>
    </row>
    <row r="1008" spans="1:9" ht="12.75" customHeight="1">
      <c r="A1008" s="174"/>
      <c r="B1008" s="174"/>
      <c r="C1008" s="174"/>
      <c r="D1008" s="1263"/>
      <c r="E1008" s="1263"/>
      <c r="F1008" s="1263"/>
      <c r="G1008"/>
      <c r="I1008" s="490"/>
    </row>
    <row r="1009" spans="1:9" ht="12.75" customHeight="1">
      <c r="A1009" s="174"/>
      <c r="B1009" s="174"/>
      <c r="C1009" s="174"/>
      <c r="D1009" s="441"/>
      <c r="E1009" s="441"/>
      <c r="F1009" s="441"/>
      <c r="G1009"/>
      <c r="I1009" s="490"/>
    </row>
    <row r="1010" spans="1:9" ht="12.75" customHeight="1">
      <c r="A1010" s="175"/>
      <c r="B1010" s="485" t="s">
        <v>2757</v>
      </c>
      <c r="C1010" s="354"/>
      <c r="D1010" s="1289" t="s">
        <v>1789</v>
      </c>
      <c r="E1010" s="1289"/>
      <c r="F1010" s="1289"/>
      <c r="G1010"/>
      <c r="I1010" s="490"/>
    </row>
    <row r="1011" spans="1:9" ht="12.75" customHeight="1">
      <c r="A1011" s="354"/>
      <c r="B1011" s="354"/>
      <c r="C1011" s="354"/>
      <c r="D1011" s="3"/>
      <c r="E1011" s="3"/>
      <c r="F1011" s="3"/>
      <c r="G1011"/>
      <c r="I1011" s="490"/>
    </row>
    <row r="1012" spans="1:9" ht="12.75" customHeight="1">
      <c r="A1012" s="175"/>
      <c r="B1012" s="485" t="s">
        <v>2758</v>
      </c>
      <c r="C1012" s="354"/>
      <c r="D1012" s="1289" t="s">
        <v>1790</v>
      </c>
      <c r="E1012" s="1289"/>
      <c r="F1012" s="1289"/>
      <c r="G1012"/>
      <c r="I1012" s="490"/>
    </row>
    <row r="1013" spans="1:9" ht="12.75" customHeight="1">
      <c r="A1013" s="354"/>
      <c r="B1013" s="354"/>
      <c r="C1013" s="354"/>
      <c r="D1013" s="118"/>
      <c r="E1013" s="3"/>
      <c r="F1013" s="3"/>
      <c r="G1013"/>
      <c r="I1013" s="490"/>
    </row>
    <row r="1014" spans="1:9" ht="12.75" customHeight="1">
      <c r="A1014" s="175"/>
      <c r="B1014" s="485" t="s">
        <v>2758</v>
      </c>
      <c r="C1014" s="354"/>
      <c r="D1014" s="1289" t="s">
        <v>1791</v>
      </c>
      <c r="E1014" s="1289"/>
      <c r="F1014" s="1289"/>
      <c r="G1014"/>
      <c r="I1014" s="490"/>
    </row>
    <row r="1015" spans="1:9" ht="12.75" customHeight="1">
      <c r="A1015" s="354"/>
      <c r="B1015" s="354"/>
      <c r="C1015" s="354"/>
      <c r="D1015" s="118"/>
      <c r="E1015" s="3"/>
      <c r="F1015" s="3"/>
      <c r="G1015"/>
      <c r="I1015" s="490"/>
    </row>
    <row r="1016" spans="1:9" ht="12.75" customHeight="1">
      <c r="A1016" s="175"/>
      <c r="B1016" s="485" t="s">
        <v>2758</v>
      </c>
      <c r="C1016" s="354"/>
      <c r="D1016" s="1263" t="s">
        <v>1792</v>
      </c>
      <c r="E1016" s="1263"/>
      <c r="F1016" s="1263"/>
      <c r="G1016"/>
      <c r="I1016" s="490"/>
    </row>
    <row r="1017" spans="1:9" ht="12.75" customHeight="1">
      <c r="A1017" s="175"/>
      <c r="B1017" s="175"/>
      <c r="C1017" s="354"/>
      <c r="D1017" s="1263"/>
      <c r="E1017" s="1263"/>
      <c r="F1017" s="1263"/>
      <c r="G1017"/>
      <c r="I1017" s="490"/>
    </row>
    <row r="1018" spans="1:9" ht="12.75" customHeight="1">
      <c r="A1018" s="175"/>
      <c r="B1018" s="175"/>
      <c r="C1018" s="354"/>
      <c r="D1018" s="118"/>
      <c r="E1018" s="3"/>
      <c r="F1018" s="3"/>
      <c r="G1018" s="3"/>
      <c r="I1018" s="490"/>
    </row>
    <row r="1019" spans="1:9" ht="12.75" customHeight="1">
      <c r="A1019" s="254"/>
      <c r="B1019" s="485" t="s">
        <v>2758</v>
      </c>
      <c r="C1019" s="1000"/>
      <c r="D1019" s="1295" t="s">
        <v>1793</v>
      </c>
      <c r="E1019" s="1295"/>
      <c r="F1019" s="1295"/>
      <c r="G1019" s="1001"/>
      <c r="I1019" s="490"/>
    </row>
    <row r="1020" spans="1:9" ht="12.75" customHeight="1">
      <c r="A1020" s="1000"/>
      <c r="B1020" s="1000"/>
      <c r="C1020" s="1000"/>
      <c r="D1020" s="1295"/>
      <c r="E1020" s="1295"/>
      <c r="F1020" s="1295"/>
      <c r="G1020" s="1001"/>
      <c r="I1020" s="490"/>
    </row>
    <row r="1021" spans="1:9" ht="12.75" customHeight="1">
      <c r="A1021" s="1000"/>
      <c r="B1021" s="1000"/>
      <c r="C1021" s="1000"/>
      <c r="D1021" s="984"/>
      <c r="E1021" s="1001"/>
      <c r="F1021" s="1001"/>
      <c r="G1021" s="1001"/>
      <c r="I1021" s="490"/>
    </row>
    <row r="1022" spans="1:9" ht="12.75" customHeight="1">
      <c r="A1022" s="254"/>
      <c r="B1022" s="485" t="s">
        <v>2758</v>
      </c>
      <c r="C1022" s="1000"/>
      <c r="D1022" s="1285" t="s">
        <v>1794</v>
      </c>
      <c r="E1022" s="1285"/>
      <c r="F1022" s="1285"/>
      <c r="G1022" s="1001"/>
      <c r="I1022" s="490"/>
    </row>
    <row r="1023" spans="1:9" ht="12.75" customHeight="1">
      <c r="A1023" s="1000"/>
      <c r="B1023" s="1000"/>
      <c r="C1023" s="1000"/>
      <c r="D1023" s="984"/>
      <c r="E1023" s="1001"/>
      <c r="F1023" s="1001"/>
      <c r="G1023" s="1001"/>
      <c r="I1023" s="490"/>
    </row>
    <row r="1024" spans="1:9" ht="12.75" customHeight="1">
      <c r="A1024" s="175"/>
      <c r="B1024" s="485" t="s">
        <v>2757</v>
      </c>
      <c r="C1024" s="354"/>
      <c r="D1024" s="1289" t="s">
        <v>1795</v>
      </c>
      <c r="E1024" s="1289"/>
      <c r="F1024" s="1289"/>
      <c r="G1024" s="3"/>
      <c r="I1024" s="490"/>
    </row>
    <row r="1025" spans="1:9" ht="12.75" customHeight="1">
      <c r="A1025" s="175"/>
      <c r="B1025" s="175"/>
      <c r="C1025" s="354"/>
      <c r="D1025" s="118"/>
      <c r="E1025" s="3"/>
      <c r="F1025" s="3"/>
      <c r="G1025" s="3"/>
      <c r="I1025" s="490"/>
    </row>
    <row r="1026" spans="1:9" ht="12.75" customHeight="1">
      <c r="A1026" s="175"/>
      <c r="B1026" s="485" t="s">
        <v>2758</v>
      </c>
      <c r="C1026" s="354"/>
      <c r="D1026" s="1263" t="s">
        <v>1796</v>
      </c>
      <c r="E1026" s="1263"/>
      <c r="F1026" s="1263"/>
      <c r="G1026" s="3"/>
      <c r="I1026" s="490"/>
    </row>
    <row r="1027" spans="1:9" ht="12.75" customHeight="1">
      <c r="A1027" s="175"/>
      <c r="B1027" s="175"/>
      <c r="C1027" s="354"/>
      <c r="D1027" s="1263"/>
      <c r="E1027" s="1263"/>
      <c r="F1027" s="1263"/>
      <c r="G1027" s="3"/>
      <c r="I1027" s="490"/>
    </row>
    <row r="1028" spans="1:9" ht="12.75" customHeight="1">
      <c r="A1028" s="354"/>
      <c r="B1028" s="354"/>
      <c r="C1028" s="354"/>
      <c r="D1028" s="3"/>
      <c r="E1028" s="3"/>
      <c r="F1028" s="3"/>
      <c r="G1028" s="3"/>
      <c r="I1028" s="490"/>
    </row>
    <row r="1029" spans="1:9" ht="12.75" customHeight="1">
      <c r="A1029" s="1286" t="s">
        <v>1797</v>
      </c>
      <c r="B1029" s="1286"/>
      <c r="C1029" s="1286"/>
      <c r="D1029" s="1286"/>
      <c r="E1029" s="1286"/>
      <c r="F1029" s="1286"/>
      <c r="G1029" s="1286"/>
      <c r="H1029" s="1028"/>
      <c r="I1029" s="1153"/>
    </row>
    <row r="1030" spans="1:9" ht="12.75" customHeight="1">
      <c r="A1030" s="354"/>
      <c r="B1030" s="354"/>
      <c r="C1030" s="354"/>
      <c r="D1030" s="3"/>
      <c r="E1030" s="3"/>
      <c r="F1030" s="3"/>
      <c r="G1030" s="3"/>
      <c r="I1030" s="490"/>
    </row>
    <row r="1031" spans="1:9" ht="12.75" customHeight="1">
      <c r="A1031" s="354"/>
      <c r="B1031" s="354"/>
      <c r="C1031" s="354"/>
      <c r="D1031" s="1284" t="s">
        <v>1798</v>
      </c>
      <c r="E1031" s="1284"/>
      <c r="F1031" s="1284"/>
      <c r="G1031" s="3"/>
      <c r="I1031" s="490"/>
    </row>
    <row r="1032" spans="1:9" ht="12.75" customHeight="1">
      <c r="A1032" s="354"/>
      <c r="B1032" s="354"/>
      <c r="C1032" s="354"/>
      <c r="D1032" s="1285" t="s">
        <v>1799</v>
      </c>
      <c r="E1032" s="1285"/>
      <c r="F1032" s="1285"/>
      <c r="G1032" s="3"/>
      <c r="I1032" s="490"/>
    </row>
    <row r="1033" spans="1:9" ht="12.75" customHeight="1">
      <c r="A1033" s="172"/>
      <c r="B1033" s="172"/>
      <c r="C1033" s="172"/>
      <c r="D1033" s="3"/>
      <c r="E1033" s="3"/>
      <c r="F1033" s="3"/>
      <c r="G1033" s="3"/>
      <c r="I1033" s="490"/>
    </row>
    <row r="1034" spans="1:9" ht="12.75" customHeight="1">
      <c r="A1034" s="175"/>
      <c r="B1034" s="175"/>
      <c r="C1034" s="174"/>
      <c r="D1034" s="1284" t="s">
        <v>1813</v>
      </c>
      <c r="E1034" s="1284"/>
      <c r="F1034" s="1284"/>
      <c r="G1034" s="3"/>
      <c r="I1034" s="490"/>
    </row>
    <row r="1035" spans="1:9" ht="12.75" customHeight="1">
      <c r="A1035" s="354"/>
      <c r="B1035" s="485" t="s">
        <v>2757</v>
      </c>
      <c r="C1035" s="354"/>
      <c r="D1035" s="1285" t="s">
        <v>1271</v>
      </c>
      <c r="E1035" s="1285"/>
      <c r="F1035" s="1285"/>
      <c r="G1035" s="3"/>
      <c r="I1035" s="490"/>
    </row>
    <row r="1036" spans="1:9" ht="12.75" customHeight="1">
      <c r="A1036" s="354"/>
      <c r="B1036" s="175"/>
      <c r="C1036" s="354"/>
      <c r="D1036" s="1285" t="s">
        <v>1800</v>
      </c>
      <c r="E1036" s="1285"/>
      <c r="F1036" s="1285"/>
      <c r="G1036" s="3"/>
      <c r="I1036" s="490"/>
    </row>
    <row r="1037" spans="1:9" ht="12.75" customHeight="1">
      <c r="A1037" s="354"/>
      <c r="B1037" s="354"/>
      <c r="C1037" s="354"/>
      <c r="D1037" s="1285"/>
      <c r="E1037" s="1285"/>
      <c r="F1037" s="1285"/>
      <c r="G1037" s="3"/>
      <c r="I1037" s="490"/>
    </row>
    <row r="1038" spans="1:9" ht="12.75" customHeight="1">
      <c r="A1038" s="1286" t="s">
        <v>1809</v>
      </c>
      <c r="B1038" s="1286"/>
      <c r="C1038" s="1286"/>
      <c r="D1038" s="1286"/>
      <c r="E1038" s="1286"/>
      <c r="F1038" s="1286"/>
      <c r="G1038" s="1286"/>
      <c r="H1038" s="1028"/>
      <c r="I1038" s="1153"/>
    </row>
    <row r="1039" spans="1:9" ht="12.75" customHeight="1">
      <c r="A1039" s="118"/>
      <c r="B1039" s="118"/>
      <c r="C1039" s="354"/>
      <c r="D1039" s="3"/>
      <c r="E1039" s="3"/>
      <c r="F1039" s="3"/>
      <c r="G1039" s="3"/>
      <c r="I1039" s="490"/>
    </row>
    <row r="1040" spans="1:9" ht="12.75" hidden="1" customHeight="1">
      <c r="A1040" s="118"/>
      <c r="B1040" s="402"/>
      <c r="D1040" s="1283" t="s">
        <v>1272</v>
      </c>
      <c r="E1040" s="1283"/>
      <c r="F1040" s="1283"/>
      <c r="G1040" s="3"/>
      <c r="I1040" s="490"/>
    </row>
    <row r="1041" spans="1:9" ht="12.75" hidden="1" customHeight="1">
      <c r="A1041" s="118"/>
      <c r="B1041" s="485" t="s">
        <v>306</v>
      </c>
      <c r="D1041" s="1282" t="s">
        <v>1271</v>
      </c>
      <c r="E1041" s="1282"/>
      <c r="F1041" s="1282"/>
      <c r="G1041" s="3"/>
      <c r="I1041" s="490"/>
    </row>
    <row r="1042" spans="1:9" ht="12.75" hidden="1" customHeight="1">
      <c r="A1042" s="118"/>
      <c r="B1042" s="402"/>
      <c r="D1042" s="1282" t="s">
        <v>1810</v>
      </c>
      <c r="E1042" s="1282"/>
      <c r="F1042" s="1282"/>
      <c r="G1042" s="3"/>
      <c r="I1042" s="490"/>
    </row>
    <row r="1043" spans="1:9" ht="12.75" hidden="1" customHeight="1">
      <c r="A1043" s="118"/>
      <c r="B1043" s="402"/>
      <c r="D1043" s="444"/>
      <c r="E1043" s="444"/>
      <c r="F1043" s="444"/>
      <c r="G1043" s="3"/>
      <c r="I1043" s="490"/>
    </row>
    <row r="1044" spans="1:9" ht="12.75" customHeight="1">
      <c r="A1044" s="118"/>
      <c r="B1044" s="118"/>
      <c r="C1044" s="354"/>
      <c r="D1044" s="1287" t="s">
        <v>1066</v>
      </c>
      <c r="E1044" s="1287"/>
      <c r="F1044" s="1287"/>
      <c r="G1044" s="3"/>
      <c r="I1044" s="490"/>
    </row>
    <row r="1045" spans="1:9" ht="12.75" customHeight="1">
      <c r="A1045" s="319"/>
      <c r="B1045" s="319"/>
      <c r="C1045" s="319"/>
      <c r="D1045" s="1288" t="s">
        <v>2249</v>
      </c>
      <c r="E1045" s="1288"/>
      <c r="F1045" s="1288"/>
      <c r="G1045" s="98"/>
      <c r="I1045" s="490"/>
    </row>
    <row r="1046" spans="1:9" ht="12.75" customHeight="1">
      <c r="A1046" s="175"/>
      <c r="B1046" s="485" t="s">
        <v>2758</v>
      </c>
      <c r="C1046" s="354"/>
      <c r="D1046" s="1288" t="s">
        <v>985</v>
      </c>
      <c r="E1046" s="1288"/>
      <c r="F1046" s="1288"/>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6" t="s">
        <v>1830</v>
      </c>
      <c r="B1049" s="1286"/>
      <c r="C1049" s="1286"/>
      <c r="D1049" s="1286"/>
      <c r="E1049" s="1286"/>
      <c r="F1049" s="1286"/>
      <c r="G1049" s="1286"/>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2758</v>
      </c>
      <c r="C1054" s="402"/>
      <c r="D1054" s="1292" t="s">
        <v>1814</v>
      </c>
      <c r="E1054" s="1292"/>
      <c r="F1054" s="1292"/>
      <c r="I1054" s="490"/>
    </row>
    <row r="1055" spans="1:9">
      <c r="A1055" s="402"/>
      <c r="B1055" s="402"/>
      <c r="C1055" s="402"/>
      <c r="D1055" s="1292"/>
      <c r="E1055" s="1292"/>
      <c r="F1055" s="1292"/>
      <c r="I1055" s="490"/>
    </row>
    <row r="1056" spans="1:9">
      <c r="A1056" s="402"/>
      <c r="B1056" s="402"/>
      <c r="C1056" s="402"/>
      <c r="D1056" s="1292"/>
      <c r="E1056" s="1292"/>
      <c r="F1056" s="1292"/>
      <c r="I1056" s="490"/>
    </row>
    <row r="1057" spans="1:9">
      <c r="A1057" s="402"/>
      <c r="B1057" s="402"/>
      <c r="C1057" s="402"/>
      <c r="D1057" s="1292"/>
      <c r="E1057" s="1292"/>
      <c r="F1057" s="1292"/>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2757</v>
      </c>
      <c r="C1062" s="402"/>
      <c r="D1062" s="402" t="s">
        <v>1812</v>
      </c>
      <c r="I1062" s="490"/>
    </row>
    <row r="1063" spans="1:9">
      <c r="A1063" s="402"/>
      <c r="B1063" s="402"/>
      <c r="C1063" s="402"/>
      <c r="I1063" s="490"/>
    </row>
    <row r="1064" spans="1:9">
      <c r="A1064" s="402"/>
      <c r="B1064" s="485" t="s">
        <v>2757</v>
      </c>
      <c r="C1064" s="402"/>
      <c r="D1064" s="1292" t="s">
        <v>1818</v>
      </c>
      <c r="E1064" s="1292"/>
      <c r="F1064" s="1292"/>
      <c r="I1064" s="490"/>
    </row>
    <row r="1065" spans="1:9">
      <c r="A1065" s="402"/>
      <c r="B1065" s="402"/>
      <c r="C1065" s="402"/>
      <c r="D1065" s="1292"/>
      <c r="E1065" s="1292"/>
      <c r="F1065" s="1292"/>
      <c r="I1065" s="490"/>
    </row>
    <row r="1066" spans="1:9">
      <c r="A1066" s="402"/>
      <c r="B1066" s="402"/>
      <c r="C1066" s="402"/>
      <c r="D1066" s="1292"/>
      <c r="E1066" s="1292"/>
      <c r="F1066" s="1292"/>
      <c r="I1066" s="490"/>
    </row>
    <row r="1067" spans="1:9">
      <c r="A1067" s="402"/>
      <c r="B1067" s="402"/>
      <c r="C1067" s="402"/>
      <c r="D1067" s="1292"/>
      <c r="E1067" s="1292"/>
      <c r="F1067" s="1292"/>
      <c r="I1067" s="490"/>
    </row>
    <row r="1068" spans="1:9">
      <c r="A1068" s="402"/>
      <c r="B1068" s="402"/>
      <c r="C1068" s="402"/>
      <c r="D1068" s="1292"/>
      <c r="E1068" s="1292"/>
      <c r="F1068" s="1292"/>
      <c r="I1068" s="490"/>
    </row>
    <row r="1069" spans="1:9">
      <c r="A1069" s="402"/>
      <c r="B1069" s="402"/>
      <c r="C1069" s="402"/>
      <c r="I1069" s="490"/>
    </row>
    <row r="1070" spans="1:9">
      <c r="A1070" s="1286" t="s">
        <v>1819</v>
      </c>
      <c r="B1070" s="1286"/>
      <c r="C1070" s="1286"/>
      <c r="D1070" s="1286"/>
      <c r="E1070" s="1286"/>
      <c r="F1070" s="1286"/>
      <c r="G1070" s="1286"/>
      <c r="H1070" s="1028"/>
      <c r="I1070" s="1153"/>
    </row>
    <row r="1071" spans="1:9">
      <c r="A1071" s="402"/>
      <c r="B1071" s="402"/>
      <c r="C1071" s="402"/>
      <c r="I1071" s="490"/>
    </row>
    <row r="1072" spans="1:9">
      <c r="A1072" s="402"/>
      <c r="B1072" s="402"/>
      <c r="C1072" s="402"/>
      <c r="I1072" s="490"/>
    </row>
    <row r="1073" spans="1:9">
      <c r="A1073" s="402"/>
      <c r="B1073" s="485" t="s">
        <v>2757</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2758</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2758</v>
      </c>
      <c r="C1079" s="402"/>
      <c r="D1079" s="119" t="s">
        <v>1828</v>
      </c>
      <c r="I1079" s="490"/>
    </row>
    <row r="1080" spans="1:9">
      <c r="A1080" s="402"/>
      <c r="B1080" s="402"/>
      <c r="C1080" s="402"/>
      <c r="D1080" s="1263" t="s">
        <v>1829</v>
      </c>
      <c r="E1080" s="1263"/>
      <c r="F1080" s="1263"/>
      <c r="I1080" s="490"/>
    </row>
    <row r="1081" spans="1:9">
      <c r="A1081" s="402"/>
      <c r="B1081" s="402"/>
      <c r="C1081" s="402"/>
      <c r="D1081" s="1263"/>
      <c r="E1081" s="1263"/>
      <c r="F1081" s="1263"/>
      <c r="I1081" s="490"/>
    </row>
    <row r="1082" spans="1:9">
      <c r="A1082" s="402"/>
      <c r="B1082" s="402"/>
      <c r="C1082" s="402"/>
      <c r="D1082" s="1263"/>
      <c r="E1082" s="1263"/>
      <c r="F1082" s="1263"/>
      <c r="I1082" s="490"/>
    </row>
    <row r="1083" spans="1:9">
      <c r="A1083" s="402"/>
      <c r="B1083" s="402"/>
      <c r="C1083" s="402"/>
      <c r="D1083" s="1263"/>
      <c r="E1083" s="1263"/>
      <c r="F1083" s="1263"/>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2758</v>
      </c>
      <c r="C1087" s="402"/>
      <c r="D1087" s="1291" t="s">
        <v>1821</v>
      </c>
      <c r="E1087" s="1291"/>
      <c r="F1087" s="1291"/>
      <c r="I1087" s="490"/>
    </row>
    <row r="1088" spans="1:9">
      <c r="A1088" s="402"/>
      <c r="B1088" s="402"/>
      <c r="C1088" s="402"/>
      <c r="D1088" s="1291"/>
      <c r="E1088" s="1291"/>
      <c r="F1088" s="1291"/>
      <c r="I1088" s="490"/>
    </row>
    <row r="1089" spans="1:9">
      <c r="A1089" s="402"/>
      <c r="B1089" s="402"/>
      <c r="C1089" s="402"/>
      <c r="D1089" s="1291"/>
      <c r="E1089" s="1291"/>
      <c r="F1089" s="1291"/>
      <c r="I1089" s="490"/>
    </row>
    <row r="1090" spans="1:9">
      <c r="A1090" s="402"/>
      <c r="B1090" s="402"/>
      <c r="C1090" s="402"/>
      <c r="D1090" s="1291"/>
      <c r="E1090" s="1291"/>
      <c r="F1090" s="1291"/>
      <c r="I1090" s="490"/>
    </row>
    <row r="1091" spans="1:9">
      <c r="A1091" s="402"/>
      <c r="B1091" s="402"/>
      <c r="C1091" s="402"/>
      <c r="D1091" s="1291"/>
      <c r="E1091" s="1291"/>
      <c r="F1091" s="1291"/>
      <c r="I1091" s="490"/>
    </row>
    <row r="1092" spans="1:9">
      <c r="A1092" s="402"/>
      <c r="B1092" s="402"/>
      <c r="C1092" s="402"/>
      <c r="D1092" s="527" t="s">
        <v>1826</v>
      </c>
      <c r="I1092" s="490"/>
    </row>
    <row r="1093" spans="1:9">
      <c r="A1093" s="402"/>
      <c r="B1093" s="402"/>
      <c r="C1093" s="402"/>
      <c r="I1093" s="490"/>
    </row>
    <row r="1094" spans="1:9">
      <c r="A1094" s="402"/>
      <c r="B1094" s="485" t="s">
        <v>2758</v>
      </c>
      <c r="C1094" s="402"/>
      <c r="D1094" s="1277" t="s">
        <v>2282</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286" t="s">
        <v>1831</v>
      </c>
      <c r="B1098" s="1286"/>
      <c r="C1098" s="1286"/>
      <c r="D1098" s="1286"/>
      <c r="E1098" s="1286"/>
      <c r="F1098" s="1286"/>
      <c r="G1098" s="1286"/>
      <c r="H1098" s="1028"/>
      <c r="I1098" s="1153"/>
    </row>
    <row r="1099" spans="1:9">
      <c r="A1099" s="402"/>
      <c r="B1099" s="402"/>
      <c r="C1099" s="402"/>
      <c r="I1099" s="490"/>
    </row>
    <row r="1100" spans="1:9">
      <c r="A1100" s="402"/>
      <c r="B1100" s="402"/>
      <c r="C1100" s="402"/>
      <c r="I1100" s="490"/>
    </row>
    <row r="1101" spans="1:9" ht="12.75" customHeight="1">
      <c r="A1101" s="402"/>
      <c r="B1101" s="485" t="s">
        <v>2758</v>
      </c>
      <c r="C1101" s="402"/>
      <c r="D1101" s="1293" t="s">
        <v>1930</v>
      </c>
      <c r="E1101" s="1293"/>
      <c r="F1101" s="1293"/>
      <c r="I1101" s="490"/>
    </row>
    <row r="1102" spans="1:9">
      <c r="A1102" s="402"/>
      <c r="B1102" s="402"/>
      <c r="C1102" s="402"/>
      <c r="D1102" s="1293"/>
      <c r="E1102" s="1293"/>
      <c r="F1102" s="1293"/>
      <c r="I1102" s="490"/>
    </row>
    <row r="1103" spans="1:9">
      <c r="A1103" s="402"/>
      <c r="B1103" s="402"/>
      <c r="C1103" s="402"/>
      <c r="D1103" s="1294" t="s">
        <v>2144</v>
      </c>
      <c r="E1103" s="1263"/>
      <c r="F1103" s="1263"/>
      <c r="I1103" s="490"/>
    </row>
    <row r="1104" spans="1:9">
      <c r="A1104" s="402"/>
      <c r="B1104" s="402"/>
      <c r="C1104" s="402"/>
      <c r="D1104" s="527"/>
      <c r="I1104" s="490"/>
    </row>
    <row r="1105" spans="1:9">
      <c r="A1105" s="402"/>
      <c r="B1105" s="485" t="s">
        <v>2758</v>
      </c>
      <c r="C1105" s="402"/>
      <c r="D1105" s="1291" t="s">
        <v>1832</v>
      </c>
      <c r="E1105" s="1291"/>
      <c r="F1105" s="1291"/>
      <c r="I1105" s="490"/>
    </row>
    <row r="1106" spans="1:9">
      <c r="A1106" s="402"/>
      <c r="B1106" s="402"/>
      <c r="C1106" s="402"/>
      <c r="D1106" s="1291"/>
      <c r="E1106" s="1291"/>
      <c r="F1106" s="1291"/>
      <c r="I1106" s="490"/>
    </row>
    <row r="1107" spans="1:9">
      <c r="A1107" s="402"/>
      <c r="B1107" s="402"/>
      <c r="C1107" s="402"/>
      <c r="D1107" s="527"/>
      <c r="I1107" s="490"/>
    </row>
    <row r="1108" spans="1:9">
      <c r="A1108" s="402"/>
      <c r="B1108" s="485" t="s">
        <v>2758</v>
      </c>
      <c r="C1108" s="402"/>
      <c r="D1108" s="1291" t="s">
        <v>1888</v>
      </c>
      <c r="E1108" s="1291"/>
      <c r="F1108" s="1291"/>
      <c r="I1108" s="490"/>
    </row>
    <row r="1109" spans="1:9">
      <c r="A1109" s="402"/>
      <c r="B1109" s="402"/>
      <c r="C1109" s="402"/>
      <c r="D1109" s="1291"/>
      <c r="E1109" s="1291"/>
      <c r="F1109" s="1291"/>
      <c r="I1109" s="490"/>
    </row>
    <row r="1110" spans="1:9">
      <c r="A1110" s="402"/>
      <c r="B1110" s="402"/>
      <c r="C1110" s="402"/>
      <c r="D1110" s="1291"/>
      <c r="E1110" s="1291"/>
      <c r="F1110" s="1291"/>
      <c r="I1110" s="490"/>
    </row>
    <row r="1111" spans="1:9">
      <c r="A1111" s="402"/>
      <c r="B1111" s="402"/>
      <c r="C1111" s="402"/>
      <c r="D1111" s="1291"/>
      <c r="E1111" s="1291"/>
      <c r="F1111" s="1291"/>
      <c r="I1111" s="490"/>
    </row>
    <row r="1112" spans="1:9">
      <c r="A1112" s="402"/>
      <c r="B1112" s="402"/>
      <c r="C1112" s="402"/>
      <c r="D1112" s="1291"/>
      <c r="E1112" s="1291"/>
      <c r="F1112" s="1291"/>
      <c r="I1112" s="490"/>
    </row>
    <row r="1113" spans="1:9">
      <c r="A1113" s="402"/>
      <c r="B1113" s="402"/>
      <c r="C1113" s="402"/>
      <c r="D1113" s="1291"/>
      <c r="E1113" s="1291"/>
      <c r="F1113" s="1291"/>
      <c r="I1113" s="490"/>
    </row>
    <row r="1114" spans="1:9" ht="12.75">
      <c r="A1114" s="402"/>
      <c r="B1114" s="402"/>
      <c r="C1114" s="402"/>
      <c r="D1114" s="527"/>
      <c r="I1114" s="480"/>
    </row>
    <row r="1115" spans="1:9">
      <c r="A1115" s="402"/>
      <c r="B1115" s="485" t="s">
        <v>2758</v>
      </c>
      <c r="C1115" s="402"/>
      <c r="D1115" s="1291" t="s">
        <v>1833</v>
      </c>
      <c r="E1115" s="1291"/>
      <c r="F1115" s="1291"/>
      <c r="I1115" s="490"/>
    </row>
    <row r="1116" spans="1:9">
      <c r="A1116" s="402"/>
      <c r="B1116" s="402"/>
      <c r="C1116" s="402"/>
      <c r="D1116" s="1291"/>
      <c r="E1116" s="1291"/>
      <c r="F1116" s="1291"/>
      <c r="I1116" s="490"/>
    </row>
    <row r="1117" spans="1:9">
      <c r="A1117" s="402"/>
      <c r="B1117" s="402"/>
      <c r="C1117" s="402"/>
      <c r="D1117" s="1291"/>
      <c r="E1117" s="1291"/>
      <c r="F1117" s="1291"/>
      <c r="I1117" s="490"/>
    </row>
    <row r="1118" spans="1:9">
      <c r="A1118" s="402"/>
      <c r="B1118" s="402"/>
      <c r="C1118" s="402"/>
      <c r="D1118" s="527"/>
      <c r="I1118" s="490"/>
    </row>
    <row r="1119" spans="1:9">
      <c r="A1119" s="402"/>
      <c r="B1119" s="485" t="s">
        <v>2757</v>
      </c>
      <c r="C1119" s="402"/>
      <c r="D1119" s="1268" t="s">
        <v>1889</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2758</v>
      </c>
      <c r="C1123" s="402"/>
      <c r="D1123" s="1263" t="s">
        <v>1890</v>
      </c>
      <c r="E1123" s="1263"/>
      <c r="F1123" s="1263"/>
      <c r="I1123" s="490"/>
    </row>
    <row r="1124" spans="1:9">
      <c r="A1124" s="402"/>
      <c r="B1124" s="402"/>
      <c r="C1124" s="402"/>
      <c r="D1124" s="1263"/>
      <c r="E1124" s="1263"/>
      <c r="F1124" s="1263"/>
      <c r="I1124" s="490"/>
    </row>
    <row r="1125" spans="1:9">
      <c r="A1125" s="402"/>
      <c r="B1125" s="402"/>
      <c r="C1125" s="402"/>
      <c r="D1125" s="1263"/>
      <c r="E1125" s="1263"/>
      <c r="F1125" s="1263"/>
      <c r="I1125" s="490"/>
    </row>
    <row r="1126" spans="1:9">
      <c r="A1126" s="402"/>
      <c r="B1126" s="402"/>
      <c r="C1126" s="402"/>
      <c r="D1126" s="1263"/>
      <c r="E1126" s="1263"/>
      <c r="F1126" s="1263"/>
      <c r="I1126" s="490"/>
    </row>
    <row r="1127" spans="1:9">
      <c r="A1127" s="402"/>
      <c r="B1127" s="402"/>
      <c r="C1127" s="402"/>
      <c r="D1127" s="980"/>
      <c r="E1127" s="980"/>
      <c r="F1127" s="980"/>
      <c r="I1127" s="490"/>
    </row>
    <row r="1128" spans="1:9" ht="12.7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0"/>
      <c r="H1541" s="1310"/>
      <c r="I1541" s="1310"/>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86"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15" zoomScaleNormal="115" workbookViewId="0">
      <selection activeCell="M961" sqref="M961:S961"/>
    </sheetView>
  </sheetViews>
  <sheetFormatPr defaultColWidth="0" defaultRowHeight="0" customHeight="1" zeroHeight="1"/>
  <cols>
    <col min="1" max="46" width="2.73046875" customWidth="1"/>
    <col min="47" max="47" width="2.73046875" hidden="1" customWidth="1"/>
    <col min="48" max="50" width="3.73046875" hidden="1" customWidth="1"/>
    <col min="51" max="51" width="4.73046875" hidden="1" customWidth="1"/>
    <col min="52" max="52" width="8.3984375" hidden="1" customWidth="1"/>
    <col min="53" max="53" width="7.3984375" hidden="1" customWidth="1"/>
    <col min="54" max="55" width="3.73046875" hidden="1" customWidth="1"/>
    <col min="56" max="56" width="8.265625" hidden="1" customWidth="1"/>
    <col min="57" max="57" width="8.3984375" hidden="1" customWidth="1"/>
    <col min="58" max="58" width="8.1328125" hidden="1" customWidth="1"/>
    <col min="59" max="59" width="11.1328125" hidden="1" customWidth="1"/>
    <col min="60" max="60" width="3.73046875" hidden="1" customWidth="1"/>
    <col min="61" max="61" width="8.265625" hidden="1" customWidth="1"/>
    <col min="62" max="16384" width="3.730468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Northern (Butte, El Dorado, Placer, Sacramento, San Joaquin, Shasta, Solano, Sutter, Yuba, and Yolo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40</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2.95"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2.95"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2.95"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40</v>
      </c>
    </row>
    <row r="12" spans="1:58" ht="12.95"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2.95" customHeight="1">
      <c r="A13" s="1261" t="s">
        <v>2078</v>
      </c>
      <c r="B13" s="1261"/>
      <c r="C13" s="1261"/>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1261"/>
      <c r="AM13" s="1261"/>
      <c r="AN13" s="1261"/>
      <c r="AO13" s="1261"/>
      <c r="AP13" s="1261"/>
      <c r="AQ13" s="1261"/>
      <c r="AR13" s="1261"/>
      <c r="AS13" s="1261"/>
      <c r="AT13" s="1261"/>
      <c r="AU13" s="899"/>
      <c r="AV13" s="899"/>
      <c r="AW13" s="899"/>
      <c r="AX13" s="899"/>
      <c r="AY13" s="899"/>
      <c r="BD13" s="1248" t="s">
        <v>2505</v>
      </c>
      <c r="BE13" s="1249">
        <f>SUMIF($AC$718:$AC$752,"&lt;=60%",$G$718:G$752)-SUM($BE$5:BE12)</f>
        <v>0</v>
      </c>
    </row>
    <row r="14" spans="1:58" ht="12.95" customHeight="1">
      <c r="A14" s="1261"/>
      <c r="B14" s="1261"/>
      <c r="C14" s="1261"/>
      <c r="D14" s="1261"/>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1" t="s">
        <v>2612</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656</v>
      </c>
      <c r="BE16" s="1249" t="str">
        <f>Application!H18</f>
        <v>Coral Blossom Apartments</v>
      </c>
    </row>
    <row r="17" spans="1:58" ht="12.95" customHeight="1">
      <c r="BD17" s="1247" t="s">
        <v>2520</v>
      </c>
      <c r="BE17" s="1249">
        <f>Application!AA934</f>
        <v>0</v>
      </c>
    </row>
    <row r="18" spans="1:58" ht="12.95" customHeight="1">
      <c r="A18" s="57" t="s">
        <v>101</v>
      </c>
      <c r="C18" s="4"/>
      <c r="D18" s="4"/>
      <c r="E18" s="4"/>
      <c r="F18" s="4"/>
      <c r="G18" s="4"/>
      <c r="H18" s="1418" t="s">
        <v>2613</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2521</v>
      </c>
      <c r="BE18" s="1249">
        <f>'CalHFA Addendum'!N11</f>
        <v>0</v>
      </c>
    </row>
    <row r="19" spans="1:58" ht="12.95" customHeight="1">
      <c r="BD19" s="1247" t="s">
        <v>2522</v>
      </c>
      <c r="BE19" s="1249">
        <f>Application!M26</f>
        <v>2216098</v>
      </c>
    </row>
    <row r="20" spans="1:58" ht="12.95"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5045179</v>
      </c>
    </row>
    <row r="21" spans="1:58" ht="12.95"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2524</v>
      </c>
      <c r="BE21" s="1249">
        <f>Application!AM554</f>
        <v>23500000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47754257</v>
      </c>
      <c r="BF22" s="3" t="s">
        <v>2597</v>
      </c>
    </row>
    <row r="23" spans="1:58" ht="12.95" customHeight="1">
      <c r="A23" s="1293" t="s">
        <v>2147</v>
      </c>
      <c r="B23" s="1293"/>
      <c r="C23" s="1293"/>
      <c r="D23" s="1293"/>
      <c r="E23" s="1293"/>
      <c r="F23" s="1293"/>
      <c r="G23" s="1293"/>
      <c r="H23" s="1293"/>
      <c r="I23" s="1293"/>
      <c r="J23" s="1293"/>
      <c r="K23" s="1293"/>
      <c r="L23" s="1293"/>
      <c r="M23" s="1293"/>
      <c r="N23" s="1293"/>
      <c r="O23" s="1293"/>
      <c r="P23" s="1293"/>
      <c r="Q23" s="1293"/>
      <c r="R23" s="1293"/>
      <c r="S23" s="1293"/>
      <c r="T23" s="1293"/>
      <c r="U23" s="1293"/>
      <c r="V23" s="1293"/>
      <c r="W23" s="1293"/>
      <c r="X23" s="1293"/>
      <c r="Y23" s="1293"/>
      <c r="Z23" s="1293"/>
      <c r="AA23" s="1293"/>
      <c r="AB23" s="1293"/>
      <c r="AC23" s="1293"/>
      <c r="AD23" s="1293"/>
      <c r="AE23" s="1293"/>
      <c r="AF23" s="1293"/>
      <c r="AG23" s="1293"/>
      <c r="AH23" s="1293"/>
      <c r="AI23" s="1293"/>
      <c r="AJ23" s="1293"/>
      <c r="AK23" s="1293"/>
      <c r="AL23" s="1293"/>
      <c r="AM23" s="1293"/>
      <c r="AN23" s="1293"/>
      <c r="AO23" s="1293"/>
      <c r="AP23" s="1293"/>
      <c r="AQ23" s="1293"/>
      <c r="AR23" s="1293"/>
      <c r="AS23" s="1293"/>
      <c r="AT23" s="1293"/>
      <c r="AU23" s="18"/>
      <c r="AV23" s="18"/>
      <c r="AW23" s="18"/>
      <c r="AX23" s="18"/>
      <c r="AY23" s="18"/>
      <c r="AZ23" s="18"/>
      <c r="BD23" s="1247" t="s">
        <v>2525</v>
      </c>
      <c r="BE23" s="1249">
        <f>'Sources and Uses Budget'!B4</f>
        <v>1650000</v>
      </c>
    </row>
    <row r="24" spans="1:58" ht="12.95" customHeight="1">
      <c r="A24" s="1293"/>
      <c r="B24" s="1293"/>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1293"/>
      <c r="AQ24" s="1293"/>
      <c r="AR24" s="1293"/>
      <c r="AS24" s="1293"/>
      <c r="AT24" s="1293"/>
      <c r="AU24" s="18"/>
      <c r="AV24" s="18"/>
      <c r="AW24" s="18"/>
      <c r="AX24" s="18"/>
      <c r="AY24" s="18"/>
      <c r="AZ24" s="18"/>
      <c r="BD24" s="1248" t="s">
        <v>2526</v>
      </c>
      <c r="BE24" s="1249">
        <f>Application!AG450</f>
        <v>80179</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20">
        <f>'Basis &amp; Credits'!AB56</f>
        <v>2216098</v>
      </c>
      <c r="N26" s="1420"/>
      <c r="O26" s="1420"/>
      <c r="P26" s="1420"/>
      <c r="Q26" s="1420"/>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5">
        <f>'Basis &amp; Credits'!AB78</f>
        <v>5045179</v>
      </c>
      <c r="N27" s="1355"/>
      <c r="O27" s="1355"/>
      <c r="P27" s="1355"/>
      <c r="Q27" s="1355"/>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2.95"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0</v>
      </c>
    </row>
    <row r="31" spans="1:58" ht="12.95"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80</v>
      </c>
    </row>
    <row r="33" spans="1:57" ht="12.95" customHeight="1">
      <c r="A33" s="519" t="s">
        <v>1278</v>
      </c>
      <c r="C33" s="519"/>
      <c r="D33" s="519"/>
      <c r="E33" s="519"/>
      <c r="F33" s="519"/>
      <c r="G33" s="519"/>
      <c r="H33" s="519"/>
      <c r="I33" s="519"/>
      <c r="J33" s="519"/>
      <c r="K33" s="519"/>
      <c r="L33" s="519"/>
      <c r="M33" s="519"/>
      <c r="N33" s="519"/>
      <c r="O33" s="1333" t="s">
        <v>669</v>
      </c>
      <c r="P33" s="1333"/>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Capital Region: El Dorado, Placer, Sacramento, Sutter, Yuba, and Yolo Counties</v>
      </c>
    </row>
    <row r="34" spans="1:57" ht="12.95"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8484 Elk Grove Florin Rd</v>
      </c>
    </row>
    <row r="35" spans="1:57" ht="12.95"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2.95"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Elk Grove</v>
      </c>
    </row>
    <row r="37" spans="1:57" ht="12.95"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Sacramento</v>
      </c>
    </row>
    <row r="38" spans="1:57" ht="12.95" customHeight="1">
      <c r="A38" s="3"/>
      <c r="AZ38" s="20"/>
      <c r="BD38" s="1248" t="s">
        <v>2536</v>
      </c>
      <c r="BE38" s="1249">
        <f>Application!I190</f>
        <v>95624</v>
      </c>
    </row>
    <row r="39" spans="1:57" ht="12.95" customHeight="1">
      <c r="A39" s="1263" t="s">
        <v>2151</v>
      </c>
      <c r="B39" s="1263"/>
      <c r="C39" s="1263"/>
      <c r="D39" s="1263"/>
      <c r="E39" s="1263"/>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63"/>
      <c r="AS39" s="1263"/>
      <c r="AT39" s="1263"/>
      <c r="AZ39" s="20"/>
      <c r="BD39" s="1247" t="s">
        <v>2537</v>
      </c>
      <c r="BE39" s="1249">
        <f>Application!AG437</f>
        <v>81</v>
      </c>
    </row>
    <row r="40" spans="1:57" ht="12.95" customHeight="1">
      <c r="A40" s="1263"/>
      <c r="B40" s="1263"/>
      <c r="C40" s="1263"/>
      <c r="D40" s="1263"/>
      <c r="E40" s="1263"/>
      <c r="F40" s="1263"/>
      <c r="G40" s="1263"/>
      <c r="H40" s="1263"/>
      <c r="I40" s="1263"/>
      <c r="J40" s="1263"/>
      <c r="K40" s="1263"/>
      <c r="L40" s="1263"/>
      <c r="M40" s="1263"/>
      <c r="N40" s="1263"/>
      <c r="O40" s="1263"/>
      <c r="P40" s="1263"/>
      <c r="Q40" s="1263"/>
      <c r="R40" s="1263"/>
      <c r="S40" s="1263"/>
      <c r="T40" s="1263"/>
      <c r="U40" s="1263"/>
      <c r="V40" s="1263"/>
      <c r="W40" s="1263"/>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63"/>
      <c r="AS40" s="1263"/>
      <c r="AT40" s="1263"/>
      <c r="AU40" s="20"/>
      <c r="AV40" s="20"/>
      <c r="AW40" s="20"/>
      <c r="AX40" s="20"/>
      <c r="AY40" s="20"/>
      <c r="AZ40" s="20"/>
      <c r="BD40" s="1248" t="s">
        <v>383</v>
      </c>
      <c r="BE40" s="1249">
        <f>Application!AG440</f>
        <v>80</v>
      </c>
    </row>
    <row r="41" spans="1:57" ht="12.95" customHeight="1">
      <c r="A41" s="1263"/>
      <c r="B41" s="1263"/>
      <c r="C41" s="1263"/>
      <c r="D41" s="1263"/>
      <c r="E41" s="1263"/>
      <c r="F41" s="1263"/>
      <c r="G41" s="1263"/>
      <c r="H41" s="1263"/>
      <c r="I41" s="1263"/>
      <c r="J41" s="1263"/>
      <c r="K41" s="1263"/>
      <c r="L41" s="1263"/>
      <c r="M41" s="1263"/>
      <c r="N41" s="1263"/>
      <c r="O41" s="1263"/>
      <c r="P41" s="1263"/>
      <c r="Q41" s="1263"/>
      <c r="R41" s="1263"/>
      <c r="S41" s="1263"/>
      <c r="T41" s="1263"/>
      <c r="U41" s="1263"/>
      <c r="V41" s="1263"/>
      <c r="W41" s="1263"/>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63"/>
      <c r="AS41" s="1263"/>
      <c r="AT41" s="1263"/>
      <c r="AU41" s="20"/>
      <c r="AV41" s="20"/>
      <c r="AW41" s="20"/>
      <c r="AX41" s="20"/>
      <c r="AY41" s="20"/>
      <c r="AZ41" s="20"/>
      <c r="BD41" s="1247" t="s">
        <v>286</v>
      </c>
      <c r="BE41" s="1249">
        <f>Application!AG438</f>
        <v>0</v>
      </c>
    </row>
    <row r="42" spans="1:57" ht="12.95" customHeight="1">
      <c r="A42" s="1263"/>
      <c r="B42" s="1263"/>
      <c r="C42" s="1263"/>
      <c r="D42" s="1263"/>
      <c r="E42" s="1263"/>
      <c r="F42" s="1263"/>
      <c r="G42" s="1263"/>
      <c r="H42" s="1263"/>
      <c r="I42" s="1263"/>
      <c r="J42" s="1263"/>
      <c r="K42" s="1263"/>
      <c r="L42" s="1263"/>
      <c r="M42" s="1263"/>
      <c r="N42" s="1263"/>
      <c r="O42" s="1263"/>
      <c r="P42" s="1263"/>
      <c r="Q42" s="1263"/>
      <c r="R42" s="1263"/>
      <c r="S42" s="1263"/>
      <c r="T42" s="1263"/>
      <c r="U42" s="1263"/>
      <c r="V42" s="1263"/>
      <c r="W42" s="1263"/>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63"/>
      <c r="AS42" s="1263"/>
      <c r="AT42" s="1263"/>
      <c r="AZ42" s="20"/>
      <c r="BD42" s="1248" t="s">
        <v>2538</v>
      </c>
      <c r="BE42" s="1251">
        <f>Application!AC753</f>
        <v>0.4</v>
      </c>
    </row>
    <row r="43" spans="1:57" ht="12.95" customHeight="1">
      <c r="A43" s="1263"/>
      <c r="B43" s="1263"/>
      <c r="C43" s="1263"/>
      <c r="D43" s="1263"/>
      <c r="E43" s="1263"/>
      <c r="F43" s="1263"/>
      <c r="G43" s="1263"/>
      <c r="H43" s="1263"/>
      <c r="I43" s="1263"/>
      <c r="J43" s="1263"/>
      <c r="K43" s="1263"/>
      <c r="L43" s="1263"/>
      <c r="M43" s="1263"/>
      <c r="N43" s="1263"/>
      <c r="O43" s="1263"/>
      <c r="P43" s="1263"/>
      <c r="Q43" s="1263"/>
      <c r="R43" s="1263"/>
      <c r="S43" s="1263"/>
      <c r="T43" s="1263"/>
      <c r="U43" s="1263"/>
      <c r="V43" s="1263"/>
      <c r="W43" s="1263"/>
      <c r="X43" s="1263"/>
      <c r="Y43" s="1263"/>
      <c r="Z43" s="1263"/>
      <c r="AA43" s="1263"/>
      <c r="AB43" s="1263"/>
      <c r="AC43" s="1263"/>
      <c r="AD43" s="1263"/>
      <c r="AE43" s="1263"/>
      <c r="AF43" s="1263"/>
      <c r="AG43" s="1263"/>
      <c r="AH43" s="1263"/>
      <c r="AI43" s="1263"/>
      <c r="AJ43" s="1263"/>
      <c r="AK43" s="1263"/>
      <c r="AL43" s="1263"/>
      <c r="AM43" s="1263"/>
      <c r="AN43" s="1263"/>
      <c r="AO43" s="1263"/>
      <c r="AP43" s="1263"/>
      <c r="AQ43" s="1263"/>
      <c r="AR43" s="1263"/>
      <c r="AS43" s="1263"/>
      <c r="AT43" s="1263"/>
      <c r="AU43" s="20"/>
      <c r="AV43" s="20"/>
      <c r="AW43" s="20"/>
      <c r="AX43" s="20"/>
      <c r="AY43" s="20"/>
      <c r="AZ43" s="20"/>
      <c r="BD43" s="1247" t="s">
        <v>2539</v>
      </c>
      <c r="BE43" s="1251">
        <f>Application!AH753</f>
        <v>0.39987562189054726</v>
      </c>
    </row>
    <row r="44" spans="1:57" ht="12.95" customHeight="1">
      <c r="A44" s="1263"/>
      <c r="B44" s="1263"/>
      <c r="C44" s="1263"/>
      <c r="D44" s="1263"/>
      <c r="E44" s="1263"/>
      <c r="F44" s="1263"/>
      <c r="G44" s="1263"/>
      <c r="H44" s="1263"/>
      <c r="I44" s="1263"/>
      <c r="J44" s="1263"/>
      <c r="K44" s="1263"/>
      <c r="L44" s="1263"/>
      <c r="M44" s="1263"/>
      <c r="N44" s="1263"/>
      <c r="O44" s="1263"/>
      <c r="P44" s="1263"/>
      <c r="Q44" s="1263"/>
      <c r="R44" s="1263"/>
      <c r="S44" s="1263"/>
      <c r="T44" s="1263"/>
      <c r="U44" s="1263"/>
      <c r="V44" s="1263"/>
      <c r="W44" s="1263"/>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63"/>
      <c r="AS44" s="1263"/>
      <c r="AT44" s="1263"/>
      <c r="AU44" s="20"/>
      <c r="AV44" s="20"/>
      <c r="AW44" s="20"/>
      <c r="AX44" s="20"/>
      <c r="AY44" s="20"/>
      <c r="AZ44" s="20"/>
      <c r="BD44" s="1248" t="s">
        <v>2540</v>
      </c>
      <c r="BE44" s="1249">
        <f>Application!AC454</f>
        <v>589558.72839506168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0</v>
      </c>
    </row>
    <row r="46" spans="1:57" ht="12.95" customHeight="1">
      <c r="A46" s="1293" t="s">
        <v>2152</v>
      </c>
      <c r="B46" s="1293"/>
      <c r="C46" s="1293"/>
      <c r="D46" s="1293"/>
      <c r="E46" s="1293"/>
      <c r="F46" s="1293"/>
      <c r="G46" s="1293"/>
      <c r="H46" s="1293"/>
      <c r="I46" s="1293"/>
      <c r="J46" s="1293"/>
      <c r="K46" s="1293"/>
      <c r="L46" s="1293"/>
      <c r="M46" s="1293"/>
      <c r="N46" s="1293"/>
      <c r="O46" s="1293"/>
      <c r="P46" s="1293"/>
      <c r="Q46" s="1293"/>
      <c r="R46" s="1293"/>
      <c r="S46" s="1293"/>
      <c r="T46" s="1293"/>
      <c r="U46" s="1293"/>
      <c r="V46" s="1293"/>
      <c r="W46" s="1293"/>
      <c r="X46" s="1293"/>
      <c r="Y46" s="1293"/>
      <c r="Z46" s="1293"/>
      <c r="AA46" s="1293"/>
      <c r="AB46" s="1293"/>
      <c r="AC46" s="1293"/>
      <c r="AD46" s="1293"/>
      <c r="AE46" s="1293"/>
      <c r="AF46" s="1293"/>
      <c r="AG46" s="1293"/>
      <c r="AH46" s="1293"/>
      <c r="AI46" s="1293"/>
      <c r="AJ46" s="1293"/>
      <c r="AK46" s="1293"/>
      <c r="AL46" s="1293"/>
      <c r="AM46" s="1293"/>
      <c r="AN46" s="1293"/>
      <c r="AO46" s="1293"/>
      <c r="AP46" s="1293"/>
      <c r="AQ46" s="1293"/>
      <c r="AR46" s="1293"/>
      <c r="AS46" s="1293"/>
      <c r="AT46" s="1293"/>
      <c r="AU46" s="20"/>
      <c r="AV46" s="20"/>
      <c r="AW46" s="20"/>
      <c r="AX46" s="20"/>
      <c r="AY46" s="20"/>
      <c r="AZ46" s="20"/>
      <c r="BD46" s="1248" t="s">
        <v>2542</v>
      </c>
      <c r="BE46" s="1249" t="b">
        <f>Application!T195="Yes"</f>
        <v>1</v>
      </c>
    </row>
    <row r="47" spans="1:57" ht="12.95" customHeight="1">
      <c r="A47" s="1293"/>
      <c r="B47" s="1293"/>
      <c r="C47" s="1293"/>
      <c r="D47" s="1293"/>
      <c r="E47" s="1293"/>
      <c r="F47" s="1293"/>
      <c r="G47" s="1293"/>
      <c r="H47" s="1293"/>
      <c r="I47" s="1293"/>
      <c r="J47" s="1293"/>
      <c r="K47" s="1293"/>
      <c r="L47" s="1293"/>
      <c r="M47" s="1293"/>
      <c r="N47" s="1293"/>
      <c r="O47" s="1293"/>
      <c r="P47" s="1293"/>
      <c r="Q47" s="1293"/>
      <c r="R47" s="1293"/>
      <c r="S47" s="1293"/>
      <c r="T47" s="1293"/>
      <c r="U47" s="1293"/>
      <c r="V47" s="1293"/>
      <c r="W47" s="1293"/>
      <c r="X47" s="1293"/>
      <c r="Y47" s="1293"/>
      <c r="Z47" s="1293"/>
      <c r="AA47" s="1293"/>
      <c r="AB47" s="1293"/>
      <c r="AC47" s="1293"/>
      <c r="AD47" s="1293"/>
      <c r="AE47" s="1293"/>
      <c r="AF47" s="1293"/>
      <c r="AG47" s="1293"/>
      <c r="AH47" s="1293"/>
      <c r="AI47" s="1293"/>
      <c r="AJ47" s="1293"/>
      <c r="AK47" s="1293"/>
      <c r="AL47" s="1293"/>
      <c r="AM47" s="1293"/>
      <c r="AN47" s="1293"/>
      <c r="AO47" s="1293"/>
      <c r="AP47" s="1293"/>
      <c r="AQ47" s="1293"/>
      <c r="AR47" s="1293"/>
      <c r="AS47" s="1293"/>
      <c r="AT47" s="1293"/>
      <c r="AU47" s="20"/>
      <c r="AV47" s="20"/>
      <c r="AW47" s="20"/>
      <c r="AX47" s="20"/>
      <c r="AY47" s="20"/>
      <c r="AZ47" s="20"/>
      <c r="BD47" s="1247" t="s">
        <v>2543</v>
      </c>
      <c r="BE47" s="1249" t="b">
        <f>Application!T196="Yes"</f>
        <v>0</v>
      </c>
    </row>
    <row r="48" spans="1:57" ht="12.95" customHeight="1">
      <c r="A48" s="1293"/>
      <c r="B48" s="1293"/>
      <c r="C48" s="1293"/>
      <c r="D48" s="1293"/>
      <c r="E48" s="1293"/>
      <c r="F48" s="1293"/>
      <c r="G48" s="1293"/>
      <c r="H48" s="1293"/>
      <c r="I48" s="1293"/>
      <c r="J48" s="1293"/>
      <c r="K48" s="1293"/>
      <c r="L48" s="1293"/>
      <c r="M48" s="1293"/>
      <c r="N48" s="1293"/>
      <c r="O48" s="1293"/>
      <c r="P48" s="1293"/>
      <c r="Q48" s="1293"/>
      <c r="R48" s="1293"/>
      <c r="S48" s="1293"/>
      <c r="T48" s="1293"/>
      <c r="U48" s="1293"/>
      <c r="V48" s="1293"/>
      <c r="W48" s="1293"/>
      <c r="X48" s="1293"/>
      <c r="Y48" s="1293"/>
      <c r="Z48" s="1293"/>
      <c r="AA48" s="1293"/>
      <c r="AB48" s="1293"/>
      <c r="AC48" s="1293"/>
      <c r="AD48" s="1293"/>
      <c r="AE48" s="1293"/>
      <c r="AF48" s="1293"/>
      <c r="AG48" s="1293"/>
      <c r="AH48" s="1293"/>
      <c r="AI48" s="1293"/>
      <c r="AJ48" s="1293"/>
      <c r="AK48" s="1293"/>
      <c r="AL48" s="1293"/>
      <c r="AM48" s="1293"/>
      <c r="AN48" s="1293"/>
      <c r="AO48" s="1293"/>
      <c r="AP48" s="1293"/>
      <c r="AQ48" s="1293"/>
      <c r="AR48" s="1293"/>
      <c r="AS48" s="1293"/>
      <c r="AT48" s="1293"/>
      <c r="AU48" s="20"/>
      <c r="AV48" s="20"/>
      <c r="AW48" s="20"/>
      <c r="AX48" s="20"/>
      <c r="AY48" s="20"/>
      <c r="AZ48" s="20"/>
      <c r="BD48" s="1248" t="s">
        <v>2544</v>
      </c>
      <c r="BE48" s="1249" t="str">
        <f>Application!M243</f>
        <v>Coral Blossom GP LLC</v>
      </c>
    </row>
    <row r="49" spans="1:57" ht="12.95" customHeight="1">
      <c r="A49" s="1293"/>
      <c r="B49" s="1293"/>
      <c r="C49" s="1293"/>
      <c r="D49" s="1293"/>
      <c r="E49" s="1293"/>
      <c r="F49" s="1293"/>
      <c r="G49" s="1293"/>
      <c r="H49" s="1293"/>
      <c r="I49" s="1293"/>
      <c r="J49" s="1293"/>
      <c r="K49" s="1293"/>
      <c r="L49" s="1293"/>
      <c r="M49" s="1293"/>
      <c r="N49" s="1293"/>
      <c r="O49" s="1293"/>
      <c r="P49" s="1293"/>
      <c r="Q49" s="1293"/>
      <c r="R49" s="1293"/>
      <c r="S49" s="1293"/>
      <c r="T49" s="1293"/>
      <c r="U49" s="1293"/>
      <c r="V49" s="1293"/>
      <c r="W49" s="1293"/>
      <c r="X49" s="1293"/>
      <c r="Y49" s="1293"/>
      <c r="Z49" s="1293"/>
      <c r="AA49" s="1293"/>
      <c r="AB49" s="1293"/>
      <c r="AC49" s="1293"/>
      <c r="AD49" s="1293"/>
      <c r="AE49" s="1293"/>
      <c r="AF49" s="1293"/>
      <c r="AG49" s="1293"/>
      <c r="AH49" s="1293"/>
      <c r="AI49" s="1293"/>
      <c r="AJ49" s="1293"/>
      <c r="AK49" s="1293"/>
      <c r="AL49" s="1293"/>
      <c r="AM49" s="1293"/>
      <c r="AN49" s="1293"/>
      <c r="AO49" s="1293"/>
      <c r="AP49" s="1293"/>
      <c r="AQ49" s="1293"/>
      <c r="AR49" s="1293"/>
      <c r="AS49" s="1293"/>
      <c r="AT49" s="1293"/>
      <c r="AU49" s="20"/>
      <c r="AV49" s="20"/>
      <c r="AW49" s="20"/>
      <c r="AX49" s="20"/>
      <c r="AY49" s="20"/>
      <c r="AZ49" s="20"/>
      <c r="BD49" s="1247" t="s">
        <v>2545</v>
      </c>
      <c r="BE49" s="1249" t="str">
        <f>Application!M246</f>
        <v>Dana Trujillo</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Excelerate Housing Group LLC</v>
      </c>
    </row>
    <row r="51" spans="1:57" ht="12.95" customHeight="1">
      <c r="A51" s="1263" t="s">
        <v>2153</v>
      </c>
      <c r="B51" s="1263"/>
      <c r="C51" s="1263"/>
      <c r="D51" s="1263"/>
      <c r="E51" s="1263"/>
      <c r="F51" s="1263"/>
      <c r="G51" s="1263"/>
      <c r="H51" s="1263"/>
      <c r="I51" s="1263"/>
      <c r="J51" s="1263"/>
      <c r="K51" s="1263"/>
      <c r="L51" s="1263"/>
      <c r="M51" s="1263"/>
      <c r="N51" s="1263"/>
      <c r="O51" s="1263"/>
      <c r="P51" s="1263"/>
      <c r="Q51" s="1263"/>
      <c r="R51" s="1263"/>
      <c r="S51" s="1263"/>
      <c r="T51" s="1263"/>
      <c r="U51" s="1263"/>
      <c r="V51" s="1263"/>
      <c r="W51" s="1263"/>
      <c r="X51" s="1263"/>
      <c r="Y51" s="1263"/>
      <c r="Z51" s="1263"/>
      <c r="AA51" s="1263"/>
      <c r="AB51" s="1263"/>
      <c r="AC51" s="1263"/>
      <c r="AD51" s="1263"/>
      <c r="AE51" s="1263"/>
      <c r="AF51" s="1263"/>
      <c r="AG51" s="1263"/>
      <c r="AH51" s="1263"/>
      <c r="AI51" s="1263"/>
      <c r="AJ51" s="1263"/>
      <c r="AK51" s="1263"/>
      <c r="AL51" s="1263"/>
      <c r="AM51" s="1263"/>
      <c r="AN51" s="1263"/>
      <c r="AO51" s="1263"/>
      <c r="AP51" s="1263"/>
      <c r="AQ51" s="1263"/>
      <c r="AR51" s="1263"/>
      <c r="AS51" s="1263"/>
      <c r="AT51" s="1263"/>
      <c r="AU51" s="20"/>
      <c r="AV51" s="20"/>
      <c r="AW51" s="20"/>
      <c r="AX51" s="20"/>
      <c r="AY51" s="20"/>
      <c r="AZ51" s="20"/>
      <c r="BD51" s="1247" t="s">
        <v>2547</v>
      </c>
      <c r="BE51" s="1249" t="str">
        <f>Application!M251</f>
        <v>TLCS, Inc. dba Hope Cooperative</v>
      </c>
    </row>
    <row r="52" spans="1:57" ht="12.95" customHeight="1">
      <c r="A52" s="1263"/>
      <c r="B52" s="1263"/>
      <c r="C52" s="1263"/>
      <c r="D52" s="1263"/>
      <c r="E52" s="1263"/>
      <c r="F52" s="1263"/>
      <c r="G52" s="1263"/>
      <c r="H52" s="1263"/>
      <c r="I52" s="1263"/>
      <c r="J52" s="1263"/>
      <c r="K52" s="1263"/>
      <c r="L52" s="1263"/>
      <c r="M52" s="1263"/>
      <c r="N52" s="1263"/>
      <c r="O52" s="1263"/>
      <c r="P52" s="1263"/>
      <c r="Q52" s="1263"/>
      <c r="R52" s="1263"/>
      <c r="S52" s="1263"/>
      <c r="T52" s="1263"/>
      <c r="U52" s="1263"/>
      <c r="V52" s="1263"/>
      <c r="W52" s="1263"/>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263"/>
      <c r="AS52" s="1263"/>
      <c r="AT52" s="1263"/>
      <c r="AU52" s="20"/>
      <c r="AV52" s="20"/>
      <c r="AW52" s="20"/>
      <c r="AX52" s="20"/>
      <c r="AY52" s="20"/>
      <c r="AZ52" s="20"/>
      <c r="BD52" s="1248" t="s">
        <v>2548</v>
      </c>
      <c r="BE52" s="1249" t="str">
        <f>Application!M254</f>
        <v>April Ludwig</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3" t="s">
        <v>2154</v>
      </c>
      <c r="B54" s="1263"/>
      <c r="C54" s="1263"/>
      <c r="D54" s="1263"/>
      <c r="E54" s="1263"/>
      <c r="F54" s="1263"/>
      <c r="G54" s="1263"/>
      <c r="H54" s="1263"/>
      <c r="I54" s="1263"/>
      <c r="J54" s="1263"/>
      <c r="K54" s="1263"/>
      <c r="L54" s="1263"/>
      <c r="M54" s="1263"/>
      <c r="N54" s="1263"/>
      <c r="O54" s="1263"/>
      <c r="P54" s="1263"/>
      <c r="Q54" s="1263"/>
      <c r="R54" s="1263"/>
      <c r="S54" s="1263"/>
      <c r="T54" s="1263"/>
      <c r="U54" s="1263"/>
      <c r="V54" s="1263"/>
      <c r="W54" s="1263"/>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263"/>
      <c r="AS54" s="1263"/>
      <c r="AT54" s="1263"/>
      <c r="AU54" s="20"/>
      <c r="AV54" s="20"/>
      <c r="AW54" s="20"/>
      <c r="AX54" s="20"/>
      <c r="AY54" s="20"/>
      <c r="AZ54" s="21"/>
      <c r="BD54" s="1248" t="s">
        <v>2550</v>
      </c>
      <c r="BE54" s="1249">
        <f>Application!M259</f>
        <v>0</v>
      </c>
    </row>
    <row r="55" spans="1:57" ht="12.95" customHeight="1">
      <c r="A55" s="1263"/>
      <c r="B55" s="1263"/>
      <c r="C55" s="1263"/>
      <c r="D55" s="1263"/>
      <c r="E55" s="1263"/>
      <c r="F55" s="1263"/>
      <c r="G55" s="1263"/>
      <c r="H55" s="1263"/>
      <c r="I55" s="1263"/>
      <c r="J55" s="1263"/>
      <c r="K55" s="1263"/>
      <c r="L55" s="1263"/>
      <c r="M55" s="1263"/>
      <c r="N55" s="1263"/>
      <c r="O55" s="1263"/>
      <c r="P55" s="1263"/>
      <c r="Q55" s="1263"/>
      <c r="R55" s="1263"/>
      <c r="S55" s="1263"/>
      <c r="T55" s="1263"/>
      <c r="U55" s="1263"/>
      <c r="V55" s="1263"/>
      <c r="W55" s="1263"/>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263"/>
      <c r="AS55" s="1263"/>
      <c r="AT55" s="1263"/>
      <c r="AZ55" s="21"/>
      <c r="BD55" s="1247" t="s">
        <v>2551</v>
      </c>
      <c r="BE55" s="1249">
        <f>Application!M262</f>
        <v>0</v>
      </c>
    </row>
    <row r="56" spans="1:57" ht="12.95" customHeight="1">
      <c r="A56" s="1263"/>
      <c r="B56" s="1263"/>
      <c r="C56" s="1263"/>
      <c r="D56" s="1263"/>
      <c r="E56" s="1263"/>
      <c r="F56" s="1263"/>
      <c r="G56" s="1263"/>
      <c r="H56" s="1263"/>
      <c r="I56" s="1263"/>
      <c r="J56" s="1263"/>
      <c r="K56" s="1263"/>
      <c r="L56" s="1263"/>
      <c r="M56" s="1263"/>
      <c r="N56" s="1263"/>
      <c r="O56" s="1263"/>
      <c r="P56" s="1263"/>
      <c r="Q56" s="1263"/>
      <c r="R56" s="1263"/>
      <c r="S56" s="1263"/>
      <c r="T56" s="1263"/>
      <c r="U56" s="1263"/>
      <c r="V56" s="1263"/>
      <c r="W56" s="1263"/>
      <c r="X56" s="1263"/>
      <c r="Y56" s="1263"/>
      <c r="Z56" s="1263"/>
      <c r="AA56" s="1263"/>
      <c r="AB56" s="1263"/>
      <c r="AC56" s="1263"/>
      <c r="AD56" s="1263"/>
      <c r="AE56" s="1263"/>
      <c r="AF56" s="1263"/>
      <c r="AG56" s="1263"/>
      <c r="AH56" s="1263"/>
      <c r="AI56" s="1263"/>
      <c r="AJ56" s="1263"/>
      <c r="AK56" s="1263"/>
      <c r="AL56" s="1263"/>
      <c r="AM56" s="1263"/>
      <c r="AN56" s="1263"/>
      <c r="AO56" s="1263"/>
      <c r="AP56" s="1263"/>
      <c r="AQ56" s="1263"/>
      <c r="AR56" s="1263"/>
      <c r="AS56" s="1263"/>
      <c r="AT56" s="1263"/>
      <c r="BD56" s="1248" t="s">
        <v>2552</v>
      </c>
      <c r="BE56" s="1249">
        <f>Application!AA265</f>
        <v>0</v>
      </c>
    </row>
    <row r="57" spans="1:57" ht="12.95" customHeight="1">
      <c r="A57" s="1263"/>
      <c r="B57" s="1263"/>
      <c r="C57" s="1263"/>
      <c r="D57" s="1263"/>
      <c r="E57" s="1263"/>
      <c r="F57" s="1263"/>
      <c r="G57" s="1263"/>
      <c r="H57" s="1263"/>
      <c r="I57" s="1263"/>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263"/>
      <c r="AS57" s="1263"/>
      <c r="AT57" s="1263"/>
      <c r="BD57" s="1247" t="s">
        <v>2553</v>
      </c>
      <c r="BE57" s="1249" t="str">
        <f>Application!H287</f>
        <v>Excelerate Housing Group LLC</v>
      </c>
    </row>
    <row r="58" spans="1:57" ht="12.95" customHeight="1">
      <c r="A58" s="1263"/>
      <c r="B58" s="1263"/>
      <c r="C58" s="1263"/>
      <c r="D58" s="1263"/>
      <c r="E58" s="1263"/>
      <c r="F58" s="1263"/>
      <c r="G58" s="1263"/>
      <c r="H58" s="1263"/>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3"/>
      <c r="AI58" s="1263"/>
      <c r="AJ58" s="1263"/>
      <c r="AK58" s="1263"/>
      <c r="AL58" s="1263"/>
      <c r="AM58" s="1263"/>
      <c r="AN58" s="1263"/>
      <c r="AO58" s="1263"/>
      <c r="AP58" s="1263"/>
      <c r="AQ58" s="1263"/>
      <c r="AR58" s="1263"/>
      <c r="AS58" s="1263"/>
      <c r="AT58" s="1263"/>
      <c r="BD58" s="1248" t="s">
        <v>2554</v>
      </c>
      <c r="BE58" s="1249" t="str">
        <f>Application!H288</f>
        <v>3910 Cover Street</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Long Beach, CA 90808</v>
      </c>
    </row>
    <row r="60" spans="1:57" ht="12.95" customHeight="1">
      <c r="A60" s="1263" t="s">
        <v>2155</v>
      </c>
      <c r="B60" s="1263"/>
      <c r="C60" s="1263"/>
      <c r="D60" s="1263"/>
      <c r="E60" s="1263"/>
      <c r="F60" s="1263"/>
      <c r="G60" s="1263"/>
      <c r="H60" s="1263"/>
      <c r="I60" s="1263"/>
      <c r="J60" s="1263"/>
      <c r="K60" s="1263"/>
      <c r="L60" s="1263"/>
      <c r="M60" s="1263"/>
      <c r="N60" s="1263"/>
      <c r="O60" s="1263"/>
      <c r="P60" s="1263"/>
      <c r="Q60" s="1263"/>
      <c r="R60" s="1263"/>
      <c r="S60" s="1263"/>
      <c r="T60" s="1263"/>
      <c r="U60" s="1263"/>
      <c r="V60" s="1263"/>
      <c r="W60" s="1263"/>
      <c r="X60" s="1263"/>
      <c r="Y60" s="1263"/>
      <c r="Z60" s="1263"/>
      <c r="AA60" s="1263"/>
      <c r="AB60" s="1263"/>
      <c r="AC60" s="1263"/>
      <c r="AD60" s="1263"/>
      <c r="AE60" s="1263"/>
      <c r="AF60" s="1263"/>
      <c r="AG60" s="1263"/>
      <c r="AH60" s="1263"/>
      <c r="AI60" s="1263"/>
      <c r="AJ60" s="1263"/>
      <c r="AK60" s="1263"/>
      <c r="AL60" s="1263"/>
      <c r="AM60" s="1263"/>
      <c r="AN60" s="1263"/>
      <c r="AO60" s="1263"/>
      <c r="AP60" s="1263"/>
      <c r="AQ60" s="1263"/>
      <c r="AR60" s="1263"/>
      <c r="AS60" s="1263"/>
      <c r="AT60" s="1263"/>
      <c r="AU60" s="20"/>
      <c r="AV60" s="20"/>
      <c r="AW60" s="20"/>
      <c r="AX60" s="20"/>
      <c r="AY60" s="20"/>
      <c r="AZ60" s="20"/>
      <c r="BD60" s="1248" t="s">
        <v>2556</v>
      </c>
      <c r="BE60" s="1249" t="str">
        <f>Application!H290</f>
        <v>Dana Trujillo</v>
      </c>
    </row>
    <row r="61" spans="1:57" ht="12.95" customHeight="1">
      <c r="A61" s="1263"/>
      <c r="B61" s="1263"/>
      <c r="C61" s="1263"/>
      <c r="D61" s="1263"/>
      <c r="E61" s="1263"/>
      <c r="F61" s="1263"/>
      <c r="G61" s="1263"/>
      <c r="H61" s="1263"/>
      <c r="I61" s="1263"/>
      <c r="J61" s="1263"/>
      <c r="K61" s="1263"/>
      <c r="L61" s="1263"/>
      <c r="M61" s="1263"/>
      <c r="N61" s="1263"/>
      <c r="O61" s="1263"/>
      <c r="P61" s="1263"/>
      <c r="Q61" s="1263"/>
      <c r="R61" s="1263"/>
      <c r="S61" s="1263"/>
      <c r="T61" s="1263"/>
      <c r="U61" s="1263"/>
      <c r="V61" s="1263"/>
      <c r="W61" s="1263"/>
      <c r="X61" s="1263"/>
      <c r="Y61" s="1263"/>
      <c r="Z61" s="1263"/>
      <c r="AA61" s="1263"/>
      <c r="AB61" s="1263"/>
      <c r="AC61" s="1263"/>
      <c r="AD61" s="1263"/>
      <c r="AE61" s="1263"/>
      <c r="AF61" s="1263"/>
      <c r="AG61" s="1263"/>
      <c r="AH61" s="1263"/>
      <c r="AI61" s="1263"/>
      <c r="AJ61" s="1263"/>
      <c r="AK61" s="1263"/>
      <c r="AL61" s="1263"/>
      <c r="AM61" s="1263"/>
      <c r="AN61" s="1263"/>
      <c r="AO61" s="1263"/>
      <c r="AP61" s="1263"/>
      <c r="AQ61" s="1263"/>
      <c r="AR61" s="1263"/>
      <c r="AS61" s="1263"/>
      <c r="AT61" s="1263"/>
      <c r="AU61" s="20"/>
      <c r="AV61" s="20"/>
      <c r="AW61" s="20"/>
      <c r="AX61" s="20"/>
      <c r="AY61" s="20"/>
      <c r="AZ61" s="20"/>
      <c r="BD61" s="1247" t="s">
        <v>2557</v>
      </c>
      <c r="BE61" s="1249" t="str">
        <f>Application!H293</f>
        <v>dana@ehghousing.com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0.8144735288111804</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0.7</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$500M</v>
      </c>
    </row>
    <row r="66" spans="1:57" ht="12.95"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2.95"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California Municipal Finance Authority</v>
      </c>
    </row>
    <row r="70" spans="1:57" ht="12.95"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2.95"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10</v>
      </c>
    </row>
    <row r="80" spans="1:57" ht="12.95"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2.95"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3" t="s">
        <v>2162</v>
      </c>
      <c r="B83" s="1263"/>
      <c r="C83" s="1263"/>
      <c r="D83" s="1263"/>
      <c r="E83" s="1263"/>
      <c r="F83" s="1263"/>
      <c r="G83" s="1263"/>
      <c r="H83" s="1263"/>
      <c r="I83" s="1263"/>
      <c r="J83" s="1263"/>
      <c r="K83" s="1263"/>
      <c r="L83" s="1263"/>
      <c r="M83" s="1263"/>
      <c r="N83" s="1263"/>
      <c r="O83" s="1263"/>
      <c r="P83" s="1263"/>
      <c r="Q83" s="1263"/>
      <c r="R83" s="1263"/>
      <c r="S83" s="1263"/>
      <c r="T83" s="1263"/>
      <c r="U83" s="1263"/>
      <c r="V83" s="1263"/>
      <c r="W83" s="1263"/>
      <c r="X83" s="1263"/>
      <c r="Y83" s="1263"/>
      <c r="Z83" s="1263"/>
      <c r="AA83" s="1263"/>
      <c r="AB83" s="1263"/>
      <c r="AC83" s="1263"/>
      <c r="AD83" s="1263"/>
      <c r="AE83" s="1263"/>
      <c r="AF83" s="1263"/>
      <c r="AG83" s="1263"/>
      <c r="AH83" s="1263"/>
      <c r="AI83" s="1263"/>
      <c r="AJ83" s="1263"/>
      <c r="AK83" s="1263"/>
      <c r="AL83" s="1263"/>
      <c r="AM83" s="1263"/>
      <c r="AN83" s="1263"/>
      <c r="AO83" s="1263"/>
      <c r="AP83" s="1263"/>
      <c r="AQ83" s="1263"/>
      <c r="AR83" s="1263"/>
      <c r="AS83" s="1263"/>
      <c r="AT83" s="1263"/>
      <c r="AU83" s="20"/>
      <c r="AV83" s="20"/>
      <c r="AW83" s="20"/>
      <c r="AX83" s="20"/>
      <c r="AY83" s="20"/>
      <c r="AZ83" s="20"/>
      <c r="BD83" s="1247" t="s">
        <v>2577</v>
      </c>
      <c r="BE83" s="1253">
        <f>'Tie Breaker'!H5</f>
        <v>0.98125111405269561</v>
      </c>
    </row>
    <row r="84" spans="1:57" ht="12.95" customHeight="1">
      <c r="A84" s="1263"/>
      <c r="B84" s="1263"/>
      <c r="C84" s="1263"/>
      <c r="D84" s="1263"/>
      <c r="E84" s="1263"/>
      <c r="F84" s="1263"/>
      <c r="G84" s="1263"/>
      <c r="H84" s="1263"/>
      <c r="I84" s="1263"/>
      <c r="J84" s="1263"/>
      <c r="K84" s="1263"/>
      <c r="L84" s="1263"/>
      <c r="M84" s="1263"/>
      <c r="N84" s="1263"/>
      <c r="O84" s="1263"/>
      <c r="P84" s="1263"/>
      <c r="Q84" s="1263"/>
      <c r="R84" s="1263"/>
      <c r="S84" s="1263"/>
      <c r="T84" s="1263"/>
      <c r="U84" s="1263"/>
      <c r="V84" s="1263"/>
      <c r="W84" s="1263"/>
      <c r="X84" s="1263"/>
      <c r="Y84" s="1263"/>
      <c r="Z84" s="1263"/>
      <c r="AA84" s="1263"/>
      <c r="AB84" s="1263"/>
      <c r="AC84" s="1263"/>
      <c r="AD84" s="1263"/>
      <c r="AE84" s="1263"/>
      <c r="AF84" s="1263"/>
      <c r="AG84" s="1263"/>
      <c r="AH84" s="1263"/>
      <c r="AI84" s="1263"/>
      <c r="AJ84" s="1263"/>
      <c r="AK84" s="1263"/>
      <c r="AL84" s="1263"/>
      <c r="AM84" s="1263"/>
      <c r="AN84" s="1263"/>
      <c r="AO84" s="1263"/>
      <c r="AP84" s="1263"/>
      <c r="AQ84" s="1263"/>
      <c r="AR84" s="1263"/>
      <c r="AS84" s="1263"/>
      <c r="AT84" s="1263"/>
      <c r="AU84" s="20"/>
      <c r="AV84" s="20"/>
      <c r="AW84" s="20"/>
      <c r="AX84" s="20"/>
      <c r="AY84" s="20"/>
      <c r="AZ84" s="20"/>
      <c r="BD84" s="1248" t="s">
        <v>2578</v>
      </c>
      <c r="BE84" s="1249" t="str">
        <f>Application!O153</f>
        <v>City of Elk Grove</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Jason Behrmann</v>
      </c>
    </row>
    <row r="86" spans="1:57" ht="12.95" customHeight="1">
      <c r="A86" s="1263" t="s">
        <v>2163</v>
      </c>
      <c r="B86" s="1263"/>
      <c r="C86" s="1263"/>
      <c r="D86" s="1263"/>
      <c r="E86" s="1263"/>
      <c r="F86" s="1263"/>
      <c r="G86" s="1263"/>
      <c r="H86" s="1263"/>
      <c r="I86" s="1263"/>
      <c r="J86" s="1263"/>
      <c r="K86" s="1263"/>
      <c r="L86" s="1263"/>
      <c r="M86" s="1263"/>
      <c r="N86" s="1263"/>
      <c r="O86" s="1263"/>
      <c r="P86" s="1263"/>
      <c r="Q86" s="1263"/>
      <c r="R86" s="1263"/>
      <c r="S86" s="1263"/>
      <c r="T86" s="1263"/>
      <c r="U86" s="1263"/>
      <c r="V86" s="1263"/>
      <c r="W86" s="1263"/>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263"/>
      <c r="AS86" s="1263"/>
      <c r="AT86" s="1263"/>
      <c r="AU86" s="20"/>
      <c r="AV86" s="20"/>
      <c r="AW86" s="20"/>
      <c r="AX86" s="20"/>
      <c r="AY86" s="20"/>
      <c r="AZ86" s="20"/>
      <c r="BD86" s="1248" t="s">
        <v>2580</v>
      </c>
      <c r="BE86" s="1249" t="str">
        <f>Application!O155</f>
        <v>City Manager</v>
      </c>
    </row>
    <row r="87" spans="1:57" ht="12.95" customHeight="1">
      <c r="A87" s="1263"/>
      <c r="B87" s="1263"/>
      <c r="C87" s="1263"/>
      <c r="D87" s="1263"/>
      <c r="E87" s="1263"/>
      <c r="F87" s="1263"/>
      <c r="G87" s="1263"/>
      <c r="H87" s="1263"/>
      <c r="I87" s="1263"/>
      <c r="J87" s="1263"/>
      <c r="K87" s="1263"/>
      <c r="L87" s="1263"/>
      <c r="M87" s="1263"/>
      <c r="N87" s="1263"/>
      <c r="O87" s="1263"/>
      <c r="P87" s="1263"/>
      <c r="Q87" s="1263"/>
      <c r="R87" s="1263"/>
      <c r="S87" s="1263"/>
      <c r="T87" s="1263"/>
      <c r="U87" s="1263"/>
      <c r="V87" s="1263"/>
      <c r="W87" s="1263"/>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263"/>
      <c r="AS87" s="1263"/>
      <c r="AT87" s="1263"/>
      <c r="AU87" s="20"/>
      <c r="AV87" s="20"/>
      <c r="AW87" s="20"/>
      <c r="AX87" s="20"/>
      <c r="AY87" s="20"/>
      <c r="AZ87" s="20"/>
      <c r="BD87" s="1247" t="s">
        <v>2581</v>
      </c>
      <c r="BE87" s="1249" t="str">
        <f>Application!O156</f>
        <v>8401 Laguna Palms Way</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Elk Grove</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95758</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Coral Blossom Apartments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3910 Cover Street</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Long Beach</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90808</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Dana Trujillo</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dana@ehghousing.com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dana@ehghousing.com</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t="str">
        <f>Application!M256</f>
        <v>aludwig@hopecoop.org</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peter@ehghousing.com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47754257</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c r="H113" s="1790"/>
      <c r="I113" s="3" t="s">
        <v>181</v>
      </c>
      <c r="L113" s="1790" t="s">
        <v>2748</v>
      </c>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t="s">
        <v>2628</v>
      </c>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2629</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9" t="s">
        <v>469</v>
      </c>
      <c r="CV122" s="1660"/>
      <c r="CW122" s="14"/>
      <c r="CX122" s="14" t="s">
        <v>634</v>
      </c>
      <c r="CY122" s="14"/>
      <c r="CZ122" s="14"/>
      <c r="DA122" s="14"/>
      <c r="DB122" s="14"/>
      <c r="DC122" s="14"/>
      <c r="DD122" s="14"/>
      <c r="DE122" s="14"/>
      <c r="DF122" s="14"/>
      <c r="DG122" s="1656" t="str">
        <f>T189</f>
        <v>Sacramento</v>
      </c>
      <c r="DH122" s="1657"/>
      <c r="DI122" s="1657"/>
      <c r="DJ122" s="1657"/>
      <c r="DK122" s="1657"/>
      <c r="DL122" s="1657"/>
      <c r="DM122" s="1658"/>
    </row>
    <row r="123" spans="1:117" ht="12.95" customHeight="1">
      <c r="A123" s="3"/>
      <c r="B123" s="3"/>
      <c r="T123" s="3"/>
      <c r="U123" s="3"/>
      <c r="V123" s="3"/>
      <c r="W123" s="3"/>
      <c r="X123" s="3"/>
      <c r="Y123" s="1790" t="s">
        <v>2747</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6"/>
      <c r="G150" s="1336"/>
      <c r="H150" s="1336"/>
      <c r="I150" s="1336"/>
      <c r="J150" s="1336"/>
      <c r="K150" s="1336"/>
      <c r="L150" s="1336"/>
      <c r="M150" s="1336"/>
      <c r="N150" s="1336"/>
      <c r="O150" s="1336"/>
      <c r="P150" s="1336"/>
      <c r="Q150" s="1336"/>
      <c r="R150" s="1336"/>
      <c r="S150" s="1336"/>
      <c r="T150" s="133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18" t="s">
        <v>2621</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549" t="s">
        <v>2622</v>
      </c>
      <c r="P154" s="1440"/>
      <c r="Q154" s="1440"/>
      <c r="R154" s="1440"/>
      <c r="S154" s="1440"/>
      <c r="T154" s="1440"/>
      <c r="U154" s="1440"/>
      <c r="V154" s="1440"/>
      <c r="W154" s="1440"/>
      <c r="X154" s="1440"/>
      <c r="Y154" s="1440"/>
      <c r="Z154" s="1440"/>
      <c r="AA154" s="1440"/>
      <c r="AB154" s="1440"/>
      <c r="AC154" s="1440"/>
      <c r="AD154" s="1440"/>
      <c r="AE154" s="1440"/>
      <c r="AF154" s="1440"/>
      <c r="AG154" s="1440"/>
      <c r="AH154" s="1440"/>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3" t="s">
        <v>2623</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8" t="s">
        <v>2614</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3">
        <v>95758</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781" t="s">
        <v>2624</v>
      </c>
      <c r="P159" s="1781"/>
      <c r="Q159" s="1781"/>
      <c r="R159" s="1781"/>
      <c r="S159" s="1781"/>
      <c r="T159" s="1781"/>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781"/>
      <c r="P160" s="1781"/>
      <c r="Q160" s="1781"/>
      <c r="R160" s="1781"/>
      <c r="S160" s="1781"/>
      <c r="T160" s="1781"/>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5" t="s">
        <v>2620</v>
      </c>
      <c r="P161" s="1785"/>
      <c r="Q161" s="1785"/>
      <c r="R161" s="1785"/>
      <c r="S161" s="1785"/>
      <c r="T161" s="1785"/>
      <c r="U161" s="1785"/>
      <c r="V161" s="1785"/>
      <c r="W161" s="1785"/>
      <c r="X161" s="1785"/>
      <c r="Y161" s="1785"/>
      <c r="Z161" s="1785"/>
      <c r="AA161" s="1785"/>
      <c r="AB161" s="1785"/>
      <c r="AC161" s="1785"/>
      <c r="AD161" s="1785"/>
      <c r="AE161" s="1785"/>
      <c r="AF161" s="1785"/>
      <c r="AG161" s="1785"/>
      <c r="AH161" s="1785"/>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3" t="s">
        <v>669</v>
      </c>
      <c r="V175" s="1333"/>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8"/>
      <c r="V176" s="1428"/>
      <c r="W176" s="1" t="s">
        <v>305</v>
      </c>
      <c r="X176" s="1784"/>
      <c r="Y176" s="1784"/>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3"/>
      <c r="S177" s="1333"/>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3"/>
      <c r="AG178" s="1783"/>
      <c r="AH178" s="1" t="s">
        <v>305</v>
      </c>
      <c r="AI178" s="1805"/>
      <c r="AJ178" s="1805"/>
      <c r="AK178" s="1805"/>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3" t="s">
        <v>669</v>
      </c>
      <c r="Y180" s="1333"/>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60" t="str">
        <f>H18</f>
        <v>Coral Blossom Apartments</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50" t="s">
        <v>2615</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4"/>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18" t="s">
        <v>2614</v>
      </c>
      <c r="J189" s="1373"/>
      <c r="K189" s="1373"/>
      <c r="L189" s="1373"/>
      <c r="M189" s="1373"/>
      <c r="N189" s="1373"/>
      <c r="O189" s="1373"/>
      <c r="P189" s="1373"/>
      <c r="Q189" t="s">
        <v>582</v>
      </c>
      <c r="T189" s="1373" t="s">
        <v>68</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50">
        <v>95624</v>
      </c>
      <c r="J190" s="1350"/>
      <c r="K190" s="1350"/>
      <c r="L190" s="1350"/>
      <c r="M190" s="1350"/>
      <c r="N190" s="1350"/>
      <c r="O190" t="s">
        <v>585</v>
      </c>
      <c r="T190" s="1791">
        <v>93.33</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4" t="s">
        <v>2625</v>
      </c>
      <c r="O191" s="1804"/>
      <c r="P191" s="1804"/>
      <c r="Q191" s="1804"/>
      <c r="R191" s="1804"/>
      <c r="S191" s="1804"/>
      <c r="T191" s="1804"/>
      <c r="U191" s="1804"/>
      <c r="V191" s="1804"/>
      <c r="W191" s="1804"/>
      <c r="X191" s="1804"/>
      <c r="Y191" s="1804"/>
      <c r="Z191" s="1804"/>
      <c r="AA191" s="1804"/>
      <c r="AB191" s="1804"/>
      <c r="AC191" s="1804"/>
      <c r="AD191" s="1804"/>
      <c r="AE191" s="180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1938</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3" t="s">
        <v>669</v>
      </c>
      <c r="AI194" s="1333"/>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3" t="s">
        <v>545</v>
      </c>
      <c r="U195" s="1333"/>
      <c r="W195" t="s">
        <v>684</v>
      </c>
      <c r="AH195" s="1333">
        <v>7</v>
      </c>
      <c r="AI195" s="1333"/>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4" t="s">
        <v>669</v>
      </c>
      <c r="U196" s="1404"/>
      <c r="W196" t="s">
        <v>685</v>
      </c>
      <c r="AH196" s="1333">
        <v>10</v>
      </c>
      <c r="AI196" s="1333"/>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4" t="s">
        <v>669</v>
      </c>
      <c r="U197" s="1404"/>
      <c r="W197" t="s">
        <v>686</v>
      </c>
      <c r="AH197" s="1333">
        <v>8</v>
      </c>
      <c r="AI197" s="1333"/>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3" t="s">
        <v>669</v>
      </c>
      <c r="U199" s="1333"/>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333" t="s">
        <v>669</v>
      </c>
      <c r="U200" s="1333"/>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60" t="s">
        <v>384</v>
      </c>
      <c r="E204" s="1360"/>
      <c r="F204" s="1360"/>
      <c r="G204" s="1360"/>
      <c r="H204" s="1360"/>
      <c r="I204" s="1360"/>
      <c r="J204" s="1360"/>
      <c r="K204" s="1360"/>
      <c r="L204" s="1360"/>
      <c r="M204" s="1360"/>
      <c r="P204" s="1803">
        <f>M26</f>
        <v>2216098</v>
      </c>
      <c r="Q204" s="1782"/>
      <c r="R204" s="1782"/>
      <c r="S204" s="1782"/>
      <c r="T204" s="1782"/>
      <c r="U204" s="1782"/>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2" t="s">
        <v>1247</v>
      </c>
      <c r="E205" s="1360"/>
      <c r="F205" s="1360"/>
      <c r="G205" s="1360"/>
      <c r="H205" s="1360"/>
      <c r="I205" s="1360"/>
      <c r="J205" s="1360"/>
      <c r="K205" s="1360"/>
      <c r="L205" s="1360"/>
      <c r="M205" s="1360"/>
      <c r="P205" s="1782">
        <f>M27</f>
        <v>5045179</v>
      </c>
      <c r="Q205" s="1782"/>
      <c r="R205" s="1782"/>
      <c r="S205" s="1782"/>
      <c r="T205" s="1782"/>
      <c r="U205" s="1782"/>
      <c r="V205" s="28"/>
      <c r="W205" s="3" t="s">
        <v>1720</v>
      </c>
      <c r="Z205" s="1810" t="s">
        <v>2220</v>
      </c>
      <c r="AA205" s="1810"/>
      <c r="AB205" s="1810"/>
      <c r="AC205" s="1810"/>
      <c r="AD205" s="1810"/>
      <c r="AE205" s="1810"/>
      <c r="AF205" s="1810"/>
      <c r="AG205" s="1810"/>
      <c r="AH205" s="1810"/>
      <c r="AI205" s="1810"/>
      <c r="AJ205" s="1810"/>
      <c r="AK205" s="1810"/>
      <c r="AL205" s="1810"/>
      <c r="AM205" s="1810"/>
      <c r="AN205" s="1810"/>
      <c r="AP205" s="1336"/>
      <c r="AQ205" s="1336"/>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9" t="s">
        <v>2616</v>
      </c>
      <c r="E208" s="1419"/>
      <c r="F208" s="1419"/>
      <c r="G208" s="1419"/>
      <c r="H208" s="1419"/>
      <c r="I208" s="1419"/>
      <c r="J208" s="1419"/>
      <c r="K208" s="1419"/>
      <c r="L208" s="1419"/>
      <c r="M208" s="1419"/>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9" t="s">
        <v>1043</v>
      </c>
      <c r="E211" s="1419"/>
      <c r="F211" s="1419"/>
      <c r="G211" s="1419"/>
      <c r="H211" s="1419"/>
      <c r="I211" s="1419"/>
      <c r="J211" s="1419"/>
      <c r="K211" s="1419"/>
      <c r="L211" s="1419"/>
      <c r="M211" s="1419"/>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3">
        <v>80</v>
      </c>
      <c r="R212" s="1333"/>
      <c r="T212" s="1797">
        <f>IFERROR(Q212/AG440,0)</f>
        <v>1</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19" t="s">
        <v>1064</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1" t="s">
        <v>2469</v>
      </c>
      <c r="AD220" s="1811"/>
      <c r="AE220" s="1811"/>
      <c r="AF220" s="1811"/>
      <c r="AG220" s="1811"/>
      <c r="AH220" s="1811"/>
      <c r="AI220" s="1811"/>
      <c r="AJ220" s="1811"/>
      <c r="AK220" s="1811"/>
      <c r="AL220" s="1811"/>
      <c r="AM220" s="1811"/>
      <c r="AN220" s="1811"/>
      <c r="AO220" s="1811"/>
      <c r="AP220" s="1811"/>
      <c r="AQ220" s="1811"/>
      <c r="BA220" s="3"/>
      <c r="BC220" t="s">
        <v>299</v>
      </c>
    </row>
    <row r="221" spans="1:108" ht="12.95" customHeight="1">
      <c r="A221" s="2"/>
      <c r="B221" s="14"/>
      <c r="C221" s="2"/>
      <c r="BA221" s="3"/>
    </row>
    <row r="222" spans="1:108" ht="12.95"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2.95"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3" t="s">
        <v>545</v>
      </c>
      <c r="AJ226" s="1333"/>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3"/>
      <c r="AJ227" s="1333"/>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3"/>
      <c r="AJ228" s="1333"/>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3"/>
      <c r="AJ229" s="1333"/>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Coral Blossom Apartments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418" t="s">
        <v>2626</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2.95" customHeight="1">
      <c r="D234" s="4" t="s">
        <v>580</v>
      </c>
      <c r="E234" s="4"/>
      <c r="M234" s="1418" t="s">
        <v>2628</v>
      </c>
      <c r="N234" s="1419"/>
      <c r="O234" s="1419"/>
      <c r="P234" s="1419"/>
      <c r="Q234" s="1419"/>
      <c r="R234" s="1419"/>
      <c r="S234" s="1419"/>
      <c r="T234" s="1419"/>
      <c r="V234" s="33" t="s">
        <v>86</v>
      </c>
      <c r="W234" s="1549" t="s">
        <v>2627</v>
      </c>
      <c r="X234" s="1440"/>
      <c r="Y234" s="4" t="s">
        <v>583</v>
      </c>
      <c r="AC234" s="1419">
        <v>90808</v>
      </c>
      <c r="AD234" s="1419"/>
      <c r="AE234" s="1419"/>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8" t="s">
        <v>2629</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2.95" customHeight="1">
      <c r="D236" s="4" t="s">
        <v>88</v>
      </c>
      <c r="E236" s="4"/>
      <c r="F236" s="4"/>
      <c r="M236" s="1347" t="s">
        <v>2630</v>
      </c>
      <c r="N236" s="1348"/>
      <c r="O236" s="1348"/>
      <c r="P236" s="1348"/>
      <c r="Q236" s="1348"/>
      <c r="R236" s="1348"/>
      <c r="S236" s="4" t="s">
        <v>205</v>
      </c>
      <c r="T236" s="4"/>
      <c r="U236" s="1440">
        <v>101</v>
      </c>
      <c r="V236" s="1440"/>
      <c r="W236" s="1440"/>
      <c r="X236" s="4" t="s">
        <v>89</v>
      </c>
      <c r="Z236" s="1348"/>
      <c r="AA236" s="1348"/>
      <c r="AB236" s="1348"/>
      <c r="AC236" s="1348"/>
      <c r="AD236" s="1348"/>
      <c r="AE236" s="1348"/>
      <c r="AU236" s="4"/>
      <c r="AV236" s="4"/>
      <c r="AW236" s="4"/>
      <c r="AX236" s="4"/>
      <c r="AY236" s="4"/>
      <c r="AZ236" s="4"/>
      <c r="BB236" s="204" t="s">
        <v>537</v>
      </c>
      <c r="BG236" s="241">
        <f>IF(AND(AND($M$249="nonprofit",$M$257="nonprofit",$M$265="(select one)")),1,0)</f>
        <v>0</v>
      </c>
    </row>
    <row r="237" spans="1:59" ht="12.95" customHeight="1">
      <c r="D237" s="4" t="s">
        <v>90</v>
      </c>
      <c r="E237" s="4"/>
      <c r="F237" s="4"/>
      <c r="M237" s="1785" t="s">
        <v>2631</v>
      </c>
      <c r="N237" s="1785"/>
      <c r="O237" s="1785"/>
      <c r="P237" s="1785"/>
      <c r="Q237" s="1785"/>
      <c r="R237" s="1785"/>
      <c r="S237" s="1785"/>
      <c r="T237" s="1785"/>
      <c r="U237" s="1785"/>
      <c r="V237" s="1785"/>
      <c r="W237" s="1785"/>
      <c r="X237" s="1785"/>
      <c r="Y237" s="1785"/>
      <c r="Z237" s="1785"/>
      <c r="AA237" s="1785"/>
      <c r="AB237" s="1785"/>
      <c r="AC237" s="1785"/>
      <c r="AD237" s="1785"/>
      <c r="AE237" s="1785"/>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50" t="s">
        <v>528</v>
      </c>
      <c r="N238" s="1350"/>
      <c r="O238" s="1350"/>
      <c r="P238" s="1350"/>
      <c r="Q238" s="1350"/>
      <c r="R238" s="1350"/>
      <c r="S238" s="1350"/>
      <c r="T238" s="1350"/>
      <c r="U238" s="204" t="s">
        <v>906</v>
      </c>
      <c r="V238" s="204"/>
      <c r="W238" s="204"/>
      <c r="X238" s="204"/>
      <c r="Y238" s="204"/>
      <c r="Z238" s="204"/>
      <c r="AA238" s="1786" t="s">
        <v>2632</v>
      </c>
      <c r="AB238" s="1777"/>
      <c r="AC238" s="1777"/>
      <c r="AD238" s="1777"/>
      <c r="AE238" s="1777"/>
      <c r="AF238" s="1777"/>
      <c r="AG238" s="1777"/>
      <c r="AH238" s="1777"/>
      <c r="AI238" s="1777"/>
      <c r="AJ238" s="1777"/>
      <c r="AK238" s="1777"/>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1" t="s">
        <v>2633</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2634</v>
      </c>
      <c r="AG243" s="1422"/>
      <c r="AH243" s="1422"/>
      <c r="AI243" s="1422"/>
      <c r="AJ243" s="1422"/>
      <c r="AK243" s="142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8" t="s">
        <v>2626</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8" t="s">
        <v>2628</v>
      </c>
      <c r="N245" s="1419"/>
      <c r="O245" s="1419"/>
      <c r="P245" s="1419"/>
      <c r="Q245" s="1419"/>
      <c r="R245" s="1419"/>
      <c r="S245" s="1419"/>
      <c r="T245" s="1419"/>
      <c r="V245" s="33" t="s">
        <v>86</v>
      </c>
      <c r="W245" s="1549" t="s">
        <v>2627</v>
      </c>
      <c r="X245" s="1440"/>
      <c r="Y245" s="4" t="s">
        <v>583</v>
      </c>
      <c r="AC245" s="1419">
        <v>90808</v>
      </c>
      <c r="AD245" s="1419"/>
      <c r="AE245" s="1419"/>
      <c r="AF245" s="3" t="s">
        <v>1180</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8" t="s">
        <v>2629</v>
      </c>
      <c r="N246" s="1419"/>
      <c r="O246" s="1419"/>
      <c r="P246" s="1419"/>
      <c r="Q246" s="1419"/>
      <c r="R246" s="1419"/>
      <c r="S246" s="1419"/>
      <c r="T246" s="1419"/>
      <c r="U246" s="1419"/>
      <c r="V246" s="1419"/>
      <c r="W246" s="1419"/>
      <c r="X246" s="1419"/>
      <c r="Y246" s="1419"/>
      <c r="Z246" s="1419"/>
      <c r="AA246" s="1419"/>
      <c r="AB246" s="1419"/>
      <c r="AC246" s="1419"/>
      <c r="AD246" s="1419"/>
      <c r="AE246" s="1419"/>
      <c r="AH246" s="1779">
        <v>6.8999999999999999E-3</v>
      </c>
      <c r="AI246" s="1779"/>
      <c r="AJ246" s="1779"/>
      <c r="AK246" s="1779"/>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7" t="s">
        <v>2630</v>
      </c>
      <c r="N247" s="1348"/>
      <c r="O247" s="1348"/>
      <c r="P247" s="1348"/>
      <c r="Q247" s="1348"/>
      <c r="R247" s="1348"/>
      <c r="S247" s="4" t="s">
        <v>205</v>
      </c>
      <c r="T247" s="4"/>
      <c r="U247" s="1440">
        <v>101</v>
      </c>
      <c r="V247" s="1440"/>
      <c r="W247" s="1440"/>
      <c r="X247" s="4" t="s">
        <v>89</v>
      </c>
      <c r="Z247" s="1348"/>
      <c r="AA247" s="1348"/>
      <c r="AB247" s="1348"/>
      <c r="AC247" s="1348"/>
      <c r="AD247" s="1348"/>
      <c r="AE247" s="1348"/>
      <c r="AU247" s="4"/>
      <c r="AV247" s="4"/>
      <c r="AW247" s="4"/>
      <c r="AX247" s="4"/>
      <c r="AY247" s="4"/>
      <c r="BG247">
        <v>0</v>
      </c>
      <c r="BH247" s="3" t="str">
        <f>""</f>
        <v/>
      </c>
      <c r="BN247" s="34"/>
    </row>
    <row r="248" spans="1:67" ht="12.95" customHeight="1">
      <c r="A248" s="19"/>
      <c r="B248" s="4"/>
      <c r="C248" s="4"/>
      <c r="D248" s="4" t="s">
        <v>90</v>
      </c>
      <c r="E248" s="4"/>
      <c r="F248" s="4"/>
      <c r="M248" s="1785" t="s">
        <v>2631</v>
      </c>
      <c r="N248" s="1785"/>
      <c r="O248" s="1785"/>
      <c r="P248" s="1785"/>
      <c r="Q248" s="1785"/>
      <c r="R248" s="1785"/>
      <c r="S248" s="1785"/>
      <c r="T248" s="1785"/>
      <c r="U248" s="1785"/>
      <c r="V248" s="1785"/>
      <c r="W248" s="1785"/>
      <c r="X248" s="1785"/>
      <c r="Y248" s="1785"/>
      <c r="Z248" s="1785"/>
      <c r="AA248" s="1785"/>
      <c r="AB248" s="1785"/>
      <c r="AC248" s="1785"/>
      <c r="AD248" s="1785"/>
      <c r="AE248" s="1785"/>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50" t="s">
        <v>536</v>
      </c>
      <c r="N249" s="1350"/>
      <c r="O249" s="1350"/>
      <c r="P249" s="1350"/>
      <c r="Q249" s="1350"/>
      <c r="R249" s="1350"/>
      <c r="S249" s="1350"/>
      <c r="T249" s="1350"/>
      <c r="U249" s="204" t="s">
        <v>906</v>
      </c>
      <c r="V249" s="204"/>
      <c r="W249" s="204"/>
      <c r="X249" s="204"/>
      <c r="Y249" s="204"/>
      <c r="Z249" s="204"/>
      <c r="AA249" s="1786" t="s">
        <v>2632</v>
      </c>
      <c r="AB249" s="1777"/>
      <c r="AC249" s="1777"/>
      <c r="AD249" s="1777"/>
      <c r="AE249" s="1777"/>
      <c r="AF249" s="1777"/>
      <c r="AG249" s="1777"/>
      <c r="AH249" s="1777"/>
      <c r="AI249" s="1777"/>
      <c r="AJ249" s="1777"/>
      <c r="AK249" s="1777"/>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1" t="s">
        <v>2635</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2734</v>
      </c>
      <c r="AG251" s="1422"/>
      <c r="AH251" s="1422"/>
      <c r="AI251" s="1422"/>
      <c r="AJ251" s="1422"/>
      <c r="AK251" s="1422"/>
      <c r="AU251" s="4"/>
      <c r="AV251" s="4"/>
      <c r="AW251" s="4"/>
      <c r="AX251" s="4"/>
      <c r="AY251" s="4"/>
      <c r="BN251" s="34"/>
    </row>
    <row r="252" spans="1:67" ht="12.95" customHeight="1">
      <c r="A252" s="19"/>
      <c r="B252" s="4"/>
      <c r="C252" s="4"/>
      <c r="D252" s="4" t="s">
        <v>85</v>
      </c>
      <c r="E252" s="4"/>
      <c r="F252" s="4"/>
      <c r="G252" s="4"/>
      <c r="H252" s="4"/>
      <c r="I252" s="4"/>
      <c r="J252" s="4"/>
      <c r="K252" s="4"/>
      <c r="L252" s="4"/>
      <c r="M252" s="1418" t="s">
        <v>2636</v>
      </c>
      <c r="N252" s="1418"/>
      <c r="O252" s="1418"/>
      <c r="P252" s="1418"/>
      <c r="Q252" s="1418"/>
      <c r="R252" s="1418"/>
      <c r="S252" s="1418"/>
      <c r="T252" s="1418"/>
      <c r="U252" s="1418"/>
      <c r="V252" s="1418"/>
      <c r="W252" s="1418"/>
      <c r="X252" s="1418"/>
      <c r="Y252" s="1418"/>
      <c r="Z252" s="1418"/>
      <c r="AA252" s="1418"/>
      <c r="AB252" s="1418"/>
      <c r="AC252" s="1418"/>
      <c r="AD252" s="1418"/>
      <c r="AE252" s="1418"/>
      <c r="AF252" s="3" t="s">
        <v>1179</v>
      </c>
      <c r="AL252" s="4"/>
      <c r="AM252" s="4"/>
      <c r="AN252" s="4"/>
      <c r="AO252" s="4"/>
      <c r="AP252" s="4"/>
      <c r="AQ252" s="4"/>
      <c r="AR252" s="4"/>
      <c r="AS252" s="4"/>
      <c r="AT252" s="4"/>
      <c r="BN252" s="34"/>
    </row>
    <row r="253" spans="1:67" ht="12.95" customHeight="1">
      <c r="A253" s="19"/>
      <c r="B253" s="4"/>
      <c r="C253" s="4"/>
      <c r="D253" s="4" t="s">
        <v>580</v>
      </c>
      <c r="E253" s="4"/>
      <c r="M253" s="1418" t="s">
        <v>68</v>
      </c>
      <c r="N253" s="1419"/>
      <c r="O253" s="1419"/>
      <c r="P253" s="1419"/>
      <c r="Q253" s="1419"/>
      <c r="R253" s="1419"/>
      <c r="S253" s="1419"/>
      <c r="T253" s="1419"/>
      <c r="V253" s="33" t="s">
        <v>86</v>
      </c>
      <c r="W253" s="1549" t="s">
        <v>2627</v>
      </c>
      <c r="X253" s="1440"/>
      <c r="Y253" s="4" t="s">
        <v>583</v>
      </c>
      <c r="AC253" s="1419">
        <v>95825</v>
      </c>
      <c r="AD253" s="1419"/>
      <c r="AE253" s="1419"/>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8" t="s">
        <v>2637</v>
      </c>
      <c r="N254" s="1419"/>
      <c r="O254" s="1419"/>
      <c r="P254" s="1419"/>
      <c r="Q254" s="1419"/>
      <c r="R254" s="1419"/>
      <c r="S254" s="1419"/>
      <c r="T254" s="1419"/>
      <c r="U254" s="1419"/>
      <c r="V254" s="1419"/>
      <c r="W254" s="1419"/>
      <c r="X254" s="1419"/>
      <c r="Y254" s="1419"/>
      <c r="Z254" s="1419"/>
      <c r="AA254" s="1419"/>
      <c r="AB254" s="1419"/>
      <c r="AC254" s="1419"/>
      <c r="AD254" s="1419"/>
      <c r="AE254" s="1419"/>
      <c r="AH254" s="1779">
        <v>3.0999999999999999E-3</v>
      </c>
      <c r="AI254" s="1779"/>
      <c r="AJ254" s="1779"/>
      <c r="AK254" s="1779"/>
      <c r="AL254" s="4"/>
      <c r="AM254" s="4"/>
      <c r="AN254" s="4"/>
      <c r="AO254" s="4"/>
      <c r="AP254" s="4"/>
      <c r="AQ254" s="4"/>
      <c r="AR254" s="4"/>
      <c r="AS254" s="4"/>
      <c r="AT254" s="4"/>
    </row>
    <row r="255" spans="1:67" ht="12.95" customHeight="1">
      <c r="A255" s="19"/>
      <c r="B255" s="4"/>
      <c r="C255" s="4"/>
      <c r="D255" s="4" t="s">
        <v>88</v>
      </c>
      <c r="E255" s="4"/>
      <c r="F255" s="4"/>
      <c r="M255" s="1347" t="s">
        <v>2735</v>
      </c>
      <c r="N255" s="1348"/>
      <c r="O255" s="1348"/>
      <c r="P255" s="1348"/>
      <c r="Q255" s="1348"/>
      <c r="R255" s="1348"/>
      <c r="S255" s="4" t="s">
        <v>205</v>
      </c>
      <c r="T255" s="4"/>
      <c r="U255" s="1440"/>
      <c r="V255" s="1440"/>
      <c r="W255" s="1440"/>
      <c r="X255" s="4" t="s">
        <v>89</v>
      </c>
      <c r="Z255" s="1348"/>
      <c r="AA255" s="1348"/>
      <c r="AB255" s="1348"/>
      <c r="AC255" s="1348"/>
      <c r="AD255" s="1348"/>
      <c r="AE255" s="1348"/>
      <c r="AU255" s="4"/>
      <c r="AV255" s="4"/>
      <c r="AW255" s="4"/>
      <c r="AX255" s="4"/>
      <c r="AY255" s="4"/>
      <c r="BN255" s="34"/>
    </row>
    <row r="256" spans="1:67" ht="12.95" customHeight="1">
      <c r="A256" s="19"/>
      <c r="B256" s="4"/>
      <c r="C256" s="4"/>
      <c r="D256" s="4" t="s">
        <v>90</v>
      </c>
      <c r="E256" s="4"/>
      <c r="F256" s="4"/>
      <c r="M256" s="1785" t="s">
        <v>2736</v>
      </c>
      <c r="N256" s="1785"/>
      <c r="O256" s="1785"/>
      <c r="P256" s="1785"/>
      <c r="Q256" s="1785"/>
      <c r="R256" s="1785"/>
      <c r="S256" s="1785"/>
      <c r="T256" s="1785"/>
      <c r="U256" s="1785"/>
      <c r="V256" s="1785"/>
      <c r="W256" s="1785"/>
      <c r="X256" s="1785"/>
      <c r="Y256" s="1785"/>
      <c r="Z256" s="1785"/>
      <c r="AA256" s="1785"/>
      <c r="AB256" s="1785"/>
      <c r="AC256" s="1785"/>
      <c r="AD256" s="1785"/>
      <c r="AE256" s="1785"/>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50" t="s">
        <v>534</v>
      </c>
      <c r="N257" s="1350"/>
      <c r="O257" s="1350"/>
      <c r="P257" s="1350"/>
      <c r="Q257" s="1350"/>
      <c r="R257" s="1350"/>
      <c r="S257" s="1350"/>
      <c r="T257" s="1350"/>
      <c r="U257" s="204" t="s">
        <v>906</v>
      </c>
      <c r="V257" s="204"/>
      <c r="W257" s="204"/>
      <c r="X257" s="204"/>
      <c r="Y257" s="204"/>
      <c r="Z257" s="204"/>
      <c r="AA257" s="1777"/>
      <c r="AB257" s="1777"/>
      <c r="AC257" s="1777"/>
      <c r="AD257" s="1777"/>
      <c r="AE257" s="1777"/>
      <c r="AF257" s="1777"/>
      <c r="AG257" s="1777"/>
      <c r="AH257" s="1777"/>
      <c r="AI257" s="1777"/>
      <c r="AJ257" s="1777"/>
      <c r="AK257" s="1777"/>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306</v>
      </c>
      <c r="AG259" s="1422"/>
      <c r="AH259" s="1422"/>
      <c r="AI259" s="1422"/>
      <c r="AJ259" s="1422"/>
      <c r="AK259" s="142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9"/>
      <c r="N261" s="1419"/>
      <c r="O261" s="1419"/>
      <c r="P261" s="1419"/>
      <c r="Q261" s="1419"/>
      <c r="R261" s="1419"/>
      <c r="S261" s="1419"/>
      <c r="T261" s="1419"/>
      <c r="V261" s="33" t="s">
        <v>86</v>
      </c>
      <c r="W261" s="1440"/>
      <c r="X261" s="1440"/>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79"/>
      <c r="AI262" s="1779"/>
      <c r="AJ262" s="1779"/>
      <c r="AK262" s="1779"/>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8"/>
      <c r="N263" s="1348"/>
      <c r="O263" s="1348"/>
      <c r="P263" s="1348"/>
      <c r="Q263" s="1348"/>
      <c r="R263" s="1348"/>
      <c r="S263" s="4" t="s">
        <v>205</v>
      </c>
      <c r="T263" s="4"/>
      <c r="U263" s="1440"/>
      <c r="V263" s="1440"/>
      <c r="W263" s="1440"/>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5"/>
      <c r="N264" s="1785"/>
      <c r="O264" s="1785"/>
      <c r="P264" s="1785"/>
      <c r="Q264" s="1785"/>
      <c r="R264" s="1785"/>
      <c r="S264" s="1785"/>
      <c r="T264" s="1785"/>
      <c r="U264" s="1785"/>
      <c r="V264" s="1785"/>
      <c r="W264" s="1785"/>
      <c r="X264" s="1785"/>
      <c r="Y264" s="1785"/>
      <c r="Z264" s="1785"/>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50" t="s">
        <v>306</v>
      </c>
      <c r="N265" s="1350"/>
      <c r="O265" s="1350"/>
      <c r="P265" s="1350"/>
      <c r="Q265" s="1350"/>
      <c r="R265" s="1350"/>
      <c r="S265" s="1350"/>
      <c r="T265" s="1350"/>
      <c r="U265" s="204" t="s">
        <v>906</v>
      </c>
      <c r="V265" s="204"/>
      <c r="W265" s="204"/>
      <c r="X265" s="204"/>
      <c r="Y265" s="204"/>
      <c r="Z265" s="204"/>
      <c r="AA265" s="1778"/>
      <c r="AB265" s="1778"/>
      <c r="AC265" s="1778"/>
      <c r="AD265" s="1778"/>
      <c r="AE265" s="1778"/>
      <c r="AF265" s="1778"/>
      <c r="AG265" s="1778"/>
      <c r="AH265" s="1778"/>
      <c r="AI265" s="1778"/>
      <c r="AJ265" s="1778"/>
      <c r="AK265" s="1778"/>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0" t="str">
        <f>IFERROR(BO245,"")</f>
        <v>Joint Venture</v>
      </c>
      <c r="U267" s="1780"/>
      <c r="V267" s="1780"/>
      <c r="W267" s="1780"/>
      <c r="X267" s="1780"/>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9" t="s">
        <v>279</v>
      </c>
      <c r="E270" s="1419"/>
      <c r="F270" s="1419"/>
      <c r="G270" s="1419"/>
      <c r="H270" s="1419"/>
      <c r="J270" t="s">
        <v>278</v>
      </c>
      <c r="X270" s="1693"/>
      <c r="Y270" s="1693"/>
      <c r="Z270" s="1693"/>
      <c r="AA270" s="1693"/>
      <c r="AB270" s="1693"/>
      <c r="AC270" s="1693"/>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21" t="s">
        <v>2632</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8" t="s">
        <v>2626</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2.95" customHeight="1">
      <c r="D276" s="4" t="s">
        <v>580</v>
      </c>
      <c r="E276" s="4"/>
      <c r="L276" s="1418" t="s">
        <v>2628</v>
      </c>
      <c r="M276" s="1419"/>
      <c r="N276" s="1419"/>
      <c r="O276" s="1419"/>
      <c r="P276" s="1419"/>
      <c r="Q276" s="1419"/>
      <c r="R276" s="1419"/>
      <c r="S276" s="1419"/>
      <c r="U276" s="33" t="s">
        <v>86</v>
      </c>
      <c r="V276" s="1549" t="s">
        <v>2627</v>
      </c>
      <c r="W276" s="1440"/>
      <c r="X276" s="4" t="s">
        <v>583</v>
      </c>
      <c r="AB276" s="1419">
        <v>90808</v>
      </c>
      <c r="AC276" s="1419"/>
      <c r="AD276" s="1419"/>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8" t="s">
        <v>2638</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2.95" customHeight="1">
      <c r="D278" s="4" t="s">
        <v>88</v>
      </c>
      <c r="E278" s="4"/>
      <c r="F278" s="4"/>
      <c r="L278" s="1347" t="s">
        <v>2630</v>
      </c>
      <c r="M278" s="1348"/>
      <c r="N278" s="1348"/>
      <c r="O278" s="1348"/>
      <c r="P278" s="1348"/>
      <c r="Q278" s="1348"/>
      <c r="R278" s="4" t="s">
        <v>205</v>
      </c>
      <c r="S278" s="4"/>
      <c r="T278" s="1440">
        <v>103</v>
      </c>
      <c r="U278" s="1440"/>
      <c r="V278" s="1440"/>
      <c r="W278" s="4" t="s">
        <v>89</v>
      </c>
      <c r="Y278" s="1348"/>
      <c r="Z278" s="1348"/>
      <c r="AA278" s="1348"/>
      <c r="AB278" s="1348"/>
      <c r="AC278" s="1348"/>
      <c r="AD278" s="1348"/>
    </row>
    <row r="279" spans="1:51" ht="12.95" customHeight="1">
      <c r="D279" s="4" t="s">
        <v>90</v>
      </c>
      <c r="E279" s="4"/>
      <c r="F279" s="4"/>
      <c r="L279" s="1785" t="s">
        <v>2639</v>
      </c>
      <c r="M279" s="1785"/>
      <c r="N279" s="1785"/>
      <c r="O279" s="1785"/>
      <c r="P279" s="1785"/>
      <c r="Q279" s="1785"/>
      <c r="R279" s="1785"/>
      <c r="S279" s="1785"/>
      <c r="T279" s="1785"/>
      <c r="U279" s="1785"/>
      <c r="V279" s="1785"/>
      <c r="W279" s="1785"/>
      <c r="X279" s="1785"/>
      <c r="Y279" s="1785"/>
      <c r="Z279" s="1785"/>
      <c r="AA279" s="1785"/>
      <c r="AB279" s="1785"/>
      <c r="AC279" s="1785"/>
      <c r="AD279" s="1785"/>
      <c r="AF279" s="4"/>
      <c r="AG279" s="4"/>
      <c r="AH279" s="4"/>
      <c r="AI279" s="4"/>
      <c r="AJ279" s="4"/>
      <c r="AU279" s="3"/>
      <c r="AV279" s="3"/>
      <c r="AW279" s="3"/>
      <c r="AX279" s="3"/>
      <c r="AY279" s="3"/>
    </row>
    <row r="280" spans="1:51" ht="12.95" customHeight="1">
      <c r="D280" s="3" t="s">
        <v>623</v>
      </c>
      <c r="E280" s="3"/>
      <c r="F280" s="3"/>
      <c r="G280" s="3"/>
      <c r="H280" s="3"/>
      <c r="I280" s="3"/>
      <c r="L280" s="1549" t="s">
        <v>2640</v>
      </c>
      <c r="M280" s="1549"/>
      <c r="N280" s="1549"/>
      <c r="O280" s="1549"/>
      <c r="P280" s="1549"/>
      <c r="Q280" s="1549"/>
      <c r="R280" s="1549"/>
      <c r="S280" s="1549"/>
      <c r="T280" s="1549"/>
      <c r="U280" s="1549"/>
      <c r="V280" s="1549"/>
      <c r="W280" s="1549"/>
      <c r="X280" s="1549"/>
      <c r="Y280" s="1549"/>
      <c r="Z280" s="1549"/>
      <c r="AA280" s="1549"/>
      <c r="AB280" s="1549"/>
      <c r="AC280" s="1549"/>
      <c r="AD280" s="1549"/>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2.95"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3" t="s">
        <v>2632</v>
      </c>
      <c r="I287" s="1373"/>
      <c r="J287" s="1373"/>
      <c r="K287" s="1373"/>
      <c r="L287" s="1373"/>
      <c r="M287" s="1373"/>
      <c r="N287" s="1373"/>
      <c r="O287" s="1373"/>
      <c r="P287" s="1373"/>
      <c r="Q287" s="1373"/>
      <c r="R287" s="1373"/>
      <c r="T287" s="3" t="s">
        <v>567</v>
      </c>
      <c r="V287" s="3"/>
      <c r="W287" s="3"/>
      <c r="X287" s="3"/>
      <c r="Y287" s="3"/>
      <c r="AA287" s="1373" t="s">
        <v>2647</v>
      </c>
      <c r="AB287" s="1373"/>
      <c r="AC287" s="1373"/>
      <c r="AD287" s="1373"/>
      <c r="AE287" s="1373"/>
      <c r="AF287" s="1373"/>
      <c r="AG287" s="1373"/>
      <c r="AH287" s="1373"/>
      <c r="AI287" s="1373"/>
      <c r="AJ287" s="1373"/>
      <c r="AK287" s="1373"/>
    </row>
    <row r="288" spans="1:51" ht="12.95" customHeight="1">
      <c r="B288" s="3" t="s">
        <v>471</v>
      </c>
      <c r="C288" s="3"/>
      <c r="D288" s="3"/>
      <c r="E288" s="3"/>
      <c r="F288" s="3"/>
      <c r="H288" s="1350" t="s">
        <v>2626</v>
      </c>
      <c r="I288" s="1350"/>
      <c r="J288" s="1350"/>
      <c r="K288" s="1350"/>
      <c r="L288" s="1350"/>
      <c r="M288" s="1350"/>
      <c r="N288" s="1350"/>
      <c r="O288" s="1350"/>
      <c r="P288" s="1350"/>
      <c r="Q288" s="1350"/>
      <c r="R288" s="1350"/>
      <c r="T288" s="3" t="s">
        <v>471</v>
      </c>
      <c r="V288" s="3"/>
      <c r="W288" s="3"/>
      <c r="X288" s="3"/>
      <c r="Y288" s="3"/>
      <c r="AA288" s="1350" t="s">
        <v>2644</v>
      </c>
      <c r="AB288" s="1350"/>
      <c r="AC288" s="1350"/>
      <c r="AD288" s="1350"/>
      <c r="AE288" s="1350"/>
      <c r="AF288" s="1350"/>
      <c r="AG288" s="1350"/>
      <c r="AH288" s="1350"/>
      <c r="AI288" s="1350"/>
      <c r="AJ288" s="1350"/>
      <c r="AK288" s="1350"/>
    </row>
    <row r="289" spans="2:37" ht="12.95" customHeight="1">
      <c r="B289" s="3" t="s">
        <v>472</v>
      </c>
      <c r="C289" s="3"/>
      <c r="D289" s="3"/>
      <c r="E289" s="3"/>
      <c r="F289" s="3"/>
      <c r="H289" s="1350" t="s">
        <v>2641</v>
      </c>
      <c r="I289" s="1350"/>
      <c r="J289" s="1350"/>
      <c r="K289" s="1350"/>
      <c r="L289" s="1350"/>
      <c r="M289" s="1350"/>
      <c r="N289" s="1350"/>
      <c r="O289" s="1350"/>
      <c r="P289" s="1350"/>
      <c r="Q289" s="1350"/>
      <c r="R289" s="1350"/>
      <c r="T289" s="3" t="s">
        <v>75</v>
      </c>
      <c r="V289" s="3"/>
      <c r="W289" s="3"/>
      <c r="X289" s="3"/>
      <c r="Y289" s="3"/>
      <c r="AA289" s="1350" t="s">
        <v>2645</v>
      </c>
      <c r="AB289" s="1350"/>
      <c r="AC289" s="1350"/>
      <c r="AD289" s="1350"/>
      <c r="AE289" s="1350"/>
      <c r="AF289" s="1350"/>
      <c r="AG289" s="1350"/>
      <c r="AH289" s="1350"/>
      <c r="AI289" s="1350"/>
      <c r="AJ289" s="1350"/>
      <c r="AK289" s="1350"/>
    </row>
    <row r="290" spans="2:37" ht="12.95" customHeight="1">
      <c r="B290" s="3" t="s">
        <v>87</v>
      </c>
      <c r="C290" s="3"/>
      <c r="D290" s="3"/>
      <c r="E290" s="3"/>
      <c r="F290" s="3"/>
      <c r="H290" s="1350" t="s">
        <v>2629</v>
      </c>
      <c r="I290" s="1350"/>
      <c r="J290" s="1350"/>
      <c r="K290" s="1350"/>
      <c r="L290" s="1350"/>
      <c r="M290" s="1350"/>
      <c r="N290" s="1350"/>
      <c r="O290" s="1350"/>
      <c r="P290" s="1350"/>
      <c r="Q290" s="1350"/>
      <c r="R290" s="1350"/>
      <c r="T290" s="3" t="s">
        <v>87</v>
      </c>
      <c r="V290" s="3"/>
      <c r="W290" s="3"/>
      <c r="X290" s="3"/>
      <c r="Y290" s="3"/>
      <c r="AA290" s="1350" t="s">
        <v>2642</v>
      </c>
      <c r="AB290" s="1350"/>
      <c r="AC290" s="1350"/>
      <c r="AD290" s="1350"/>
      <c r="AE290" s="1350"/>
      <c r="AF290" s="1350"/>
      <c r="AG290" s="1350"/>
      <c r="AH290" s="1350"/>
      <c r="AI290" s="1350"/>
      <c r="AJ290" s="1350"/>
      <c r="AK290" s="1350"/>
    </row>
    <row r="291" spans="2:37" ht="12.95" customHeight="1">
      <c r="B291" s="3" t="s">
        <v>88</v>
      </c>
      <c r="C291" s="3"/>
      <c r="D291" s="3"/>
      <c r="E291" s="3"/>
      <c r="F291" s="3"/>
      <c r="G291" s="3"/>
      <c r="H291" s="1425" t="s">
        <v>2630</v>
      </c>
      <c r="I291" s="1426"/>
      <c r="J291" s="1426"/>
      <c r="K291" s="1426"/>
      <c r="L291" s="1426"/>
      <c r="M291" s="1426"/>
      <c r="N291" s="4" t="s">
        <v>205</v>
      </c>
      <c r="O291" s="4"/>
      <c r="P291" s="1419">
        <v>101</v>
      </c>
      <c r="Q291" s="1419"/>
      <c r="R291" s="1419"/>
      <c r="S291" s="3"/>
      <c r="T291" s="3" t="s">
        <v>88</v>
      </c>
      <c r="V291" s="3"/>
      <c r="W291" s="3"/>
      <c r="X291" s="3"/>
      <c r="Y291" s="3"/>
      <c r="AA291" s="1425" t="s">
        <v>2643</v>
      </c>
      <c r="AB291" s="1426"/>
      <c r="AC291" s="1426"/>
      <c r="AD291" s="1426"/>
      <c r="AE291" s="1426"/>
      <c r="AF291" s="1426"/>
      <c r="AG291" s="4" t="s">
        <v>205</v>
      </c>
      <c r="AH291" s="4"/>
      <c r="AI291" s="1419"/>
      <c r="AJ291" s="1419"/>
      <c r="AK291" s="1419"/>
    </row>
    <row r="292" spans="2:37" ht="12.95"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2.95" customHeight="1">
      <c r="B293" s="3" t="s">
        <v>76</v>
      </c>
      <c r="C293" s="3"/>
      <c r="D293" s="3"/>
      <c r="E293" s="3"/>
      <c r="F293" s="3"/>
      <c r="G293" s="3"/>
      <c r="H293" s="1350" t="s">
        <v>2631</v>
      </c>
      <c r="I293" s="1350"/>
      <c r="J293" s="1350"/>
      <c r="K293" s="1350"/>
      <c r="L293" s="1350"/>
      <c r="M293" s="1350"/>
      <c r="N293" s="1373"/>
      <c r="O293" s="1373"/>
      <c r="P293" s="1373"/>
      <c r="Q293" s="1373"/>
      <c r="R293" s="1373"/>
      <c r="S293" s="3"/>
      <c r="T293" s="3" t="s">
        <v>76</v>
      </c>
      <c r="V293" s="3"/>
      <c r="W293" s="3"/>
      <c r="X293" s="3"/>
      <c r="Y293" s="3"/>
      <c r="AA293" s="1350" t="s">
        <v>2646</v>
      </c>
      <c r="AB293" s="1350"/>
      <c r="AC293" s="1350"/>
      <c r="AD293" s="1350"/>
      <c r="AE293" s="1350"/>
      <c r="AF293" s="1350"/>
      <c r="AG293" s="1373"/>
      <c r="AH293" s="1373"/>
      <c r="AI293" s="1373"/>
      <c r="AJ293" s="1373"/>
      <c r="AK293" s="1373"/>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418" t="s">
        <v>2648</v>
      </c>
      <c r="I295" s="1373"/>
      <c r="J295" s="1373"/>
      <c r="K295" s="1373"/>
      <c r="L295" s="1373"/>
      <c r="M295" s="1373"/>
      <c r="N295" s="1373"/>
      <c r="O295" s="1373"/>
      <c r="P295" s="1373"/>
      <c r="Q295" s="1373"/>
      <c r="R295" s="1373"/>
      <c r="T295" s="3" t="s">
        <v>363</v>
      </c>
      <c r="V295" s="3"/>
      <c r="W295" s="3"/>
      <c r="X295" s="3"/>
      <c r="Y295" s="3"/>
      <c r="AA295" s="1373" t="s">
        <v>2711</v>
      </c>
      <c r="AB295" s="1373"/>
      <c r="AC295" s="1373"/>
      <c r="AD295" s="1373"/>
      <c r="AE295" s="1373"/>
      <c r="AF295" s="1373"/>
      <c r="AG295" s="1373"/>
      <c r="AH295" s="1373"/>
      <c r="AI295" s="1373"/>
      <c r="AJ295" s="1373"/>
      <c r="AK295" s="1373"/>
    </row>
    <row r="296" spans="2:37" ht="12.95" customHeight="1">
      <c r="B296" s="3" t="s">
        <v>471</v>
      </c>
      <c r="C296" s="3"/>
      <c r="D296" s="3"/>
      <c r="E296" s="3"/>
      <c r="F296" s="3"/>
      <c r="H296" s="1549" t="s">
        <v>2649</v>
      </c>
      <c r="I296" s="1350"/>
      <c r="J296" s="1350"/>
      <c r="K296" s="1350"/>
      <c r="L296" s="1350"/>
      <c r="M296" s="1350"/>
      <c r="N296" s="1350"/>
      <c r="O296" s="1350"/>
      <c r="P296" s="1350"/>
      <c r="Q296" s="1350"/>
      <c r="R296" s="1350"/>
      <c r="T296" s="3" t="s">
        <v>471</v>
      </c>
      <c r="V296" s="3"/>
      <c r="W296" s="3"/>
      <c r="X296" s="3"/>
      <c r="Y296" s="3"/>
      <c r="AA296" s="1350" t="s">
        <v>2712</v>
      </c>
      <c r="AB296" s="1350"/>
      <c r="AC296" s="1350"/>
      <c r="AD296" s="1350"/>
      <c r="AE296" s="1350"/>
      <c r="AF296" s="1350"/>
      <c r="AG296" s="1350"/>
      <c r="AH296" s="1350"/>
      <c r="AI296" s="1350"/>
      <c r="AJ296" s="1350"/>
      <c r="AK296" s="1350"/>
    </row>
    <row r="297" spans="2:37" ht="12.95" customHeight="1">
      <c r="B297" s="3" t="s">
        <v>472</v>
      </c>
      <c r="C297" s="3"/>
      <c r="D297" s="3"/>
      <c r="E297" s="3"/>
      <c r="F297" s="3"/>
      <c r="H297" s="1549" t="s">
        <v>2650</v>
      </c>
      <c r="I297" s="1350"/>
      <c r="J297" s="1350"/>
      <c r="K297" s="1350"/>
      <c r="L297" s="1350"/>
      <c r="M297" s="1350"/>
      <c r="N297" s="1350"/>
      <c r="O297" s="1350"/>
      <c r="P297" s="1350"/>
      <c r="Q297" s="1350"/>
      <c r="R297" s="1350"/>
      <c r="T297" s="3" t="s">
        <v>75</v>
      </c>
      <c r="V297" s="3"/>
      <c r="W297" s="3"/>
      <c r="X297" s="3"/>
      <c r="Y297" s="3"/>
      <c r="AA297" s="1350" t="s">
        <v>2713</v>
      </c>
      <c r="AB297" s="1350"/>
      <c r="AC297" s="1350"/>
      <c r="AD297" s="1350"/>
      <c r="AE297" s="1350"/>
      <c r="AF297" s="1350"/>
      <c r="AG297" s="1350"/>
      <c r="AH297" s="1350"/>
      <c r="AI297" s="1350"/>
      <c r="AJ297" s="1350"/>
      <c r="AK297" s="1350"/>
    </row>
    <row r="298" spans="2:37" ht="12.95" customHeight="1">
      <c r="B298" s="3" t="s">
        <v>87</v>
      </c>
      <c r="C298" s="3"/>
      <c r="D298" s="3"/>
      <c r="E298" s="3"/>
      <c r="F298" s="3"/>
      <c r="H298" s="1549" t="s">
        <v>2651</v>
      </c>
      <c r="I298" s="1350"/>
      <c r="J298" s="1350"/>
      <c r="K298" s="1350"/>
      <c r="L298" s="1350"/>
      <c r="M298" s="1350"/>
      <c r="N298" s="1350"/>
      <c r="O298" s="1350"/>
      <c r="P298" s="1350"/>
      <c r="Q298" s="1350"/>
      <c r="R298" s="1350"/>
      <c r="T298" s="3" t="s">
        <v>87</v>
      </c>
      <c r="V298" s="3"/>
      <c r="W298" s="3"/>
      <c r="X298" s="3"/>
      <c r="Y298" s="3"/>
      <c r="AA298" s="1350" t="s">
        <v>2714</v>
      </c>
      <c r="AB298" s="1350"/>
      <c r="AC298" s="1350"/>
      <c r="AD298" s="1350"/>
      <c r="AE298" s="1350"/>
      <c r="AF298" s="1350"/>
      <c r="AG298" s="1350"/>
      <c r="AH298" s="1350"/>
      <c r="AI298" s="1350"/>
      <c r="AJ298" s="1350"/>
      <c r="AK298" s="1350"/>
    </row>
    <row r="299" spans="2:37" ht="12.95" customHeight="1">
      <c r="B299" s="3" t="s">
        <v>88</v>
      </c>
      <c r="C299" s="3"/>
      <c r="D299" s="3"/>
      <c r="E299" s="3"/>
      <c r="F299" s="3"/>
      <c r="G299" s="3"/>
      <c r="H299" s="1425" t="s">
        <v>2656</v>
      </c>
      <c r="I299" s="1425"/>
      <c r="J299" s="1425"/>
      <c r="K299" s="1425"/>
      <c r="L299" s="1425"/>
      <c r="M299" s="1425"/>
      <c r="N299" s="4" t="s">
        <v>205</v>
      </c>
      <c r="O299" s="4"/>
      <c r="P299" s="1419"/>
      <c r="Q299" s="1419"/>
      <c r="R299" s="1419"/>
      <c r="S299" s="3"/>
      <c r="T299" s="3" t="s">
        <v>88</v>
      </c>
      <c r="V299" s="3"/>
      <c r="W299" s="3"/>
      <c r="X299" s="3"/>
      <c r="Y299" s="3"/>
      <c r="AA299" s="1425" t="s">
        <v>2715</v>
      </c>
      <c r="AB299" s="1426"/>
      <c r="AC299" s="1426"/>
      <c r="AD299" s="1426"/>
      <c r="AE299" s="1426"/>
      <c r="AF299" s="1426"/>
      <c r="AG299" s="4" t="s">
        <v>205</v>
      </c>
      <c r="AH299" s="4"/>
      <c r="AI299" s="1419">
        <v>3063</v>
      </c>
      <c r="AJ299" s="1419"/>
      <c r="AK299" s="1419"/>
    </row>
    <row r="300" spans="2:37" ht="12.95" customHeight="1">
      <c r="B300" s="3" t="s">
        <v>89</v>
      </c>
      <c r="C300" s="3"/>
      <c r="D300" s="3"/>
      <c r="E300" s="3"/>
      <c r="F300" s="3"/>
      <c r="G300" s="3"/>
      <c r="H300" s="1347"/>
      <c r="I300" s="1347"/>
      <c r="J300" s="1347"/>
      <c r="K300" s="1347"/>
      <c r="L300" s="1347"/>
      <c r="M300" s="1347"/>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2.95" customHeight="1">
      <c r="B301" s="3" t="s">
        <v>76</v>
      </c>
      <c r="C301" s="3"/>
      <c r="D301" s="3"/>
      <c r="E301" s="3"/>
      <c r="F301" s="3"/>
      <c r="G301" s="3"/>
      <c r="H301" s="1549" t="s">
        <v>2657</v>
      </c>
      <c r="I301" s="1350"/>
      <c r="J301" s="1350"/>
      <c r="K301" s="1350"/>
      <c r="L301" s="1350"/>
      <c r="M301" s="1350"/>
      <c r="N301" s="1373"/>
      <c r="O301" s="1373"/>
      <c r="P301" s="1373"/>
      <c r="Q301" s="1373"/>
      <c r="R301" s="1373"/>
      <c r="S301" s="3"/>
      <c r="T301" s="3" t="s">
        <v>76</v>
      </c>
      <c r="V301" s="3"/>
      <c r="W301" s="3"/>
      <c r="X301" s="3"/>
      <c r="Y301" s="3"/>
      <c r="AA301" s="1350" t="s">
        <v>2716</v>
      </c>
      <c r="AB301" s="1350"/>
      <c r="AC301" s="1350"/>
      <c r="AD301" s="1350"/>
      <c r="AE301" s="1350"/>
      <c r="AF301" s="1350"/>
      <c r="AG301" s="1373"/>
      <c r="AH301" s="1373"/>
      <c r="AI301" s="1373"/>
      <c r="AJ301" s="1373"/>
      <c r="AK301" s="1373"/>
    </row>
    <row r="302" spans="2:37" ht="12.95" customHeight="1"/>
    <row r="303" spans="2:37" ht="12.95" customHeight="1">
      <c r="B303" s="3" t="s">
        <v>77</v>
      </c>
      <c r="C303" s="3"/>
      <c r="D303" s="3"/>
      <c r="E303" s="3"/>
      <c r="F303" s="3"/>
      <c r="H303" s="1418" t="s">
        <v>2652</v>
      </c>
      <c r="I303" s="1373"/>
      <c r="J303" s="1373"/>
      <c r="K303" s="1373"/>
      <c r="L303" s="1373"/>
      <c r="M303" s="1373"/>
      <c r="N303" s="1373"/>
      <c r="O303" s="1373"/>
      <c r="P303" s="1373"/>
      <c r="Q303" s="1373"/>
      <c r="R303" s="1373"/>
      <c r="T303" s="4" t="s">
        <v>878</v>
      </c>
      <c r="V303" s="3"/>
      <c r="W303" s="3"/>
      <c r="X303" s="3"/>
      <c r="Y303" s="3"/>
      <c r="AA303" s="1373"/>
      <c r="AB303" s="1373"/>
      <c r="AC303" s="1373"/>
      <c r="AD303" s="1373"/>
      <c r="AE303" s="1373"/>
      <c r="AF303" s="1373"/>
      <c r="AG303" s="1373"/>
      <c r="AH303" s="1373"/>
      <c r="AI303" s="1373"/>
      <c r="AJ303" s="1373"/>
      <c r="AK303" s="1373"/>
    </row>
    <row r="304" spans="2:37" ht="12.95" customHeight="1">
      <c r="B304" s="3" t="s">
        <v>471</v>
      </c>
      <c r="C304" s="3"/>
      <c r="D304" s="3"/>
      <c r="E304" s="3"/>
      <c r="F304" s="3"/>
      <c r="H304" s="1549" t="s">
        <v>2653</v>
      </c>
      <c r="I304" s="1350"/>
      <c r="J304" s="1350"/>
      <c r="K304" s="1350"/>
      <c r="L304" s="1350"/>
      <c r="M304" s="1350"/>
      <c r="N304" s="1350"/>
      <c r="O304" s="1350"/>
      <c r="P304" s="1350"/>
      <c r="Q304" s="1350"/>
      <c r="R304" s="1350"/>
      <c r="T304" s="3" t="s">
        <v>471</v>
      </c>
      <c r="V304" s="3"/>
      <c r="W304" s="3"/>
      <c r="X304" s="3"/>
      <c r="Y304" s="3"/>
      <c r="AA304" s="1350"/>
      <c r="AB304" s="1350"/>
      <c r="AC304" s="1350"/>
      <c r="AD304" s="1350"/>
      <c r="AE304" s="1350"/>
      <c r="AF304" s="1350"/>
      <c r="AG304" s="1350"/>
      <c r="AH304" s="1350"/>
      <c r="AI304" s="1350"/>
      <c r="AJ304" s="1350"/>
      <c r="AK304" s="1350"/>
    </row>
    <row r="305" spans="2:37" ht="12.95" customHeight="1">
      <c r="B305" s="3" t="s">
        <v>472</v>
      </c>
      <c r="C305" s="3"/>
      <c r="D305" s="3"/>
      <c r="E305" s="3"/>
      <c r="F305" s="3"/>
      <c r="H305" s="1549" t="s">
        <v>2654</v>
      </c>
      <c r="I305" s="1350"/>
      <c r="J305" s="1350"/>
      <c r="K305" s="1350"/>
      <c r="L305" s="1350"/>
      <c r="M305" s="1350"/>
      <c r="N305" s="1350"/>
      <c r="O305" s="1350"/>
      <c r="P305" s="1350"/>
      <c r="Q305" s="1350"/>
      <c r="R305" s="1350"/>
      <c r="T305" s="3" t="s">
        <v>75</v>
      </c>
      <c r="V305" s="3"/>
      <c r="W305" s="3"/>
      <c r="X305" s="3"/>
      <c r="Y305" s="3"/>
      <c r="AA305" s="1350"/>
      <c r="AB305" s="1350"/>
      <c r="AC305" s="1350"/>
      <c r="AD305" s="1350"/>
      <c r="AE305" s="1350"/>
      <c r="AF305" s="1350"/>
      <c r="AG305" s="1350"/>
      <c r="AH305" s="1350"/>
      <c r="AI305" s="1350"/>
      <c r="AJ305" s="1350"/>
      <c r="AK305" s="1350"/>
    </row>
    <row r="306" spans="2:37" ht="12.95" customHeight="1">
      <c r="B306" s="3" t="s">
        <v>87</v>
      </c>
      <c r="C306" s="3"/>
      <c r="D306" s="3"/>
      <c r="E306" s="3"/>
      <c r="F306" s="3"/>
      <c r="H306" s="1549" t="s">
        <v>2655</v>
      </c>
      <c r="I306" s="1350"/>
      <c r="J306" s="1350"/>
      <c r="K306" s="1350"/>
      <c r="L306" s="1350"/>
      <c r="M306" s="1350"/>
      <c r="N306" s="1350"/>
      <c r="O306" s="1350"/>
      <c r="P306" s="1350"/>
      <c r="Q306" s="1350"/>
      <c r="R306" s="1350"/>
      <c r="T306" s="3" t="s">
        <v>87</v>
      </c>
      <c r="V306" s="3"/>
      <c r="W306" s="3"/>
      <c r="X306" s="3"/>
      <c r="Y306" s="3"/>
      <c r="AA306" s="1350"/>
      <c r="AB306" s="1350"/>
      <c r="AC306" s="1350"/>
      <c r="AD306" s="1350"/>
      <c r="AE306" s="1350"/>
      <c r="AF306" s="1350"/>
      <c r="AG306" s="1350"/>
      <c r="AH306" s="1350"/>
      <c r="AI306" s="1350"/>
      <c r="AJ306" s="1350"/>
      <c r="AK306" s="1350"/>
    </row>
    <row r="307" spans="2:37" ht="12.95" customHeight="1">
      <c r="B307" s="3" t="s">
        <v>88</v>
      </c>
      <c r="C307" s="3"/>
      <c r="D307" s="3"/>
      <c r="E307" s="3"/>
      <c r="F307" s="3"/>
      <c r="G307" s="3"/>
      <c r="H307" s="1425" t="s">
        <v>2659</v>
      </c>
      <c r="I307" s="1425"/>
      <c r="J307" s="1425"/>
      <c r="K307" s="1425"/>
      <c r="L307" s="1425"/>
      <c r="M307" s="1425"/>
      <c r="N307" s="4" t="s">
        <v>205</v>
      </c>
      <c r="O307" s="4"/>
      <c r="P307" s="1419"/>
      <c r="Q307" s="1419"/>
      <c r="R307" s="1419"/>
      <c r="S307" s="3"/>
      <c r="T307" s="3" t="s">
        <v>88</v>
      </c>
      <c r="V307" s="3"/>
      <c r="W307" s="3"/>
      <c r="X307" s="3"/>
      <c r="Y307" s="3"/>
      <c r="AA307" s="1426"/>
      <c r="AB307" s="1426"/>
      <c r="AC307" s="1426"/>
      <c r="AD307" s="1426"/>
      <c r="AE307" s="1426"/>
      <c r="AF307" s="1426"/>
      <c r="AG307" s="4" t="s">
        <v>205</v>
      </c>
      <c r="AH307" s="4"/>
      <c r="AI307" s="1419"/>
      <c r="AJ307" s="1419"/>
      <c r="AK307" s="1419"/>
    </row>
    <row r="308" spans="2:37" ht="12.95"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2.95" customHeight="1">
      <c r="B309" s="3" t="s">
        <v>76</v>
      </c>
      <c r="C309" s="3"/>
      <c r="D309" s="3"/>
      <c r="E309" s="3"/>
      <c r="F309" s="3"/>
      <c r="G309" s="3"/>
      <c r="H309" s="1549" t="s">
        <v>2658</v>
      </c>
      <c r="I309" s="1350"/>
      <c r="J309" s="1350"/>
      <c r="K309" s="1350"/>
      <c r="L309" s="1350"/>
      <c r="M309" s="1350"/>
      <c r="N309" s="1373"/>
      <c r="O309" s="1373"/>
      <c r="P309" s="1373"/>
      <c r="Q309" s="1373"/>
      <c r="R309" s="1373"/>
      <c r="S309" s="3"/>
      <c r="T309" s="3" t="s">
        <v>76</v>
      </c>
      <c r="V309" s="3"/>
      <c r="W309" s="3"/>
      <c r="X309" s="3"/>
      <c r="Y309" s="3"/>
      <c r="AA309" s="1350"/>
      <c r="AB309" s="1350"/>
      <c r="AC309" s="1350"/>
      <c r="AD309" s="1350"/>
      <c r="AE309" s="1350"/>
      <c r="AF309" s="1350"/>
      <c r="AG309" s="1373"/>
      <c r="AH309" s="1373"/>
      <c r="AI309" s="1373"/>
      <c r="AJ309" s="1373"/>
      <c r="AK309" s="1373"/>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18" t="s">
        <v>2652</v>
      </c>
      <c r="I311" s="1373"/>
      <c r="J311" s="1373"/>
      <c r="K311" s="1373"/>
      <c r="L311" s="1373"/>
      <c r="M311" s="1373"/>
      <c r="N311" s="1373"/>
      <c r="O311" s="1373"/>
      <c r="P311" s="1373"/>
      <c r="Q311" s="1373"/>
      <c r="R311" s="1373"/>
      <c r="S311" s="3"/>
      <c r="T311" s="3" t="s">
        <v>364</v>
      </c>
      <c r="V311" s="3"/>
      <c r="W311" s="3"/>
      <c r="X311" s="3"/>
      <c r="Y311" s="3"/>
      <c r="AA311" s="1418" t="s">
        <v>2660</v>
      </c>
      <c r="AB311" s="1373"/>
      <c r="AC311" s="1373"/>
      <c r="AD311" s="1373"/>
      <c r="AE311" s="1373"/>
      <c r="AF311" s="1373"/>
      <c r="AG311" s="1373"/>
      <c r="AH311" s="1373"/>
      <c r="AI311" s="1373"/>
      <c r="AJ311" s="1373"/>
      <c r="AK311" s="1373"/>
    </row>
    <row r="312" spans="2:37" ht="12.95" customHeight="1">
      <c r="B312" s="3" t="s">
        <v>471</v>
      </c>
      <c r="C312" s="3"/>
      <c r="D312" s="3"/>
      <c r="E312" s="3"/>
      <c r="F312" s="3"/>
      <c r="H312" s="1549" t="s">
        <v>2653</v>
      </c>
      <c r="I312" s="1350"/>
      <c r="J312" s="1350"/>
      <c r="K312" s="1350"/>
      <c r="L312" s="1350"/>
      <c r="M312" s="1350"/>
      <c r="N312" s="1350"/>
      <c r="O312" s="1350"/>
      <c r="P312" s="1350"/>
      <c r="Q312" s="1350"/>
      <c r="R312" s="1350"/>
      <c r="S312" s="3"/>
      <c r="T312" s="3" t="s">
        <v>471</v>
      </c>
      <c r="V312" s="3"/>
      <c r="W312" s="3"/>
      <c r="X312" s="3"/>
      <c r="Y312" s="3"/>
      <c r="AA312" s="1549" t="s">
        <v>2661</v>
      </c>
      <c r="AB312" s="1350"/>
      <c r="AC312" s="1350"/>
      <c r="AD312" s="1350"/>
      <c r="AE312" s="1350"/>
      <c r="AF312" s="1350"/>
      <c r="AG312" s="1350"/>
      <c r="AH312" s="1350"/>
      <c r="AI312" s="1350"/>
      <c r="AJ312" s="1350"/>
      <c r="AK312" s="1350"/>
    </row>
    <row r="313" spans="2:37" ht="12.95" customHeight="1">
      <c r="B313" s="3" t="s">
        <v>472</v>
      </c>
      <c r="C313" s="3"/>
      <c r="D313" s="3"/>
      <c r="E313" s="3"/>
      <c r="F313" s="3"/>
      <c r="H313" s="1549" t="s">
        <v>2654</v>
      </c>
      <c r="I313" s="1350"/>
      <c r="J313" s="1350"/>
      <c r="K313" s="1350"/>
      <c r="L313" s="1350"/>
      <c r="M313" s="1350"/>
      <c r="N313" s="1350"/>
      <c r="O313" s="1350"/>
      <c r="P313" s="1350"/>
      <c r="Q313" s="1350"/>
      <c r="R313" s="1350"/>
      <c r="S313" s="3"/>
      <c r="T313" s="3" t="s">
        <v>75</v>
      </c>
      <c r="V313" s="3"/>
      <c r="W313" s="3"/>
      <c r="X313" s="3"/>
      <c r="Y313" s="3"/>
      <c r="AA313" s="1549" t="s">
        <v>2650</v>
      </c>
      <c r="AB313" s="1350"/>
      <c r="AC313" s="1350"/>
      <c r="AD313" s="1350"/>
      <c r="AE313" s="1350"/>
      <c r="AF313" s="1350"/>
      <c r="AG313" s="1350"/>
      <c r="AH313" s="1350"/>
      <c r="AI313" s="1350"/>
      <c r="AJ313" s="1350"/>
      <c r="AK313" s="1350"/>
    </row>
    <row r="314" spans="2:37" ht="12.95" customHeight="1">
      <c r="B314" s="3" t="s">
        <v>87</v>
      </c>
      <c r="C314" s="3"/>
      <c r="D314" s="3"/>
      <c r="E314" s="3"/>
      <c r="F314" s="3"/>
      <c r="H314" s="1549" t="s">
        <v>2655</v>
      </c>
      <c r="I314" s="1350"/>
      <c r="J314" s="1350"/>
      <c r="K314" s="1350"/>
      <c r="L314" s="1350"/>
      <c r="M314" s="1350"/>
      <c r="N314" s="1350"/>
      <c r="O314" s="1350"/>
      <c r="P314" s="1350"/>
      <c r="Q314" s="1350"/>
      <c r="R314" s="1350"/>
      <c r="S314" s="3"/>
      <c r="T314" s="3" t="s">
        <v>87</v>
      </c>
      <c r="V314" s="3"/>
      <c r="W314" s="3"/>
      <c r="X314" s="3"/>
      <c r="Y314" s="3"/>
      <c r="AA314" s="1549" t="s">
        <v>2662</v>
      </c>
      <c r="AB314" s="1350"/>
      <c r="AC314" s="1350"/>
      <c r="AD314" s="1350"/>
      <c r="AE314" s="1350"/>
      <c r="AF314" s="1350"/>
      <c r="AG314" s="1350"/>
      <c r="AH314" s="1350"/>
      <c r="AI314" s="1350"/>
      <c r="AJ314" s="1350"/>
      <c r="AK314" s="1350"/>
    </row>
    <row r="315" spans="2:37" ht="12.95" customHeight="1">
      <c r="B315" s="3" t="s">
        <v>88</v>
      </c>
      <c r="C315" s="3"/>
      <c r="D315" s="3"/>
      <c r="E315" s="3"/>
      <c r="F315" s="3"/>
      <c r="G315" s="3"/>
      <c r="H315" s="1425" t="s">
        <v>2659</v>
      </c>
      <c r="I315" s="1425"/>
      <c r="J315" s="1425"/>
      <c r="K315" s="1425"/>
      <c r="L315" s="1425"/>
      <c r="M315" s="1425"/>
      <c r="N315" s="4" t="s">
        <v>205</v>
      </c>
      <c r="O315" s="4"/>
      <c r="P315" s="1419"/>
      <c r="Q315" s="1419"/>
      <c r="R315" s="1419"/>
      <c r="S315" s="3"/>
      <c r="T315" s="3" t="s">
        <v>88</v>
      </c>
      <c r="V315" s="3"/>
      <c r="W315" s="3"/>
      <c r="X315" s="3"/>
      <c r="Y315" s="3"/>
      <c r="AA315" s="1425" t="s">
        <v>2663</v>
      </c>
      <c r="AB315" s="1425"/>
      <c r="AC315" s="1425"/>
      <c r="AD315" s="1425"/>
      <c r="AE315" s="1425"/>
      <c r="AF315" s="1425"/>
      <c r="AG315" s="4" t="s">
        <v>205</v>
      </c>
      <c r="AH315" s="4"/>
      <c r="AI315" s="1419"/>
      <c r="AJ315" s="1419"/>
      <c r="AK315" s="1419"/>
    </row>
    <row r="316" spans="2:37" ht="12.95"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2.95" customHeight="1">
      <c r="B317" s="3" t="s">
        <v>76</v>
      </c>
      <c r="C317" s="3"/>
      <c r="D317" s="3"/>
      <c r="E317" s="3"/>
      <c r="F317" s="3"/>
      <c r="G317" s="3"/>
      <c r="H317" s="1549" t="s">
        <v>2658</v>
      </c>
      <c r="I317" s="1350"/>
      <c r="J317" s="1350"/>
      <c r="K317" s="1350"/>
      <c r="L317" s="1350"/>
      <c r="M317" s="1350"/>
      <c r="N317" s="1373"/>
      <c r="O317" s="1373"/>
      <c r="P317" s="1373"/>
      <c r="Q317" s="1373"/>
      <c r="R317" s="1373"/>
      <c r="S317" s="3"/>
      <c r="T317" s="3" t="s">
        <v>76</v>
      </c>
      <c r="V317" s="3"/>
      <c r="W317" s="3"/>
      <c r="X317" s="3"/>
      <c r="Y317" s="3"/>
      <c r="AA317" s="1549" t="s">
        <v>2664</v>
      </c>
      <c r="AB317" s="1350"/>
      <c r="AC317" s="1350"/>
      <c r="AD317" s="1350"/>
      <c r="AE317" s="1350"/>
      <c r="AF317" s="1350"/>
      <c r="AG317" s="1373"/>
      <c r="AH317" s="1373"/>
      <c r="AI317" s="1373"/>
      <c r="AJ317" s="1373"/>
      <c r="AK317" s="1373"/>
    </row>
    <row r="318" spans="2:37" ht="12.95" customHeight="1"/>
    <row r="319" spans="2:37" ht="12.95" customHeight="1">
      <c r="B319" s="4" t="s">
        <v>908</v>
      </c>
      <c r="C319" s="3"/>
      <c r="D319" s="3"/>
      <c r="E319" s="3"/>
      <c r="F319" s="3"/>
      <c r="H319" s="1373"/>
      <c r="I319" s="1373"/>
      <c r="J319" s="1373"/>
      <c r="K319" s="1373"/>
      <c r="L319" s="1373"/>
      <c r="M319" s="1373"/>
      <c r="N319" s="1373"/>
      <c r="O319" s="1373"/>
      <c r="P319" s="1373"/>
      <c r="Q319" s="1373"/>
      <c r="R319" s="1373"/>
      <c r="T319" s="3" t="s">
        <v>365</v>
      </c>
      <c r="V319" s="3"/>
      <c r="W319" s="3"/>
      <c r="X319" s="3"/>
      <c r="Y319" s="3"/>
      <c r="AA319" s="1418" t="s">
        <v>2665</v>
      </c>
      <c r="AB319" s="1373"/>
      <c r="AC319" s="1373"/>
      <c r="AD319" s="1373"/>
      <c r="AE319" s="1373"/>
      <c r="AF319" s="1373"/>
      <c r="AG319" s="1373"/>
      <c r="AH319" s="1373"/>
      <c r="AI319" s="1373"/>
      <c r="AJ319" s="1373"/>
      <c r="AK319" s="1373"/>
    </row>
    <row r="320" spans="2:37" ht="12.95" customHeight="1">
      <c r="B320" s="3" t="s">
        <v>471</v>
      </c>
      <c r="C320" s="3"/>
      <c r="D320" s="3"/>
      <c r="E320" s="3"/>
      <c r="F320" s="3"/>
      <c r="H320" s="1350"/>
      <c r="I320" s="1350"/>
      <c r="J320" s="1350"/>
      <c r="K320" s="1350"/>
      <c r="L320" s="1350"/>
      <c r="M320" s="1350"/>
      <c r="N320" s="1350"/>
      <c r="O320" s="1350"/>
      <c r="P320" s="1350"/>
      <c r="Q320" s="1350"/>
      <c r="R320" s="1350"/>
      <c r="T320" s="3" t="s">
        <v>471</v>
      </c>
      <c r="V320" s="3"/>
      <c r="W320" s="3"/>
      <c r="X320" s="3"/>
      <c r="Y320" s="3"/>
      <c r="AA320" s="1549" t="s">
        <v>2666</v>
      </c>
      <c r="AB320" s="1350"/>
      <c r="AC320" s="1350"/>
      <c r="AD320" s="1350"/>
      <c r="AE320" s="1350"/>
      <c r="AF320" s="1350"/>
      <c r="AG320" s="1350"/>
      <c r="AH320" s="1350"/>
      <c r="AI320" s="1350"/>
      <c r="AJ320" s="1350"/>
      <c r="AK320" s="1350"/>
    </row>
    <row r="321" spans="2:37" ht="12.95" customHeight="1">
      <c r="B321" s="3" t="s">
        <v>472</v>
      </c>
      <c r="C321" s="3"/>
      <c r="D321" s="3"/>
      <c r="E321" s="3"/>
      <c r="F321" s="3"/>
      <c r="H321" s="1350"/>
      <c r="I321" s="1350"/>
      <c r="J321" s="1350"/>
      <c r="K321" s="1350"/>
      <c r="L321" s="1350"/>
      <c r="M321" s="1350"/>
      <c r="N321" s="1350"/>
      <c r="O321" s="1350"/>
      <c r="P321" s="1350"/>
      <c r="Q321" s="1350"/>
      <c r="R321" s="1350"/>
      <c r="T321" s="3" t="s">
        <v>75</v>
      </c>
      <c r="V321" s="3"/>
      <c r="W321" s="3"/>
      <c r="X321" s="3"/>
      <c r="Y321" s="3"/>
      <c r="AA321" s="1549" t="s">
        <v>2667</v>
      </c>
      <c r="AB321" s="1350"/>
      <c r="AC321" s="1350"/>
      <c r="AD321" s="1350"/>
      <c r="AE321" s="1350"/>
      <c r="AF321" s="1350"/>
      <c r="AG321" s="1350"/>
      <c r="AH321" s="1350"/>
      <c r="AI321" s="1350"/>
      <c r="AJ321" s="1350"/>
      <c r="AK321" s="1350"/>
    </row>
    <row r="322" spans="2:37" ht="12.95" customHeight="1">
      <c r="B322" s="3" t="s">
        <v>87</v>
      </c>
      <c r="C322" s="3"/>
      <c r="D322" s="3"/>
      <c r="E322" s="3"/>
      <c r="F322" s="3"/>
      <c r="H322" s="1350"/>
      <c r="I322" s="1350"/>
      <c r="J322" s="1350"/>
      <c r="K322" s="1350"/>
      <c r="L322" s="1350"/>
      <c r="M322" s="1350"/>
      <c r="N322" s="1350"/>
      <c r="O322" s="1350"/>
      <c r="P322" s="1350"/>
      <c r="Q322" s="1350"/>
      <c r="R322" s="1350"/>
      <c r="T322" s="3" t="s">
        <v>87</v>
      </c>
      <c r="V322" s="3"/>
      <c r="W322" s="3"/>
      <c r="X322" s="3"/>
      <c r="Y322" s="3"/>
      <c r="AA322" s="1549" t="s">
        <v>2668</v>
      </c>
      <c r="AB322" s="1350"/>
      <c r="AC322" s="1350"/>
      <c r="AD322" s="1350"/>
      <c r="AE322" s="1350"/>
      <c r="AF322" s="1350"/>
      <c r="AG322" s="1350"/>
      <c r="AH322" s="1350"/>
      <c r="AI322" s="1350"/>
      <c r="AJ322" s="1350"/>
      <c r="AK322" s="1350"/>
    </row>
    <row r="323" spans="2:37" ht="12.95" customHeight="1">
      <c r="B323" s="3" t="s">
        <v>88</v>
      </c>
      <c r="C323" s="3"/>
      <c r="D323" s="3"/>
      <c r="E323" s="3"/>
      <c r="F323" s="3"/>
      <c r="G323" s="3"/>
      <c r="H323" s="1426"/>
      <c r="I323" s="1426"/>
      <c r="J323" s="1426"/>
      <c r="K323" s="1426"/>
      <c r="L323" s="1426"/>
      <c r="M323" s="1426"/>
      <c r="N323" s="4" t="s">
        <v>205</v>
      </c>
      <c r="O323" s="4"/>
      <c r="P323" s="1419"/>
      <c r="Q323" s="1419"/>
      <c r="R323" s="1419"/>
      <c r="S323" s="3"/>
      <c r="T323" s="3" t="s">
        <v>88</v>
      </c>
      <c r="V323" s="3"/>
      <c r="W323" s="3"/>
      <c r="X323" s="3"/>
      <c r="Y323" s="3"/>
      <c r="AA323" s="1425" t="s">
        <v>2670</v>
      </c>
      <c r="AB323" s="1425"/>
      <c r="AC323" s="1425"/>
      <c r="AD323" s="1425"/>
      <c r="AE323" s="1425"/>
      <c r="AF323" s="1425"/>
      <c r="AG323" s="4" t="s">
        <v>205</v>
      </c>
      <c r="AH323" s="4"/>
      <c r="AI323" s="1419"/>
      <c r="AJ323" s="1419"/>
      <c r="AK323" s="1419"/>
    </row>
    <row r="324" spans="2:37" ht="12.95"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2.95" customHeight="1">
      <c r="B325" s="3" t="s">
        <v>76</v>
      </c>
      <c r="C325" s="3"/>
      <c r="D325" s="3"/>
      <c r="E325" s="3"/>
      <c r="F325" s="3"/>
      <c r="G325" s="3"/>
      <c r="H325" s="1350"/>
      <c r="I325" s="1350"/>
      <c r="J325" s="1350"/>
      <c r="K325" s="1350"/>
      <c r="L325" s="1350"/>
      <c r="M325" s="1350"/>
      <c r="N325" s="1373"/>
      <c r="O325" s="1373"/>
      <c r="P325" s="1373"/>
      <c r="Q325" s="1373"/>
      <c r="R325" s="1373"/>
      <c r="S325" s="3"/>
      <c r="T325" s="3" t="s">
        <v>76</v>
      </c>
      <c r="V325" s="3"/>
      <c r="W325" s="3"/>
      <c r="X325" s="3"/>
      <c r="Y325" s="3"/>
      <c r="AA325" s="1549" t="s">
        <v>2669</v>
      </c>
      <c r="AB325" s="1350"/>
      <c r="AC325" s="1350"/>
      <c r="AD325" s="1350"/>
      <c r="AE325" s="1350"/>
      <c r="AF325" s="1350"/>
      <c r="AG325" s="1373"/>
      <c r="AH325" s="1373"/>
      <c r="AI325" s="1373"/>
      <c r="AJ325" s="1373"/>
      <c r="AK325" s="1373"/>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3" t="s">
        <v>2685</v>
      </c>
      <c r="I327" s="1373"/>
      <c r="J327" s="1373"/>
      <c r="K327" s="1373"/>
      <c r="L327" s="1373"/>
      <c r="M327" s="1373"/>
      <c r="N327" s="1373"/>
      <c r="O327" s="1373"/>
      <c r="P327" s="1373"/>
      <c r="Q327" s="1373"/>
      <c r="R327" s="1373"/>
      <c r="T327" s="3" t="s">
        <v>367</v>
      </c>
      <c r="V327" s="3"/>
      <c r="W327" s="3"/>
      <c r="X327" s="3"/>
      <c r="Y327" s="3"/>
      <c r="AA327" s="1373"/>
      <c r="AB327" s="1373"/>
      <c r="AC327" s="1373"/>
      <c r="AD327" s="1373"/>
      <c r="AE327" s="1373"/>
      <c r="AF327" s="1373"/>
      <c r="AG327" s="1373"/>
      <c r="AH327" s="1373"/>
      <c r="AI327" s="1373"/>
      <c r="AJ327" s="1373"/>
      <c r="AK327" s="1373"/>
    </row>
    <row r="328" spans="2:37" ht="12.95" customHeight="1">
      <c r="B328" s="3" t="s">
        <v>471</v>
      </c>
      <c r="C328" s="3"/>
      <c r="D328" s="3"/>
      <c r="E328" s="3"/>
      <c r="F328" s="3"/>
      <c r="H328" s="1350" t="s">
        <v>2683</v>
      </c>
      <c r="I328" s="1350"/>
      <c r="J328" s="1350"/>
      <c r="K328" s="1350"/>
      <c r="L328" s="1350"/>
      <c r="M328" s="1350"/>
      <c r="N328" s="1350"/>
      <c r="O328" s="1350"/>
      <c r="P328" s="1350"/>
      <c r="Q328" s="1350"/>
      <c r="R328" s="1350"/>
      <c r="T328" s="3" t="s">
        <v>471</v>
      </c>
      <c r="V328" s="3"/>
      <c r="W328" s="3"/>
      <c r="X328" s="3"/>
      <c r="Y328" s="3"/>
      <c r="AA328" s="1350"/>
      <c r="AB328" s="1350"/>
      <c r="AC328" s="1350"/>
      <c r="AD328" s="1350"/>
      <c r="AE328" s="1350"/>
      <c r="AF328" s="1350"/>
      <c r="AG328" s="1350"/>
      <c r="AH328" s="1350"/>
      <c r="AI328" s="1350"/>
      <c r="AJ328" s="1350"/>
      <c r="AK328" s="1350"/>
    </row>
    <row r="329" spans="2:37" ht="12.95" customHeight="1">
      <c r="B329" s="3" t="s">
        <v>472</v>
      </c>
      <c r="C329" s="3"/>
      <c r="D329" s="3"/>
      <c r="E329" s="3"/>
      <c r="F329" s="3"/>
      <c r="H329" s="1350" t="s">
        <v>2684</v>
      </c>
      <c r="I329" s="1350"/>
      <c r="J329" s="1350"/>
      <c r="K329" s="1350"/>
      <c r="L329" s="1350"/>
      <c r="M329" s="1350"/>
      <c r="N329" s="1350"/>
      <c r="O329" s="1350"/>
      <c r="P329" s="1350"/>
      <c r="Q329" s="1350"/>
      <c r="R329" s="1350"/>
      <c r="T329" s="3" t="s">
        <v>75</v>
      </c>
      <c r="V329" s="3"/>
      <c r="W329" s="3"/>
      <c r="X329" s="3"/>
      <c r="Y329" s="3"/>
      <c r="AA329" s="1350"/>
      <c r="AB329" s="1350"/>
      <c r="AC329" s="1350"/>
      <c r="AD329" s="1350"/>
      <c r="AE329" s="1350"/>
      <c r="AF329" s="1350"/>
      <c r="AG329" s="1350"/>
      <c r="AH329" s="1350"/>
      <c r="AI329" s="1350"/>
      <c r="AJ329" s="1350"/>
      <c r="AK329" s="1350"/>
    </row>
    <row r="330" spans="2:37" ht="12.95" customHeight="1">
      <c r="B330" s="3" t="s">
        <v>87</v>
      </c>
      <c r="C330" s="3"/>
      <c r="D330" s="3"/>
      <c r="E330" s="3"/>
      <c r="F330" s="3"/>
      <c r="H330" s="1350" t="s">
        <v>2686</v>
      </c>
      <c r="I330" s="1350"/>
      <c r="J330" s="1350"/>
      <c r="K330" s="1350"/>
      <c r="L330" s="1350"/>
      <c r="M330" s="1350"/>
      <c r="N330" s="1350"/>
      <c r="O330" s="1350"/>
      <c r="P330" s="1350"/>
      <c r="Q330" s="1350"/>
      <c r="R330" s="1350"/>
      <c r="T330" s="3" t="s">
        <v>87</v>
      </c>
      <c r="V330" s="3"/>
      <c r="W330" s="3"/>
      <c r="X330" s="3"/>
      <c r="Y330" s="3"/>
      <c r="AA330" s="1350"/>
      <c r="AB330" s="1350"/>
      <c r="AC330" s="1350"/>
      <c r="AD330" s="1350"/>
      <c r="AE330" s="1350"/>
      <c r="AF330" s="1350"/>
      <c r="AG330" s="1350"/>
      <c r="AH330" s="1350"/>
      <c r="AI330" s="1350"/>
      <c r="AJ330" s="1350"/>
      <c r="AK330" s="1350"/>
    </row>
    <row r="331" spans="2:37" ht="12.95" customHeight="1">
      <c r="B331" s="3" t="s">
        <v>88</v>
      </c>
      <c r="C331" s="3"/>
      <c r="D331" s="3"/>
      <c r="E331" s="3"/>
      <c r="F331" s="3"/>
      <c r="G331" s="3"/>
      <c r="H331" s="1425" t="s">
        <v>2687</v>
      </c>
      <c r="I331" s="1426"/>
      <c r="J331" s="1426"/>
      <c r="K331" s="1426"/>
      <c r="L331" s="1426"/>
      <c r="M331" s="1426"/>
      <c r="N331" s="4" t="s">
        <v>205</v>
      </c>
      <c r="O331" s="4"/>
      <c r="P331" s="1419"/>
      <c r="Q331" s="1419"/>
      <c r="R331" s="1419"/>
      <c r="S331" s="3"/>
      <c r="T331" s="3" t="s">
        <v>88</v>
      </c>
      <c r="V331" s="3"/>
      <c r="W331" s="3"/>
      <c r="X331" s="3"/>
      <c r="Y331" s="3"/>
      <c r="AA331" s="1426"/>
      <c r="AB331" s="1426"/>
      <c r="AC331" s="1426"/>
      <c r="AD331" s="1426"/>
      <c r="AE331" s="1426"/>
      <c r="AF331" s="1426"/>
      <c r="AG331" s="4" t="s">
        <v>205</v>
      </c>
      <c r="AH331" s="4"/>
      <c r="AI331" s="1419"/>
      <c r="AJ331" s="1419"/>
      <c r="AK331" s="1419"/>
    </row>
    <row r="332" spans="2:37" ht="12.95"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2.95" customHeight="1">
      <c r="B333" s="3" t="s">
        <v>76</v>
      </c>
      <c r="C333" s="3"/>
      <c r="D333" s="3"/>
      <c r="E333" s="3"/>
      <c r="F333" s="3"/>
      <c r="G333" s="3"/>
      <c r="H333" s="1350" t="s">
        <v>2688</v>
      </c>
      <c r="I333" s="1350"/>
      <c r="J333" s="1350"/>
      <c r="K333" s="1350"/>
      <c r="L333" s="1350"/>
      <c r="M333" s="1350"/>
      <c r="N333" s="1373"/>
      <c r="O333" s="1373"/>
      <c r="P333" s="1373"/>
      <c r="Q333" s="1373"/>
      <c r="R333" s="1373"/>
      <c r="S333" s="3"/>
      <c r="T333" s="3" t="s">
        <v>76</v>
      </c>
      <c r="V333" s="3"/>
      <c r="W333" s="3"/>
      <c r="X333" s="3"/>
      <c r="Y333" s="3"/>
      <c r="AA333" s="1350"/>
      <c r="AB333" s="1350"/>
      <c r="AC333" s="1350"/>
      <c r="AD333" s="1350"/>
      <c r="AE333" s="1350"/>
      <c r="AF333" s="1350"/>
      <c r="AG333" s="1373"/>
      <c r="AH333" s="1373"/>
      <c r="AI333" s="1373"/>
      <c r="AJ333" s="1373"/>
      <c r="AK333" s="1373"/>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3" t="s">
        <v>2677</v>
      </c>
      <c r="I335" s="1373"/>
      <c r="J335" s="1373"/>
      <c r="K335" s="1373"/>
      <c r="L335" s="1373"/>
      <c r="M335" s="1373"/>
      <c r="N335" s="1373"/>
      <c r="O335" s="1373"/>
      <c r="P335" s="1373"/>
      <c r="Q335" s="1373"/>
      <c r="R335" s="1373"/>
      <c r="T335" s="204" t="s">
        <v>886</v>
      </c>
      <c r="V335" s="3"/>
      <c r="W335" s="3"/>
      <c r="X335" s="3"/>
      <c r="Y335" s="3"/>
      <c r="AA335" s="1418" t="s">
        <v>2671</v>
      </c>
      <c r="AB335" s="1373"/>
      <c r="AC335" s="1373"/>
      <c r="AD335" s="1373"/>
      <c r="AE335" s="1373"/>
      <c r="AF335" s="1373"/>
      <c r="AG335" s="1373"/>
      <c r="AH335" s="1373"/>
      <c r="AI335" s="1373"/>
      <c r="AJ335" s="1373"/>
      <c r="AK335" s="1373"/>
    </row>
    <row r="336" spans="2:37" ht="12.95" customHeight="1">
      <c r="B336" s="3" t="s">
        <v>471</v>
      </c>
      <c r="C336" s="3"/>
      <c r="D336" s="3"/>
      <c r="E336" s="3"/>
      <c r="F336" s="3"/>
      <c r="H336" s="1350" t="s">
        <v>2678</v>
      </c>
      <c r="I336" s="1350"/>
      <c r="J336" s="1350"/>
      <c r="K336" s="1350"/>
      <c r="L336" s="1350"/>
      <c r="M336" s="1350"/>
      <c r="N336" s="1350"/>
      <c r="O336" s="1350"/>
      <c r="P336" s="1350"/>
      <c r="Q336" s="1350"/>
      <c r="R336" s="1350"/>
      <c r="T336" s="3" t="s">
        <v>471</v>
      </c>
      <c r="V336" s="3"/>
      <c r="W336" s="3"/>
      <c r="X336" s="3"/>
      <c r="Y336" s="3"/>
      <c r="AA336" s="1549" t="s">
        <v>2672</v>
      </c>
      <c r="AB336" s="1350"/>
      <c r="AC336" s="1350"/>
      <c r="AD336" s="1350"/>
      <c r="AE336" s="1350"/>
      <c r="AF336" s="1350"/>
      <c r="AG336" s="1350"/>
      <c r="AH336" s="1350"/>
      <c r="AI336" s="1350"/>
      <c r="AJ336" s="1350"/>
      <c r="AK336" s="1350"/>
    </row>
    <row r="337" spans="1:66" ht="12.95" customHeight="1">
      <c r="B337" s="3" t="s">
        <v>75</v>
      </c>
      <c r="C337" s="3"/>
      <c r="D337" s="3"/>
      <c r="E337" s="3"/>
      <c r="F337" s="3"/>
      <c r="H337" s="1350" t="s">
        <v>2679</v>
      </c>
      <c r="I337" s="1350"/>
      <c r="J337" s="1350"/>
      <c r="K337" s="1350"/>
      <c r="L337" s="1350"/>
      <c r="M337" s="1350"/>
      <c r="N337" s="1350"/>
      <c r="O337" s="1350"/>
      <c r="P337" s="1350"/>
      <c r="Q337" s="1350"/>
      <c r="R337" s="1350"/>
      <c r="T337" s="3" t="s">
        <v>75</v>
      </c>
      <c r="V337" s="3"/>
      <c r="W337" s="3"/>
      <c r="X337" s="3"/>
      <c r="Y337" s="3"/>
      <c r="AA337" s="1549" t="s">
        <v>2673</v>
      </c>
      <c r="AB337" s="1350"/>
      <c r="AC337" s="1350"/>
      <c r="AD337" s="1350"/>
      <c r="AE337" s="1350"/>
      <c r="AF337" s="1350"/>
      <c r="AG337" s="1350"/>
      <c r="AH337" s="1350"/>
      <c r="AI337" s="1350"/>
      <c r="AJ337" s="1350"/>
      <c r="AK337" s="1350"/>
    </row>
    <row r="338" spans="1:66" ht="12.95" customHeight="1">
      <c r="B338" s="3" t="s">
        <v>87</v>
      </c>
      <c r="C338" s="3"/>
      <c r="D338" s="3"/>
      <c r="E338" s="3"/>
      <c r="F338" s="3"/>
      <c r="G338" s="3"/>
      <c r="H338" s="1350" t="s">
        <v>2680</v>
      </c>
      <c r="I338" s="1350"/>
      <c r="J338" s="1350"/>
      <c r="K338" s="1350"/>
      <c r="L338" s="1350"/>
      <c r="M338" s="1350"/>
      <c r="N338" s="1350"/>
      <c r="O338" s="1350"/>
      <c r="P338" s="1350"/>
      <c r="Q338" s="1350"/>
      <c r="R338" s="1350"/>
      <c r="T338" s="3" t="s">
        <v>87</v>
      </c>
      <c r="V338" s="3"/>
      <c r="W338" s="3"/>
      <c r="X338" s="3"/>
      <c r="Y338" s="3"/>
      <c r="AA338" s="1549" t="s">
        <v>2674</v>
      </c>
      <c r="AB338" s="1350"/>
      <c r="AC338" s="1350"/>
      <c r="AD338" s="1350"/>
      <c r="AE338" s="1350"/>
      <c r="AF338" s="1350"/>
      <c r="AG338" s="1350"/>
      <c r="AH338" s="1350"/>
      <c r="AI338" s="1350"/>
      <c r="AJ338" s="1350"/>
      <c r="AK338" s="1350"/>
    </row>
    <row r="339" spans="1:66" ht="12.95" customHeight="1">
      <c r="B339" s="3" t="s">
        <v>88</v>
      </c>
      <c r="C339" s="3"/>
      <c r="D339" s="3"/>
      <c r="E339" s="3"/>
      <c r="F339" s="3"/>
      <c r="G339" s="3"/>
      <c r="H339" s="1425" t="s">
        <v>2681</v>
      </c>
      <c r="I339" s="1426"/>
      <c r="J339" s="1426"/>
      <c r="K339" s="1426"/>
      <c r="L339" s="1426"/>
      <c r="M339" s="1426"/>
      <c r="N339" s="4" t="s">
        <v>205</v>
      </c>
      <c r="O339" s="4"/>
      <c r="P339" s="1419"/>
      <c r="Q339" s="1419"/>
      <c r="R339" s="1419"/>
      <c r="S339" s="3"/>
      <c r="T339" s="3" t="s">
        <v>88</v>
      </c>
      <c r="V339" s="3"/>
      <c r="W339" s="3"/>
      <c r="X339" s="3"/>
      <c r="Y339" s="3"/>
      <c r="AA339" s="1425" t="s">
        <v>2676</v>
      </c>
      <c r="AB339" s="1425"/>
      <c r="AC339" s="1425"/>
      <c r="AD339" s="1425"/>
      <c r="AE339" s="1425"/>
      <c r="AF339" s="1425"/>
      <c r="AG339" s="4" t="s">
        <v>205</v>
      </c>
      <c r="AH339" s="4"/>
      <c r="AI339" s="1419"/>
      <c r="AJ339" s="1419"/>
      <c r="AK339" s="1419"/>
    </row>
    <row r="340" spans="1:66" ht="12.95" customHeight="1">
      <c r="B340" s="3" t="s">
        <v>89</v>
      </c>
      <c r="C340" s="3"/>
      <c r="D340" s="3"/>
      <c r="E340" s="3"/>
      <c r="F340" s="3"/>
      <c r="G340" s="3"/>
      <c r="H340" s="1348"/>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2.95" customHeight="1">
      <c r="B341" s="3" t="s">
        <v>76</v>
      </c>
      <c r="C341" s="3"/>
      <c r="D341" s="3"/>
      <c r="E341" s="3"/>
      <c r="F341" s="3"/>
      <c r="G341" s="3"/>
      <c r="H341" s="1350" t="s">
        <v>2682</v>
      </c>
      <c r="I341" s="1350"/>
      <c r="J341" s="1350"/>
      <c r="K341" s="1350"/>
      <c r="L341" s="1350"/>
      <c r="M341" s="1350"/>
      <c r="N341" s="1373"/>
      <c r="O341" s="1373"/>
      <c r="P341" s="1373"/>
      <c r="Q341" s="1373"/>
      <c r="R341" s="1373"/>
      <c r="S341" s="3"/>
      <c r="T341" s="3" t="s">
        <v>76</v>
      </c>
      <c r="V341" s="3"/>
      <c r="W341" s="3"/>
      <c r="X341" s="3"/>
      <c r="Y341" s="3"/>
      <c r="AA341" s="1549" t="s">
        <v>2675</v>
      </c>
      <c r="AB341" s="1350"/>
      <c r="AC341" s="1350"/>
      <c r="AD341" s="1350"/>
      <c r="AE341" s="1350"/>
      <c r="AF341" s="1350"/>
      <c r="AG341" s="1373"/>
      <c r="AH341" s="1373"/>
      <c r="AI341" s="1373"/>
      <c r="AJ341" s="1373"/>
      <c r="AK341" s="137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3"/>
      <c r="Q343" s="1373"/>
      <c r="R343" s="1373"/>
      <c r="S343" s="1373"/>
      <c r="T343" s="1373"/>
      <c r="U343" s="1373"/>
      <c r="V343" s="1373"/>
      <c r="W343" s="1373"/>
      <c r="X343" s="1373"/>
      <c r="Y343" s="1373"/>
      <c r="Z343" s="1373"/>
      <c r="AA343" s="1373"/>
      <c r="AB343" s="1373"/>
      <c r="AC343" s="1373"/>
      <c r="AD343" s="1373"/>
      <c r="AE343" s="1373"/>
      <c r="BN343" t="s">
        <v>669</v>
      </c>
    </row>
    <row r="344" spans="1:66" ht="12.95" customHeight="1">
      <c r="B344" s="4"/>
      <c r="C344" s="4"/>
      <c r="D344" s="4"/>
      <c r="E344" s="4"/>
      <c r="F344" s="4"/>
      <c r="I344" s="4" t="s">
        <v>471</v>
      </c>
      <c r="P344" s="1350"/>
      <c r="Q344" s="1350"/>
      <c r="R344" s="1350"/>
      <c r="S344" s="1350"/>
      <c r="T344" s="1350"/>
      <c r="U344" s="1350"/>
      <c r="V344" s="1350"/>
      <c r="W344" s="1350"/>
      <c r="X344" s="1350"/>
      <c r="Y344" s="1350"/>
      <c r="Z344" s="1350"/>
      <c r="AA344" s="1350"/>
      <c r="AB344" s="1350"/>
      <c r="AC344" s="1350"/>
      <c r="AD344" s="1350"/>
      <c r="AE344" s="1350"/>
      <c r="BN344" t="s">
        <v>545</v>
      </c>
    </row>
    <row r="345" spans="1:66" ht="12.95"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2.95"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2.95"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205</v>
      </c>
      <c r="AB347" s="4"/>
      <c r="AC347" s="1440"/>
      <c r="AD347" s="1440"/>
      <c r="AE347" s="1440"/>
      <c r="AF347" s="302"/>
      <c r="AG347" s="4"/>
      <c r="AH347" s="4"/>
      <c r="AI347" s="4"/>
      <c r="AJ347" s="4"/>
      <c r="AK347" s="4"/>
    </row>
    <row r="348" spans="1:66" ht="12.95"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2.95"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5" customHeight="1">
      <c r="T350" s="8"/>
      <c r="U350" s="8"/>
      <c r="V350" s="8"/>
      <c r="W350" s="8"/>
      <c r="X350" s="8"/>
      <c r="Y350" s="8"/>
      <c r="Z350" s="8"/>
      <c r="AU350" s="95"/>
      <c r="AV350" s="95"/>
      <c r="AW350" s="95"/>
      <c r="AX350" s="95"/>
      <c r="AY350" s="95"/>
    </row>
    <row r="351" spans="1:66" ht="12.95"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2.95"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3" t="s">
        <v>545</v>
      </c>
      <c r="N355" s="1333"/>
      <c r="P355" t="s">
        <v>1650</v>
      </c>
      <c r="AJ355" s="1333" t="s">
        <v>591</v>
      </c>
      <c r="AK355" s="1333"/>
    </row>
    <row r="356" spans="1:46" ht="12.95" customHeight="1">
      <c r="D356" s="3" t="s">
        <v>1639</v>
      </c>
      <c r="M356" s="1333" t="s">
        <v>591</v>
      </c>
      <c r="N356" s="1333"/>
      <c r="P356" s="3" t="s">
        <v>1719</v>
      </c>
      <c r="AJ356" s="1450"/>
      <c r="AK356" s="1450"/>
    </row>
    <row r="357" spans="1:46" ht="12.95" customHeight="1">
      <c r="D357" s="3" t="s">
        <v>704</v>
      </c>
      <c r="M357" s="1333" t="s">
        <v>591</v>
      </c>
      <c r="N357" s="1333"/>
      <c r="P357" t="s">
        <v>1649</v>
      </c>
      <c r="AJ357" s="1333" t="s">
        <v>591</v>
      </c>
      <c r="AK357" s="1333"/>
    </row>
    <row r="358" spans="1:46" ht="12.95" customHeight="1">
      <c r="D358" s="3" t="s">
        <v>705</v>
      </c>
      <c r="M358" s="1333" t="s">
        <v>591</v>
      </c>
      <c r="N358" s="1333"/>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3" t="s">
        <v>591</v>
      </c>
      <c r="O363" s="1333"/>
      <c r="P363" s="40"/>
      <c r="Q363" s="40"/>
      <c r="R363" s="40"/>
      <c r="S363" s="40"/>
      <c r="T363" s="40"/>
      <c r="U363" s="40"/>
      <c r="V363" s="40"/>
      <c r="W363" s="40"/>
      <c r="X363" s="40"/>
      <c r="Y363" s="40"/>
      <c r="Z363" s="40"/>
      <c r="AC363" s="40"/>
      <c r="AD363" s="40"/>
      <c r="AE363" s="40"/>
    </row>
    <row r="364" spans="1:46" ht="12.95" customHeight="1">
      <c r="E364" t="s">
        <v>369</v>
      </c>
      <c r="Y364" s="1333" t="s">
        <v>591</v>
      </c>
      <c r="Z364" s="1333"/>
    </row>
    <row r="365" spans="1:46" ht="12.95" customHeight="1">
      <c r="D365" s="4" t="s">
        <v>978</v>
      </c>
      <c r="Q365" s="1373" t="s">
        <v>591</v>
      </c>
      <c r="R365" s="1373"/>
      <c r="S365" s="1373"/>
      <c r="T365" s="1373"/>
      <c r="U365" s="1373"/>
      <c r="V365" s="1373"/>
      <c r="W365" s="1373"/>
      <c r="X365" s="1373"/>
      <c r="Y365" s="1373"/>
      <c r="Z365" s="1373"/>
      <c r="AA365" s="1373"/>
      <c r="AB365" s="1373"/>
      <c r="AC365" s="1373"/>
      <c r="AD365" s="1373"/>
      <c r="AE365" s="1373"/>
      <c r="AF365" s="1373"/>
      <c r="AG365" s="1373"/>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3" t="s">
        <v>591</v>
      </c>
      <c r="K367" s="1333"/>
      <c r="L367" s="40"/>
      <c r="M367" s="40"/>
      <c r="N367" s="40"/>
      <c r="O367" s="40"/>
      <c r="P367" s="40"/>
      <c r="Q367" s="40"/>
      <c r="R367" s="40"/>
      <c r="S367" s="40"/>
      <c r="T367" s="40"/>
      <c r="U367" s="40"/>
      <c r="V367" s="40"/>
      <c r="W367" s="40"/>
      <c r="X367" s="40"/>
      <c r="Y367" s="40"/>
      <c r="Z367" s="40"/>
      <c r="AC367" s="40"/>
      <c r="AD367" s="40"/>
      <c r="AE367" s="40"/>
    </row>
    <row r="368" spans="1:46" ht="12.95"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5"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5" customHeight="1">
      <c r="E370" s="4" t="s">
        <v>448</v>
      </c>
      <c r="F370" s="4"/>
      <c r="G370" s="4"/>
      <c r="H370" s="4"/>
      <c r="I370" s="4"/>
      <c r="J370" s="4"/>
      <c r="K370" s="4"/>
      <c r="L370" s="4"/>
      <c r="N370" s="1665"/>
      <c r="O370" s="1665"/>
      <c r="P370" s="1665"/>
      <c r="Q370" s="1665"/>
      <c r="R370" s="4"/>
      <c r="U370" s="4" t="s">
        <v>449</v>
      </c>
      <c r="V370" s="4"/>
      <c r="W370" s="4"/>
      <c r="X370" s="4"/>
      <c r="Y370" s="4"/>
      <c r="Z370" s="4"/>
      <c r="AA370" s="4"/>
      <c r="AB370" s="4"/>
      <c r="AC370" s="1665"/>
      <c r="AD370" s="1665"/>
      <c r="AE370" s="1665"/>
      <c r="AF370" s="1665"/>
    </row>
    <row r="371" spans="1:34" ht="12.95" customHeight="1">
      <c r="E371" s="4" t="s">
        <v>450</v>
      </c>
      <c r="F371" s="4"/>
      <c r="G371" s="4"/>
      <c r="H371" s="4"/>
      <c r="I371" s="4"/>
      <c r="J371" s="4"/>
      <c r="K371" s="4"/>
      <c r="L371" s="4"/>
      <c r="N371" s="1665"/>
      <c r="O371" s="1665"/>
      <c r="P371" s="1665"/>
      <c r="Q371" s="1665"/>
      <c r="R371" s="4"/>
      <c r="U371" s="4" t="s">
        <v>0</v>
      </c>
      <c r="V371" s="4"/>
      <c r="W371" s="4"/>
      <c r="X371" s="4"/>
      <c r="Y371" s="4"/>
      <c r="Z371" s="4"/>
      <c r="AA371" s="4"/>
      <c r="AB371" s="4"/>
      <c r="AC371" s="1665"/>
      <c r="AD371" s="1665"/>
      <c r="AE371" s="1665"/>
      <c r="AF371" s="1665"/>
    </row>
    <row r="372" spans="1:34" ht="12.95" customHeight="1">
      <c r="E372" s="4" t="s">
        <v>1</v>
      </c>
      <c r="F372" s="4"/>
      <c r="G372" s="4"/>
      <c r="H372" s="4"/>
      <c r="I372" s="4"/>
      <c r="J372" s="4"/>
      <c r="K372" s="4"/>
      <c r="L372" s="4"/>
      <c r="N372" s="1665"/>
      <c r="O372" s="1665"/>
      <c r="P372" s="1665"/>
      <c r="Q372" s="1665"/>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7"/>
      <c r="T377" s="1817"/>
      <c r="U377" s="1" t="s">
        <v>305</v>
      </c>
      <c r="V377" s="1817"/>
      <c r="W377" s="1817"/>
      <c r="Y377" t="s">
        <v>2080</v>
      </c>
      <c r="AC377" s="27" t="s">
        <v>304</v>
      </c>
      <c r="AD377" s="1817"/>
      <c r="AE377" s="1817"/>
      <c r="AF377" s="1" t="s">
        <v>305</v>
      </c>
      <c r="AG377" s="1817"/>
      <c r="AH377" s="1817"/>
    </row>
    <row r="378" spans="1:34" ht="12.95" customHeight="1">
      <c r="E378" s="4" t="s">
        <v>987</v>
      </c>
      <c r="F378" s="4"/>
      <c r="G378" s="4"/>
      <c r="H378" s="4"/>
      <c r="I378" s="4"/>
      <c r="J378" s="4"/>
      <c r="K378" s="4"/>
      <c r="L378" s="4"/>
      <c r="N378" s="1817"/>
      <c r="O378" s="1817"/>
      <c r="P378" s="1817"/>
    </row>
    <row r="379" spans="1:34" ht="12.95" customHeight="1">
      <c r="E379" s="204" t="s">
        <v>2086</v>
      </c>
      <c r="F379" s="4"/>
      <c r="G379" s="4"/>
      <c r="H379" s="4"/>
      <c r="I379" s="4"/>
      <c r="J379" s="4"/>
      <c r="K379" s="4"/>
      <c r="L379" s="4"/>
      <c r="AG379" s="1805" t="s">
        <v>591</v>
      </c>
      <c r="AH379" s="1805"/>
    </row>
    <row r="380" spans="1:34" ht="12.95" customHeight="1">
      <c r="E380" s="4"/>
      <c r="F380" s="4"/>
      <c r="G380" s="4" t="s">
        <v>2087</v>
      </c>
      <c r="H380" s="4"/>
      <c r="I380" s="4"/>
      <c r="J380" s="4"/>
      <c r="K380" s="4"/>
      <c r="L380" s="4"/>
      <c r="AG380" s="1805" t="s">
        <v>591</v>
      </c>
      <c r="AH380" s="1805"/>
    </row>
    <row r="381" spans="1:34" ht="12.95" customHeight="1">
      <c r="E381" s="4"/>
      <c r="F381" s="4"/>
      <c r="G381" s="320" t="s">
        <v>988</v>
      </c>
      <c r="H381" s="4"/>
      <c r="I381" s="4"/>
      <c r="J381" s="4"/>
      <c r="K381" s="4"/>
      <c r="L381" s="4"/>
      <c r="V381" s="1333" t="s">
        <v>591</v>
      </c>
      <c r="W381" s="1333"/>
      <c r="Y381" s="22" t="s">
        <v>980</v>
      </c>
    </row>
    <row r="382" spans="1:34" ht="12.95" customHeight="1">
      <c r="E382" s="4" t="s">
        <v>981</v>
      </c>
      <c r="F382" s="4"/>
      <c r="G382" s="4"/>
      <c r="H382" s="4"/>
      <c r="I382" s="4"/>
      <c r="J382" s="4"/>
      <c r="K382" s="4"/>
      <c r="L382" s="4"/>
      <c r="V382" s="1333" t="s">
        <v>591</v>
      </c>
      <c r="W382" s="1333"/>
      <c r="Y382" s="4" t="s">
        <v>982</v>
      </c>
    </row>
    <row r="383" spans="1:34" ht="12.95" customHeight="1"/>
    <row r="384" spans="1:34" ht="12.95" customHeight="1">
      <c r="A384" s="2" t="s">
        <v>78</v>
      </c>
      <c r="B384" s="2"/>
    </row>
    <row r="385" spans="4:36" ht="12.95" customHeight="1">
      <c r="D385" t="s">
        <v>427</v>
      </c>
      <c r="J385" s="1373" t="s">
        <v>2621</v>
      </c>
      <c r="K385" s="1373"/>
      <c r="L385" s="1373"/>
      <c r="M385" s="1373"/>
      <c r="N385" s="1373"/>
      <c r="O385" s="1373"/>
      <c r="P385" s="1373"/>
      <c r="Q385" s="1373"/>
      <c r="R385" s="1373"/>
      <c r="S385" s="1373"/>
      <c r="T385" s="1373"/>
      <c r="U385" s="1373"/>
      <c r="V385" s="8" t="s">
        <v>83</v>
      </c>
      <c r="W385" s="8"/>
      <c r="X385" s="8"/>
      <c r="Y385" s="8"/>
      <c r="Z385" s="8"/>
      <c r="AA385" s="8"/>
      <c r="AB385" s="8"/>
      <c r="AC385" s="1373" t="s">
        <v>2622</v>
      </c>
      <c r="AD385" s="1373"/>
      <c r="AE385" s="1373"/>
      <c r="AF385" s="1373"/>
      <c r="AG385" s="1373"/>
      <c r="AH385" s="1373"/>
      <c r="AI385" s="1373"/>
      <c r="AJ385" s="1373"/>
    </row>
    <row r="386" spans="4:36" ht="12.95" customHeight="1">
      <c r="D386" s="3" t="s">
        <v>1182</v>
      </c>
      <c r="J386" s="1350" t="s">
        <v>2622</v>
      </c>
      <c r="K386" s="1350"/>
      <c r="L386" s="1350"/>
      <c r="M386" s="1350"/>
      <c r="N386" s="1350"/>
      <c r="O386" s="1350"/>
      <c r="P386" s="1350"/>
      <c r="Q386" s="1350"/>
      <c r="R386" s="1350"/>
      <c r="S386" s="1350"/>
      <c r="T386" s="1350"/>
      <c r="U386" s="1350"/>
      <c r="V386" s="3" t="s">
        <v>1182</v>
      </c>
      <c r="W386" s="8"/>
      <c r="X386" s="8"/>
      <c r="Y386" s="8"/>
      <c r="Z386" s="8"/>
      <c r="AA386" s="8"/>
      <c r="AB386" s="8"/>
      <c r="AC386" s="1373"/>
      <c r="AD386" s="1373"/>
      <c r="AE386" s="1373"/>
      <c r="AF386" s="1373"/>
      <c r="AG386" s="1373"/>
      <c r="AH386" s="1373"/>
      <c r="AI386" s="1373"/>
      <c r="AJ386" s="1373"/>
    </row>
    <row r="387" spans="4:36" ht="12.95" customHeight="1">
      <c r="D387" s="3" t="s">
        <v>441</v>
      </c>
      <c r="J387" s="1350" t="s">
        <v>440</v>
      </c>
      <c r="K387" s="1350"/>
      <c r="L387" s="1350"/>
      <c r="M387" s="1350"/>
      <c r="N387" s="1350"/>
      <c r="O387" s="1350"/>
      <c r="P387" s="1350"/>
      <c r="Q387" s="1350"/>
      <c r="R387" s="1350"/>
      <c r="S387" s="1350"/>
      <c r="T387" s="1350"/>
      <c r="U387" s="1350"/>
      <c r="V387" s="3" t="s">
        <v>441</v>
      </c>
      <c r="W387" s="8"/>
      <c r="X387" s="8"/>
      <c r="Y387" s="8"/>
      <c r="Z387" s="8"/>
      <c r="AA387" s="8"/>
      <c r="AB387" s="8"/>
      <c r="AC387" s="1373"/>
      <c r="AD387" s="1373"/>
      <c r="AE387" s="1373"/>
      <c r="AF387" s="1373"/>
      <c r="AG387" s="1373"/>
      <c r="AH387" s="1373"/>
      <c r="AI387" s="1373"/>
      <c r="AJ387" s="1373"/>
    </row>
    <row r="388" spans="4:36" ht="12.95" customHeight="1">
      <c r="D388" t="s">
        <v>1178</v>
      </c>
      <c r="J388" s="1404" t="s">
        <v>2689</v>
      </c>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2.95" customHeight="1">
      <c r="D389" t="s">
        <v>4</v>
      </c>
      <c r="Q389" s="1753">
        <v>45348</v>
      </c>
      <c r="R389" s="1753"/>
      <c r="S389" s="1753"/>
      <c r="T389" s="1753"/>
      <c r="U389" s="1753"/>
      <c r="V389" t="s">
        <v>308</v>
      </c>
      <c r="AI389" s="1333" t="s">
        <v>669</v>
      </c>
      <c r="AJ389" s="1333"/>
    </row>
    <row r="390" spans="4:36" ht="12.95" customHeight="1">
      <c r="D390" t="s">
        <v>5</v>
      </c>
      <c r="Q390" s="1537"/>
      <c r="R390" s="1821"/>
      <c r="S390" s="1821"/>
      <c r="T390" s="1821"/>
      <c r="U390" s="1821"/>
      <c r="W390" s="21" t="s">
        <v>74</v>
      </c>
      <c r="AG390" s="1819"/>
      <c r="AH390" s="1819"/>
      <c r="AI390" s="1819"/>
      <c r="AJ390" s="1819"/>
    </row>
    <row r="391" spans="4:36" ht="12.95" customHeight="1">
      <c r="D391" t="s">
        <v>426</v>
      </c>
      <c r="Q391" s="1830">
        <v>0</v>
      </c>
      <c r="R391" s="1830"/>
      <c r="S391" s="1830"/>
      <c r="T391" s="1830"/>
      <c r="U391" s="1830"/>
      <c r="V391" s="3" t="s">
        <v>1181</v>
      </c>
      <c r="AG391" s="1820">
        <v>45497</v>
      </c>
      <c r="AH391" s="1820"/>
      <c r="AI391" s="1820"/>
      <c r="AJ391" s="1820"/>
    </row>
    <row r="392" spans="4:36" ht="12.95" customHeight="1">
      <c r="D392" t="s">
        <v>88</v>
      </c>
      <c r="I392" s="1425" t="s">
        <v>2624</v>
      </c>
      <c r="J392" s="1426"/>
      <c r="K392" s="1426"/>
      <c r="L392" s="1426"/>
      <c r="M392" s="1426"/>
      <c r="N392" s="1426"/>
      <c r="Q392" s="4" t="s">
        <v>205</v>
      </c>
      <c r="S392" s="1829"/>
      <c r="T392" s="1829"/>
      <c r="U392" s="1829"/>
      <c r="V392" t="s">
        <v>73</v>
      </c>
      <c r="AI392" s="1333" t="s">
        <v>669</v>
      </c>
      <c r="AJ392" s="1333"/>
    </row>
    <row r="393" spans="4:36" ht="12.95" customHeight="1">
      <c r="D393" t="s">
        <v>309</v>
      </c>
      <c r="Q393" s="1410">
        <v>2417</v>
      </c>
      <c r="R393" s="1410"/>
      <c r="S393" s="1410"/>
      <c r="T393" s="1410"/>
      <c r="U393" s="1410"/>
      <c r="V393" t="s">
        <v>310</v>
      </c>
      <c r="AG393" s="1819">
        <v>29000</v>
      </c>
      <c r="AH393" s="1819"/>
      <c r="AI393" s="1819"/>
      <c r="AJ393" s="1819"/>
    </row>
    <row r="394" spans="4:36" ht="12.95" customHeight="1">
      <c r="D394" t="s">
        <v>311</v>
      </c>
      <c r="Q394" s="1757">
        <v>0.01</v>
      </c>
      <c r="R394" s="1757"/>
      <c r="S394" s="1757"/>
      <c r="T394" s="1757"/>
      <c r="U394" s="1757"/>
      <c r="V394" t="s">
        <v>1163</v>
      </c>
      <c r="AG394" s="1819"/>
      <c r="AH394" s="1819"/>
      <c r="AI394" s="1819"/>
      <c r="AJ394" s="1819"/>
    </row>
    <row r="395" spans="4:36" ht="12.95" customHeight="1">
      <c r="D395" t="s">
        <v>1162</v>
      </c>
      <c r="AG395" s="1819"/>
      <c r="AH395" s="1819"/>
      <c r="AI395" s="1819"/>
      <c r="AJ395" s="1819"/>
    </row>
    <row r="396" spans="4:36" ht="12.95" customHeight="1">
      <c r="AG396" s="456"/>
      <c r="AH396" s="456"/>
      <c r="AI396" s="456"/>
      <c r="AJ396" s="456"/>
    </row>
    <row r="397" spans="4:36" ht="12.95" customHeight="1">
      <c r="D397" s="3" t="s">
        <v>2143</v>
      </c>
      <c r="AG397" s="456"/>
      <c r="AH397" s="456"/>
      <c r="AI397" s="1333" t="s">
        <v>669</v>
      </c>
      <c r="AJ397" s="1333"/>
    </row>
    <row r="398" spans="4:36" ht="12.95" customHeight="1">
      <c r="D398" s="3" t="s">
        <v>1667</v>
      </c>
      <c r="T398" s="1752" t="s">
        <v>2690</v>
      </c>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1666</v>
      </c>
      <c r="T399" s="1752" t="s">
        <v>2690</v>
      </c>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1660</v>
      </c>
      <c r="S401" s="1752" t="s">
        <v>669</v>
      </c>
      <c r="T401" s="1752"/>
      <c r="U401" s="1752"/>
      <c r="V401" t="s">
        <v>1661</v>
      </c>
      <c r="AG401" s="1823"/>
      <c r="AH401" s="1823"/>
      <c r="AI401" s="1823"/>
      <c r="AJ401" s="1823"/>
    </row>
    <row r="402" spans="1:36" ht="12.95" customHeight="1">
      <c r="D402" s="3" t="s">
        <v>1658</v>
      </c>
      <c r="S402" s="1752" t="s">
        <v>591</v>
      </c>
      <c r="T402" s="1752"/>
      <c r="U402" s="1752"/>
      <c r="V402" t="s">
        <v>1663</v>
      </c>
      <c r="AE402" s="1818"/>
      <c r="AF402" s="1818"/>
      <c r="AG402" s="1818"/>
      <c r="AH402" s="1818"/>
      <c r="AI402" s="1818"/>
      <c r="AJ402" s="1818"/>
    </row>
    <row r="403" spans="1:36" ht="12.95" customHeight="1">
      <c r="D403" s="3" t="s">
        <v>1659</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1662</v>
      </c>
      <c r="K404" s="1799" t="s">
        <v>2690</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1665</v>
      </c>
      <c r="E405" s="477"/>
      <c r="F405" s="477"/>
      <c r="G405" s="477"/>
      <c r="H405" s="477"/>
      <c r="I405" s="477"/>
      <c r="J405" s="477"/>
      <c r="K405" s="477"/>
      <c r="L405" s="477"/>
      <c r="M405" s="477"/>
      <c r="N405" s="477"/>
      <c r="O405" s="477"/>
      <c r="P405" s="477"/>
      <c r="Q405" s="477"/>
      <c r="R405" s="477"/>
      <c r="S405" s="1828" t="s">
        <v>1184</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8" t="s">
        <v>1664</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2.95"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8" t="s">
        <v>2617</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2.95" customHeight="1">
      <c r="E411" t="s">
        <v>106</v>
      </c>
      <c r="R411" s="1333" t="s">
        <v>545</v>
      </c>
      <c r="S411" s="1333"/>
      <c r="AC411" s="27" t="s">
        <v>570</v>
      </c>
      <c r="AD411" s="1665">
        <v>3</v>
      </c>
      <c r="AE411" s="1665"/>
    </row>
    <row r="412" spans="1:36" ht="12.95" customHeight="1">
      <c r="E412" t="s">
        <v>107</v>
      </c>
      <c r="R412" s="1333" t="s">
        <v>591</v>
      </c>
      <c r="S412" s="1333"/>
      <c r="AC412" s="27" t="s">
        <v>570</v>
      </c>
      <c r="AD412" s="1665"/>
      <c r="AE412" s="1665"/>
    </row>
    <row r="413" spans="1:36" ht="12.95" customHeight="1">
      <c r="E413" t="s">
        <v>108</v>
      </c>
      <c r="S413" s="1333" t="s">
        <v>591</v>
      </c>
      <c r="T413" s="1333"/>
    </row>
    <row r="414" spans="1:36" ht="12.95" customHeight="1">
      <c r="E414" t="s">
        <v>169</v>
      </c>
      <c r="H414" s="1758"/>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590</v>
      </c>
      <c r="B417" s="2"/>
      <c r="C417" s="2"/>
      <c r="D417" s="2" t="s">
        <v>114</v>
      </c>
      <c r="AF417" s="2" t="s">
        <v>957</v>
      </c>
    </row>
    <row r="418" spans="1:39" ht="12.95" customHeight="1">
      <c r="E418" s="1817"/>
      <c r="F418" s="1817"/>
      <c r="G418" s="1817"/>
      <c r="H418" s="13" t="s">
        <v>115</v>
      </c>
      <c r="I418" s="1817"/>
      <c r="J418" s="1817"/>
      <c r="K418" s="1817"/>
      <c r="L418" t="s">
        <v>116</v>
      </c>
      <c r="N418" s="27" t="s">
        <v>575</v>
      </c>
      <c r="P418" s="1761">
        <v>2.17</v>
      </c>
      <c r="Q418" s="1761"/>
      <c r="R418" s="1761"/>
      <c r="S418" t="s">
        <v>117</v>
      </c>
      <c r="W418" s="1827">
        <f>IF(E418&gt;0,(E418*I418),(P418*43560))</f>
        <v>94525.2</v>
      </c>
      <c r="X418" s="1827"/>
      <c r="Y418" s="1827"/>
      <c r="Z418" t="s">
        <v>118</v>
      </c>
      <c r="AF418" s="1762">
        <f>IFERROR(IF(P418&gt;0,(AG437/P418),(AG437/(W418/43560))),0)</f>
        <v>37.327188940092164</v>
      </c>
      <c r="AG418" s="1762"/>
      <c r="AH418" s="1762"/>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1736</v>
      </c>
      <c r="F421" s="1013"/>
      <c r="G421" s="1013"/>
      <c r="H421" s="1013"/>
      <c r="I421" s="1760">
        <v>2.17</v>
      </c>
      <c r="J421" s="1760"/>
      <c r="K421" s="1760"/>
      <c r="L421" s="1013"/>
      <c r="M421" s="118"/>
      <c r="N421" s="1013"/>
      <c r="O421" s="1013"/>
      <c r="P421" s="1444">
        <f>(DU755+DU778+DU800)/I421</f>
        <v>37.788018433179722</v>
      </c>
      <c r="Q421" s="1444"/>
      <c r="R421" s="1444"/>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3">
        <v>1</v>
      </c>
      <c r="Q424" s="1333"/>
      <c r="S424" t="s">
        <v>188</v>
      </c>
      <c r="AE424" s="1333">
        <v>0</v>
      </c>
      <c r="AF424" s="1333"/>
    </row>
    <row r="425" spans="1:39" ht="12.95" customHeight="1">
      <c r="E425" t="s">
        <v>189</v>
      </c>
      <c r="P425" s="1333">
        <v>0</v>
      </c>
      <c r="Q425" s="1333"/>
      <c r="S425" t="s">
        <v>131</v>
      </c>
      <c r="AE425" s="1333" t="s">
        <v>591</v>
      </c>
      <c r="AF425" s="1333"/>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608</v>
      </c>
      <c r="P429" s="1"/>
      <c r="Q429" s="1333" t="s">
        <v>545</v>
      </c>
      <c r="R429" s="1333"/>
    </row>
    <row r="430" spans="1:39" ht="12.95" customHeight="1">
      <c r="F430" t="s">
        <v>609</v>
      </c>
      <c r="P430" s="1"/>
      <c r="Q430" s="1"/>
      <c r="AF430" s="1333" t="s">
        <v>591</v>
      </c>
      <c r="AG430" s="1825"/>
    </row>
    <row r="431" spans="1:39" ht="12.95" customHeight="1"/>
    <row r="432" spans="1:39" ht="12.95" customHeight="1">
      <c r="A432" s="2"/>
      <c r="B432" s="2"/>
      <c r="C432" s="2"/>
      <c r="E432" s="4" t="s">
        <v>307</v>
      </c>
      <c r="Z432" s="1333" t="s">
        <v>669</v>
      </c>
      <c r="AA432" s="1333"/>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3" t="s">
        <v>591</v>
      </c>
      <c r="AA434" s="1333"/>
    </row>
    <row r="435" spans="1:55" ht="12.95" customHeight="1"/>
    <row r="436" spans="1:55" ht="12.95" customHeight="1">
      <c r="A436" s="2" t="s">
        <v>467</v>
      </c>
      <c r="B436" s="2"/>
      <c r="C436" s="2"/>
      <c r="D436" s="2" t="s">
        <v>764</v>
      </c>
      <c r="AF436" s="48"/>
    </row>
    <row r="437" spans="1:55" ht="12.95" customHeight="1">
      <c r="D437" s="1627" t="s">
        <v>43</v>
      </c>
      <c r="E437" s="1628"/>
      <c r="F437" s="1628"/>
      <c r="G437" s="1628"/>
      <c r="H437" s="1628"/>
      <c r="I437" s="1628"/>
      <c r="J437" s="1628"/>
      <c r="K437" s="1628"/>
      <c r="L437" s="1628"/>
      <c r="M437" s="1628"/>
      <c r="N437" s="1628"/>
      <c r="O437" s="1628"/>
      <c r="P437" s="1628"/>
      <c r="Q437" s="1628"/>
      <c r="R437" s="1628"/>
      <c r="S437" s="1628"/>
      <c r="T437" s="1628"/>
      <c r="U437" s="1628"/>
      <c r="V437" s="1628"/>
      <c r="W437" s="1628"/>
      <c r="X437" s="1628"/>
      <c r="Y437" s="1628"/>
      <c r="Z437" s="1628"/>
      <c r="AA437" s="1628"/>
      <c r="AB437" s="1628"/>
      <c r="AC437" s="1628"/>
      <c r="AD437" s="1628"/>
      <c r="AE437" s="1628"/>
      <c r="AF437" s="1763"/>
      <c r="AG437" s="1822">
        <v>81</v>
      </c>
      <c r="AH437" s="1822"/>
      <c r="AI437" s="1822"/>
      <c r="AJ437" s="1822"/>
    </row>
    <row r="438" spans="1:55" ht="12.95"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6">
        <v>0</v>
      </c>
      <c r="AH438" s="1615"/>
      <c r="AI438" s="1615"/>
      <c r="AJ438" s="1615"/>
    </row>
    <row r="439" spans="1:55" ht="12.95"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2">
        <v>80</v>
      </c>
      <c r="AH439" s="1822"/>
      <c r="AI439" s="1822"/>
      <c r="AJ439" s="1822"/>
    </row>
    <row r="440" spans="1:55" ht="12.95"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2">
        <v>80</v>
      </c>
      <c r="AH440" s="1822"/>
      <c r="AI440" s="1822"/>
      <c r="AJ440" s="1822"/>
    </row>
    <row r="441" spans="1:55" ht="12.95"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7">
        <f>IF(ISERROR(AG440/AG439),0,AG440/AG439)</f>
        <v>1</v>
      </c>
      <c r="AH441" s="1807"/>
      <c r="AI441" s="1807"/>
      <c r="AJ441" s="1807"/>
    </row>
    <row r="442" spans="1:55" ht="12.95"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816">
        <f>583*80</f>
        <v>46640</v>
      </c>
      <c r="AH442" s="1696"/>
      <c r="AI442" s="1696"/>
      <c r="AJ442" s="1696"/>
    </row>
    <row r="443" spans="1:55" ht="12.95"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6">
        <f>AG442</f>
        <v>46640</v>
      </c>
      <c r="AH443" s="1696"/>
      <c r="AI443" s="1696"/>
      <c r="AJ443" s="1696"/>
    </row>
    <row r="444" spans="1:55" ht="12.95"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7">
        <f>IF(ISERROR(AG443/AG442),0,AG443/AG442)</f>
        <v>1</v>
      </c>
      <c r="AH444" s="1807"/>
      <c r="AI444" s="1807"/>
      <c r="AJ444" s="1807"/>
    </row>
    <row r="445" spans="1:55" ht="12.95"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7">
        <f>MIN(IF(AG441&gt;AG444,AG444,AG441),1)</f>
        <v>1</v>
      </c>
      <c r="AH445" s="1807"/>
      <c r="AI445" s="1807"/>
      <c r="AJ445" s="1807"/>
    </row>
    <row r="446" spans="1:55" ht="12.95" customHeight="1">
      <c r="D446" s="1744" t="s">
        <v>2088</v>
      </c>
      <c r="E446" s="1628"/>
      <c r="F446" s="1628"/>
      <c r="G446" s="1628"/>
      <c r="H446" s="1628"/>
      <c r="I446" s="1628"/>
      <c r="J446" s="1628"/>
      <c r="K446" s="1628"/>
      <c r="L446" s="1628"/>
      <c r="M446" s="1628"/>
      <c r="N446" s="1628"/>
      <c r="O446" s="1628"/>
      <c r="P446" s="1628"/>
      <c r="Q446" s="1628"/>
      <c r="R446" s="1628"/>
      <c r="S446" s="1628"/>
      <c r="T446" s="1628"/>
      <c r="U446" s="1628"/>
      <c r="V446" s="1628"/>
      <c r="W446" s="1628"/>
      <c r="X446" s="1628"/>
      <c r="Y446" s="1628"/>
      <c r="Z446" s="1628"/>
      <c r="AA446" s="1628"/>
      <c r="AB446" s="1628"/>
      <c r="AC446" s="1628"/>
      <c r="AD446" s="1628"/>
      <c r="AE446" s="1628"/>
      <c r="AF446" s="1763"/>
      <c r="AG446" s="1696">
        <v>0</v>
      </c>
      <c r="AH446" s="1696"/>
      <c r="AI446" s="1696"/>
      <c r="AJ446" s="1696"/>
      <c r="AZ446" s="34"/>
      <c r="BA446" s="34"/>
      <c r="BB446" s="34"/>
      <c r="BC446" s="34"/>
    </row>
    <row r="447" spans="1:55" ht="12.95" customHeight="1">
      <c r="D447" s="1627" t="s">
        <v>569</v>
      </c>
      <c r="E447" s="1628"/>
      <c r="F447" s="1628"/>
      <c r="G447" s="1628"/>
      <c r="H447" s="1628"/>
      <c r="I447" s="1628"/>
      <c r="J447" s="1628"/>
      <c r="K447" s="1628"/>
      <c r="L447" s="1628"/>
      <c r="M447" s="1628"/>
      <c r="N447" s="1628"/>
      <c r="O447" s="1628"/>
      <c r="P447" s="1628"/>
      <c r="Q447" s="1628"/>
      <c r="R447" s="1628"/>
      <c r="S447" s="1628"/>
      <c r="T447" s="1628"/>
      <c r="U447" s="1628"/>
      <c r="V447" s="1628"/>
      <c r="W447" s="1628"/>
      <c r="X447" s="1628"/>
      <c r="Y447" s="1628"/>
      <c r="Z447" s="1628"/>
      <c r="AA447" s="1628"/>
      <c r="AB447" s="1628"/>
      <c r="AC447" s="1628"/>
      <c r="AD447" s="1628"/>
      <c r="AE447" s="1628"/>
      <c r="AF447" s="1763"/>
      <c r="AG447" s="1696">
        <v>0</v>
      </c>
      <c r="AH447" s="1696"/>
      <c r="AI447" s="1696"/>
      <c r="AJ447" s="1696"/>
      <c r="AZ447" s="3"/>
      <c r="BA447" s="3"/>
      <c r="BB447" s="3"/>
      <c r="BC447" s="3"/>
    </row>
    <row r="448" spans="1:55" ht="12.95" customHeight="1">
      <c r="D448" s="1744" t="s">
        <v>1205</v>
      </c>
      <c r="E448" s="1628"/>
      <c r="F448" s="1628"/>
      <c r="G448" s="1628"/>
      <c r="H448" s="1628"/>
      <c r="I448" s="1628"/>
      <c r="J448" s="1628"/>
      <c r="K448" s="1628"/>
      <c r="L448" s="1628"/>
      <c r="M448" s="1628"/>
      <c r="N448" s="1628"/>
      <c r="O448" s="1628"/>
      <c r="P448" s="1628"/>
      <c r="Q448" s="1628"/>
      <c r="R448" s="1628"/>
      <c r="S448" s="1628"/>
      <c r="T448" s="1628"/>
      <c r="U448" s="1628"/>
      <c r="V448" s="1628"/>
      <c r="W448" s="1628"/>
      <c r="X448" s="1628"/>
      <c r="Y448" s="1628"/>
      <c r="Z448" s="1628"/>
      <c r="AA448" s="1628"/>
      <c r="AB448" s="1628"/>
      <c r="AC448" s="1628"/>
      <c r="AD448" s="1628"/>
      <c r="AE448" s="1628"/>
      <c r="AF448" s="1763"/>
      <c r="AG448" s="1696">
        <v>33539</v>
      </c>
      <c r="AH448" s="1696"/>
      <c r="AI448" s="1696"/>
      <c r="AJ448" s="1696"/>
      <c r="AZ448" s="3"/>
      <c r="BA448" s="3"/>
      <c r="BB448" s="3"/>
      <c r="BC448" s="3"/>
    </row>
    <row r="449" spans="1:55" ht="12.95" customHeight="1">
      <c r="D449" s="1744" t="s">
        <v>1038</v>
      </c>
      <c r="E449" s="1628"/>
      <c r="F449" s="1628"/>
      <c r="G449" s="1628"/>
      <c r="H449" s="1628"/>
      <c r="I449" s="1628"/>
      <c r="J449" s="1628"/>
      <c r="K449" s="1628"/>
      <c r="L449" s="1628"/>
      <c r="M449" s="1628"/>
      <c r="N449" s="1628"/>
      <c r="O449" s="1628"/>
      <c r="P449" s="1628"/>
      <c r="Q449" s="1628"/>
      <c r="R449" s="1628"/>
      <c r="S449" s="1628"/>
      <c r="T449" s="1628"/>
      <c r="U449" s="1628"/>
      <c r="V449" s="1628"/>
      <c r="W449" s="1628"/>
      <c r="X449" s="1628"/>
      <c r="Y449" s="1628"/>
      <c r="Z449" s="1628"/>
      <c r="AA449" s="1628"/>
      <c r="AB449" s="1628"/>
      <c r="AC449" s="1628"/>
      <c r="AD449" s="1628"/>
      <c r="AE449" s="1628"/>
      <c r="AF449" s="1763"/>
      <c r="AG449" s="1696">
        <v>0</v>
      </c>
      <c r="AH449" s="1696"/>
      <c r="AI449" s="1696"/>
      <c r="AJ449" s="1696"/>
      <c r="BB449" s="3"/>
      <c r="BC449" s="3"/>
    </row>
    <row r="450" spans="1:55" ht="12.9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6">
        <f>AG442+AG446+AG448+AG449</f>
        <v>80179</v>
      </c>
      <c r="AH450" s="1846"/>
      <c r="AI450" s="1846"/>
      <c r="AJ450" s="1846"/>
      <c r="AZ450" s="3"/>
      <c r="BA450" s="3"/>
      <c r="BB450" s="3"/>
      <c r="BC450" s="3"/>
    </row>
    <row r="451" spans="1:55" ht="12.95"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589558.72839506168</v>
      </c>
      <c r="AD454" s="1813"/>
      <c r="AE454" s="1813"/>
      <c r="AF454" s="181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589558.72839506168</v>
      </c>
      <c r="AD455" s="1813"/>
      <c r="AE455" s="1813"/>
      <c r="AF455" s="181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526139.06172839506</v>
      </c>
      <c r="AD456" s="1813"/>
      <c r="AE456" s="1813"/>
      <c r="AF456" s="1813"/>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7">
        <v>80</v>
      </c>
      <c r="X465" s="1668"/>
      <c r="Y465" s="1669"/>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7">
        <v>0</v>
      </c>
      <c r="X466" s="1668"/>
      <c r="Y466" s="1669"/>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7">
        <v>0</v>
      </c>
      <c r="X467" s="1668"/>
      <c r="Y467" s="1669"/>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7">
        <v>0</v>
      </c>
      <c r="X468" s="1668"/>
      <c r="Y468" s="1669"/>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7">
        <v>0</v>
      </c>
      <c r="X469" s="1668"/>
      <c r="Y469" s="1669"/>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7">
        <v>0</v>
      </c>
      <c r="X470" s="1668"/>
      <c r="Y470" s="1669"/>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7">
        <v>0</v>
      </c>
      <c r="X471" s="1668"/>
      <c r="Y471" s="1669"/>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2191</v>
      </c>
      <c r="E472" s="1850"/>
      <c r="F472" s="1850"/>
      <c r="G472" s="1850"/>
      <c r="H472" s="1850"/>
      <c r="I472" s="1850"/>
      <c r="J472" s="1850"/>
      <c r="K472" s="1850"/>
      <c r="L472" s="1850"/>
      <c r="M472" s="1850"/>
      <c r="N472" s="1850"/>
      <c r="O472" s="1850"/>
      <c r="P472" s="1850"/>
      <c r="Q472" s="1850"/>
      <c r="R472" s="1850"/>
      <c r="S472" s="1850"/>
      <c r="T472" s="1850"/>
      <c r="U472" s="1850"/>
      <c r="V472" s="1851"/>
      <c r="W472" s="1667">
        <v>0</v>
      </c>
      <c r="X472" s="1668"/>
      <c r="Y472" s="1669"/>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7">
        <v>13</v>
      </c>
      <c r="X473" s="1668"/>
      <c r="Y473" s="1669"/>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9"/>
      <c r="H474" s="1700"/>
      <c r="I474" s="1700"/>
      <c r="J474" s="1700"/>
      <c r="K474" s="1700"/>
      <c r="L474" s="1700"/>
      <c r="M474" s="1700"/>
      <c r="N474" s="1700"/>
      <c r="O474" s="1700"/>
      <c r="P474" s="1700"/>
      <c r="Q474" s="1700"/>
      <c r="R474" s="1700"/>
      <c r="S474" s="1700"/>
      <c r="T474" s="1700"/>
      <c r="U474" s="1700"/>
      <c r="V474" s="1701"/>
      <c r="W474" s="1667">
        <v>0</v>
      </c>
      <c r="X474" s="1668"/>
      <c r="Y474" s="1669"/>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2.95"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393</v>
      </c>
      <c r="C486" s="5"/>
      <c r="D486" s="5"/>
      <c r="E486" s="5"/>
      <c r="F486" s="5"/>
      <c r="G486" s="5"/>
      <c r="H486" s="5"/>
      <c r="I486" s="5"/>
      <c r="J486" s="5"/>
      <c r="K486" s="5"/>
      <c r="L486" s="5"/>
      <c r="M486" s="5"/>
      <c r="N486" s="5"/>
      <c r="O486" s="5"/>
      <c r="P486" s="5"/>
      <c r="Q486" s="1580" t="s">
        <v>2695</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81"/>
      <c r="AZ486" s="3"/>
      <c r="BB486" s="3"/>
      <c r="BC486" s="3"/>
    </row>
    <row r="487" spans="1:55" ht="12.95" customHeight="1">
      <c r="B487" s="45" t="s">
        <v>394</v>
      </c>
      <c r="C487" s="5"/>
      <c r="D487" s="5"/>
      <c r="E487" s="5"/>
      <c r="F487" s="5"/>
      <c r="G487" s="5"/>
      <c r="H487" s="5"/>
      <c r="I487" s="5"/>
      <c r="J487" s="5"/>
      <c r="K487" s="5"/>
      <c r="L487" s="5"/>
      <c r="M487" s="5"/>
      <c r="N487" s="5"/>
      <c r="O487" s="5"/>
      <c r="P487" s="5"/>
      <c r="Q487" s="1580" t="s">
        <v>2691</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81"/>
      <c r="AZ487" s="3"/>
      <c r="BB487" s="3"/>
      <c r="BC487" s="3"/>
    </row>
    <row r="488" spans="1:55" ht="12.95" customHeight="1">
      <c r="B488" s="45" t="s">
        <v>395</v>
      </c>
      <c r="C488" s="5"/>
      <c r="D488" s="5"/>
      <c r="E488" s="5"/>
      <c r="F488" s="5"/>
      <c r="G488" s="5"/>
      <c r="H488" s="5"/>
      <c r="I488" s="5"/>
      <c r="J488" s="5"/>
      <c r="K488" s="5"/>
      <c r="L488" s="5"/>
      <c r="M488" s="5"/>
      <c r="N488" s="5"/>
      <c r="O488" s="5"/>
      <c r="P488" s="5"/>
      <c r="Q488" s="1580" t="s">
        <v>2692</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81"/>
      <c r="AZ488" s="3"/>
      <c r="BA488" s="3"/>
      <c r="BB488" s="3"/>
      <c r="BC488" s="3"/>
    </row>
    <row r="489" spans="1:55" ht="12.95" customHeight="1">
      <c r="B489" s="1834" t="s">
        <v>396</v>
      </c>
      <c r="C489" s="1835"/>
      <c r="D489" s="1835"/>
      <c r="E489" s="1835"/>
      <c r="F489" s="1835"/>
      <c r="G489" s="1835"/>
      <c r="H489" s="1835"/>
      <c r="I489" s="1835"/>
      <c r="J489" s="1835"/>
      <c r="K489" s="1835"/>
      <c r="L489" s="1835"/>
      <c r="M489" s="1835"/>
      <c r="N489" s="1835"/>
      <c r="O489" s="1835"/>
      <c r="P489" s="1836"/>
      <c r="Q489" s="1840" t="s">
        <v>545</v>
      </c>
      <c r="R489" s="1841"/>
      <c r="S489" s="1771" t="s">
        <v>2751</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7"/>
      <c r="C490" s="1838"/>
      <c r="D490" s="1838"/>
      <c r="E490" s="1838"/>
      <c r="F490" s="1838"/>
      <c r="G490" s="1838"/>
      <c r="H490" s="1838"/>
      <c r="I490" s="1838"/>
      <c r="J490" s="1838"/>
      <c r="K490" s="1838"/>
      <c r="L490" s="1838"/>
      <c r="M490" s="1838"/>
      <c r="N490" s="1838"/>
      <c r="O490" s="1838"/>
      <c r="P490" s="1839"/>
      <c r="Q490" s="1842"/>
      <c r="R490" s="1843"/>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7" t="s">
        <v>669</v>
      </c>
      <c r="R491" s="1848"/>
      <c r="S491" s="1848"/>
      <c r="T491" s="1848"/>
      <c r="U491" s="1848"/>
      <c r="V491" s="1848"/>
      <c r="W491" s="1848"/>
      <c r="X491" s="1848"/>
      <c r="Y491" s="1848"/>
      <c r="Z491" s="1848"/>
      <c r="AA491" s="1848"/>
      <c r="AB491" s="1848"/>
      <c r="AC491" s="1848"/>
      <c r="AD491" s="1848"/>
      <c r="AE491" s="1848"/>
      <c r="AF491" s="1848"/>
      <c r="AG491" s="1848"/>
      <c r="AH491" s="1848"/>
      <c r="AI491" s="1848"/>
      <c r="AJ491" s="1848"/>
      <c r="AK491" s="1849"/>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80" t="s">
        <v>2693</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81"/>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80" t="s">
        <v>2694</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81"/>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80" t="s">
        <v>2743</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81"/>
      <c r="AZ494" s="3"/>
      <c r="BA494" s="3"/>
      <c r="BB494" s="3"/>
      <c r="BC494" s="3"/>
    </row>
    <row r="495" spans="1:55" ht="12.95" customHeight="1">
      <c r="B495" s="121" t="s">
        <v>1669</v>
      </c>
      <c r="C495" s="5"/>
      <c r="D495" s="5"/>
      <c r="E495" s="5"/>
      <c r="F495" s="5"/>
      <c r="G495" s="5"/>
      <c r="H495" s="5"/>
      <c r="I495" s="5"/>
      <c r="J495" s="5"/>
      <c r="K495" s="5"/>
      <c r="L495" s="5"/>
      <c r="M495" s="1449">
        <v>0</v>
      </c>
      <c r="N495" s="1450"/>
      <c r="O495" s="1450"/>
      <c r="P495" s="1451"/>
      <c r="Q495" s="121" t="s">
        <v>1670</v>
      </c>
      <c r="R495" s="5"/>
      <c r="S495" s="5"/>
      <c r="T495" s="5"/>
      <c r="U495" s="5"/>
      <c r="V495" s="5"/>
      <c r="W495" s="5"/>
      <c r="X495" s="5"/>
      <c r="Y495" s="5"/>
      <c r="Z495" s="5"/>
      <c r="AA495" s="5"/>
      <c r="AB495" s="5"/>
      <c r="AC495" s="5"/>
      <c r="AD495" s="5"/>
      <c r="AE495" s="5"/>
      <c r="AF495" s="5"/>
      <c r="AG495" s="5"/>
      <c r="AH495" s="1449">
        <v>33</v>
      </c>
      <c r="AI495" s="1450"/>
      <c r="AJ495" s="1450"/>
      <c r="AK495" s="1451"/>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4" t="s">
        <v>404</v>
      </c>
      <c r="C501" s="1434"/>
      <c r="D501" s="1434"/>
      <c r="E501" s="1434"/>
      <c r="F501" s="1434"/>
      <c r="G501" s="1434"/>
      <c r="H501" s="1435"/>
      <c r="I501" s="42" t="s">
        <v>405</v>
      </c>
      <c r="J501" s="42"/>
      <c r="K501" s="42"/>
      <c r="L501" s="42"/>
      <c r="M501" s="42"/>
      <c r="N501" s="42"/>
      <c r="O501" s="42"/>
      <c r="P501" s="42"/>
      <c r="Q501" s="42"/>
      <c r="R501" s="42"/>
      <c r="S501" s="42"/>
      <c r="T501" s="42"/>
      <c r="U501" s="42"/>
      <c r="V501" s="42"/>
      <c r="W501" s="42"/>
      <c r="AC501" s="1664">
        <v>8</v>
      </c>
      <c r="AD501" s="1665"/>
      <c r="AE501" s="1665"/>
      <c r="AF501" s="1665"/>
      <c r="AG501" s="13" t="s">
        <v>402</v>
      </c>
      <c r="AH501" s="1404">
        <v>2024</v>
      </c>
      <c r="AI501" s="1404"/>
      <c r="AJ501" s="1404"/>
      <c r="AK501" s="1405"/>
      <c r="AZ501" s="3"/>
      <c r="BA501" s="3"/>
      <c r="BB501" s="3"/>
      <c r="BC501" s="3"/>
      <c r="BD501" s="3"/>
      <c r="BE501" s="3"/>
      <c r="BF501" s="3"/>
      <c r="BG501" s="3"/>
      <c r="BH501" s="3"/>
      <c r="BI501" s="3"/>
      <c r="BJ501" s="3"/>
      <c r="BK501" s="3"/>
      <c r="BL501" s="3"/>
      <c r="BM501" s="3"/>
      <c r="BN501" s="3"/>
    </row>
    <row r="502" spans="1:66" ht="12.95" customHeight="1">
      <c r="B502" s="1675"/>
      <c r="C502" s="1436"/>
      <c r="D502" s="1436"/>
      <c r="E502" s="1436"/>
      <c r="F502" s="1436"/>
      <c r="G502" s="1436"/>
      <c r="H502" s="1437"/>
      <c r="I502" s="48" t="s">
        <v>406</v>
      </c>
      <c r="J502" s="48"/>
      <c r="K502" s="48"/>
      <c r="L502" s="48"/>
      <c r="M502" s="48"/>
      <c r="N502" s="48"/>
      <c r="O502" s="48"/>
      <c r="P502" s="48"/>
      <c r="Q502" s="48"/>
      <c r="R502" s="48"/>
      <c r="S502" s="48"/>
      <c r="T502" s="48"/>
      <c r="U502" s="48"/>
      <c r="V502" s="48"/>
      <c r="W502" s="48"/>
      <c r="X502" s="48"/>
      <c r="Y502" s="48"/>
      <c r="Z502" s="48"/>
      <c r="AA502" s="48"/>
      <c r="AB502" s="48"/>
      <c r="AC502" s="1664">
        <v>7</v>
      </c>
      <c r="AD502" s="1665"/>
      <c r="AE502" s="1665"/>
      <c r="AF502" s="1665"/>
      <c r="AG502" s="38" t="s">
        <v>402</v>
      </c>
      <c r="AH502" s="1404">
        <v>2024</v>
      </c>
      <c r="AI502" s="1404"/>
      <c r="AJ502" s="1404"/>
      <c r="AK502" s="1405"/>
      <c r="AZ502" s="3"/>
      <c r="BA502" s="3"/>
      <c r="BB502" s="3"/>
      <c r="BC502" s="3"/>
      <c r="BD502" s="3"/>
      <c r="BE502" s="3"/>
      <c r="BF502" s="3"/>
      <c r="BG502" s="3"/>
      <c r="BH502" s="3"/>
      <c r="BI502" s="3"/>
      <c r="BJ502" s="3"/>
      <c r="BK502" s="3"/>
      <c r="BL502" s="3"/>
      <c r="BM502" s="3"/>
      <c r="BN502" s="3"/>
    </row>
    <row r="503" spans="1:66" ht="12.95" customHeight="1">
      <c r="B503" s="1674" t="s">
        <v>407</v>
      </c>
      <c r="C503" s="1434"/>
      <c r="D503" s="1434"/>
      <c r="E503" s="1434"/>
      <c r="F503" s="1434"/>
      <c r="G503" s="1434"/>
      <c r="H503" s="1435"/>
      <c r="I503" s="42" t="s">
        <v>408</v>
      </c>
      <c r="J503" s="42"/>
      <c r="K503" s="42"/>
      <c r="L503" s="42"/>
      <c r="M503" s="42"/>
      <c r="N503" s="42"/>
      <c r="O503" s="42"/>
      <c r="P503" s="42"/>
      <c r="Q503" s="42"/>
      <c r="R503" s="42"/>
      <c r="S503" s="42"/>
      <c r="T503" s="42"/>
      <c r="U503" s="42"/>
      <c r="V503" s="42"/>
      <c r="W503" s="42"/>
      <c r="AC503" s="1664" t="s">
        <v>591</v>
      </c>
      <c r="AD503" s="1665"/>
      <c r="AE503" s="1665"/>
      <c r="AF503" s="1665"/>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2.95" customHeight="1">
      <c r="B504" s="1675"/>
      <c r="C504" s="1436"/>
      <c r="D504" s="1436"/>
      <c r="E504" s="1436"/>
      <c r="F504" s="1436"/>
      <c r="G504" s="1436"/>
      <c r="H504" s="1437"/>
      <c r="I504" t="s">
        <v>409</v>
      </c>
      <c r="AC504" s="1664" t="s">
        <v>591</v>
      </c>
      <c r="AD504" s="1665"/>
      <c r="AE504" s="1665"/>
      <c r="AF504" s="1665"/>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2.95" customHeight="1">
      <c r="B505" s="1675"/>
      <c r="C505" s="1436"/>
      <c r="D505" s="1436"/>
      <c r="E505" s="1436"/>
      <c r="F505" s="1436"/>
      <c r="G505" s="1436"/>
      <c r="H505" s="1437"/>
      <c r="I505" t="s">
        <v>410</v>
      </c>
      <c r="AC505" s="1664" t="s">
        <v>591</v>
      </c>
      <c r="AD505" s="1665"/>
      <c r="AE505" s="1665"/>
      <c r="AF505" s="1665"/>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2.95" customHeight="1">
      <c r="B506" s="1675"/>
      <c r="C506" s="1436"/>
      <c r="D506" s="1436"/>
      <c r="E506" s="1436"/>
      <c r="F506" s="1436"/>
      <c r="G506" s="1436"/>
      <c r="H506" s="1437"/>
      <c r="I506" t="s">
        <v>411</v>
      </c>
      <c r="AC506" s="1664">
        <v>12</v>
      </c>
      <c r="AD506" s="1665"/>
      <c r="AE506" s="1665"/>
      <c r="AF506" s="1665"/>
      <c r="AG506" s="13" t="s">
        <v>402</v>
      </c>
      <c r="AH506" s="1404">
        <v>2025</v>
      </c>
      <c r="AI506" s="1404"/>
      <c r="AJ506" s="1404"/>
      <c r="AK506" s="1405"/>
      <c r="AZ506" s="3"/>
      <c r="BA506" s="3"/>
      <c r="BB506" s="3"/>
      <c r="BC506" s="3"/>
      <c r="BD506" s="3"/>
      <c r="BE506" s="3"/>
      <c r="BF506" s="3"/>
      <c r="BG506" s="3"/>
      <c r="BH506" s="3"/>
      <c r="BI506" s="3"/>
      <c r="BJ506" s="3"/>
      <c r="BK506" s="3"/>
      <c r="BL506" s="3"/>
      <c r="BM506" s="3"/>
      <c r="BN506" s="3"/>
    </row>
    <row r="507" spans="1:66" ht="12.95" customHeight="1">
      <c r="B507" s="1675"/>
      <c r="C507" s="1436"/>
      <c r="D507" s="1436"/>
      <c r="E507" s="1436"/>
      <c r="F507" s="1436"/>
      <c r="G507" s="1436"/>
      <c r="H507" s="1437"/>
      <c r="I507" s="3" t="s">
        <v>412</v>
      </c>
      <c r="AC507" s="1338">
        <v>12</v>
      </c>
      <c r="AD507" s="1339"/>
      <c r="AE507" s="1339"/>
      <c r="AF507" s="1339"/>
      <c r="AG507" s="13" t="s">
        <v>402</v>
      </c>
      <c r="AH507" s="1404">
        <v>2025</v>
      </c>
      <c r="AI507" s="1404"/>
      <c r="AJ507" s="1404"/>
      <c r="AK507" s="1405"/>
      <c r="AZ507" s="3"/>
      <c r="BA507" s="3"/>
      <c r="BB507" s="3"/>
      <c r="BC507" s="3"/>
      <c r="BD507" s="3"/>
      <c r="BE507" s="3"/>
      <c r="BF507" s="3"/>
      <c r="BG507" s="3"/>
      <c r="BH507" s="3"/>
      <c r="BI507" s="3"/>
      <c r="BJ507" s="3"/>
      <c r="BK507" s="3"/>
      <c r="BL507" s="3"/>
      <c r="BM507" s="3"/>
      <c r="BN507" s="3"/>
    </row>
    <row r="508" spans="1:66" ht="12.95" customHeight="1">
      <c r="B508" s="1675"/>
      <c r="C508" s="1436"/>
      <c r="D508" s="1436"/>
      <c r="E508" s="1436"/>
      <c r="F508" s="1436"/>
      <c r="G508" s="1436"/>
      <c r="H508" s="1437"/>
      <c r="I508" s="896" t="s">
        <v>169</v>
      </c>
      <c r="J508" s="48"/>
      <c r="K508" s="48"/>
      <c r="L508" s="1751" t="s">
        <v>333</v>
      </c>
      <c r="M508" s="1752"/>
      <c r="N508" s="1752"/>
      <c r="O508" s="1752"/>
      <c r="P508" s="1752"/>
      <c r="Q508" s="1752"/>
      <c r="R508" s="1752"/>
      <c r="S508" s="1752"/>
      <c r="T508" s="1752"/>
      <c r="U508" s="1752"/>
      <c r="V508" s="1752"/>
      <c r="W508" s="1752"/>
      <c r="X508" s="1752"/>
      <c r="Y508" s="1752"/>
      <c r="Z508" s="1752"/>
      <c r="AA508" s="1752"/>
      <c r="AB508" s="1845"/>
      <c r="AC508" s="1664" t="s">
        <v>591</v>
      </c>
      <c r="AD508" s="1665"/>
      <c r="AE508" s="1665"/>
      <c r="AF508" s="1665"/>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2" t="s">
        <v>669</v>
      </c>
      <c r="AD509" s="1822"/>
      <c r="AE509" s="1822"/>
      <c r="AF509" s="1822"/>
      <c r="AG509" s="13"/>
      <c r="AH509" s="1336"/>
      <c r="AI509" s="1336"/>
      <c r="AJ509" s="1336"/>
      <c r="AK509" s="167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8"/>
      <c r="AD510" s="1339"/>
      <c r="AE510" s="1339"/>
      <c r="AF510" s="1340"/>
      <c r="AG510" s="13"/>
      <c r="AH510" s="1336"/>
      <c r="AI510" s="1336"/>
      <c r="AJ510" s="1336"/>
      <c r="AK510" s="167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1">
        <v>0.2</v>
      </c>
      <c r="AD512" s="1832"/>
      <c r="AE512" s="1832"/>
      <c r="AF512" s="1833"/>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6" t="s">
        <v>401</v>
      </c>
      <c r="AD513" s="1639"/>
      <c r="AE513" s="1639"/>
      <c r="AF513" s="1639"/>
      <c r="AG513" s="38" t="s">
        <v>402</v>
      </c>
      <c r="AH513" s="1639" t="s">
        <v>403</v>
      </c>
      <c r="AI513" s="1639"/>
      <c r="AJ513" s="1639"/>
      <c r="AK513" s="1844"/>
      <c r="AZ513" s="3"/>
      <c r="BA513" s="3"/>
      <c r="BB513" s="3"/>
      <c r="BC513" s="3"/>
      <c r="BD513" s="3"/>
      <c r="BE513" s="3"/>
      <c r="BF513" s="3"/>
      <c r="BG513" s="3"/>
      <c r="BH513" s="3"/>
      <c r="BI513" s="3"/>
      <c r="BJ513" s="3"/>
      <c r="BK513" s="3"/>
      <c r="BL513" s="3"/>
      <c r="BM513" s="3"/>
      <c r="BN513" s="3" t="s">
        <v>2105</v>
      </c>
    </row>
    <row r="514" spans="2:66" ht="12.95" customHeight="1">
      <c r="B514" s="1674" t="s">
        <v>413</v>
      </c>
      <c r="C514" s="1434"/>
      <c r="D514" s="1434"/>
      <c r="E514" s="1434"/>
      <c r="F514" s="1434"/>
      <c r="G514" s="1434"/>
      <c r="H514" s="1435"/>
      <c r="I514" s="42" t="s">
        <v>414</v>
      </c>
      <c r="J514" s="42"/>
      <c r="K514" s="42"/>
      <c r="L514" s="42"/>
      <c r="M514" s="42"/>
      <c r="N514" s="42"/>
      <c r="O514" s="42"/>
      <c r="P514" s="42"/>
      <c r="Q514" s="42"/>
      <c r="R514" s="42"/>
      <c r="S514" s="42"/>
      <c r="T514" s="42"/>
      <c r="U514" s="42"/>
      <c r="V514" s="42"/>
      <c r="W514" s="42"/>
      <c r="AC514" s="1664">
        <v>5</v>
      </c>
      <c r="AD514" s="1665"/>
      <c r="AE514" s="1665"/>
      <c r="AF514" s="1665"/>
      <c r="AG514" s="13" t="s">
        <v>402</v>
      </c>
      <c r="AH514" s="1404">
        <v>2025</v>
      </c>
      <c r="AI514" s="1404"/>
      <c r="AJ514" s="1404"/>
      <c r="AK514" s="1405"/>
      <c r="AZ514" s="3"/>
      <c r="BA514" s="3"/>
      <c r="BB514" s="3"/>
      <c r="BC514" s="3"/>
      <c r="BD514" s="3"/>
      <c r="BE514" s="3"/>
      <c r="BF514" s="3"/>
      <c r="BG514" s="3"/>
      <c r="BH514" s="3"/>
      <c r="BI514" s="3"/>
      <c r="BJ514" s="3"/>
      <c r="BK514" s="3"/>
      <c r="BL514" s="3"/>
      <c r="BM514" s="3"/>
      <c r="BN514" s="3" t="s">
        <v>2106</v>
      </c>
    </row>
    <row r="515" spans="2:66" ht="12.95" customHeight="1">
      <c r="B515" s="1675"/>
      <c r="C515" s="1436"/>
      <c r="D515" s="1436"/>
      <c r="E515" s="1436"/>
      <c r="F515" s="1436"/>
      <c r="G515" s="1436"/>
      <c r="H515" s="1437"/>
      <c r="I515" t="s">
        <v>415</v>
      </c>
      <c r="AC515" s="1664">
        <v>5</v>
      </c>
      <c r="AD515" s="1665"/>
      <c r="AE515" s="1665"/>
      <c r="AF515" s="1665"/>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2.95" customHeight="1">
      <c r="B516" s="1675"/>
      <c r="C516" s="1436"/>
      <c r="D516" s="1436"/>
      <c r="E516" s="1436"/>
      <c r="F516" s="1436"/>
      <c r="G516" s="1436"/>
      <c r="H516" s="1437"/>
      <c r="I516" s="48" t="s">
        <v>416</v>
      </c>
      <c r="J516" s="48"/>
      <c r="K516" s="48"/>
      <c r="L516" s="48"/>
      <c r="M516" s="48"/>
      <c r="N516" s="48"/>
      <c r="O516" s="48"/>
      <c r="P516" s="48"/>
      <c r="Q516" s="48"/>
      <c r="R516" s="48"/>
      <c r="S516" s="48"/>
      <c r="T516" s="48"/>
      <c r="U516" s="48"/>
      <c r="V516" s="48"/>
      <c r="W516" s="48"/>
      <c r="X516" s="48"/>
      <c r="Y516" s="48"/>
      <c r="Z516" s="48"/>
      <c r="AA516" s="48"/>
      <c r="AB516" s="48"/>
      <c r="AC516" s="1664">
        <v>12</v>
      </c>
      <c r="AD516" s="1665"/>
      <c r="AE516" s="1665"/>
      <c r="AF516" s="1665"/>
      <c r="AG516" s="38" t="s">
        <v>402</v>
      </c>
      <c r="AH516" s="1404">
        <v>2025</v>
      </c>
      <c r="AI516" s="1404"/>
      <c r="AJ516" s="1404"/>
      <c r="AK516" s="1405"/>
      <c r="AZ516" s="3"/>
      <c r="BA516" s="3"/>
      <c r="BB516" s="3"/>
      <c r="BC516" s="3"/>
      <c r="BD516" s="3"/>
      <c r="BE516" s="3"/>
      <c r="BF516" s="3"/>
      <c r="BG516" s="3"/>
      <c r="BH516" s="3"/>
      <c r="BI516" s="3"/>
      <c r="BJ516" s="3"/>
      <c r="BK516" s="3"/>
      <c r="BL516" s="3"/>
      <c r="BM516" s="3"/>
      <c r="BN516" s="3" t="s">
        <v>2108</v>
      </c>
    </row>
    <row r="517" spans="2:66" ht="12.95" customHeight="1">
      <c r="B517" s="1674" t="s">
        <v>417</v>
      </c>
      <c r="C517" s="1434"/>
      <c r="D517" s="1434"/>
      <c r="E517" s="1434"/>
      <c r="F517" s="1434"/>
      <c r="G517" s="1434"/>
      <c r="H517" s="1435"/>
      <c r="I517" s="42" t="s">
        <v>414</v>
      </c>
      <c r="J517" s="42"/>
      <c r="K517" s="42"/>
      <c r="L517" s="42"/>
      <c r="M517" s="42"/>
      <c r="N517" s="42"/>
      <c r="O517" s="42"/>
      <c r="P517" s="42"/>
      <c r="Q517" s="42"/>
      <c r="R517" s="42"/>
      <c r="S517" s="42"/>
      <c r="T517" s="42"/>
      <c r="U517" s="42"/>
      <c r="V517" s="42"/>
      <c r="W517" s="42"/>
      <c r="X517" s="42"/>
      <c r="Y517" s="42"/>
      <c r="Z517" s="42"/>
      <c r="AA517" s="42"/>
      <c r="AB517" s="42"/>
      <c r="AC517" s="1338">
        <v>5</v>
      </c>
      <c r="AD517" s="1339"/>
      <c r="AE517" s="1339"/>
      <c r="AF517" s="1339"/>
      <c r="AG517" s="129" t="s">
        <v>402</v>
      </c>
      <c r="AH517" s="1404">
        <v>2025</v>
      </c>
      <c r="AI517" s="1404"/>
      <c r="AJ517" s="1404"/>
      <c r="AK517" s="1405"/>
      <c r="AZ517" s="3"/>
      <c r="BB517" s="3"/>
      <c r="BC517" s="3"/>
      <c r="BD517" s="3"/>
      <c r="BE517" s="3"/>
      <c r="BF517" s="3"/>
      <c r="BG517" s="3"/>
      <c r="BH517" s="3"/>
      <c r="BI517" s="3"/>
      <c r="BJ517" s="3"/>
      <c r="BK517" s="3"/>
      <c r="BL517" s="3"/>
      <c r="BM517" s="3"/>
      <c r="BN517" s="3" t="s">
        <v>2109</v>
      </c>
    </row>
    <row r="518" spans="2:66" ht="12.95" customHeight="1">
      <c r="B518" s="1675"/>
      <c r="C518" s="1436"/>
      <c r="D518" s="1436"/>
      <c r="E518" s="1436"/>
      <c r="F518" s="1436"/>
      <c r="G518" s="1436"/>
      <c r="H518" s="1437"/>
      <c r="I518" t="s">
        <v>415</v>
      </c>
      <c r="AC518" s="1664">
        <v>5</v>
      </c>
      <c r="AD518" s="1665"/>
      <c r="AE518" s="1665"/>
      <c r="AF518" s="1665"/>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2.95" customHeight="1">
      <c r="B519" s="1676"/>
      <c r="C519" s="1438"/>
      <c r="D519" s="1438"/>
      <c r="E519" s="1438"/>
      <c r="F519" s="1438"/>
      <c r="G519" s="1438"/>
      <c r="H519" s="1439"/>
      <c r="I519" s="48" t="s">
        <v>416</v>
      </c>
      <c r="J519" s="48"/>
      <c r="K519" s="48"/>
      <c r="L519" s="48"/>
      <c r="M519" s="48"/>
      <c r="N519" s="48"/>
      <c r="O519" s="48"/>
      <c r="P519" s="48"/>
      <c r="Q519" s="48"/>
      <c r="R519" s="48"/>
      <c r="S519" s="48"/>
      <c r="T519" s="48"/>
      <c r="U519" s="48"/>
      <c r="V519" s="48"/>
      <c r="W519" s="48"/>
      <c r="X519" s="48"/>
      <c r="Y519" s="48"/>
      <c r="Z519" s="48"/>
      <c r="AA519" s="48"/>
      <c r="AB519" s="48"/>
      <c r="AC519" s="1664">
        <v>5</v>
      </c>
      <c r="AD519" s="1665"/>
      <c r="AE519" s="1665"/>
      <c r="AF519" s="1665"/>
      <c r="AG519" s="38" t="s">
        <v>402</v>
      </c>
      <c r="AH519" s="1404">
        <v>2028</v>
      </c>
      <c r="AI519" s="1404"/>
      <c r="AJ519" s="1404"/>
      <c r="AK519" s="1405"/>
      <c r="BB519" s="3"/>
      <c r="BC519" s="3"/>
      <c r="BD519" s="3"/>
      <c r="BE519" s="3"/>
      <c r="BF519" s="3"/>
      <c r="BG519" s="3"/>
      <c r="BH519" s="3"/>
      <c r="BI519" s="3"/>
      <c r="BJ519" s="3"/>
      <c r="BK519" s="3"/>
      <c r="BL519" s="3"/>
      <c r="BM519" s="3"/>
      <c r="BN519" s="3" t="s">
        <v>2111</v>
      </c>
    </row>
    <row r="520" spans="2:66" ht="12.95" customHeight="1">
      <c r="B520" s="1674" t="s">
        <v>418</v>
      </c>
      <c r="C520" s="1434"/>
      <c r="D520" s="1434"/>
      <c r="E520" s="1434"/>
      <c r="F520" s="1434"/>
      <c r="G520" s="1434"/>
      <c r="H520" s="1435"/>
      <c r="I520" s="41" t="s">
        <v>419</v>
      </c>
      <c r="J520" s="42"/>
      <c r="K520" s="42"/>
      <c r="L520" s="42"/>
      <c r="M520" s="42"/>
      <c r="N520" s="42"/>
      <c r="O520" s="1751" t="s">
        <v>2621</v>
      </c>
      <c r="P520" s="1752"/>
      <c r="Q520" s="1752"/>
      <c r="R520" s="1752"/>
      <c r="S520" s="1752"/>
      <c r="T520" s="1752"/>
      <c r="U520" s="1752"/>
      <c r="V520" s="1752"/>
      <c r="W520" s="1752"/>
      <c r="X520" s="1752"/>
      <c r="Y520" s="1752"/>
      <c r="Z520" s="1752"/>
      <c r="AA520" s="1752"/>
      <c r="AB520" s="58"/>
      <c r="AC520" s="1338" t="s">
        <v>591</v>
      </c>
      <c r="AD520" s="1339"/>
      <c r="AE520" s="1339"/>
      <c r="AF520" s="1339"/>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2.95" customHeight="1">
      <c r="B521" s="1675"/>
      <c r="C521" s="1436"/>
      <c r="D521" s="1436"/>
      <c r="E521" s="1436"/>
      <c r="F521" s="1436"/>
      <c r="G521" s="1436"/>
      <c r="H521" s="1437"/>
      <c r="I521" s="114" t="s">
        <v>420</v>
      </c>
      <c r="AB521" s="65"/>
      <c r="AC521" s="1664" t="s">
        <v>591</v>
      </c>
      <c r="AD521" s="1665"/>
      <c r="AE521" s="1665"/>
      <c r="AF521" s="1665"/>
      <c r="AG521" s="13" t="s">
        <v>402</v>
      </c>
      <c r="AH521" s="1404"/>
      <c r="AI521" s="1404"/>
      <c r="AJ521" s="1404"/>
      <c r="AK521" s="1405"/>
      <c r="AZ521" s="3"/>
      <c r="BB521" s="3"/>
      <c r="BC521" s="3"/>
      <c r="BD521" s="3"/>
      <c r="BE521" s="3"/>
      <c r="BF521" s="3"/>
      <c r="BG521" s="3"/>
      <c r="BH521" s="3"/>
      <c r="BI521" s="3"/>
      <c r="BJ521" s="3"/>
      <c r="BK521" s="3"/>
      <c r="BL521" s="3"/>
      <c r="BM521" s="3"/>
      <c r="BN521" s="3" t="s">
        <v>2113</v>
      </c>
    </row>
    <row r="522" spans="2:66" ht="12.95" customHeight="1">
      <c r="B522" s="1675"/>
      <c r="C522" s="1436"/>
      <c r="D522" s="1436"/>
      <c r="E522" s="1436"/>
      <c r="F522" s="1436"/>
      <c r="G522" s="1436"/>
      <c r="H522" s="1437"/>
      <c r="I522" s="47" t="s">
        <v>421</v>
      </c>
      <c r="J522" s="48"/>
      <c r="K522" s="48"/>
      <c r="L522" s="48"/>
      <c r="M522" s="48"/>
      <c r="N522" s="48"/>
      <c r="O522" s="48"/>
      <c r="P522" s="48"/>
      <c r="Q522" s="48"/>
      <c r="R522" s="48"/>
      <c r="S522" s="48"/>
      <c r="T522" s="48"/>
      <c r="U522" s="48"/>
      <c r="V522" s="48"/>
      <c r="W522" s="48"/>
      <c r="X522" s="48"/>
      <c r="Y522" s="48"/>
      <c r="Z522" s="48"/>
      <c r="AA522" s="48"/>
      <c r="AB522" s="49"/>
      <c r="AC522" s="1664">
        <v>2</v>
      </c>
      <c r="AD522" s="1665"/>
      <c r="AE522" s="1665"/>
      <c r="AF522" s="1665"/>
      <c r="AG522" s="38" t="s">
        <v>402</v>
      </c>
      <c r="AH522" s="1404">
        <v>2024</v>
      </c>
      <c r="AI522" s="1404"/>
      <c r="AJ522" s="1404"/>
      <c r="AK522" s="1405"/>
      <c r="AZ522" s="3"/>
      <c r="BA522" s="3"/>
      <c r="BB522" s="3"/>
      <c r="BC522" s="3"/>
      <c r="BD522" s="3"/>
      <c r="BE522" s="3"/>
      <c r="BF522" s="3"/>
      <c r="BG522" s="3"/>
      <c r="BH522" s="3"/>
      <c r="BI522" s="3"/>
      <c r="BJ522" s="3"/>
      <c r="BK522" s="3"/>
      <c r="BL522" s="3"/>
      <c r="BM522" s="3"/>
      <c r="BN522" s="3" t="s">
        <v>2114</v>
      </c>
    </row>
    <row r="523" spans="2:66" ht="12.95" customHeight="1">
      <c r="B523" s="1675"/>
      <c r="C523" s="1436"/>
      <c r="D523" s="1436"/>
      <c r="E523" s="1436"/>
      <c r="F523" s="1436"/>
      <c r="G523" s="1436"/>
      <c r="H523" s="1437"/>
      <c r="I523" s="42" t="s">
        <v>422</v>
      </c>
      <c r="J523" s="42"/>
      <c r="K523" s="42"/>
      <c r="L523" s="42"/>
      <c r="M523" s="42"/>
      <c r="N523" s="42"/>
      <c r="O523" s="1751" t="s">
        <v>2696</v>
      </c>
      <c r="P523" s="1752"/>
      <c r="Q523" s="1752"/>
      <c r="R523" s="1752"/>
      <c r="S523" s="1752"/>
      <c r="T523" s="1752"/>
      <c r="U523" s="1752"/>
      <c r="V523" s="1752"/>
      <c r="W523" s="1752"/>
      <c r="X523" s="1752"/>
      <c r="Y523" s="1752"/>
      <c r="Z523" s="1752"/>
      <c r="AA523" s="1752"/>
      <c r="AC523" s="1664" t="s">
        <v>591</v>
      </c>
      <c r="AD523" s="1665"/>
      <c r="AE523" s="1665"/>
      <c r="AF523" s="1665"/>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2.95" customHeight="1">
      <c r="B524" s="1675"/>
      <c r="C524" s="1436"/>
      <c r="D524" s="1436"/>
      <c r="E524" s="1436"/>
      <c r="F524" s="1436"/>
      <c r="G524" s="1436"/>
      <c r="H524" s="1437"/>
      <c r="I524" t="s">
        <v>420</v>
      </c>
      <c r="AC524" s="1664" t="s">
        <v>591</v>
      </c>
      <c r="AD524" s="1665"/>
      <c r="AE524" s="1665"/>
      <c r="AF524" s="1665"/>
      <c r="AG524" s="13" t="s">
        <v>402</v>
      </c>
      <c r="AH524" s="1404"/>
      <c r="AI524" s="1404"/>
      <c r="AJ524" s="1404"/>
      <c r="AK524" s="1405"/>
      <c r="AZ524" s="3"/>
      <c r="BA524" s="3"/>
      <c r="BB524" s="3"/>
      <c r="BC524" s="3"/>
      <c r="BD524" s="3"/>
      <c r="BE524" s="3"/>
      <c r="BF524" s="3"/>
      <c r="BG524" s="3"/>
      <c r="BH524" s="3"/>
      <c r="BI524" s="3"/>
      <c r="BJ524" s="3"/>
      <c r="BK524" s="3"/>
      <c r="BL524" s="3"/>
      <c r="BM524" s="3"/>
      <c r="BN524" s="3" t="s">
        <v>2116</v>
      </c>
    </row>
    <row r="525" spans="2:66" ht="12.95" customHeight="1">
      <c r="B525" s="1675"/>
      <c r="C525" s="1436"/>
      <c r="D525" s="1436"/>
      <c r="E525" s="1436"/>
      <c r="F525" s="1436"/>
      <c r="G525" s="1436"/>
      <c r="H525" s="1437"/>
      <c r="I525" s="48" t="s">
        <v>421</v>
      </c>
      <c r="J525" s="48"/>
      <c r="K525" s="48"/>
      <c r="L525" s="48"/>
      <c r="M525" s="48"/>
      <c r="N525" s="48"/>
      <c r="O525" s="48"/>
      <c r="P525" s="48"/>
      <c r="Q525" s="48"/>
      <c r="R525" s="48"/>
      <c r="S525" s="48"/>
      <c r="T525" s="48"/>
      <c r="U525" s="48"/>
      <c r="V525" s="48"/>
      <c r="W525" s="48"/>
      <c r="X525" s="48"/>
      <c r="Y525" s="48"/>
      <c r="Z525" s="48"/>
      <c r="AA525" s="48"/>
      <c r="AB525" s="48"/>
      <c r="AC525" s="1664">
        <v>7</v>
      </c>
      <c r="AD525" s="1665"/>
      <c r="AE525" s="1665"/>
      <c r="AF525" s="1665"/>
      <c r="AG525" s="38" t="s">
        <v>402</v>
      </c>
      <c r="AH525" s="1404">
        <v>2024</v>
      </c>
      <c r="AI525" s="1404"/>
      <c r="AJ525" s="1404"/>
      <c r="AK525" s="1405"/>
      <c r="AZ525" s="3"/>
      <c r="BA525" s="3"/>
      <c r="BB525" s="3"/>
      <c r="BC525" s="3"/>
      <c r="BD525" s="3"/>
      <c r="BE525" s="3"/>
      <c r="BF525" s="3"/>
      <c r="BG525" s="3"/>
      <c r="BH525" s="3"/>
      <c r="BI525" s="3"/>
      <c r="BJ525" s="3"/>
      <c r="BK525" s="3"/>
      <c r="BL525" s="3"/>
      <c r="BM525" s="3"/>
      <c r="BN525" s="3" t="s">
        <v>2117</v>
      </c>
    </row>
    <row r="526" spans="2:66" ht="12.95" customHeight="1">
      <c r="B526" s="1675"/>
      <c r="C526" s="1436"/>
      <c r="D526" s="1436"/>
      <c r="E526" s="1436"/>
      <c r="F526" s="1436"/>
      <c r="G526" s="1436"/>
      <c r="H526" s="1437"/>
      <c r="I526" s="42" t="s">
        <v>422</v>
      </c>
      <c r="J526" s="42"/>
      <c r="K526" s="42"/>
      <c r="L526" s="42"/>
      <c r="M526" s="42"/>
      <c r="N526" s="42"/>
      <c r="O526" s="1751" t="s">
        <v>2204</v>
      </c>
      <c r="P526" s="1752"/>
      <c r="Q526" s="1752"/>
      <c r="R526" s="1752"/>
      <c r="S526" s="1752"/>
      <c r="T526" s="1752"/>
      <c r="U526" s="1752"/>
      <c r="V526" s="1752"/>
      <c r="W526" s="1752"/>
      <c r="X526" s="1752"/>
      <c r="Y526" s="1752"/>
      <c r="Z526" s="1752"/>
      <c r="AA526" s="1752"/>
      <c r="AC526" s="1664" t="s">
        <v>591</v>
      </c>
      <c r="AD526" s="1665"/>
      <c r="AE526" s="1665"/>
      <c r="AF526" s="1665"/>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2.95" customHeight="1">
      <c r="B527" s="1675"/>
      <c r="C527" s="1436"/>
      <c r="D527" s="1436"/>
      <c r="E527" s="1436"/>
      <c r="F527" s="1436"/>
      <c r="G527" s="1436"/>
      <c r="H527" s="1437"/>
      <c r="I527" t="s">
        <v>420</v>
      </c>
      <c r="AC527" s="1664">
        <v>3</v>
      </c>
      <c r="AD527" s="1665"/>
      <c r="AE527" s="1665"/>
      <c r="AF527" s="1665"/>
      <c r="AG527" s="13" t="s">
        <v>402</v>
      </c>
      <c r="AH527" s="1404">
        <v>2026</v>
      </c>
      <c r="AI527" s="1404"/>
      <c r="AJ527" s="1404"/>
      <c r="AK527" s="1405"/>
      <c r="AZ527" s="3"/>
      <c r="BA527" s="3"/>
      <c r="BB527" s="3"/>
      <c r="BC527" s="3"/>
      <c r="BD527" s="3"/>
      <c r="BE527" s="3"/>
      <c r="BF527" s="3"/>
      <c r="BG527" s="3"/>
      <c r="BH527" s="3"/>
      <c r="BI527" s="3"/>
      <c r="BJ527" s="3"/>
      <c r="BK527" s="3"/>
      <c r="BL527" s="3"/>
      <c r="BM527" s="3"/>
      <c r="BN527" s="3" t="s">
        <v>2119</v>
      </c>
    </row>
    <row r="528" spans="2:66" ht="12.95" customHeight="1">
      <c r="B528" s="1675"/>
      <c r="C528" s="1436"/>
      <c r="D528" s="1436"/>
      <c r="E528" s="1436"/>
      <c r="F528" s="1436"/>
      <c r="G528" s="1436"/>
      <c r="H528" s="1437"/>
      <c r="I528" s="48" t="s">
        <v>421</v>
      </c>
      <c r="J528" s="48"/>
      <c r="K528" s="48"/>
      <c r="L528" s="48"/>
      <c r="M528" s="48"/>
      <c r="N528" s="48"/>
      <c r="O528" s="48"/>
      <c r="P528" s="48"/>
      <c r="Q528" s="48"/>
      <c r="R528" s="48"/>
      <c r="S528" s="48"/>
      <c r="T528" s="48"/>
      <c r="U528" s="48"/>
      <c r="V528" s="48"/>
      <c r="W528" s="48"/>
      <c r="X528" s="48"/>
      <c r="Y528" s="48"/>
      <c r="Z528" s="48"/>
      <c r="AA528" s="48"/>
      <c r="AB528" s="48"/>
      <c r="AC528" s="1664">
        <v>6</v>
      </c>
      <c r="AD528" s="1665"/>
      <c r="AE528" s="1665"/>
      <c r="AF528" s="1665"/>
      <c r="AG528" s="38" t="s">
        <v>402</v>
      </c>
      <c r="AH528" s="1404">
        <v>2026</v>
      </c>
      <c r="AI528" s="1404"/>
      <c r="AJ528" s="1404"/>
      <c r="AK528" s="1405"/>
      <c r="AZ528" s="3"/>
      <c r="BA528" s="3"/>
      <c r="BB528" s="3"/>
      <c r="BC528" s="3"/>
      <c r="BD528" s="3"/>
      <c r="BE528" s="3"/>
      <c r="BF528" s="3"/>
      <c r="BG528" s="3"/>
      <c r="BH528" s="3"/>
      <c r="BI528" s="3"/>
      <c r="BJ528" s="3"/>
      <c r="BK528" s="3"/>
      <c r="BL528" s="3"/>
      <c r="BM528" s="3"/>
      <c r="BN528" s="3" t="s">
        <v>2120</v>
      </c>
    </row>
    <row r="529" spans="1:66" ht="12.95" customHeight="1">
      <c r="B529" s="1675"/>
      <c r="C529" s="1436"/>
      <c r="D529" s="1436"/>
      <c r="E529" s="1436"/>
      <c r="F529" s="1436"/>
      <c r="G529" s="1436"/>
      <c r="H529" s="1437"/>
      <c r="I529" s="42" t="s">
        <v>422</v>
      </c>
      <c r="J529" s="42"/>
      <c r="K529" s="42"/>
      <c r="L529" s="42"/>
      <c r="M529" s="42"/>
      <c r="N529" s="42"/>
      <c r="O529" s="1751" t="s">
        <v>2745</v>
      </c>
      <c r="P529" s="1752"/>
      <c r="Q529" s="1752"/>
      <c r="R529" s="1752"/>
      <c r="S529" s="1752"/>
      <c r="T529" s="1752"/>
      <c r="U529" s="1752"/>
      <c r="V529" s="1752"/>
      <c r="W529" s="1752"/>
      <c r="X529" s="1752"/>
      <c r="Y529" s="1752"/>
      <c r="Z529" s="1752"/>
      <c r="AA529" s="1752"/>
      <c r="AC529" s="1664" t="s">
        <v>591</v>
      </c>
      <c r="AD529" s="1665"/>
      <c r="AE529" s="1665"/>
      <c r="AF529" s="1665"/>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2.95" customHeight="1">
      <c r="B530" s="1675"/>
      <c r="C530" s="1436"/>
      <c r="D530" s="1436"/>
      <c r="E530" s="1436"/>
      <c r="F530" s="1436"/>
      <c r="G530" s="1436"/>
      <c r="H530" s="1437"/>
      <c r="I530" t="s">
        <v>420</v>
      </c>
      <c r="AC530" s="1664">
        <v>5</v>
      </c>
      <c r="AD530" s="1665"/>
      <c r="AE530" s="1665"/>
      <c r="AF530" s="1665"/>
      <c r="AG530" s="13" t="s">
        <v>402</v>
      </c>
      <c r="AH530" s="1404">
        <v>2025</v>
      </c>
      <c r="AI530" s="1404"/>
      <c r="AJ530" s="1404"/>
      <c r="AK530" s="1405"/>
      <c r="AZ530" s="3"/>
      <c r="BA530" s="3"/>
      <c r="BB530" s="3"/>
      <c r="BC530" s="3"/>
      <c r="BD530" s="3"/>
      <c r="BE530" s="3"/>
      <c r="BF530" s="3"/>
      <c r="BG530" s="3"/>
      <c r="BH530" s="3"/>
      <c r="BI530" s="3"/>
      <c r="BJ530" s="3"/>
      <c r="BK530" s="3"/>
      <c r="BL530" s="3"/>
      <c r="BM530" s="3"/>
      <c r="BN530" s="3" t="s">
        <v>2122</v>
      </c>
    </row>
    <row r="531" spans="1:66" ht="12.95" customHeight="1">
      <c r="B531" s="1675"/>
      <c r="C531" s="1436"/>
      <c r="D531" s="1436"/>
      <c r="E531" s="1436"/>
      <c r="F531" s="1436"/>
      <c r="G531" s="1436"/>
      <c r="H531" s="1437"/>
      <c r="I531" s="48" t="s">
        <v>421</v>
      </c>
      <c r="J531" s="48"/>
      <c r="K531" s="48"/>
      <c r="L531" s="48"/>
      <c r="M531" s="48"/>
      <c r="N531" s="48"/>
      <c r="O531" s="48"/>
      <c r="P531" s="48"/>
      <c r="Q531" s="48"/>
      <c r="R531" s="48"/>
      <c r="S531" s="48"/>
      <c r="T531" s="48"/>
      <c r="U531" s="48"/>
      <c r="V531" s="48"/>
      <c r="W531" s="48"/>
      <c r="X531" s="48"/>
      <c r="Y531" s="48"/>
      <c r="Z531" s="48"/>
      <c r="AA531" s="48"/>
      <c r="AB531" s="48"/>
      <c r="AC531" s="1664">
        <v>5</v>
      </c>
      <c r="AD531" s="1665"/>
      <c r="AE531" s="1665"/>
      <c r="AF531" s="1665"/>
      <c r="AG531" s="38" t="s">
        <v>402</v>
      </c>
      <c r="AH531" s="1404">
        <v>2025</v>
      </c>
      <c r="AI531" s="1404"/>
      <c r="AJ531" s="1404"/>
      <c r="AK531" s="1405"/>
      <c r="AZ531" s="3"/>
      <c r="BA531" s="3"/>
      <c r="BB531" s="3"/>
      <c r="BC531" s="3"/>
      <c r="BD531" s="3"/>
      <c r="BE531" s="3"/>
      <c r="BF531" s="3"/>
      <c r="BG531" s="3"/>
      <c r="BH531" s="3"/>
      <c r="BI531" s="3"/>
      <c r="BJ531" s="3"/>
      <c r="BK531" s="3"/>
      <c r="BL531" s="3"/>
      <c r="BM531" s="3"/>
      <c r="BN531" s="3" t="s">
        <v>2123</v>
      </c>
    </row>
    <row r="532" spans="1:66" ht="12.95" customHeight="1">
      <c r="B532" s="1675"/>
      <c r="C532" s="1436"/>
      <c r="D532" s="1436"/>
      <c r="E532" s="1436"/>
      <c r="F532" s="1436"/>
      <c r="G532" s="1436"/>
      <c r="H532" s="1437"/>
      <c r="I532" s="42" t="s">
        <v>422</v>
      </c>
      <c r="J532" s="42"/>
      <c r="K532" s="42"/>
      <c r="L532" s="42"/>
      <c r="M532" s="42"/>
      <c r="N532" s="42"/>
      <c r="O532" s="1751" t="s">
        <v>333</v>
      </c>
      <c r="P532" s="1752"/>
      <c r="Q532" s="1752"/>
      <c r="R532" s="1752"/>
      <c r="S532" s="1752"/>
      <c r="T532" s="1752"/>
      <c r="U532" s="1752"/>
      <c r="V532" s="1752"/>
      <c r="W532" s="1752"/>
      <c r="X532" s="1752"/>
      <c r="Y532" s="1752"/>
      <c r="Z532" s="1752"/>
      <c r="AA532" s="1752"/>
      <c r="AC532" s="1664" t="s">
        <v>591</v>
      </c>
      <c r="AD532" s="1665"/>
      <c r="AE532" s="1665"/>
      <c r="AF532" s="1665"/>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2.95" customHeight="1">
      <c r="B533" s="1675"/>
      <c r="C533" s="1436"/>
      <c r="D533" s="1436"/>
      <c r="E533" s="1436"/>
      <c r="F533" s="1436"/>
      <c r="G533" s="1436"/>
      <c r="H533" s="1437"/>
      <c r="I533" t="s">
        <v>420</v>
      </c>
      <c r="AC533" s="1664" t="s">
        <v>591</v>
      </c>
      <c r="AD533" s="1665"/>
      <c r="AE533" s="1665"/>
      <c r="AF533" s="1665"/>
      <c r="AG533" s="38" t="s">
        <v>402</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2.95" customHeight="1">
      <c r="B534" s="1675"/>
      <c r="C534" s="1436"/>
      <c r="D534" s="1436"/>
      <c r="E534" s="1436"/>
      <c r="F534" s="1436"/>
      <c r="G534" s="1436"/>
      <c r="H534" s="1437"/>
      <c r="I534" s="48" t="s">
        <v>421</v>
      </c>
      <c r="J534" s="48"/>
      <c r="K534" s="48"/>
      <c r="L534" s="48"/>
      <c r="M534" s="48"/>
      <c r="N534" s="48"/>
      <c r="O534" s="48"/>
      <c r="P534" s="48"/>
      <c r="Q534" s="48"/>
      <c r="R534" s="48"/>
      <c r="S534" s="48"/>
      <c r="T534" s="48"/>
      <c r="U534" s="48"/>
      <c r="V534" s="48"/>
      <c r="W534" s="48"/>
      <c r="X534" s="48"/>
      <c r="Y534" s="48"/>
      <c r="Z534" s="48"/>
      <c r="AA534" s="48"/>
      <c r="AB534" s="48"/>
      <c r="AC534" s="1664" t="s">
        <v>591</v>
      </c>
      <c r="AD534" s="1665"/>
      <c r="AE534" s="1665"/>
      <c r="AF534" s="1665"/>
      <c r="AG534" s="13" t="s">
        <v>402</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2.95" customHeight="1">
      <c r="B535" s="1675"/>
      <c r="C535" s="1436"/>
      <c r="D535" s="1436"/>
      <c r="E535" s="1436"/>
      <c r="F535" s="1436"/>
      <c r="G535" s="1436"/>
      <c r="H535" s="1437"/>
      <c r="I535" s="42" t="s">
        <v>422</v>
      </c>
      <c r="J535" s="42"/>
      <c r="K535" s="42"/>
      <c r="L535" s="42"/>
      <c r="M535" s="42"/>
      <c r="N535" s="42"/>
      <c r="O535" s="1751" t="s">
        <v>333</v>
      </c>
      <c r="P535" s="1752"/>
      <c r="Q535" s="1752"/>
      <c r="R535" s="1752"/>
      <c r="S535" s="1752"/>
      <c r="T535" s="1752"/>
      <c r="U535" s="1752"/>
      <c r="V535" s="1752"/>
      <c r="W535" s="1752"/>
      <c r="X535" s="1752"/>
      <c r="Y535" s="1752"/>
      <c r="Z535" s="1752"/>
      <c r="AA535" s="1752"/>
      <c r="AC535" s="1664" t="s">
        <v>591</v>
      </c>
      <c r="AD535" s="1665"/>
      <c r="AE535" s="1665"/>
      <c r="AF535" s="1665"/>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2.95" customHeight="1">
      <c r="B536" s="1675"/>
      <c r="C536" s="1436"/>
      <c r="D536" s="1436"/>
      <c r="E536" s="1436"/>
      <c r="F536" s="1436"/>
      <c r="G536" s="1436"/>
      <c r="H536" s="1437"/>
      <c r="I536" t="s">
        <v>420</v>
      </c>
      <c r="AC536" s="1664" t="s">
        <v>591</v>
      </c>
      <c r="AD536" s="1665"/>
      <c r="AE536" s="1665"/>
      <c r="AF536" s="1665"/>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2.95" customHeight="1">
      <c r="B537" s="1675"/>
      <c r="C537" s="1436"/>
      <c r="D537" s="1436"/>
      <c r="E537" s="1436"/>
      <c r="F537" s="1436"/>
      <c r="G537" s="1436"/>
      <c r="H537" s="1437"/>
      <c r="I537" s="48" t="s">
        <v>421</v>
      </c>
      <c r="J537" s="48"/>
      <c r="K537" s="48"/>
      <c r="L537" s="48"/>
      <c r="M537" s="48"/>
      <c r="N537" s="48"/>
      <c r="O537" s="48"/>
      <c r="P537" s="48"/>
      <c r="Q537" s="48"/>
      <c r="R537" s="48"/>
      <c r="S537" s="48"/>
      <c r="T537" s="48"/>
      <c r="U537" s="48"/>
      <c r="V537" s="48"/>
      <c r="W537" s="48"/>
      <c r="X537" s="48"/>
      <c r="Y537" s="48"/>
      <c r="Z537" s="48"/>
      <c r="AA537" s="48"/>
      <c r="AB537" s="48"/>
      <c r="AC537" s="1664" t="s">
        <v>591</v>
      </c>
      <c r="AD537" s="1665"/>
      <c r="AE537" s="1665"/>
      <c r="AF537" s="1665"/>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2.95" customHeight="1">
      <c r="B538" s="1675"/>
      <c r="C538" s="1436"/>
      <c r="D538" s="1436"/>
      <c r="E538" s="1436"/>
      <c r="F538" s="1436"/>
      <c r="G538" s="1436"/>
      <c r="H538" s="1437"/>
      <c r="I538" s="42" t="s">
        <v>562</v>
      </c>
      <c r="J538" s="42"/>
      <c r="K538" s="42"/>
      <c r="L538" s="42"/>
      <c r="M538" s="42"/>
      <c r="N538" s="42"/>
      <c r="O538" s="42"/>
      <c r="P538" s="42"/>
      <c r="Q538" s="42"/>
      <c r="R538" s="42"/>
      <c r="S538" s="42"/>
      <c r="T538" s="42"/>
      <c r="U538" s="42"/>
      <c r="V538" s="42"/>
      <c r="W538" s="42"/>
      <c r="AC538" s="1664">
        <v>2</v>
      </c>
      <c r="AD538" s="1665"/>
      <c r="AE538" s="1665"/>
      <c r="AF538" s="1665"/>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5" customHeight="1">
      <c r="B539" s="1675"/>
      <c r="C539" s="1436"/>
      <c r="D539" s="1436"/>
      <c r="E539" s="1436"/>
      <c r="F539" s="1436"/>
      <c r="G539" s="1436"/>
      <c r="H539" s="1437"/>
      <c r="I539" t="s">
        <v>563</v>
      </c>
      <c r="AC539" s="1664">
        <v>12</v>
      </c>
      <c r="AD539" s="1665"/>
      <c r="AE539" s="1665"/>
      <c r="AF539" s="1665"/>
      <c r="AG539" s="13" t="s">
        <v>402</v>
      </c>
      <c r="AH539" s="1404">
        <v>2025</v>
      </c>
      <c r="AI539" s="1404"/>
      <c r="AJ539" s="1404"/>
      <c r="AK539" s="1405"/>
      <c r="AZ539" s="3"/>
      <c r="BA539" s="3"/>
      <c r="BB539" s="3"/>
      <c r="BC539" s="3"/>
      <c r="BD539" s="3"/>
      <c r="BE539" s="3"/>
      <c r="BF539" s="3"/>
      <c r="BG539" s="3"/>
      <c r="BH539" s="3"/>
      <c r="BI539" s="3"/>
      <c r="BJ539" s="3"/>
      <c r="BK539" s="3"/>
      <c r="BL539" s="3"/>
      <c r="BM539" s="3"/>
      <c r="BN539" s="3"/>
    </row>
    <row r="540" spans="1:66" ht="12.95" customHeight="1">
      <c r="B540" s="1675"/>
      <c r="C540" s="1436"/>
      <c r="D540" s="1436"/>
      <c r="E540" s="1436"/>
      <c r="F540" s="1436"/>
      <c r="G540" s="1436"/>
      <c r="H540" s="1437"/>
      <c r="I540" t="s">
        <v>564</v>
      </c>
      <c r="AC540" s="1664">
        <v>9</v>
      </c>
      <c r="AD540" s="1665"/>
      <c r="AE540" s="1665"/>
      <c r="AF540" s="1665"/>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5" customHeight="1">
      <c r="B541" s="1675"/>
      <c r="C541" s="1436"/>
      <c r="D541" s="1436"/>
      <c r="E541" s="1436"/>
      <c r="F541" s="1436"/>
      <c r="G541" s="1436"/>
      <c r="H541" s="1437"/>
      <c r="I541" t="s">
        <v>565</v>
      </c>
      <c r="AC541" s="1664">
        <v>9</v>
      </c>
      <c r="AD541" s="1665"/>
      <c r="AE541" s="1665"/>
      <c r="AF541" s="1665"/>
      <c r="AG541" s="38" t="s">
        <v>402</v>
      </c>
      <c r="AH541" s="1404">
        <v>2027</v>
      </c>
      <c r="AI541" s="1404"/>
      <c r="AJ541" s="1404"/>
      <c r="AK541" s="1405"/>
      <c r="AZ541" s="3"/>
      <c r="BA541" s="3"/>
      <c r="BB541" s="3"/>
      <c r="BC541" s="3"/>
      <c r="BD541" s="3"/>
      <c r="BE541" s="3"/>
      <c r="BF541" s="3"/>
      <c r="BG541" s="3"/>
      <c r="BH541" s="3"/>
      <c r="BI541" s="3"/>
      <c r="BJ541" s="3"/>
      <c r="BK541" s="3"/>
      <c r="BL541" s="3"/>
      <c r="BM541" s="3"/>
      <c r="BN541" s="3"/>
    </row>
    <row r="542" spans="1:66" ht="12.95" customHeight="1">
      <c r="B542" s="1676"/>
      <c r="C542" s="1438"/>
      <c r="D542" s="1438"/>
      <c r="E542" s="1438"/>
      <c r="F542" s="1438"/>
      <c r="G542" s="1438"/>
      <c r="H542" s="1439"/>
      <c r="I542" s="48" t="s">
        <v>451</v>
      </c>
      <c r="J542" s="48"/>
      <c r="K542" s="48"/>
      <c r="L542" s="48"/>
      <c r="M542" s="48"/>
      <c r="N542" s="48"/>
      <c r="O542" s="48"/>
      <c r="P542" s="48"/>
      <c r="Q542" s="48"/>
      <c r="R542" s="48"/>
      <c r="S542" s="48"/>
      <c r="T542" s="48"/>
      <c r="U542" s="48"/>
      <c r="V542" s="48"/>
      <c r="W542" s="48"/>
      <c r="X542" s="48"/>
      <c r="Y542" s="48"/>
      <c r="Z542" s="48"/>
      <c r="AA542" s="48"/>
      <c r="AB542" s="48"/>
      <c r="AC542" s="1664">
        <v>2</v>
      </c>
      <c r="AD542" s="1665"/>
      <c r="AE542" s="1665"/>
      <c r="AF542" s="1665"/>
      <c r="AG542" s="38" t="s">
        <v>402</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1" t="s">
        <v>543</v>
      </c>
      <c r="B544" s="1261"/>
      <c r="C544" s="1261"/>
      <c r="D544" s="1261"/>
      <c r="E544" s="1261"/>
      <c r="F544" s="1261"/>
      <c r="G544" s="1261"/>
      <c r="H544" s="1261"/>
      <c r="I544" s="1261"/>
      <c r="J544" s="1261"/>
      <c r="K544" s="1261"/>
      <c r="L544" s="1261"/>
      <c r="M544" s="1261"/>
      <c r="N544" s="1261"/>
      <c r="O544" s="1261"/>
      <c r="P544" s="1261"/>
      <c r="Q544" s="1261"/>
      <c r="R544" s="1261"/>
      <c r="S544" s="1261"/>
      <c r="T544" s="1261"/>
      <c r="U544" s="1261"/>
      <c r="V544" s="1261"/>
      <c r="W544" s="1261"/>
      <c r="X544" s="1261"/>
      <c r="Y544" s="1261"/>
      <c r="Z544" s="1261"/>
      <c r="AA544" s="1261"/>
      <c r="AB544" s="1261"/>
      <c r="AC544" s="1261"/>
      <c r="AD544" s="1261"/>
      <c r="AE544" s="1261"/>
      <c r="AF544" s="1261"/>
      <c r="AG544" s="1261"/>
      <c r="AH544" s="1261"/>
      <c r="AI544" s="1261"/>
      <c r="AJ544" s="1261"/>
      <c r="AK544" s="1261"/>
      <c r="AL544" s="1261"/>
      <c r="AM544" s="1261"/>
      <c r="AN544" s="1261"/>
      <c r="AO544" s="1261"/>
      <c r="AP544" s="1261"/>
      <c r="AQ544" s="1261"/>
      <c r="AR544" s="1261"/>
      <c r="AS544" s="1261"/>
      <c r="AT544" s="1261"/>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1"/>
      <c r="B545" s="1261"/>
      <c r="C545" s="1261"/>
      <c r="D545" s="1261"/>
      <c r="E545" s="1261"/>
      <c r="F545" s="1261"/>
      <c r="G545" s="1261"/>
      <c r="H545" s="1261"/>
      <c r="I545" s="1261"/>
      <c r="J545" s="1261"/>
      <c r="K545" s="1261"/>
      <c r="L545" s="1261"/>
      <c r="M545" s="1261"/>
      <c r="N545" s="1261"/>
      <c r="O545" s="1261"/>
      <c r="P545" s="1261"/>
      <c r="Q545" s="1261"/>
      <c r="R545" s="1261"/>
      <c r="S545" s="1261"/>
      <c r="T545" s="1261"/>
      <c r="U545" s="1261"/>
      <c r="V545" s="1261"/>
      <c r="W545" s="1261"/>
      <c r="X545" s="1261"/>
      <c r="Y545" s="1261"/>
      <c r="Z545" s="1261"/>
      <c r="AA545" s="1261"/>
      <c r="AB545" s="1261"/>
      <c r="AC545" s="1261"/>
      <c r="AD545" s="1261"/>
      <c r="AE545" s="1261"/>
      <c r="AF545" s="1261"/>
      <c r="AG545" s="1261"/>
      <c r="AH545" s="1261"/>
      <c r="AI545" s="1261"/>
      <c r="AJ545" s="1261"/>
      <c r="AK545" s="1261"/>
      <c r="AL545" s="1261"/>
      <c r="AM545" s="1261"/>
      <c r="AN545" s="1261"/>
      <c r="AO545" s="1261"/>
      <c r="AP545" s="1261"/>
      <c r="AQ545" s="1261"/>
      <c r="AR545" s="1261"/>
      <c r="AS545" s="1261"/>
      <c r="AT545" s="1261"/>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4" t="s">
        <v>2103</v>
      </c>
      <c r="C551" s="1434"/>
      <c r="D551" s="1434"/>
      <c r="E551" s="1434"/>
      <c r="F551" s="1434"/>
      <c r="G551" s="1434"/>
      <c r="H551" s="1434"/>
      <c r="I551" s="1434"/>
      <c r="J551" s="1434"/>
      <c r="K551" s="1434"/>
      <c r="L551" s="1435"/>
      <c r="M551" s="1674" t="s">
        <v>2104</v>
      </c>
      <c r="N551" s="1434"/>
      <c r="O551" s="1434"/>
      <c r="P551" s="1435"/>
      <c r="Q551" s="1674" t="s">
        <v>2130</v>
      </c>
      <c r="R551" s="1434"/>
      <c r="S551" s="1435"/>
      <c r="T551" s="1674" t="s">
        <v>2131</v>
      </c>
      <c r="U551" s="1434"/>
      <c r="V551" s="1435"/>
      <c r="W551" s="1674" t="s">
        <v>453</v>
      </c>
      <c r="X551" s="1434"/>
      <c r="Y551" s="1435"/>
      <c r="Z551" s="1674" t="s">
        <v>1852</v>
      </c>
      <c r="AA551" s="1434"/>
      <c r="AB551" s="1434"/>
      <c r="AC551" s="1434"/>
      <c r="AD551" s="1435"/>
      <c r="AE551" s="1674" t="s">
        <v>1676</v>
      </c>
      <c r="AF551" s="1434"/>
      <c r="AG551" s="1434"/>
      <c r="AH551" s="1435"/>
      <c r="AI551" s="1674" t="s">
        <v>1677</v>
      </c>
      <c r="AJ551" s="1434"/>
      <c r="AK551" s="1434"/>
      <c r="AL551" s="1435"/>
      <c r="AM551" s="1674" t="s">
        <v>454</v>
      </c>
      <c r="AN551" s="1434"/>
      <c r="AO551" s="1434"/>
      <c r="AP551" s="1434"/>
      <c r="AQ551" s="1434"/>
      <c r="AR551" s="1434"/>
      <c r="AS551" s="1435"/>
      <c r="BB551" s="3"/>
      <c r="BC551" s="3"/>
      <c r="BD551" s="3"/>
      <c r="BE551" s="3"/>
      <c r="BF551" s="3"/>
      <c r="BG551" s="3"/>
      <c r="BH551" s="3" t="s">
        <v>581</v>
      </c>
      <c r="BI551" s="3" t="str">
        <f>AG657</f>
        <v>Yes</v>
      </c>
    </row>
    <row r="552" spans="1:61" ht="12.95" customHeight="1">
      <c r="B552" s="1675"/>
      <c r="C552" s="1436"/>
      <c r="D552" s="1436"/>
      <c r="E552" s="1436"/>
      <c r="F552" s="1436"/>
      <c r="G552" s="1436"/>
      <c r="H552" s="1436"/>
      <c r="I552" s="1436"/>
      <c r="J552" s="1436"/>
      <c r="K552" s="1436"/>
      <c r="L552" s="1437"/>
      <c r="M552" s="1675"/>
      <c r="N552" s="1436"/>
      <c r="O552" s="1436"/>
      <c r="P552" s="1437"/>
      <c r="Q552" s="1675"/>
      <c r="R552" s="1436"/>
      <c r="S552" s="1437"/>
      <c r="T552" s="1675"/>
      <c r="U552" s="1436"/>
      <c r="V552" s="1437"/>
      <c r="W552" s="1675"/>
      <c r="X552" s="1436"/>
      <c r="Y552" s="1437"/>
      <c r="Z552" s="1675"/>
      <c r="AA552" s="1436"/>
      <c r="AB552" s="1436"/>
      <c r="AC552" s="1436"/>
      <c r="AD552" s="1437"/>
      <c r="AE552" s="1675"/>
      <c r="AF552" s="1436"/>
      <c r="AG552" s="1436"/>
      <c r="AH552" s="1437"/>
      <c r="AI552" s="1675"/>
      <c r="AJ552" s="1436"/>
      <c r="AK552" s="1436"/>
      <c r="AL552" s="1437"/>
      <c r="AM552" s="1675"/>
      <c r="AN552" s="1436"/>
      <c r="AO552" s="1436"/>
      <c r="AP552" s="1436"/>
      <c r="AQ552" s="1436"/>
      <c r="AR552" s="1436"/>
      <c r="AS552" s="1437"/>
      <c r="AU552" s="1147"/>
      <c r="BB552" s="3"/>
      <c r="BC552" s="3"/>
      <c r="BD552" s="3"/>
      <c r="BE552" s="3"/>
      <c r="BF552" s="3"/>
      <c r="BG552" s="3"/>
      <c r="BH552" s="3"/>
      <c r="BI552" s="3"/>
    </row>
    <row r="553" spans="1:61" ht="12.95" customHeight="1">
      <c r="B553" s="1676"/>
      <c r="C553" s="1438"/>
      <c r="D553" s="1438"/>
      <c r="E553" s="1438"/>
      <c r="F553" s="1438"/>
      <c r="G553" s="1438"/>
      <c r="H553" s="1438"/>
      <c r="I553" s="1438"/>
      <c r="J553" s="1438"/>
      <c r="K553" s="1438"/>
      <c r="L553" s="1439"/>
      <c r="M553" s="1676"/>
      <c r="N553" s="1438"/>
      <c r="O553" s="1438"/>
      <c r="P553" s="1439"/>
      <c r="Q553" s="1676"/>
      <c r="R553" s="1438"/>
      <c r="S553" s="1439"/>
      <c r="T553" s="1676"/>
      <c r="U553" s="1438"/>
      <c r="V553" s="1439"/>
      <c r="W553" s="1676"/>
      <c r="X553" s="1438"/>
      <c r="Y553" s="1439"/>
      <c r="Z553" s="1676"/>
      <c r="AA553" s="1438"/>
      <c r="AB553" s="1438"/>
      <c r="AC553" s="1438"/>
      <c r="AD553" s="1439"/>
      <c r="AE553" s="1676"/>
      <c r="AF553" s="1438"/>
      <c r="AG553" s="1438"/>
      <c r="AH553" s="1439"/>
      <c r="AI553" s="1676"/>
      <c r="AJ553" s="1438"/>
      <c r="AK553" s="1438"/>
      <c r="AL553" s="1439"/>
      <c r="AM553" s="1676"/>
      <c r="AN553" s="1438"/>
      <c r="AO553" s="1438"/>
      <c r="AP553" s="1438"/>
      <c r="AQ553" s="1438"/>
      <c r="AR553" s="1438"/>
      <c r="AS553" s="1439"/>
      <c r="AU553" s="1147"/>
      <c r="BB553" s="3"/>
      <c r="BC553" s="3"/>
      <c r="BD553" s="3"/>
      <c r="BE553" s="3"/>
      <c r="BF553" s="3"/>
      <c r="BG553" s="3"/>
      <c r="BH553" s="3"/>
      <c r="BI553" s="3"/>
    </row>
    <row r="554" spans="1:61" ht="12.95" customHeight="1">
      <c r="B554" s="51" t="s">
        <v>112</v>
      </c>
      <c r="C554" s="1694" t="s">
        <v>2705</v>
      </c>
      <c r="D554" s="1694"/>
      <c r="E554" s="1694"/>
      <c r="F554" s="1694"/>
      <c r="G554" s="1694"/>
      <c r="H554" s="1694"/>
      <c r="I554" s="1694"/>
      <c r="J554" s="1694"/>
      <c r="K554" s="1694"/>
      <c r="L554" s="1694"/>
      <c r="M554" s="1694" t="s">
        <v>2120</v>
      </c>
      <c r="N554" s="1694"/>
      <c r="O554" s="1694"/>
      <c r="P554" s="1694"/>
      <c r="Q554" s="1456">
        <v>29</v>
      </c>
      <c r="R554" s="1456"/>
      <c r="S554" s="1457"/>
      <c r="T554" s="1455"/>
      <c r="U554" s="1456"/>
      <c r="V554" s="1457"/>
      <c r="W554" s="1458">
        <v>6.3299999999999995E-2</v>
      </c>
      <c r="X554" s="1459"/>
      <c r="Y554" s="1460"/>
      <c r="Z554" s="1695" t="s">
        <v>2753</v>
      </c>
      <c r="AA554" s="1695"/>
      <c r="AB554" s="1695"/>
      <c r="AC554" s="1695"/>
      <c r="AD554" s="1695"/>
      <c r="AE554" s="1677">
        <v>1</v>
      </c>
      <c r="AF554" s="1678"/>
      <c r="AG554" s="1678"/>
      <c r="AH554" s="1679"/>
      <c r="AI554" s="1680"/>
      <c r="AJ554" s="1681"/>
      <c r="AK554" s="1681"/>
      <c r="AL554" s="1682"/>
      <c r="AM554" s="1670">
        <v>23500000</v>
      </c>
      <c r="AN554" s="1671"/>
      <c r="AO554" s="1671"/>
      <c r="AP554" s="1671"/>
      <c r="AQ554" s="1671"/>
      <c r="AR554" s="1671"/>
      <c r="AS554" s="1672"/>
      <c r="AT554" s="1148"/>
      <c r="AU554" s="1147"/>
      <c r="BB554" s="3"/>
      <c r="BC554" s="3"/>
      <c r="BD554" s="3"/>
      <c r="BE554" s="3"/>
      <c r="BF554" s="3"/>
      <c r="BG554" s="3"/>
      <c r="BH554" s="3"/>
      <c r="BI554" s="3"/>
    </row>
    <row r="555" spans="1:61" ht="12.95" customHeight="1">
      <c r="B555" s="52" t="s">
        <v>113</v>
      </c>
      <c r="C555" s="1683" t="str">
        <f>C628</f>
        <v>Bonneville Multifamily Capital</v>
      </c>
      <c r="D555" s="1683"/>
      <c r="E555" s="1683"/>
      <c r="F555" s="1683"/>
      <c r="G555" s="1683"/>
      <c r="H555" s="1683"/>
      <c r="I555" s="1683"/>
      <c r="J555" s="1683"/>
      <c r="K555" s="1683"/>
      <c r="L555" s="1683"/>
      <c r="M555" s="1694" t="s">
        <v>2121</v>
      </c>
      <c r="N555" s="1694"/>
      <c r="O555" s="1694"/>
      <c r="P555" s="1694"/>
      <c r="Q555" s="1455">
        <v>29</v>
      </c>
      <c r="R555" s="1456"/>
      <c r="S555" s="1457"/>
      <c r="T555" s="1455"/>
      <c r="U555" s="1456"/>
      <c r="V555" s="1457"/>
      <c r="W555" s="1458">
        <v>0.08</v>
      </c>
      <c r="X555" s="1459"/>
      <c r="Y555" s="1460"/>
      <c r="Z555" s="1695" t="s">
        <v>2708</v>
      </c>
      <c r="AA555" s="1695"/>
      <c r="AB555" s="1695"/>
      <c r="AC555" s="1695"/>
      <c r="AD555" s="1695"/>
      <c r="AE555" s="1677">
        <v>2</v>
      </c>
      <c r="AF555" s="1678"/>
      <c r="AG555" s="1678"/>
      <c r="AH555" s="1679"/>
      <c r="AI555" s="1680"/>
      <c r="AJ555" s="1681"/>
      <c r="AK555" s="1681"/>
      <c r="AL555" s="1682"/>
      <c r="AM555" s="1670">
        <v>5000000</v>
      </c>
      <c r="AN555" s="1671"/>
      <c r="AO555" s="1671"/>
      <c r="AP555" s="1671"/>
      <c r="AQ555" s="1671"/>
      <c r="AR555" s="1671"/>
      <c r="AS555" s="1672"/>
      <c r="AT555" s="1148" t="str">
        <f>IF(AND(NOT(C554=""),C555="",NOT(C556="")),"!","")</f>
        <v/>
      </c>
      <c r="AU555" s="1147"/>
      <c r="BB555" s="3"/>
      <c r="BC555" s="3"/>
      <c r="BD555" s="3"/>
      <c r="BE555" s="3"/>
      <c r="BF555" s="3"/>
      <c r="BG555" s="3"/>
      <c r="BH555" s="3"/>
      <c r="BI555" s="3"/>
    </row>
    <row r="556" spans="1:61" ht="12.95" customHeight="1">
      <c r="B556" s="52" t="s">
        <v>119</v>
      </c>
      <c r="C556" s="1683" t="s">
        <v>2621</v>
      </c>
      <c r="D556" s="1683"/>
      <c r="E556" s="1683"/>
      <c r="F556" s="1683"/>
      <c r="G556" s="1683"/>
      <c r="H556" s="1683"/>
      <c r="I556" s="1683"/>
      <c r="J556" s="1683"/>
      <c r="K556" s="1683"/>
      <c r="L556" s="1683"/>
      <c r="M556" s="1694" t="s">
        <v>2113</v>
      </c>
      <c r="N556" s="1694"/>
      <c r="O556" s="1694"/>
      <c r="P556" s="1694"/>
      <c r="Q556" s="1455"/>
      <c r="R556" s="1456"/>
      <c r="S556" s="1457"/>
      <c r="T556" s="1455"/>
      <c r="U556" s="1456"/>
      <c r="V556" s="1457"/>
      <c r="W556" s="1458"/>
      <c r="X556" s="1459"/>
      <c r="Y556" s="1460"/>
      <c r="Z556" s="1695" t="s">
        <v>591</v>
      </c>
      <c r="AA556" s="1695"/>
      <c r="AB556" s="1695"/>
      <c r="AC556" s="1695"/>
      <c r="AD556" s="1695"/>
      <c r="AE556" s="1677"/>
      <c r="AF556" s="1678"/>
      <c r="AG556" s="1678"/>
      <c r="AH556" s="1679"/>
      <c r="AI556" s="1680"/>
      <c r="AJ556" s="1681"/>
      <c r="AK556" s="1681"/>
      <c r="AL556" s="1682"/>
      <c r="AM556" s="1670">
        <v>5000000</v>
      </c>
      <c r="AN556" s="1671"/>
      <c r="AO556" s="1671"/>
      <c r="AP556" s="1671"/>
      <c r="AQ556" s="1671"/>
      <c r="AR556" s="1671"/>
      <c r="AS556" s="1672"/>
      <c r="AT556" s="1148" t="str">
        <f>IF(AND(NOT(C555=""),C556="",NOT(C557="")),"!","")</f>
        <v/>
      </c>
      <c r="AU556" s="1147"/>
      <c r="BB556" s="3"/>
      <c r="BC556" s="3"/>
      <c r="BD556" s="3"/>
      <c r="BE556" s="3"/>
      <c r="BF556" s="3"/>
      <c r="BG556" s="3"/>
      <c r="BH556" s="3"/>
      <c r="BI556" s="3"/>
    </row>
    <row r="557" spans="1:61" ht="12.95" customHeight="1">
      <c r="B557" s="52" t="s">
        <v>581</v>
      </c>
      <c r="C557" s="1683" t="s">
        <v>2754</v>
      </c>
      <c r="D557" s="1683"/>
      <c r="E557" s="1683"/>
      <c r="F557" s="1683"/>
      <c r="G557" s="1683"/>
      <c r="H557" s="1683"/>
      <c r="I557" s="1683"/>
      <c r="J557" s="1683"/>
      <c r="K557" s="1683"/>
      <c r="L557" s="1683"/>
      <c r="M557" s="1694" t="s">
        <v>2110</v>
      </c>
      <c r="N557" s="1694"/>
      <c r="O557" s="1694"/>
      <c r="P557" s="1694"/>
      <c r="Q557" s="1455"/>
      <c r="R557" s="1456"/>
      <c r="S557" s="1457"/>
      <c r="T557" s="1455"/>
      <c r="U557" s="1456"/>
      <c r="V557" s="1457"/>
      <c r="W557" s="1458"/>
      <c r="X557" s="1459"/>
      <c r="Y557" s="1460"/>
      <c r="Z557" s="1695" t="s">
        <v>591</v>
      </c>
      <c r="AA557" s="1695"/>
      <c r="AB557" s="1695"/>
      <c r="AC557" s="1695"/>
      <c r="AD557" s="1695"/>
      <c r="AE557" s="1677"/>
      <c r="AF557" s="1678"/>
      <c r="AG557" s="1678"/>
      <c r="AH557" s="1679"/>
      <c r="AI557" s="1680"/>
      <c r="AJ557" s="1681"/>
      <c r="AK557" s="1681"/>
      <c r="AL557" s="1682"/>
      <c r="AM557" s="1670">
        <v>100</v>
      </c>
      <c r="AN557" s="1671"/>
      <c r="AO557" s="1671"/>
      <c r="AP557" s="1671"/>
      <c r="AQ557" s="1671"/>
      <c r="AR557" s="1671"/>
      <c r="AS557" s="1672"/>
      <c r="AT557" s="1148" t="str">
        <f>IF(AND(NOT(C556=""),C557="",NOT(C558="")),"!","")</f>
        <v/>
      </c>
      <c r="AU557" s="1147"/>
      <c r="BB557" s="3"/>
      <c r="BC557" s="3"/>
      <c r="BD557" s="3"/>
      <c r="BE557" s="3"/>
      <c r="BF557" s="3"/>
      <c r="BG557" s="3"/>
      <c r="BH557" s="3"/>
      <c r="BI557" s="3"/>
    </row>
    <row r="558" spans="1:61" ht="12.95" customHeight="1">
      <c r="B558" s="52" t="s">
        <v>763</v>
      </c>
      <c r="C558" s="1683" t="s">
        <v>2709</v>
      </c>
      <c r="D558" s="1683"/>
      <c r="E558" s="1683"/>
      <c r="F558" s="1683"/>
      <c r="G558" s="1683"/>
      <c r="H558" s="1683"/>
      <c r="I558" s="1683"/>
      <c r="J558" s="1683"/>
      <c r="K558" s="1683"/>
      <c r="L558" s="1683"/>
      <c r="M558" s="1694" t="s">
        <v>2111</v>
      </c>
      <c r="N558" s="1694"/>
      <c r="O558" s="1694"/>
      <c r="P558" s="1694"/>
      <c r="Q558" s="1455"/>
      <c r="R558" s="1456"/>
      <c r="S558" s="1457"/>
      <c r="T558" s="1455"/>
      <c r="U558" s="1456"/>
      <c r="V558" s="1457"/>
      <c r="W558" s="1458"/>
      <c r="X558" s="1459"/>
      <c r="Y558" s="1460"/>
      <c r="Z558" s="1695" t="s">
        <v>591</v>
      </c>
      <c r="AA558" s="1695"/>
      <c r="AB558" s="1695"/>
      <c r="AC558" s="1695"/>
      <c r="AD558" s="1695"/>
      <c r="AE558" s="1677"/>
      <c r="AF558" s="1678"/>
      <c r="AG558" s="1678"/>
      <c r="AH558" s="1679"/>
      <c r="AI558" s="1680"/>
      <c r="AJ558" s="1681"/>
      <c r="AK558" s="1681"/>
      <c r="AL558" s="1682"/>
      <c r="AM558" s="1670">
        <v>8975587</v>
      </c>
      <c r="AN558" s="1671"/>
      <c r="AO558" s="1671"/>
      <c r="AP558" s="1671"/>
      <c r="AQ558" s="1671"/>
      <c r="AR558" s="1671"/>
      <c r="AS558" s="1672"/>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3" t="s">
        <v>2754</v>
      </c>
      <c r="D559" s="1683"/>
      <c r="E559" s="1683"/>
      <c r="F559" s="1683"/>
      <c r="G559" s="1683"/>
      <c r="H559" s="1683"/>
      <c r="I559" s="1683"/>
      <c r="J559" s="1683"/>
      <c r="K559" s="1683"/>
      <c r="L559" s="1683"/>
      <c r="M559" s="1694" t="s">
        <v>2107</v>
      </c>
      <c r="N559" s="1694"/>
      <c r="O559" s="1694"/>
      <c r="P559" s="1694"/>
      <c r="Q559" s="1455"/>
      <c r="R559" s="1456"/>
      <c r="S559" s="1457"/>
      <c r="T559" s="1455"/>
      <c r="U559" s="1456"/>
      <c r="V559" s="1457"/>
      <c r="W559" s="1458"/>
      <c r="X559" s="1459"/>
      <c r="Y559" s="1460"/>
      <c r="Z559" s="1695" t="s">
        <v>591</v>
      </c>
      <c r="AA559" s="1695"/>
      <c r="AB559" s="1695"/>
      <c r="AC559" s="1695"/>
      <c r="AD559" s="1695"/>
      <c r="AE559" s="1677"/>
      <c r="AF559" s="1678"/>
      <c r="AG559" s="1678"/>
      <c r="AH559" s="1679"/>
      <c r="AI559" s="1680"/>
      <c r="AJ559" s="1681"/>
      <c r="AK559" s="1681"/>
      <c r="AL559" s="1682"/>
      <c r="AM559" s="1670">
        <v>1100000</v>
      </c>
      <c r="AN559" s="1671"/>
      <c r="AO559" s="1671"/>
      <c r="AP559" s="1671"/>
      <c r="AQ559" s="1671"/>
      <c r="AR559" s="1671"/>
      <c r="AS559" s="1672"/>
      <c r="AT559" s="1148" t="str">
        <f t="shared" si="0"/>
        <v/>
      </c>
      <c r="AU559" s="1147"/>
      <c r="BB559" s="3"/>
      <c r="BC559" s="3"/>
      <c r="BD559" s="3"/>
      <c r="BE559" s="3"/>
      <c r="BF559" s="3"/>
      <c r="BG559" s="3"/>
      <c r="BH559" s="3" t="s">
        <v>584</v>
      </c>
      <c r="BI559" s="3" t="str">
        <f>AG665</f>
        <v>Yes</v>
      </c>
    </row>
    <row r="560" spans="1:61" ht="12.95" customHeight="1">
      <c r="B560" s="52" t="s">
        <v>455</v>
      </c>
      <c r="C560" s="1683" t="s">
        <v>2710</v>
      </c>
      <c r="D560" s="1683"/>
      <c r="E560" s="1683"/>
      <c r="F560" s="1683"/>
      <c r="G560" s="1683"/>
      <c r="H560" s="1683"/>
      <c r="I560" s="1683"/>
      <c r="J560" s="1683"/>
      <c r="K560" s="1683"/>
      <c r="L560" s="1683"/>
      <c r="M560" s="1694" t="s">
        <v>2106</v>
      </c>
      <c r="N560" s="1694"/>
      <c r="O560" s="1694"/>
      <c r="P560" s="1694"/>
      <c r="Q560" s="1455"/>
      <c r="R560" s="1456"/>
      <c r="S560" s="1457"/>
      <c r="T560" s="1455"/>
      <c r="U560" s="1456"/>
      <c r="V560" s="1457"/>
      <c r="W560" s="1458"/>
      <c r="X560" s="1459"/>
      <c r="Y560" s="1460"/>
      <c r="Z560" s="1695" t="s">
        <v>591</v>
      </c>
      <c r="AA560" s="1695"/>
      <c r="AB560" s="1695"/>
      <c r="AC560" s="1695"/>
      <c r="AD560" s="1695"/>
      <c r="AE560" s="1677"/>
      <c r="AF560" s="1678"/>
      <c r="AG560" s="1678"/>
      <c r="AH560" s="1679"/>
      <c r="AI560" s="1680"/>
      <c r="AJ560" s="1681"/>
      <c r="AK560" s="1681"/>
      <c r="AL560" s="1682"/>
      <c r="AM560" s="1670">
        <v>2528570</v>
      </c>
      <c r="AN560" s="1671"/>
      <c r="AO560" s="1671"/>
      <c r="AP560" s="1671"/>
      <c r="AQ560" s="1671"/>
      <c r="AR560" s="1671"/>
      <c r="AS560" s="1672"/>
      <c r="AT560" s="1148" t="str">
        <f t="shared" si="0"/>
        <v/>
      </c>
      <c r="AU560" s="1147"/>
      <c r="BB560" s="3"/>
      <c r="BC560" s="3"/>
      <c r="BD560" s="3"/>
      <c r="BE560" s="3"/>
      <c r="BF560" s="3"/>
      <c r="BG560" s="3"/>
      <c r="BH560" s="3"/>
      <c r="BI560" s="3"/>
    </row>
    <row r="561" spans="1:61" ht="12.95" customHeight="1">
      <c r="B561" s="52" t="s">
        <v>456</v>
      </c>
      <c r="C561" s="1683" t="s">
        <v>2750</v>
      </c>
      <c r="D561" s="1683"/>
      <c r="E561" s="1683"/>
      <c r="F561" s="1683"/>
      <c r="G561" s="1683"/>
      <c r="H561" s="1683"/>
      <c r="I561" s="1683"/>
      <c r="J561" s="1683"/>
      <c r="K561" s="1683"/>
      <c r="L561" s="1683"/>
      <c r="M561" s="1694" t="s">
        <v>2127</v>
      </c>
      <c r="N561" s="1694"/>
      <c r="O561" s="1694"/>
      <c r="P561" s="1694"/>
      <c r="Q561" s="1455"/>
      <c r="R561" s="1456"/>
      <c r="S561" s="1457"/>
      <c r="T561" s="1455"/>
      <c r="U561" s="1456"/>
      <c r="V561" s="1457"/>
      <c r="W561" s="1458"/>
      <c r="X561" s="1459"/>
      <c r="Y561" s="1460"/>
      <c r="Z561" s="1695" t="s">
        <v>591</v>
      </c>
      <c r="AA561" s="1695"/>
      <c r="AB561" s="1695"/>
      <c r="AC561" s="1695"/>
      <c r="AD561" s="1695"/>
      <c r="AE561" s="1677"/>
      <c r="AF561" s="1678"/>
      <c r="AG561" s="1678"/>
      <c r="AH561" s="1679"/>
      <c r="AI561" s="1680"/>
      <c r="AJ561" s="1681"/>
      <c r="AK561" s="1681"/>
      <c r="AL561" s="1682"/>
      <c r="AM561" s="1670">
        <v>1650000</v>
      </c>
      <c r="AN561" s="1671"/>
      <c r="AO561" s="1671"/>
      <c r="AP561" s="1671"/>
      <c r="AQ561" s="1671"/>
      <c r="AR561" s="1671"/>
      <c r="AS561" s="1672"/>
      <c r="AT561" s="1148" t="str">
        <f t="shared" si="0"/>
        <v/>
      </c>
      <c r="AU561" s="1147"/>
      <c r="BB561" s="3"/>
      <c r="BC561" s="3"/>
      <c r="BD561" s="3"/>
      <c r="BE561" s="3"/>
      <c r="BF561" s="3"/>
      <c r="BG561" s="3"/>
      <c r="BH561" s="3"/>
      <c r="BI561" s="3"/>
    </row>
    <row r="562" spans="1:61" ht="12.95" customHeight="1">
      <c r="B562" s="52" t="s">
        <v>461</v>
      </c>
      <c r="C562" s="1683"/>
      <c r="D562" s="1683"/>
      <c r="E562" s="1683"/>
      <c r="F562" s="1683"/>
      <c r="G562" s="1683"/>
      <c r="H562" s="1683"/>
      <c r="I562" s="1683"/>
      <c r="J562" s="1683"/>
      <c r="K562" s="1683"/>
      <c r="L562" s="1683"/>
      <c r="M562" s="1694" t="s">
        <v>1184</v>
      </c>
      <c r="N562" s="1694"/>
      <c r="O562" s="1694"/>
      <c r="P562" s="1694"/>
      <c r="Q562" s="1455"/>
      <c r="R562" s="1456"/>
      <c r="S562" s="1457"/>
      <c r="T562" s="1455"/>
      <c r="U562" s="1456"/>
      <c r="V562" s="1457"/>
      <c r="W562" s="1458"/>
      <c r="X562" s="1459"/>
      <c r="Y562" s="1460"/>
      <c r="Z562" s="1695" t="s">
        <v>1184</v>
      </c>
      <c r="AA562" s="1695"/>
      <c r="AB562" s="1695"/>
      <c r="AC562" s="1695"/>
      <c r="AD562" s="1695"/>
      <c r="AE562" s="1677"/>
      <c r="AF562" s="1678"/>
      <c r="AG562" s="1678"/>
      <c r="AH562" s="1679"/>
      <c r="AI562" s="1680"/>
      <c r="AJ562" s="1681"/>
      <c r="AK562" s="1681"/>
      <c r="AL562" s="1682"/>
      <c r="AM562" s="1670"/>
      <c r="AN562" s="1671"/>
      <c r="AO562" s="1671"/>
      <c r="AP562" s="1671"/>
      <c r="AQ562" s="1671"/>
      <c r="AR562" s="1671"/>
      <c r="AS562" s="1672"/>
      <c r="AT562" s="1148" t="str">
        <f t="shared" si="0"/>
        <v/>
      </c>
      <c r="AU562" s="1147"/>
      <c r="BB562" s="3"/>
      <c r="BC562" s="3"/>
      <c r="BD562" s="3"/>
      <c r="BE562" s="3"/>
      <c r="BF562" s="3"/>
      <c r="BG562" s="3"/>
      <c r="BH562" s="3"/>
      <c r="BI562" s="3"/>
    </row>
    <row r="563" spans="1:61" ht="12.95" customHeight="1">
      <c r="B563" s="52" t="s">
        <v>646</v>
      </c>
      <c r="C563" s="1683"/>
      <c r="D563" s="1683"/>
      <c r="E563" s="1683"/>
      <c r="F563" s="1683"/>
      <c r="G563" s="1683"/>
      <c r="H563" s="1683"/>
      <c r="I563" s="1683"/>
      <c r="J563" s="1683"/>
      <c r="K563" s="1683"/>
      <c r="L563" s="1683"/>
      <c r="M563" s="1694" t="s">
        <v>1184</v>
      </c>
      <c r="N563" s="1694"/>
      <c r="O563" s="1694"/>
      <c r="P563" s="1694"/>
      <c r="Q563" s="1455"/>
      <c r="R563" s="1456"/>
      <c r="S563" s="1457"/>
      <c r="T563" s="1455"/>
      <c r="U563" s="1456"/>
      <c r="V563" s="1457"/>
      <c r="W563" s="1458"/>
      <c r="X563" s="1459"/>
      <c r="Y563" s="1460"/>
      <c r="Z563" s="1695" t="s">
        <v>1184</v>
      </c>
      <c r="AA563" s="1695"/>
      <c r="AB563" s="1695"/>
      <c r="AC563" s="1695"/>
      <c r="AD563" s="1695"/>
      <c r="AE563" s="1677"/>
      <c r="AF563" s="1678"/>
      <c r="AG563" s="1678"/>
      <c r="AH563" s="1679"/>
      <c r="AI563" s="1680"/>
      <c r="AJ563" s="1681"/>
      <c r="AK563" s="1681"/>
      <c r="AL563" s="1682"/>
      <c r="AM563" s="1670"/>
      <c r="AN563" s="1671"/>
      <c r="AO563" s="1671"/>
      <c r="AP563" s="1671"/>
      <c r="AQ563" s="1671"/>
      <c r="AR563" s="1671"/>
      <c r="AS563" s="1672"/>
      <c r="AT563" s="1148" t="str">
        <f t="shared" si="0"/>
        <v/>
      </c>
      <c r="BB563" s="3"/>
      <c r="BC563" s="3"/>
      <c r="BD563" s="3"/>
      <c r="BE563" s="3"/>
      <c r="BF563" s="3"/>
      <c r="BG563" s="3"/>
      <c r="BH563" s="3"/>
      <c r="BI563" s="3"/>
    </row>
    <row r="564" spans="1:61" ht="12.95" customHeight="1">
      <c r="B564" s="52" t="s">
        <v>361</v>
      </c>
      <c r="C564" s="1683"/>
      <c r="D564" s="1683"/>
      <c r="E564" s="1683"/>
      <c r="F564" s="1683"/>
      <c r="G564" s="1683"/>
      <c r="H564" s="1683"/>
      <c r="I564" s="1683"/>
      <c r="J564" s="1683"/>
      <c r="K564" s="1683"/>
      <c r="L564" s="1683"/>
      <c r="M564" s="1694" t="s">
        <v>1184</v>
      </c>
      <c r="N564" s="1694"/>
      <c r="O564" s="1694"/>
      <c r="P564" s="1694"/>
      <c r="Q564" s="1455"/>
      <c r="R564" s="1456"/>
      <c r="S564" s="1457"/>
      <c r="T564" s="1455"/>
      <c r="U564" s="1456"/>
      <c r="V564" s="1457"/>
      <c r="W564" s="1458"/>
      <c r="X564" s="1459"/>
      <c r="Y564" s="1460"/>
      <c r="Z564" s="1695" t="s">
        <v>1184</v>
      </c>
      <c r="AA564" s="1695"/>
      <c r="AB564" s="1695"/>
      <c r="AC564" s="1695"/>
      <c r="AD564" s="1695"/>
      <c r="AE564" s="1677"/>
      <c r="AF564" s="1678"/>
      <c r="AG564" s="1678"/>
      <c r="AH564" s="1679"/>
      <c r="AI564" s="1680"/>
      <c r="AJ564" s="1681"/>
      <c r="AK564" s="1681"/>
      <c r="AL564" s="1682"/>
      <c r="AM564" s="1670"/>
      <c r="AN564" s="1671"/>
      <c r="AO564" s="1671"/>
      <c r="AP564" s="1671"/>
      <c r="AQ564" s="1671"/>
      <c r="AR564" s="1671"/>
      <c r="AS564" s="1672"/>
      <c r="AT564" s="1148" t="str">
        <f t="shared" si="0"/>
        <v/>
      </c>
      <c r="BB564" s="3"/>
      <c r="BC564" s="3"/>
      <c r="BD564" s="3"/>
      <c r="BE564" s="3"/>
      <c r="BF564" s="3"/>
      <c r="BG564" s="3"/>
      <c r="BH564" s="3"/>
      <c r="BI564" s="3"/>
    </row>
    <row r="565" spans="1:61" ht="12.95" customHeight="1">
      <c r="B565" s="52" t="s">
        <v>362</v>
      </c>
      <c r="C565" s="1683"/>
      <c r="D565" s="1683"/>
      <c r="E565" s="1683"/>
      <c r="F565" s="1683"/>
      <c r="G565" s="1683"/>
      <c r="H565" s="1683"/>
      <c r="I565" s="1683"/>
      <c r="J565" s="1683"/>
      <c r="K565" s="1683"/>
      <c r="L565" s="1683"/>
      <c r="M565" s="1694" t="s">
        <v>1184</v>
      </c>
      <c r="N565" s="1694"/>
      <c r="O565" s="1694"/>
      <c r="P565" s="1694"/>
      <c r="Q565" s="1455"/>
      <c r="R565" s="1456"/>
      <c r="S565" s="1457"/>
      <c r="T565" s="1455"/>
      <c r="U565" s="1456"/>
      <c r="V565" s="1457"/>
      <c r="W565" s="1458"/>
      <c r="X565" s="1459"/>
      <c r="Y565" s="1460"/>
      <c r="Z565" s="1695" t="s">
        <v>1184</v>
      </c>
      <c r="AA565" s="1695"/>
      <c r="AB565" s="1695"/>
      <c r="AC565" s="1695"/>
      <c r="AD565" s="1695"/>
      <c r="AE565" s="1677"/>
      <c r="AF565" s="1678"/>
      <c r="AG565" s="1678"/>
      <c r="AH565" s="1679"/>
      <c r="AI565" s="1680"/>
      <c r="AJ565" s="1681"/>
      <c r="AK565" s="1681"/>
      <c r="AL565" s="1682"/>
      <c r="AM565" s="1670"/>
      <c r="AN565" s="1671"/>
      <c r="AO565" s="1671"/>
      <c r="AP565" s="1671"/>
      <c r="AQ565" s="1671"/>
      <c r="AR565" s="1671"/>
      <c r="AS565" s="1672"/>
      <c r="AT565" s="1148" t="str">
        <f t="shared" si="0"/>
        <v/>
      </c>
      <c r="BB565" s="3"/>
      <c r="BC565" s="3"/>
      <c r="BD565" s="3"/>
      <c r="BE565" s="3"/>
      <c r="BF565" s="3"/>
      <c r="BG565" s="3"/>
      <c r="BH565" s="3"/>
      <c r="BI565" s="3"/>
    </row>
    <row r="566" spans="1:61" ht="12.95" customHeight="1">
      <c r="B566" s="1452" t="s">
        <v>127</v>
      </c>
      <c r="C566" s="1453"/>
      <c r="D566" s="1453"/>
      <c r="E566" s="1453"/>
      <c r="F566" s="1453"/>
      <c r="G566" s="1453"/>
      <c r="H566" s="1453"/>
      <c r="I566" s="1453"/>
      <c r="J566" s="1453"/>
      <c r="K566" s="1453"/>
      <c r="L566" s="1453"/>
      <c r="M566" s="1453"/>
      <c r="N566" s="1453"/>
      <c r="O566" s="1453"/>
      <c r="P566" s="1453"/>
      <c r="Q566" s="1453"/>
      <c r="R566" s="1453"/>
      <c r="S566" s="1453"/>
      <c r="T566" s="1453"/>
      <c r="U566" s="1486"/>
      <c r="V566" s="1453"/>
      <c r="W566" s="1453"/>
      <c r="X566" s="1453"/>
      <c r="Y566" s="1453"/>
      <c r="Z566" s="1453"/>
      <c r="AA566" s="1453"/>
      <c r="AB566" s="1453"/>
      <c r="AC566" s="1453"/>
      <c r="AD566" s="1453"/>
      <c r="AE566" s="1453"/>
      <c r="AF566" s="1453"/>
      <c r="AG566" s="1453"/>
      <c r="AH566" s="1453"/>
      <c r="AI566" s="1453"/>
      <c r="AJ566" s="1453"/>
      <c r="AK566" s="1453"/>
      <c r="AL566" s="1454"/>
      <c r="AM566" s="1617">
        <f>SUM(AM554:AS565)</f>
        <v>47754257</v>
      </c>
      <c r="AN566" s="1618"/>
      <c r="AO566" s="1618"/>
      <c r="AP566" s="1618"/>
      <c r="AQ566" s="1618"/>
      <c r="AR566" s="1618"/>
      <c r="AS566" s="1619"/>
      <c r="BB566" s="3"/>
      <c r="BC566" s="3"/>
      <c r="BD566" s="3"/>
      <c r="BE566" s="3"/>
      <c r="BF566" s="3"/>
      <c r="BG566" s="3"/>
      <c r="BH566" s="3" t="s">
        <v>455</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60" t="str">
        <f>C554</f>
        <v>Citibank, N.A.</v>
      </c>
      <c r="H568" s="1360"/>
      <c r="I568" s="1360"/>
      <c r="J568" s="1360"/>
      <c r="K568" s="1360"/>
      <c r="L568" s="1360"/>
      <c r="M568" s="1360"/>
      <c r="N568" s="1360"/>
      <c r="O568" s="1360"/>
      <c r="P568" s="1360"/>
      <c r="Q568" s="1360"/>
      <c r="R568" s="1360"/>
      <c r="S568" s="8"/>
      <c r="T568" s="55" t="s">
        <v>113</v>
      </c>
      <c r="U568" t="s">
        <v>463</v>
      </c>
      <c r="Z568" s="1360" t="str">
        <f>C555</f>
        <v>Bonneville Multifamily Capital</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2.95" customHeight="1">
      <c r="A569" s="22"/>
      <c r="B569" t="s">
        <v>85</v>
      </c>
      <c r="G569" s="1373" t="s">
        <v>2722</v>
      </c>
      <c r="H569" s="1373"/>
      <c r="I569" s="1373"/>
      <c r="J569" s="1373"/>
      <c r="K569" s="1373"/>
      <c r="L569" s="1373"/>
      <c r="M569" s="1373"/>
      <c r="N569" s="1373"/>
      <c r="O569" s="1373"/>
      <c r="P569" s="1373"/>
      <c r="Q569" s="1373"/>
      <c r="R569" s="1373"/>
      <c r="S569" s="8"/>
      <c r="T569" s="22"/>
      <c r="U569" t="s">
        <v>85</v>
      </c>
      <c r="Z569" s="1373" t="s">
        <v>2739</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5" customHeight="1">
      <c r="A570" s="22"/>
      <c r="B570" t="s">
        <v>580</v>
      </c>
      <c r="G570" s="1373" t="s">
        <v>494</v>
      </c>
      <c r="H570" s="1373"/>
      <c r="I570" s="1373"/>
      <c r="J570" s="1373"/>
      <c r="K570" s="1373"/>
      <c r="L570" s="1373"/>
      <c r="M570" s="1373"/>
      <c r="N570" s="1373"/>
      <c r="O570" s="1373"/>
      <c r="P570" s="1373"/>
      <c r="Q570" s="1373"/>
      <c r="R570" s="1373"/>
      <c r="T570" s="22"/>
      <c r="U570" t="s">
        <v>580</v>
      </c>
      <c r="Z570" s="1350" t="s">
        <v>2740</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2.95" customHeight="1">
      <c r="A571" s="22"/>
      <c r="B571" t="s">
        <v>17</v>
      </c>
      <c r="G571" s="1373" t="s">
        <v>2723</v>
      </c>
      <c r="H571" s="1373"/>
      <c r="I571" s="1373"/>
      <c r="J571" s="1373"/>
      <c r="K571" s="1373"/>
      <c r="L571" s="1373"/>
      <c r="M571" s="1373"/>
      <c r="N571" s="1373"/>
      <c r="O571" s="1373"/>
      <c r="P571" s="1373"/>
      <c r="Q571" s="1373"/>
      <c r="R571" s="1373"/>
      <c r="S571" s="8"/>
      <c r="T571" s="22"/>
      <c r="U571" t="s">
        <v>17</v>
      </c>
      <c r="Z571" s="1350" t="s">
        <v>2741</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2.95" customHeight="1">
      <c r="A572" s="22"/>
      <c r="B572" t="s">
        <v>315</v>
      </c>
      <c r="G572" s="1347" t="s">
        <v>2724</v>
      </c>
      <c r="H572" s="1348"/>
      <c r="I572" s="1348"/>
      <c r="J572" s="1348"/>
      <c r="K572" s="1348"/>
      <c r="L572" s="1348"/>
      <c r="O572" s="33" t="s">
        <v>205</v>
      </c>
      <c r="P572" s="1440"/>
      <c r="Q572" s="1440"/>
      <c r="R572" s="1440"/>
      <c r="S572" s="10"/>
      <c r="T572" s="22"/>
      <c r="U572" t="s">
        <v>315</v>
      </c>
      <c r="Z572" s="1347" t="s">
        <v>2742</v>
      </c>
      <c r="AA572" s="1348"/>
      <c r="AB572" s="1348"/>
      <c r="AC572" s="1348"/>
      <c r="AD572" s="1348"/>
      <c r="AE572" s="1348"/>
      <c r="AH572" s="33" t="s">
        <v>205</v>
      </c>
      <c r="AI572" s="1440"/>
      <c r="AJ572" s="1440"/>
      <c r="AK572" s="1440"/>
      <c r="BB572" s="3"/>
      <c r="BC572" s="3"/>
      <c r="BD572" s="3"/>
      <c r="BE572" s="3"/>
      <c r="BF572" s="3"/>
      <c r="BG572" s="3"/>
      <c r="BH572" s="3"/>
      <c r="BI572" s="3"/>
    </row>
    <row r="573" spans="1:61" ht="12.95" customHeight="1">
      <c r="A573" s="22"/>
      <c r="B573" t="s">
        <v>18</v>
      </c>
      <c r="H573" s="1373" t="s">
        <v>2725</v>
      </c>
      <c r="I573" s="1373"/>
      <c r="J573" s="1373"/>
      <c r="K573" s="1373"/>
      <c r="L573" s="1373"/>
      <c r="M573" s="1373"/>
      <c r="N573" s="1373"/>
      <c r="O573" s="1373"/>
      <c r="P573" s="1373"/>
      <c r="Q573" s="1373"/>
      <c r="R573" s="1373"/>
      <c r="S573" s="8"/>
      <c r="T573" s="22"/>
      <c r="U573" t="s">
        <v>18</v>
      </c>
      <c r="AA573" s="1373" t="s">
        <v>2744</v>
      </c>
      <c r="AB573" s="1373"/>
      <c r="AC573" s="1373"/>
      <c r="AD573" s="1373"/>
      <c r="AE573" s="1373"/>
      <c r="AF573" s="1373"/>
      <c r="AG573" s="1373"/>
      <c r="AH573" s="1373"/>
      <c r="AI573" s="1373"/>
      <c r="AJ573" s="1373"/>
      <c r="AK573" s="1373"/>
      <c r="BB573" s="3"/>
      <c r="BC573" s="3"/>
      <c r="BD573" s="3"/>
      <c r="BE573" s="3"/>
      <c r="BF573" s="3"/>
      <c r="BG573" s="3"/>
      <c r="BH573" s="3"/>
      <c r="BI573" s="3"/>
    </row>
    <row r="574" spans="1:61" ht="12.95" customHeight="1">
      <c r="A574" s="22"/>
      <c r="B574" s="320" t="s">
        <v>1185</v>
      </c>
      <c r="H574" s="8"/>
      <c r="I574" s="8"/>
      <c r="J574" s="8"/>
      <c r="K574" s="8"/>
      <c r="L574" s="8"/>
      <c r="M574" s="1697" t="s">
        <v>2752</v>
      </c>
      <c r="N574" s="1698"/>
      <c r="O574" s="1698"/>
      <c r="P574" s="1698"/>
      <c r="Q574" s="1698"/>
      <c r="R574" s="1698"/>
      <c r="S574" s="8"/>
      <c r="T574" s="22"/>
      <c r="U574" s="320" t="s">
        <v>1185</v>
      </c>
      <c r="AA574" s="8"/>
      <c r="AB574" s="8"/>
      <c r="AC574" s="8"/>
      <c r="AD574" s="8"/>
      <c r="AE574" s="8"/>
      <c r="AF574" s="1698"/>
      <c r="AG574" s="1698"/>
      <c r="AH574" s="1698"/>
      <c r="AI574" s="1698"/>
      <c r="AJ574" s="1698"/>
      <c r="AK574" s="1698"/>
      <c r="BB574" s="3"/>
      <c r="BC574" s="3"/>
      <c r="BD574" s="3"/>
      <c r="BE574" s="3"/>
      <c r="BF574" s="3"/>
      <c r="BG574" s="3"/>
      <c r="BH574" s="3"/>
      <c r="BI574" s="3"/>
    </row>
    <row r="575" spans="1:61" ht="12.95" customHeight="1">
      <c r="A575" s="22"/>
      <c r="B575" t="s">
        <v>20</v>
      </c>
      <c r="N575" s="1333" t="s">
        <v>545</v>
      </c>
      <c r="O575" s="1333"/>
      <c r="T575" s="22"/>
      <c r="U575" t="s">
        <v>20</v>
      </c>
      <c r="AG575" s="1333" t="s">
        <v>545</v>
      </c>
      <c r="AH575" s="1333"/>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60" t="str">
        <f>C556</f>
        <v>City of Elk Grove</v>
      </c>
      <c r="H577" s="1360"/>
      <c r="I577" s="1360"/>
      <c r="J577" s="1360"/>
      <c r="K577" s="1360"/>
      <c r="L577" s="1360"/>
      <c r="M577" s="1360"/>
      <c r="N577" s="1360"/>
      <c r="O577" s="1360"/>
      <c r="P577" s="1360"/>
      <c r="Q577" s="1360"/>
      <c r="R577" s="1360"/>
      <c r="T577" s="55" t="s">
        <v>581</v>
      </c>
      <c r="U577" t="s">
        <v>463</v>
      </c>
      <c r="Z577" s="1360" t="str">
        <f>C557</f>
        <v>Excelerate Housing Group</v>
      </c>
      <c r="AA577" s="1360"/>
      <c r="AB577" s="1360"/>
      <c r="AC577" s="1360"/>
      <c r="AD577" s="1360"/>
      <c r="AE577" s="1360"/>
      <c r="AF577" s="1360"/>
      <c r="AG577" s="1360"/>
      <c r="AH577" s="1360"/>
      <c r="AI577" s="1360"/>
      <c r="AJ577" s="1360"/>
      <c r="AK577" s="1360"/>
      <c r="BB577" s="3"/>
      <c r="BC577" s="3"/>
    </row>
    <row r="578" spans="1:55" ht="12.95" customHeight="1">
      <c r="A578" s="22"/>
      <c r="B578" t="s">
        <v>85</v>
      </c>
      <c r="G578" s="1373" t="s">
        <v>2623</v>
      </c>
      <c r="H578" s="1373"/>
      <c r="I578" s="1373"/>
      <c r="J578" s="1373"/>
      <c r="K578" s="1373"/>
      <c r="L578" s="1373"/>
      <c r="M578" s="1373"/>
      <c r="N578" s="1373"/>
      <c r="O578" s="1373"/>
      <c r="P578" s="1373"/>
      <c r="Q578" s="1373"/>
      <c r="R578" s="1373"/>
      <c r="T578" s="22"/>
      <c r="U578" t="s">
        <v>85</v>
      </c>
      <c r="Z578" s="1373" t="s">
        <v>2626</v>
      </c>
      <c r="AA578" s="1373"/>
      <c r="AB578" s="1373"/>
      <c r="AC578" s="1373"/>
      <c r="AD578" s="1373"/>
      <c r="AE578" s="1373"/>
      <c r="AF578" s="1373"/>
      <c r="AG578" s="1373"/>
      <c r="AH578" s="1373"/>
      <c r="AI578" s="1373"/>
      <c r="AJ578" s="1373"/>
      <c r="AK578" s="1373"/>
      <c r="BB578" s="3"/>
      <c r="BC578" s="3"/>
    </row>
    <row r="579" spans="1:55" ht="12.95" customHeight="1">
      <c r="A579" s="22"/>
      <c r="B579" t="s">
        <v>580</v>
      </c>
      <c r="G579" s="1350" t="s">
        <v>2614</v>
      </c>
      <c r="H579" s="1350"/>
      <c r="I579" s="1350"/>
      <c r="J579" s="1350"/>
      <c r="K579" s="1350"/>
      <c r="L579" s="1350"/>
      <c r="M579" s="1350"/>
      <c r="N579" s="1350"/>
      <c r="O579" s="1350"/>
      <c r="P579" s="1350"/>
      <c r="Q579" s="1350"/>
      <c r="R579" s="1350"/>
      <c r="T579" s="22"/>
      <c r="U579" t="s">
        <v>580</v>
      </c>
      <c r="Z579" s="1373" t="s">
        <v>2641</v>
      </c>
      <c r="AA579" s="1373"/>
      <c r="AB579" s="1373"/>
      <c r="AC579" s="1373"/>
      <c r="AD579" s="1373"/>
      <c r="AE579" s="1373"/>
      <c r="AF579" s="1373"/>
      <c r="AG579" s="1373"/>
      <c r="AH579" s="1373"/>
      <c r="AI579" s="1373"/>
      <c r="AJ579" s="1373"/>
      <c r="AK579" s="1373"/>
      <c r="BB579" s="3"/>
      <c r="BC579" s="3"/>
    </row>
    <row r="580" spans="1:55" ht="12.95" customHeight="1">
      <c r="A580" s="22"/>
      <c r="B580" t="s">
        <v>17</v>
      </c>
      <c r="G580" s="1350" t="s">
        <v>2622</v>
      </c>
      <c r="H580" s="1350"/>
      <c r="I580" s="1350"/>
      <c r="J580" s="1350"/>
      <c r="K580" s="1350"/>
      <c r="L580" s="1350"/>
      <c r="M580" s="1350"/>
      <c r="N580" s="1350"/>
      <c r="O580" s="1350"/>
      <c r="P580" s="1350"/>
      <c r="Q580" s="1350"/>
      <c r="R580" s="1350"/>
      <c r="T580" s="22"/>
      <c r="U580" t="s">
        <v>17</v>
      </c>
      <c r="Z580" s="1373" t="s">
        <v>2629</v>
      </c>
      <c r="AA580" s="1373"/>
      <c r="AB580" s="1373"/>
      <c r="AC580" s="1373"/>
      <c r="AD580" s="1373"/>
      <c r="AE580" s="1373"/>
      <c r="AF580" s="1373"/>
      <c r="AG580" s="1373"/>
      <c r="AH580" s="1373"/>
      <c r="AI580" s="1373"/>
      <c r="AJ580" s="1373"/>
      <c r="AK580" s="1373"/>
      <c r="BB580" s="3"/>
      <c r="BC580" s="3"/>
    </row>
    <row r="581" spans="1:55" ht="12.95" customHeight="1">
      <c r="A581" s="22"/>
      <c r="B581" t="s">
        <v>315</v>
      </c>
      <c r="G581" s="1347" t="s">
        <v>2624</v>
      </c>
      <c r="H581" s="1348"/>
      <c r="I581" s="1348"/>
      <c r="J581" s="1348"/>
      <c r="K581" s="1348"/>
      <c r="L581" s="1348"/>
      <c r="O581" s="33" t="s">
        <v>205</v>
      </c>
      <c r="P581" s="1440"/>
      <c r="Q581" s="1440"/>
      <c r="R581" s="1440"/>
      <c r="T581" s="22"/>
      <c r="U581" t="s">
        <v>315</v>
      </c>
      <c r="Z581" s="1347" t="s">
        <v>2630</v>
      </c>
      <c r="AA581" s="1348"/>
      <c r="AB581" s="1348"/>
      <c r="AC581" s="1348"/>
      <c r="AD581" s="1348"/>
      <c r="AE581" s="1348"/>
      <c r="AH581" s="33" t="s">
        <v>205</v>
      </c>
      <c r="AI581" s="1440">
        <v>101</v>
      </c>
      <c r="AJ581" s="1440"/>
      <c r="AK581" s="1440"/>
      <c r="BB581" s="3"/>
      <c r="BC581" s="3"/>
    </row>
    <row r="582" spans="1:55" ht="12.95" customHeight="1">
      <c r="A582" s="22"/>
      <c r="B582" t="s">
        <v>18</v>
      </c>
      <c r="H582" s="1373" t="s">
        <v>2113</v>
      </c>
      <c r="I582" s="1373"/>
      <c r="J582" s="1373"/>
      <c r="K582" s="1373"/>
      <c r="L582" s="1373"/>
      <c r="M582" s="1373"/>
      <c r="N582" s="1373"/>
      <c r="O582" s="1373"/>
      <c r="P582" s="1373"/>
      <c r="Q582" s="1373"/>
      <c r="R582" s="1373"/>
      <c r="T582" s="22"/>
      <c r="U582" t="s">
        <v>18</v>
      </c>
      <c r="AA582" s="1373" t="s">
        <v>2726</v>
      </c>
      <c r="AB582" s="1373"/>
      <c r="AC582" s="1373"/>
      <c r="AD582" s="1373"/>
      <c r="AE582" s="1373"/>
      <c r="AF582" s="1373"/>
      <c r="AG582" s="1373"/>
      <c r="AH582" s="1373"/>
      <c r="AI582" s="1373"/>
      <c r="AJ582" s="1373"/>
      <c r="AK582" s="1373"/>
      <c r="BB582" s="3"/>
      <c r="BC582" s="3"/>
    </row>
    <row r="583" spans="1:55" ht="12.95" customHeight="1">
      <c r="A583" s="22"/>
      <c r="B583" t="s">
        <v>20</v>
      </c>
      <c r="N583" s="1333" t="s">
        <v>545</v>
      </c>
      <c r="O583" s="1333"/>
      <c r="T583" s="22"/>
      <c r="U583" t="s">
        <v>20</v>
      </c>
      <c r="AG583" s="1333" t="s">
        <v>545</v>
      </c>
      <c r="AH583" s="1333"/>
      <c r="BB583" s="3"/>
      <c r="BC583" s="3"/>
    </row>
    <row r="584" spans="1:55" ht="12.95" customHeight="1">
      <c r="A584" s="22"/>
      <c r="T584" s="22"/>
      <c r="BB584" s="3"/>
      <c r="BC584" s="3"/>
    </row>
    <row r="585" spans="1:55" ht="12.95" customHeight="1">
      <c r="A585" s="55" t="s">
        <v>763</v>
      </c>
      <c r="B585" t="s">
        <v>463</v>
      </c>
      <c r="G585" s="1360" t="str">
        <f>C558</f>
        <v>NEF - LP Equity</v>
      </c>
      <c r="H585" s="1360"/>
      <c r="I585" s="1360"/>
      <c r="J585" s="1360"/>
      <c r="K585" s="1360"/>
      <c r="L585" s="1360"/>
      <c r="M585" s="1360"/>
      <c r="N585" s="1360"/>
      <c r="O585" s="1360"/>
      <c r="P585" s="1360"/>
      <c r="Q585" s="1360"/>
      <c r="R585" s="1360"/>
      <c r="T585" s="55" t="s">
        <v>584</v>
      </c>
      <c r="U585" t="s">
        <v>463</v>
      </c>
      <c r="Z585" s="1360" t="str">
        <f>C559</f>
        <v>Excelerate Housing Group</v>
      </c>
      <c r="AA585" s="1360"/>
      <c r="AB585" s="1360"/>
      <c r="AC585" s="1360"/>
      <c r="AD585" s="1360"/>
      <c r="AE585" s="1360"/>
      <c r="AF585" s="1360"/>
      <c r="AG585" s="1360"/>
      <c r="AH585" s="1360"/>
      <c r="AI585" s="1360"/>
      <c r="AJ585" s="1360"/>
      <c r="AK585" s="1360"/>
      <c r="BB585" s="3"/>
      <c r="BC585" s="3"/>
    </row>
    <row r="586" spans="1:55" ht="12.95" customHeight="1">
      <c r="A586" s="22"/>
      <c r="B586" t="s">
        <v>85</v>
      </c>
      <c r="G586" s="1373" t="s">
        <v>2661</v>
      </c>
      <c r="H586" s="1373"/>
      <c r="I586" s="1373"/>
      <c r="J586" s="1373"/>
      <c r="K586" s="1373"/>
      <c r="L586" s="1373"/>
      <c r="M586" s="1373"/>
      <c r="N586" s="1373"/>
      <c r="O586" s="1373"/>
      <c r="P586" s="1373"/>
      <c r="Q586" s="1373"/>
      <c r="R586" s="1373"/>
      <c r="T586" s="22"/>
      <c r="U586" t="s">
        <v>85</v>
      </c>
      <c r="Z586" s="1373" t="s">
        <v>2626</v>
      </c>
      <c r="AA586" s="1373"/>
      <c r="AB586" s="1373"/>
      <c r="AC586" s="1373"/>
      <c r="AD586" s="1373"/>
      <c r="AE586" s="1373"/>
      <c r="AF586" s="1373"/>
      <c r="AG586" s="1373"/>
      <c r="AH586" s="1373"/>
      <c r="AI586" s="1373"/>
      <c r="AJ586" s="1373"/>
      <c r="AK586" s="1373"/>
      <c r="BB586" s="3"/>
      <c r="BC586" s="3"/>
    </row>
    <row r="587" spans="1:55" ht="12.95" customHeight="1">
      <c r="A587" s="22"/>
      <c r="B587" t="s">
        <v>580</v>
      </c>
      <c r="G587" s="1373" t="s">
        <v>2650</v>
      </c>
      <c r="H587" s="1373"/>
      <c r="I587" s="1373"/>
      <c r="J587" s="1373"/>
      <c r="K587" s="1373"/>
      <c r="L587" s="1373"/>
      <c r="M587" s="1373"/>
      <c r="N587" s="1373"/>
      <c r="O587" s="1373"/>
      <c r="P587" s="1373"/>
      <c r="Q587" s="1373"/>
      <c r="R587" s="1373"/>
      <c r="T587" s="22"/>
      <c r="U587" t="s">
        <v>580</v>
      </c>
      <c r="Z587" s="1373" t="s">
        <v>2641</v>
      </c>
      <c r="AA587" s="1373"/>
      <c r="AB587" s="1373"/>
      <c r="AC587" s="1373"/>
      <c r="AD587" s="1373"/>
      <c r="AE587" s="1373"/>
      <c r="AF587" s="1373"/>
      <c r="AG587" s="1373"/>
      <c r="AH587" s="1373"/>
      <c r="AI587" s="1373"/>
      <c r="AJ587" s="1373"/>
      <c r="AK587" s="1373"/>
      <c r="BB587" s="3"/>
      <c r="BC587" s="3"/>
    </row>
    <row r="588" spans="1:55" ht="12.95" customHeight="1">
      <c r="A588" s="22"/>
      <c r="B588" t="s">
        <v>17</v>
      </c>
      <c r="G588" s="1373" t="s">
        <v>2662</v>
      </c>
      <c r="H588" s="1373"/>
      <c r="I588" s="1373"/>
      <c r="J588" s="1373"/>
      <c r="K588" s="1373"/>
      <c r="L588" s="1373"/>
      <c r="M588" s="1373"/>
      <c r="N588" s="1373"/>
      <c r="O588" s="1373"/>
      <c r="P588" s="1373"/>
      <c r="Q588" s="1373"/>
      <c r="R588" s="1373"/>
      <c r="T588" s="22"/>
      <c r="U588" t="s">
        <v>17</v>
      </c>
      <c r="Z588" s="1373" t="s">
        <v>2629</v>
      </c>
      <c r="AA588" s="1373"/>
      <c r="AB588" s="1373"/>
      <c r="AC588" s="1373"/>
      <c r="AD588" s="1373"/>
      <c r="AE588" s="1373"/>
      <c r="AF588" s="1373"/>
      <c r="AG588" s="1373"/>
      <c r="AH588" s="1373"/>
      <c r="AI588" s="1373"/>
      <c r="AJ588" s="1373"/>
      <c r="AK588" s="1373"/>
    </row>
    <row r="589" spans="1:55" ht="12.95" customHeight="1">
      <c r="A589" s="22"/>
      <c r="B589" t="s">
        <v>315</v>
      </c>
      <c r="G589" s="1347" t="s">
        <v>2663</v>
      </c>
      <c r="H589" s="1348"/>
      <c r="I589" s="1348"/>
      <c r="J589" s="1348"/>
      <c r="K589" s="1348"/>
      <c r="L589" s="1348"/>
      <c r="O589" s="33" t="s">
        <v>205</v>
      </c>
      <c r="P589" s="1440"/>
      <c r="Q589" s="1440"/>
      <c r="R589" s="1440"/>
      <c r="T589" s="22"/>
      <c r="U589" t="s">
        <v>315</v>
      </c>
      <c r="Z589" s="1347" t="s">
        <v>2630</v>
      </c>
      <c r="AA589" s="1348"/>
      <c r="AB589" s="1348"/>
      <c r="AC589" s="1348"/>
      <c r="AD589" s="1348"/>
      <c r="AE589" s="1348"/>
      <c r="AH589" s="33" t="s">
        <v>205</v>
      </c>
      <c r="AI589" s="1440">
        <v>101</v>
      </c>
      <c r="AJ589" s="1440"/>
      <c r="AK589" s="1440"/>
      <c r="AZ589" s="3"/>
      <c r="BA589" s="3"/>
      <c r="BB589" s="3"/>
      <c r="BC589" s="3"/>
    </row>
    <row r="590" spans="1:55" ht="12.95" customHeight="1">
      <c r="A590" s="22"/>
      <c r="B590" t="s">
        <v>18</v>
      </c>
      <c r="H590" s="1373" t="s">
        <v>2738</v>
      </c>
      <c r="I590" s="1373"/>
      <c r="J590" s="1373"/>
      <c r="K590" s="1373"/>
      <c r="L590" s="1373"/>
      <c r="M590" s="1373"/>
      <c r="N590" s="1373"/>
      <c r="O590" s="1373"/>
      <c r="P590" s="1373"/>
      <c r="Q590" s="1373"/>
      <c r="R590" s="1373"/>
      <c r="T590" s="22"/>
      <c r="U590" t="s">
        <v>18</v>
      </c>
      <c r="AA590" s="1373" t="s">
        <v>2726</v>
      </c>
      <c r="AB590" s="1373"/>
      <c r="AC590" s="1373"/>
      <c r="AD590" s="1373"/>
      <c r="AE590" s="1373"/>
      <c r="AF590" s="1373"/>
      <c r="AG590" s="1373"/>
      <c r="AH590" s="1373"/>
      <c r="AI590" s="1373"/>
      <c r="AJ590" s="1373"/>
      <c r="AK590" s="1373"/>
      <c r="AZ590" s="3"/>
      <c r="BA590" s="3"/>
      <c r="BB590" s="3"/>
      <c r="BC590" s="3"/>
    </row>
    <row r="591" spans="1:55" ht="12.95" customHeight="1">
      <c r="A591" s="22"/>
      <c r="B591" t="s">
        <v>20</v>
      </c>
      <c r="N591" s="1333" t="s">
        <v>545</v>
      </c>
      <c r="O591" s="1333"/>
      <c r="T591" s="22"/>
      <c r="U591" t="s">
        <v>20</v>
      </c>
      <c r="AG591" s="1333" t="s">
        <v>545</v>
      </c>
      <c r="AH591" s="1333"/>
      <c r="AZ591" s="3"/>
      <c r="BA591" s="3"/>
      <c r="BB591" s="3"/>
      <c r="BC591" s="3"/>
    </row>
    <row r="592" spans="1:55" ht="12.95" customHeight="1">
      <c r="A592" s="22"/>
      <c r="T592" s="22"/>
      <c r="AZ592" s="3"/>
      <c r="BA592" s="3"/>
      <c r="BB592" s="3"/>
      <c r="BC592" s="3"/>
    </row>
    <row r="593" spans="1:55" ht="12.95" customHeight="1">
      <c r="A593" s="55" t="s">
        <v>455</v>
      </c>
      <c r="B593" t="s">
        <v>463</v>
      </c>
      <c r="G593" s="1360" t="str">
        <f>C560</f>
        <v>Deferred Costs</v>
      </c>
      <c r="H593" s="1360"/>
      <c r="I593" s="1360"/>
      <c r="J593" s="1360"/>
      <c r="K593" s="1360"/>
      <c r="L593" s="1360"/>
      <c r="M593" s="1360"/>
      <c r="N593" s="1360"/>
      <c r="O593" s="1360"/>
      <c r="P593" s="1360"/>
      <c r="Q593" s="1360"/>
      <c r="R593" s="1360"/>
      <c r="T593" s="55" t="s">
        <v>456</v>
      </c>
      <c r="U593" t="s">
        <v>463</v>
      </c>
      <c r="Z593" s="1360" t="str">
        <f>C561</f>
        <v>City of Elk Grove - Land</v>
      </c>
      <c r="AA593" s="1360"/>
      <c r="AB593" s="1360"/>
      <c r="AC593" s="1360"/>
      <c r="AD593" s="1360"/>
      <c r="AE593" s="1360"/>
      <c r="AF593" s="1360"/>
      <c r="AG593" s="1360"/>
      <c r="AH593" s="1360"/>
      <c r="AI593" s="1360"/>
      <c r="AJ593" s="1360"/>
      <c r="AK593" s="1360"/>
      <c r="AZ593" s="3"/>
      <c r="BA593" s="3"/>
      <c r="BB593" s="3"/>
      <c r="BC593" s="3"/>
    </row>
    <row r="594" spans="1:55" s="4" customFormat="1" ht="12.95" customHeight="1">
      <c r="A594" s="22"/>
      <c r="B594" t="s">
        <v>85</v>
      </c>
      <c r="C594"/>
      <c r="D594"/>
      <c r="E594"/>
      <c r="F594"/>
      <c r="G594" s="1373" t="s">
        <v>2626</v>
      </c>
      <c r="H594" s="1373"/>
      <c r="I594" s="1373"/>
      <c r="J594" s="1373"/>
      <c r="K594" s="1373"/>
      <c r="L594" s="1373"/>
      <c r="M594" s="1373"/>
      <c r="N594" s="1373"/>
      <c r="O594" s="1373"/>
      <c r="P594" s="1373"/>
      <c r="Q594" s="1373"/>
      <c r="R594" s="1373"/>
      <c r="S594"/>
      <c r="T594" s="22"/>
      <c r="U594" t="s">
        <v>85</v>
      </c>
      <c r="V594"/>
      <c r="W594"/>
      <c r="X594"/>
      <c r="Y594"/>
      <c r="Z594" s="1373" t="s">
        <v>2623</v>
      </c>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3" t="s">
        <v>2641</v>
      </c>
      <c r="H595" s="1373"/>
      <c r="I595" s="1373"/>
      <c r="J595" s="1373"/>
      <c r="K595" s="1373"/>
      <c r="L595" s="1373"/>
      <c r="M595" s="1373"/>
      <c r="N595" s="1373"/>
      <c r="O595" s="1373"/>
      <c r="P595" s="1373"/>
      <c r="Q595" s="1373"/>
      <c r="R595" s="1373"/>
      <c r="S595"/>
      <c r="T595" s="22"/>
      <c r="U595" t="s">
        <v>580</v>
      </c>
      <c r="V595"/>
      <c r="W595"/>
      <c r="X595"/>
      <c r="Y595"/>
      <c r="Z595" s="1350" t="s">
        <v>2614</v>
      </c>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3" t="s">
        <v>2629</v>
      </c>
      <c r="H596" s="1373"/>
      <c r="I596" s="1373"/>
      <c r="J596" s="1373"/>
      <c r="K596" s="1373"/>
      <c r="L596" s="1373"/>
      <c r="M596" s="1373"/>
      <c r="N596" s="1373"/>
      <c r="O596" s="1373"/>
      <c r="P596" s="1373"/>
      <c r="Q596" s="1373"/>
      <c r="R596" s="1373"/>
      <c r="S596"/>
      <c r="T596" s="22"/>
      <c r="U596" t="s">
        <v>17</v>
      </c>
      <c r="V596"/>
      <c r="W596"/>
      <c r="X596"/>
      <c r="Y596"/>
      <c r="Z596" s="1350" t="s">
        <v>2622</v>
      </c>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7" t="s">
        <v>2630</v>
      </c>
      <c r="H597" s="1348"/>
      <c r="I597" s="1348"/>
      <c r="J597" s="1348"/>
      <c r="K597" s="1348"/>
      <c r="L597" s="1348"/>
      <c r="M597"/>
      <c r="N597"/>
      <c r="O597" s="33" t="s">
        <v>205</v>
      </c>
      <c r="P597" s="1440">
        <v>101</v>
      </c>
      <c r="Q597" s="1440"/>
      <c r="R597" s="1440"/>
      <c r="S597"/>
      <c r="T597" s="22"/>
      <c r="U597" t="s">
        <v>315</v>
      </c>
      <c r="V597"/>
      <c r="W597"/>
      <c r="X597"/>
      <c r="Y597"/>
      <c r="Z597" s="1347" t="s">
        <v>2624</v>
      </c>
      <c r="AA597" s="1348"/>
      <c r="AB597" s="1348"/>
      <c r="AC597" s="1348"/>
      <c r="AD597" s="1348"/>
      <c r="AE597" s="1348"/>
      <c r="AF597"/>
      <c r="AG597"/>
      <c r="AH597" s="33" t="s">
        <v>205</v>
      </c>
      <c r="AI597" s="1440"/>
      <c r="AJ597" s="1440"/>
      <c r="AK597" s="1440"/>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3" t="s">
        <v>2710</v>
      </c>
      <c r="I598" s="1373"/>
      <c r="J598" s="1373"/>
      <c r="K598" s="1373"/>
      <c r="L598" s="1373"/>
      <c r="M598" s="1373"/>
      <c r="N598" s="1373"/>
      <c r="O598" s="1373"/>
      <c r="P598" s="1373"/>
      <c r="Q598" s="1373"/>
      <c r="R598" s="1373"/>
      <c r="S598"/>
      <c r="T598" s="22"/>
      <c r="U598" t="s">
        <v>18</v>
      </c>
      <c r="V598"/>
      <c r="W598"/>
      <c r="X598"/>
      <c r="Y598"/>
      <c r="Z598"/>
      <c r="AA598" s="1373" t="s">
        <v>2749</v>
      </c>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5" customHeight="1">
      <c r="A599" s="22"/>
      <c r="B599" t="s">
        <v>20</v>
      </c>
      <c r="N599" s="1333" t="s">
        <v>545</v>
      </c>
      <c r="O599" s="1333"/>
      <c r="T599" s="22"/>
      <c r="U599" t="s">
        <v>20</v>
      </c>
      <c r="AG599" s="1333" t="s">
        <v>545</v>
      </c>
      <c r="AH599" s="1333"/>
      <c r="BB599" s="3"/>
      <c r="BC599" s="3"/>
    </row>
    <row r="600" spans="1:55" ht="12.95" customHeight="1">
      <c r="A600" s="22"/>
      <c r="T600" s="22"/>
      <c r="BB600" s="3"/>
      <c r="BC600" s="3"/>
    </row>
    <row r="601" spans="1:55" ht="12.95"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2.95"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5" customHeight="1">
      <c r="A603" s="22"/>
      <c r="B603" t="s">
        <v>580</v>
      </c>
      <c r="G603" s="1373"/>
      <c r="H603" s="1373"/>
      <c r="I603" s="1373"/>
      <c r="J603" s="1373"/>
      <c r="K603" s="1373"/>
      <c r="L603" s="1373"/>
      <c r="M603" s="1373"/>
      <c r="N603" s="1373"/>
      <c r="O603" s="1373"/>
      <c r="P603" s="1373"/>
      <c r="Q603" s="1373"/>
      <c r="R603" s="1373"/>
      <c r="T603" s="22"/>
      <c r="U603" t="s">
        <v>580</v>
      </c>
      <c r="Z603" s="1350"/>
      <c r="AA603" s="1350"/>
      <c r="AB603" s="1350"/>
      <c r="AC603" s="1350"/>
      <c r="AD603" s="1350"/>
      <c r="AE603" s="1350"/>
      <c r="AF603" s="1350"/>
      <c r="AG603" s="1350"/>
      <c r="AH603" s="1350"/>
      <c r="AI603" s="1350"/>
      <c r="AJ603" s="1350"/>
      <c r="AK603" s="1350"/>
      <c r="AZ603" s="3"/>
      <c r="BA603" s="3"/>
      <c r="BB603" s="3"/>
      <c r="BC603" s="3"/>
    </row>
    <row r="604" spans="1:55" ht="12.95"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2.95" customHeight="1">
      <c r="A605" s="22"/>
      <c r="B605" t="s">
        <v>315</v>
      </c>
      <c r="C605"/>
      <c r="D605"/>
      <c r="E605"/>
      <c r="F605"/>
      <c r="G605" s="1348"/>
      <c r="H605" s="1348"/>
      <c r="I605" s="1348"/>
      <c r="J605" s="1348"/>
      <c r="K605" s="1348"/>
      <c r="L605" s="1348"/>
      <c r="M605"/>
      <c r="N605"/>
      <c r="O605" s="33" t="s">
        <v>205</v>
      </c>
      <c r="P605" s="1440"/>
      <c r="Q605" s="1440"/>
      <c r="R605" s="1440"/>
      <c r="S605"/>
      <c r="T605" s="22"/>
      <c r="U605" t="s">
        <v>315</v>
      </c>
      <c r="V605"/>
      <c r="W605"/>
      <c r="X605"/>
      <c r="Y605"/>
      <c r="Z605" s="1348"/>
      <c r="AA605" s="1348"/>
      <c r="AB605" s="1348"/>
      <c r="AC605" s="1348"/>
      <c r="AD605" s="1348"/>
      <c r="AE605" s="1348"/>
      <c r="AF605"/>
      <c r="AG605"/>
      <c r="AH605" s="33" t="s">
        <v>205</v>
      </c>
      <c r="AI605" s="1440"/>
      <c r="AJ605" s="1440"/>
      <c r="AK605" s="1440"/>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3" t="s">
        <v>669</v>
      </c>
      <c r="O607" s="1333"/>
      <c r="P607"/>
      <c r="Q607"/>
      <c r="R607"/>
      <c r="S607"/>
      <c r="T607" s="22"/>
      <c r="U607" t="s">
        <v>20</v>
      </c>
      <c r="V607"/>
      <c r="W607"/>
      <c r="X607"/>
      <c r="Y607"/>
      <c r="Z607"/>
      <c r="AA607"/>
      <c r="AB607"/>
      <c r="AC607"/>
      <c r="AD607"/>
      <c r="AE607"/>
      <c r="AF607"/>
      <c r="AG607" s="1333" t="s">
        <v>669</v>
      </c>
      <c r="AH607" s="1333"/>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60">
        <f>C564</f>
        <v>0</v>
      </c>
      <c r="H609" s="1360"/>
      <c r="I609" s="1360"/>
      <c r="J609" s="1360"/>
      <c r="K609" s="1360"/>
      <c r="L609" s="1360"/>
      <c r="M609" s="1360"/>
      <c r="N609" s="1360"/>
      <c r="O609" s="1360"/>
      <c r="P609" s="1360"/>
      <c r="Q609" s="1360"/>
      <c r="R609" s="1360"/>
      <c r="T609" s="55" t="s">
        <v>362</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2.95"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5" customHeight="1">
      <c r="B611" t="s">
        <v>580</v>
      </c>
      <c r="G611" s="1373"/>
      <c r="H611" s="1373"/>
      <c r="I611" s="1373"/>
      <c r="J611" s="1373"/>
      <c r="K611" s="1373"/>
      <c r="L611" s="1373"/>
      <c r="M611" s="1373"/>
      <c r="N611" s="1373"/>
      <c r="O611" s="1373"/>
      <c r="P611" s="1373"/>
      <c r="Q611" s="1373"/>
      <c r="R611" s="1373"/>
      <c r="U611" t="s">
        <v>580</v>
      </c>
      <c r="Z611" s="1350"/>
      <c r="AA611" s="1350"/>
      <c r="AB611" s="1350"/>
      <c r="AC611" s="1350"/>
      <c r="AD611" s="1350"/>
      <c r="AE611" s="1350"/>
      <c r="AF611" s="1350"/>
      <c r="AG611" s="1350"/>
      <c r="AH611" s="1350"/>
      <c r="AI611" s="1350"/>
      <c r="AJ611" s="1350"/>
      <c r="AK611" s="1350"/>
      <c r="AZ611" s="3"/>
      <c r="BA611" s="3"/>
      <c r="BB611" s="3"/>
      <c r="BC611" s="3"/>
    </row>
    <row r="612" spans="1:55" ht="12.95"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2.95" customHeight="1">
      <c r="B613" t="s">
        <v>315</v>
      </c>
      <c r="G613" s="1348"/>
      <c r="H613" s="1348"/>
      <c r="I613" s="1348"/>
      <c r="J613" s="1348"/>
      <c r="K613" s="1348"/>
      <c r="L613" s="1348"/>
      <c r="O613" s="33" t="s">
        <v>205</v>
      </c>
      <c r="P613" s="1440"/>
      <c r="Q613" s="1440"/>
      <c r="R613" s="1440"/>
      <c r="U613" t="s">
        <v>315</v>
      </c>
      <c r="Z613" s="1348"/>
      <c r="AA613" s="1348"/>
      <c r="AB613" s="1348"/>
      <c r="AC613" s="1348"/>
      <c r="AD613" s="1348"/>
      <c r="AE613" s="1348"/>
      <c r="AH613" s="33" t="s">
        <v>205</v>
      </c>
      <c r="AI613" s="1440"/>
      <c r="AJ613" s="1440"/>
      <c r="AK613" s="1440"/>
      <c r="AZ613" s="3"/>
      <c r="BA613" s="3"/>
      <c r="BB613" s="3"/>
      <c r="BC613" s="3"/>
    </row>
    <row r="614" spans="1:55" ht="12.95"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2.95" customHeight="1">
      <c r="B615" t="s">
        <v>20</v>
      </c>
      <c r="N615" s="1333" t="s">
        <v>669</v>
      </c>
      <c r="O615" s="1333"/>
      <c r="U615" t="s">
        <v>20</v>
      </c>
      <c r="AG615" s="1333" t="s">
        <v>669</v>
      </c>
      <c r="AH615" s="1333"/>
      <c r="AU615" s="899"/>
      <c r="AV615" s="899"/>
      <c r="AW615" s="899"/>
      <c r="AX615" s="899"/>
      <c r="AY615" s="899"/>
      <c r="AZ615" s="3"/>
      <c r="BA615" s="3"/>
      <c r="BB615" s="3"/>
      <c r="BC615" s="3"/>
    </row>
    <row r="616" spans="1:55" ht="12.95" customHeight="1">
      <c r="AZ616" s="3"/>
      <c r="BA616" s="3"/>
      <c r="BB616" s="3"/>
      <c r="BC616" s="3"/>
    </row>
    <row r="617" spans="1:55" ht="12.95" customHeight="1">
      <c r="A617" s="1261" t="s">
        <v>544</v>
      </c>
      <c r="B617" s="1261"/>
      <c r="C617" s="1261"/>
      <c r="D617" s="1261"/>
      <c r="E617" s="1261"/>
      <c r="F617" s="1261"/>
      <c r="G617" s="1261"/>
      <c r="H617" s="1261"/>
      <c r="I617" s="1261"/>
      <c r="J617" s="1261"/>
      <c r="K617" s="1261"/>
      <c r="L617" s="1261"/>
      <c r="M617" s="1261"/>
      <c r="N617" s="1261"/>
      <c r="O617" s="1261"/>
      <c r="P617" s="1261"/>
      <c r="Q617" s="1261"/>
      <c r="R617" s="1261"/>
      <c r="S617" s="1261"/>
      <c r="T617" s="1261"/>
      <c r="U617" s="1261"/>
      <c r="V617" s="1261"/>
      <c r="W617" s="1261"/>
      <c r="X617" s="1261"/>
      <c r="Y617" s="1261"/>
      <c r="Z617" s="1261"/>
      <c r="AA617" s="1261"/>
      <c r="AB617" s="1261"/>
      <c r="AC617" s="1261"/>
      <c r="AD617" s="1261"/>
      <c r="AE617" s="1261"/>
      <c r="AF617" s="1261"/>
      <c r="AG617" s="1261"/>
      <c r="AH617" s="1261"/>
      <c r="AI617" s="1261"/>
      <c r="AJ617" s="1261"/>
      <c r="AK617" s="1261"/>
      <c r="AL617" s="1261"/>
      <c r="AM617" s="1261"/>
      <c r="AN617" s="1261"/>
      <c r="AO617" s="1261"/>
      <c r="AP617" s="1261"/>
      <c r="AQ617" s="1261"/>
      <c r="AR617" s="1261"/>
      <c r="AS617" s="1261"/>
      <c r="AT617" s="1261"/>
      <c r="AZ617" s="3"/>
      <c r="BA617" s="3"/>
      <c r="BB617" s="3"/>
      <c r="BC617" s="3"/>
    </row>
    <row r="618" spans="1:55" ht="12.95" customHeight="1">
      <c r="A618" s="1261"/>
      <c r="B618" s="1261"/>
      <c r="C618" s="1261"/>
      <c r="D618" s="1261"/>
      <c r="E618" s="1261"/>
      <c r="F618" s="1261"/>
      <c r="G618" s="1261"/>
      <c r="H618" s="1261"/>
      <c r="I618" s="1261"/>
      <c r="J618" s="1261"/>
      <c r="K618" s="1261"/>
      <c r="L618" s="1261"/>
      <c r="M618" s="1261"/>
      <c r="N618" s="1261"/>
      <c r="O618" s="1261"/>
      <c r="P618" s="1261"/>
      <c r="Q618" s="1261"/>
      <c r="R618" s="1261"/>
      <c r="S618" s="1261"/>
      <c r="T618" s="1261"/>
      <c r="U618" s="1261"/>
      <c r="V618" s="1261"/>
      <c r="W618" s="1261"/>
      <c r="X618" s="1261"/>
      <c r="Y618" s="1261"/>
      <c r="Z618" s="1261"/>
      <c r="AA618" s="1261"/>
      <c r="AB618" s="1261"/>
      <c r="AC618" s="1261"/>
      <c r="AD618" s="1261"/>
      <c r="AE618" s="1261"/>
      <c r="AF618" s="1261"/>
      <c r="AG618" s="1261"/>
      <c r="AH618" s="1261"/>
      <c r="AI618" s="1261"/>
      <c r="AJ618" s="1261"/>
      <c r="AK618" s="1261"/>
      <c r="AL618" s="1261"/>
      <c r="AM618" s="1261"/>
      <c r="AN618" s="1261"/>
      <c r="AO618" s="1261"/>
      <c r="AP618" s="1261"/>
      <c r="AQ618" s="1261"/>
      <c r="AR618" s="1261"/>
      <c r="AS618" s="1261"/>
      <c r="AT618" s="1261"/>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2" t="s">
        <v>2103</v>
      </c>
      <c r="C624" s="1702"/>
      <c r="D624" s="1702"/>
      <c r="E624" s="1702"/>
      <c r="F624" s="1702"/>
      <c r="G624" s="1702"/>
      <c r="H624" s="1702"/>
      <c r="I624" s="1702"/>
      <c r="J624" s="1702"/>
      <c r="K624" s="1702"/>
      <c r="L624" s="1702"/>
      <c r="M624" s="1445" t="s">
        <v>2104</v>
      </c>
      <c r="N624" s="1445"/>
      <c r="O624" s="1445"/>
      <c r="P624" s="1445"/>
      <c r="Q624" s="1445" t="s">
        <v>1853</v>
      </c>
      <c r="R624" s="1445"/>
      <c r="S624" s="1445"/>
      <c r="T624" s="1445" t="s">
        <v>1851</v>
      </c>
      <c r="U624" s="1445"/>
      <c r="V624" s="1445"/>
      <c r="W624" s="1703" t="s">
        <v>453</v>
      </c>
      <c r="X624" s="1703"/>
      <c r="Y624" s="1703"/>
      <c r="Z624" s="1434" t="s">
        <v>2133</v>
      </c>
      <c r="AA624" s="1434"/>
      <c r="AB624" s="1435"/>
      <c r="AC624" s="1684" t="s">
        <v>1676</v>
      </c>
      <c r="AD624" s="1685"/>
      <c r="AE624" s="1686"/>
      <c r="AF624" s="1674" t="s">
        <v>1931</v>
      </c>
      <c r="AG624" s="1434"/>
      <c r="AH624" s="1434"/>
      <c r="AI624" s="1434"/>
      <c r="AJ624" s="1435"/>
      <c r="AK624" s="1735" t="s">
        <v>1932</v>
      </c>
      <c r="AL624" s="1736"/>
      <c r="AM624" s="1736"/>
      <c r="AN624" s="1737"/>
      <c r="AO624" s="1445" t="s">
        <v>454</v>
      </c>
      <c r="AP624" s="1445"/>
      <c r="AQ624" s="1445"/>
      <c r="AR624" s="1445"/>
      <c r="AS624" s="1445"/>
      <c r="AU624" s="3"/>
      <c r="AZ624" s="3"/>
      <c r="BA624" s="3"/>
      <c r="BB624" s="3"/>
      <c r="BC624" s="3"/>
    </row>
    <row r="625" spans="2:157" ht="12.95" customHeight="1">
      <c r="B625" s="1702"/>
      <c r="C625" s="1702"/>
      <c r="D625" s="1702"/>
      <c r="E625" s="1702"/>
      <c r="F625" s="1702"/>
      <c r="G625" s="1702"/>
      <c r="H625" s="1702"/>
      <c r="I625" s="1702"/>
      <c r="J625" s="1702"/>
      <c r="K625" s="1702"/>
      <c r="L625" s="1702"/>
      <c r="M625" s="1445"/>
      <c r="N625" s="1445"/>
      <c r="O625" s="1445"/>
      <c r="P625" s="1445"/>
      <c r="Q625" s="1445"/>
      <c r="R625" s="1445"/>
      <c r="S625" s="1445"/>
      <c r="T625" s="1445"/>
      <c r="U625" s="1445"/>
      <c r="V625" s="1445"/>
      <c r="W625" s="1703"/>
      <c r="X625" s="1703"/>
      <c r="Y625" s="1703"/>
      <c r="Z625" s="1436"/>
      <c r="AA625" s="1436"/>
      <c r="AB625" s="1437"/>
      <c r="AC625" s="1687"/>
      <c r="AD625" s="1688"/>
      <c r="AE625" s="1689"/>
      <c r="AF625" s="1675"/>
      <c r="AG625" s="1436"/>
      <c r="AH625" s="1436"/>
      <c r="AI625" s="1436"/>
      <c r="AJ625" s="1437"/>
      <c r="AK625" s="1738"/>
      <c r="AL625" s="1739"/>
      <c r="AM625" s="1739"/>
      <c r="AN625" s="1740"/>
      <c r="AO625" s="1445"/>
      <c r="AP625" s="1445"/>
      <c r="AQ625" s="1445"/>
      <c r="AR625" s="1445"/>
      <c r="AS625" s="1445"/>
      <c r="AU625" s="3"/>
      <c r="AZ625" s="3"/>
      <c r="BA625" s="3"/>
      <c r="BB625" s="3"/>
      <c r="BC625" s="3"/>
      <c r="BD625" s="3"/>
    </row>
    <row r="626" spans="2:157" ht="12.95" customHeight="1">
      <c r="B626" s="1702"/>
      <c r="C626" s="1702"/>
      <c r="D626" s="1702"/>
      <c r="E626" s="1702"/>
      <c r="F626" s="1702"/>
      <c r="G626" s="1702"/>
      <c r="H626" s="1702"/>
      <c r="I626" s="1702"/>
      <c r="J626" s="1702"/>
      <c r="K626" s="1702"/>
      <c r="L626" s="1702"/>
      <c r="M626" s="1445"/>
      <c r="N626" s="1445"/>
      <c r="O626" s="1445"/>
      <c r="P626" s="1445"/>
      <c r="Q626" s="1445"/>
      <c r="R626" s="1445"/>
      <c r="S626" s="1445"/>
      <c r="T626" s="1445"/>
      <c r="U626" s="1445"/>
      <c r="V626" s="1445"/>
      <c r="W626" s="1703"/>
      <c r="X626" s="1703"/>
      <c r="Y626" s="1703"/>
      <c r="Z626" s="1438"/>
      <c r="AA626" s="1438"/>
      <c r="AB626" s="1439"/>
      <c r="AC626" s="1690"/>
      <c r="AD626" s="1691"/>
      <c r="AE626" s="1692"/>
      <c r="AF626" s="1676"/>
      <c r="AG626" s="1438"/>
      <c r="AH626" s="1438"/>
      <c r="AI626" s="1438"/>
      <c r="AJ626" s="1439"/>
      <c r="AK626" s="1741"/>
      <c r="AL626" s="1742"/>
      <c r="AM626" s="1742"/>
      <c r="AN626" s="1743"/>
      <c r="AO626" s="1445"/>
      <c r="AP626" s="1445"/>
      <c r="AQ626" s="1445"/>
      <c r="AR626" s="1445"/>
      <c r="AS626" s="1445"/>
      <c r="AT626" s="3"/>
      <c r="AU626" s="3"/>
      <c r="AZ626" s="3"/>
      <c r="BA626" s="3"/>
      <c r="BB626" s="3"/>
      <c r="BC626" s="3"/>
      <c r="BD626" s="3"/>
    </row>
    <row r="627" spans="2:157" ht="12.95" customHeight="1">
      <c r="B627" s="51" t="s">
        <v>112</v>
      </c>
      <c r="C627" s="1433" t="s">
        <v>2705</v>
      </c>
      <c r="D627" s="1433"/>
      <c r="E627" s="1433"/>
      <c r="F627" s="1433"/>
      <c r="G627" s="1433"/>
      <c r="H627" s="1433"/>
      <c r="I627" s="1433"/>
      <c r="J627" s="1433"/>
      <c r="K627" s="1433"/>
      <c r="L627" s="1433"/>
      <c r="M627" s="1620" t="s">
        <v>2114</v>
      </c>
      <c r="N627" s="1620"/>
      <c r="O627" s="1620"/>
      <c r="P627" s="1620"/>
      <c r="Q627" s="1428">
        <v>204</v>
      </c>
      <c r="R627" s="1428"/>
      <c r="S627" s="1429"/>
      <c r="T627" s="1427">
        <v>420</v>
      </c>
      <c r="U627" s="1428"/>
      <c r="V627" s="1429"/>
      <c r="W627" s="1441">
        <v>6.7900000000000002E-2</v>
      </c>
      <c r="X627" s="1442"/>
      <c r="Y627" s="1443"/>
      <c r="Z627" s="1481" t="s">
        <v>2132</v>
      </c>
      <c r="AA627" s="1482"/>
      <c r="AB627" s="1483"/>
      <c r="AC627" s="1449">
        <v>1</v>
      </c>
      <c r="AD627" s="1450"/>
      <c r="AE627" s="1451"/>
      <c r="AF627" s="1478">
        <v>855622</v>
      </c>
      <c r="AG627" s="1479"/>
      <c r="AH627" s="1479"/>
      <c r="AI627" s="1479"/>
      <c r="AJ627" s="1480"/>
      <c r="AK627" s="1430">
        <v>0</v>
      </c>
      <c r="AL627" s="1431"/>
      <c r="AM627" s="1431"/>
      <c r="AN627" s="1432"/>
      <c r="AO627" s="1484">
        <v>11423000</v>
      </c>
      <c r="AP627" s="1484"/>
      <c r="AQ627" s="1484"/>
      <c r="AR627" s="1484"/>
      <c r="AS627" s="1484"/>
      <c r="AT627" s="3"/>
      <c r="AU627" s="3"/>
      <c r="AZ627" s="3"/>
      <c r="BA627" s="3"/>
      <c r="BB627" s="3"/>
      <c r="BC627" s="3"/>
      <c r="BD627" s="3"/>
    </row>
    <row r="628" spans="2:157" ht="12.95" customHeight="1">
      <c r="B628" s="52" t="s">
        <v>113</v>
      </c>
      <c r="C628" s="1433" t="s">
        <v>2737</v>
      </c>
      <c r="D628" s="1433"/>
      <c r="E628" s="1433"/>
      <c r="F628" s="1433"/>
      <c r="G628" s="1433"/>
      <c r="H628" s="1433"/>
      <c r="I628" s="1433"/>
      <c r="J628" s="1433"/>
      <c r="K628" s="1433"/>
      <c r="L628" s="1433"/>
      <c r="M628" s="1620" t="s">
        <v>2121</v>
      </c>
      <c r="N628" s="1620"/>
      <c r="O628" s="1620"/>
      <c r="P628" s="1620"/>
      <c r="Q628" s="1427">
        <v>360</v>
      </c>
      <c r="R628" s="1428"/>
      <c r="S628" s="1429"/>
      <c r="T628" s="1427"/>
      <c r="U628" s="1428"/>
      <c r="V628" s="1429"/>
      <c r="W628" s="1441">
        <v>7.0000000000000007E-2</v>
      </c>
      <c r="X628" s="1442"/>
      <c r="Y628" s="1443"/>
      <c r="Z628" s="1481" t="s">
        <v>457</v>
      </c>
      <c r="AA628" s="1482"/>
      <c r="AB628" s="1483"/>
      <c r="AC628" s="1449">
        <v>2</v>
      </c>
      <c r="AD628" s="1450"/>
      <c r="AE628" s="1451"/>
      <c r="AF628" s="1478">
        <v>0</v>
      </c>
      <c r="AG628" s="1479"/>
      <c r="AH628" s="1479"/>
      <c r="AI628" s="1479"/>
      <c r="AJ628" s="1480"/>
      <c r="AK628" s="1430"/>
      <c r="AL628" s="1431"/>
      <c r="AM628" s="1431"/>
      <c r="AN628" s="1432"/>
      <c r="AO628" s="1469">
        <v>5000000</v>
      </c>
      <c r="AP628" s="1470"/>
      <c r="AQ628" s="1470"/>
      <c r="AR628" s="1470"/>
      <c r="AS628" s="1471"/>
      <c r="AT628" s="1148" t="str">
        <f>IF(AND(NOT(C627=""),C628="",NOT(C629="")),"!","")</f>
        <v/>
      </c>
      <c r="AU628" s="3"/>
      <c r="AZ628" s="3"/>
      <c r="BA628" s="3"/>
      <c r="BB628" s="3"/>
      <c r="BC628" s="3"/>
      <c r="BD628" s="3"/>
    </row>
    <row r="629" spans="2:157" ht="12.95" customHeight="1">
      <c r="B629" s="52" t="s">
        <v>119</v>
      </c>
      <c r="C629" s="1433" t="s">
        <v>2204</v>
      </c>
      <c r="D629" s="1433"/>
      <c r="E629" s="1433"/>
      <c r="F629" s="1433"/>
      <c r="G629" s="1433"/>
      <c r="H629" s="1433"/>
      <c r="I629" s="1433"/>
      <c r="J629" s="1433"/>
      <c r="K629" s="1433"/>
      <c r="L629" s="1433"/>
      <c r="M629" s="1620" t="s">
        <v>2116</v>
      </c>
      <c r="N629" s="1620"/>
      <c r="O629" s="1620"/>
      <c r="P629" s="1620"/>
      <c r="Q629" s="1427"/>
      <c r="R629" s="1428"/>
      <c r="S629" s="1429"/>
      <c r="T629" s="1427"/>
      <c r="U629" s="1428"/>
      <c r="V629" s="1429"/>
      <c r="W629" s="1441"/>
      <c r="X629" s="1442"/>
      <c r="Y629" s="1443"/>
      <c r="Z629" s="1481" t="s">
        <v>458</v>
      </c>
      <c r="AA629" s="1482"/>
      <c r="AB629" s="1483"/>
      <c r="AC629" s="1449">
        <v>3</v>
      </c>
      <c r="AD629" s="1450"/>
      <c r="AE629" s="1451"/>
      <c r="AF629" s="1478">
        <v>0</v>
      </c>
      <c r="AG629" s="1479"/>
      <c r="AH629" s="1479"/>
      <c r="AI629" s="1479"/>
      <c r="AJ629" s="1480"/>
      <c r="AK629" s="1430"/>
      <c r="AL629" s="1431"/>
      <c r="AM629" s="1431"/>
      <c r="AN629" s="1432"/>
      <c r="AO629" s="1469">
        <v>2000000</v>
      </c>
      <c r="AP629" s="1470"/>
      <c r="AQ629" s="1470"/>
      <c r="AR629" s="1470"/>
      <c r="AS629" s="1471"/>
      <c r="AT629" s="1148" t="str">
        <f t="shared" ref="AT629:AT638" si="1">IF(AND(NOT(C628=""),C629="",NOT(C630="")),"!","")</f>
        <v/>
      </c>
      <c r="AU629" s="3"/>
      <c r="AZ629" s="3"/>
      <c r="BA629" s="3"/>
      <c r="BB629" s="3"/>
      <c r="BC629" s="3"/>
      <c r="BD629" s="3"/>
    </row>
    <row r="630" spans="2:157" ht="12.95" customHeight="1">
      <c r="B630" s="52" t="s">
        <v>581</v>
      </c>
      <c r="C630" s="1433" t="s">
        <v>2750</v>
      </c>
      <c r="D630" s="1349"/>
      <c r="E630" s="1349"/>
      <c r="F630" s="1349"/>
      <c r="G630" s="1349"/>
      <c r="H630" s="1349"/>
      <c r="I630" s="1349"/>
      <c r="J630" s="1349"/>
      <c r="K630" s="1349"/>
      <c r="L630" s="1349"/>
      <c r="M630" s="1620" t="s">
        <v>2127</v>
      </c>
      <c r="N630" s="1620"/>
      <c r="O630" s="1620"/>
      <c r="P630" s="1620"/>
      <c r="Q630" s="1427"/>
      <c r="R630" s="1428"/>
      <c r="S630" s="1429"/>
      <c r="T630" s="1427"/>
      <c r="U630" s="1428"/>
      <c r="V630" s="1429"/>
      <c r="W630" s="1441"/>
      <c r="X630" s="1442"/>
      <c r="Y630" s="1443"/>
      <c r="Z630" s="1481" t="s">
        <v>299</v>
      </c>
      <c r="AA630" s="1482"/>
      <c r="AB630" s="1483"/>
      <c r="AC630" s="1449"/>
      <c r="AD630" s="1450"/>
      <c r="AE630" s="1451"/>
      <c r="AF630" s="1478"/>
      <c r="AG630" s="1479"/>
      <c r="AH630" s="1479"/>
      <c r="AI630" s="1479"/>
      <c r="AJ630" s="1480"/>
      <c r="AK630" s="1430"/>
      <c r="AL630" s="1431"/>
      <c r="AM630" s="1431"/>
      <c r="AN630" s="1432"/>
      <c r="AO630" s="1469">
        <v>1650000</v>
      </c>
      <c r="AP630" s="1470"/>
      <c r="AQ630" s="1470"/>
      <c r="AR630" s="1470"/>
      <c r="AS630" s="1471"/>
      <c r="AT630" s="1148" t="str">
        <f t="shared" si="1"/>
        <v/>
      </c>
      <c r="AU630" s="3"/>
      <c r="AZ630" s="3"/>
      <c r="BA630" s="3"/>
      <c r="BB630" s="3"/>
      <c r="BC630" s="3"/>
      <c r="BD630" s="3"/>
    </row>
    <row r="631" spans="2:157" ht="12.95" customHeight="1">
      <c r="B631" s="52" t="s">
        <v>763</v>
      </c>
      <c r="C631" s="1433" t="s">
        <v>2621</v>
      </c>
      <c r="D631" s="1349"/>
      <c r="E631" s="1349"/>
      <c r="F631" s="1349"/>
      <c r="G631" s="1349"/>
      <c r="H631" s="1349"/>
      <c r="I631" s="1349"/>
      <c r="J631" s="1349"/>
      <c r="K631" s="1349"/>
      <c r="L631" s="1349"/>
      <c r="M631" s="1620" t="s">
        <v>2113</v>
      </c>
      <c r="N631" s="1620"/>
      <c r="O631" s="1620"/>
      <c r="P631" s="1620"/>
      <c r="Q631" s="1427"/>
      <c r="R631" s="1428"/>
      <c r="S631" s="1429"/>
      <c r="T631" s="1427"/>
      <c r="U631" s="1428"/>
      <c r="V631" s="1429"/>
      <c r="W631" s="1441"/>
      <c r="X631" s="1442"/>
      <c r="Y631" s="1443"/>
      <c r="Z631" s="1481" t="s">
        <v>299</v>
      </c>
      <c r="AA631" s="1482"/>
      <c r="AB631" s="1483"/>
      <c r="AC631" s="1449"/>
      <c r="AD631" s="1450"/>
      <c r="AE631" s="1451"/>
      <c r="AF631" s="1478"/>
      <c r="AG631" s="1479"/>
      <c r="AH631" s="1479"/>
      <c r="AI631" s="1479"/>
      <c r="AJ631" s="1480"/>
      <c r="AK631" s="1430"/>
      <c r="AL631" s="1431"/>
      <c r="AM631" s="1431"/>
      <c r="AN631" s="1432"/>
      <c r="AO631" s="1469">
        <v>5000000</v>
      </c>
      <c r="AP631" s="1470"/>
      <c r="AQ631" s="1470"/>
      <c r="AR631" s="1470"/>
      <c r="AS631" s="1471"/>
      <c r="AT631" s="1148" t="str">
        <f t="shared" si="1"/>
        <v/>
      </c>
      <c r="AU631" s="3"/>
      <c r="AZ631" s="3"/>
      <c r="BA631" s="3"/>
      <c r="BB631" s="3"/>
      <c r="BC631" s="3"/>
      <c r="BD631" s="3"/>
    </row>
    <row r="632" spans="2:157" ht="12.95" customHeight="1">
      <c r="B632" s="52" t="s">
        <v>584</v>
      </c>
      <c r="C632" s="1433" t="s">
        <v>2706</v>
      </c>
      <c r="D632" s="1349"/>
      <c r="E632" s="1349"/>
      <c r="F632" s="1349"/>
      <c r="G632" s="1349"/>
      <c r="H632" s="1349"/>
      <c r="I632" s="1349"/>
      <c r="J632" s="1349"/>
      <c r="K632" s="1349"/>
      <c r="L632" s="1349"/>
      <c r="M632" s="1620" t="s">
        <v>2110</v>
      </c>
      <c r="N632" s="1620"/>
      <c r="O632" s="1620"/>
      <c r="P632" s="1620"/>
      <c r="Q632" s="1427"/>
      <c r="R632" s="1428"/>
      <c r="S632" s="1429"/>
      <c r="T632" s="1427"/>
      <c r="U632" s="1428"/>
      <c r="V632" s="1429"/>
      <c r="W632" s="1441"/>
      <c r="X632" s="1442"/>
      <c r="Y632" s="1443"/>
      <c r="Z632" s="1481" t="s">
        <v>299</v>
      </c>
      <c r="AA632" s="1482"/>
      <c r="AB632" s="1483"/>
      <c r="AC632" s="1449"/>
      <c r="AD632" s="1450"/>
      <c r="AE632" s="1451"/>
      <c r="AF632" s="1478"/>
      <c r="AG632" s="1479"/>
      <c r="AH632" s="1479"/>
      <c r="AI632" s="1479"/>
      <c r="AJ632" s="1480"/>
      <c r="AK632" s="1430"/>
      <c r="AL632" s="1431"/>
      <c r="AM632" s="1431"/>
      <c r="AN632" s="1432"/>
      <c r="AO632" s="1469">
        <v>100</v>
      </c>
      <c r="AP632" s="1470"/>
      <c r="AQ632" s="1470"/>
      <c r="AR632" s="1470"/>
      <c r="AS632" s="1471"/>
      <c r="AT632" s="1148" t="str">
        <f t="shared" si="1"/>
        <v/>
      </c>
      <c r="AU632" s="3"/>
      <c r="AZ632" s="3"/>
      <c r="BA632" s="3"/>
      <c r="BB632" s="3"/>
      <c r="BC632" s="3"/>
      <c r="BD632" s="3"/>
    </row>
    <row r="633" spans="2:157" ht="12.95" customHeight="1">
      <c r="B633" s="52" t="s">
        <v>455</v>
      </c>
      <c r="C633" s="1433" t="s">
        <v>2707</v>
      </c>
      <c r="D633" s="1349"/>
      <c r="E633" s="1349"/>
      <c r="F633" s="1349"/>
      <c r="G633" s="1349"/>
      <c r="H633" s="1349"/>
      <c r="I633" s="1349"/>
      <c r="J633" s="1349"/>
      <c r="K633" s="1349"/>
      <c r="L633" s="1349"/>
      <c r="M633" s="1620" t="s">
        <v>2107</v>
      </c>
      <c r="N633" s="1620"/>
      <c r="O633" s="1620"/>
      <c r="P633" s="1620"/>
      <c r="Q633" s="1427"/>
      <c r="R633" s="1428"/>
      <c r="S633" s="1429"/>
      <c r="T633" s="1427"/>
      <c r="U633" s="1428"/>
      <c r="V633" s="1429"/>
      <c r="W633" s="1441"/>
      <c r="X633" s="1442"/>
      <c r="Y633" s="1443"/>
      <c r="Z633" s="1481" t="s">
        <v>457</v>
      </c>
      <c r="AA633" s="1482"/>
      <c r="AB633" s="1483"/>
      <c r="AC633" s="1449"/>
      <c r="AD633" s="1450"/>
      <c r="AE633" s="1451"/>
      <c r="AF633" s="1478"/>
      <c r="AG633" s="1479"/>
      <c r="AH633" s="1479"/>
      <c r="AI633" s="1479"/>
      <c r="AJ633" s="1480"/>
      <c r="AK633" s="1430"/>
      <c r="AL633" s="1431"/>
      <c r="AM633" s="1431"/>
      <c r="AN633" s="1432"/>
      <c r="AO633" s="1469">
        <v>1100000</v>
      </c>
      <c r="AP633" s="1470"/>
      <c r="AQ633" s="1470"/>
      <c r="AR633" s="1470"/>
      <c r="AS633" s="1471"/>
      <c r="AT633" s="1148" t="str">
        <f t="shared" si="1"/>
        <v/>
      </c>
      <c r="AU633" s="3"/>
      <c r="AV633" s="3"/>
      <c r="AW633" s="3"/>
      <c r="AX633" s="3"/>
      <c r="AY633" s="3"/>
      <c r="AZ633" s="3"/>
      <c r="BA633" s="3"/>
      <c r="BB633" s="3"/>
      <c r="BC633" s="3"/>
      <c r="BD633" s="3"/>
    </row>
    <row r="634" spans="2:157" ht="12.95" customHeight="1">
      <c r="B634" s="52" t="s">
        <v>456</v>
      </c>
      <c r="C634" s="1349"/>
      <c r="D634" s="1349"/>
      <c r="E634" s="1349"/>
      <c r="F634" s="1349"/>
      <c r="G634" s="1349"/>
      <c r="H634" s="1349"/>
      <c r="I634" s="1349"/>
      <c r="J634" s="1349"/>
      <c r="K634" s="1349"/>
      <c r="L634" s="1349"/>
      <c r="M634" s="1620" t="s">
        <v>1184</v>
      </c>
      <c r="N634" s="1620"/>
      <c r="O634" s="1620"/>
      <c r="P634" s="1620"/>
      <c r="Q634" s="1427"/>
      <c r="R634" s="1428"/>
      <c r="S634" s="1429"/>
      <c r="T634" s="1427"/>
      <c r="U634" s="1428"/>
      <c r="V634" s="1429"/>
      <c r="W634" s="1441"/>
      <c r="X634" s="1442"/>
      <c r="Y634" s="1443"/>
      <c r="Z634" s="1481" t="s">
        <v>1184</v>
      </c>
      <c r="AA634" s="1482"/>
      <c r="AB634" s="1483"/>
      <c r="AC634" s="1449"/>
      <c r="AD634" s="1450"/>
      <c r="AE634" s="1451"/>
      <c r="AF634" s="1478"/>
      <c r="AG634" s="1479"/>
      <c r="AH634" s="1479"/>
      <c r="AI634" s="1479"/>
      <c r="AJ634" s="1480"/>
      <c r="AK634" s="1430"/>
      <c r="AL634" s="1431"/>
      <c r="AM634" s="1431"/>
      <c r="AN634" s="1432"/>
      <c r="AO634" s="1469"/>
      <c r="AP634" s="1470"/>
      <c r="AQ634" s="1470"/>
      <c r="AR634" s="1470"/>
      <c r="AS634" s="1471"/>
      <c r="AT634" s="1148" t="str">
        <f t="shared" si="1"/>
        <v/>
      </c>
      <c r="AU634" s="3"/>
      <c r="AV634" s="3"/>
      <c r="AW634" s="3"/>
      <c r="AX634" s="3"/>
      <c r="AY634" s="3"/>
      <c r="AZ634" s="3"/>
      <c r="BA634" s="3" t="s">
        <v>1184</v>
      </c>
      <c r="BB634" s="3"/>
      <c r="BC634" s="3"/>
      <c r="BD634" s="3"/>
    </row>
    <row r="635" spans="2:157" ht="12.95" customHeight="1">
      <c r="B635" s="52" t="s">
        <v>461</v>
      </c>
      <c r="C635" s="1349"/>
      <c r="D635" s="1349"/>
      <c r="E635" s="1349"/>
      <c r="F635" s="1349"/>
      <c r="G635" s="1349"/>
      <c r="H635" s="1349"/>
      <c r="I635" s="1349"/>
      <c r="J635" s="1349"/>
      <c r="K635" s="1349"/>
      <c r="L635" s="1349"/>
      <c r="M635" s="1620" t="s">
        <v>1184</v>
      </c>
      <c r="N635" s="1620"/>
      <c r="O635" s="1620"/>
      <c r="P635" s="1620"/>
      <c r="Q635" s="1427"/>
      <c r="R635" s="1428"/>
      <c r="S635" s="1429"/>
      <c r="T635" s="1427"/>
      <c r="U635" s="1428"/>
      <c r="V635" s="1429"/>
      <c r="W635" s="1441"/>
      <c r="X635" s="1442"/>
      <c r="Y635" s="1443"/>
      <c r="Z635" s="1481" t="s">
        <v>1184</v>
      </c>
      <c r="AA635" s="1482"/>
      <c r="AB635" s="1483"/>
      <c r="AC635" s="1449"/>
      <c r="AD635" s="1450"/>
      <c r="AE635" s="1451"/>
      <c r="AF635" s="1478"/>
      <c r="AG635" s="1479"/>
      <c r="AH635" s="1479"/>
      <c r="AI635" s="1479"/>
      <c r="AJ635" s="1480"/>
      <c r="AK635" s="1430"/>
      <c r="AL635" s="1431"/>
      <c r="AM635" s="1431"/>
      <c r="AN635" s="1432"/>
      <c r="AO635" s="1469"/>
      <c r="AP635" s="1470"/>
      <c r="AQ635" s="1470"/>
      <c r="AR635" s="1470"/>
      <c r="AS635" s="147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8" t="e">
        <f t="shared" ref="DX635:DX669" si="2">EZ718*(CP718/$CP$753)</f>
        <v>#VALUE!</v>
      </c>
      <c r="DY635" s="1448"/>
      <c r="DZ635" s="1448"/>
      <c r="EA635" s="1448"/>
      <c r="EB635" s="1448"/>
      <c r="EC635" s="1448">
        <f t="shared" ref="EC635:EC669" si="3">FE718*(CU718/$CU$753)</f>
        <v>361.5</v>
      </c>
      <c r="ED635" s="1448"/>
      <c r="EE635" s="1448"/>
      <c r="EF635" s="1448"/>
      <c r="EG635" s="1448"/>
      <c r="EH635" s="1448" t="e">
        <f t="shared" ref="EH635:EH669" si="4">FJ718*(CZ718/$CZ$753)</f>
        <v>#VALUE!</v>
      </c>
      <c r="EI635" s="1448"/>
      <c r="EJ635" s="1448"/>
      <c r="EK635" s="1448"/>
      <c r="EL635" s="1448"/>
      <c r="EM635" s="1448" t="e">
        <f t="shared" ref="EM635:EM669" si="5">FO718*(DE718/$DE$753)</f>
        <v>#VALUE!</v>
      </c>
      <c r="EN635" s="1448"/>
      <c r="EO635" s="1448"/>
      <c r="EP635" s="1448"/>
      <c r="EQ635" s="1448"/>
      <c r="ER635" s="1448" t="e">
        <f t="shared" ref="ER635:ER669" si="6">FT718*(DJ718/$DJ$753)</f>
        <v>#VALUE!</v>
      </c>
      <c r="ES635" s="1448"/>
      <c r="ET635" s="1448"/>
      <c r="EU635" s="1448"/>
      <c r="EV635" s="1448"/>
      <c r="EW635" s="1448" t="e">
        <f t="shared" ref="EW635:EW669" si="7">FY718*(DO718/$DO$753)</f>
        <v>#VALUE!</v>
      </c>
      <c r="EX635" s="1448"/>
      <c r="EY635" s="1448"/>
      <c r="EZ635" s="1448"/>
      <c r="FA635" s="1448"/>
    </row>
    <row r="636" spans="2:157" ht="12.95" customHeight="1">
      <c r="B636" s="52" t="s">
        <v>646</v>
      </c>
      <c r="C636" s="1349"/>
      <c r="D636" s="1349"/>
      <c r="E636" s="1349"/>
      <c r="F636" s="1349"/>
      <c r="G636" s="1349"/>
      <c r="H636" s="1349"/>
      <c r="I636" s="1349"/>
      <c r="J636" s="1349"/>
      <c r="K636" s="1349"/>
      <c r="L636" s="1349"/>
      <c r="M636" s="1620" t="s">
        <v>1184</v>
      </c>
      <c r="N636" s="1620"/>
      <c r="O636" s="1620"/>
      <c r="P636" s="1620"/>
      <c r="Q636" s="1427"/>
      <c r="R636" s="1428"/>
      <c r="S636" s="1429"/>
      <c r="T636" s="1427"/>
      <c r="U636" s="1428"/>
      <c r="V636" s="1429"/>
      <c r="W636" s="1441"/>
      <c r="X636" s="1442"/>
      <c r="Y636" s="1443"/>
      <c r="Z636" s="1481" t="s">
        <v>1184</v>
      </c>
      <c r="AA636" s="1482"/>
      <c r="AB636" s="1483"/>
      <c r="AC636" s="1449"/>
      <c r="AD636" s="1450"/>
      <c r="AE636" s="1451"/>
      <c r="AF636" s="1478"/>
      <c r="AG636" s="1479"/>
      <c r="AH636" s="1479"/>
      <c r="AI636" s="1479"/>
      <c r="AJ636" s="1480"/>
      <c r="AK636" s="1430"/>
      <c r="AL636" s="1431"/>
      <c r="AM636" s="1431"/>
      <c r="AN636" s="1432"/>
      <c r="AO636" s="1469"/>
      <c r="AP636" s="1470"/>
      <c r="AQ636" s="1470"/>
      <c r="AR636" s="1470"/>
      <c r="AS636" s="147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8" t="e">
        <f t="shared" si="2"/>
        <v>#VALUE!</v>
      </c>
      <c r="DY636" s="1448"/>
      <c r="DZ636" s="1448"/>
      <c r="EA636" s="1448"/>
      <c r="EB636" s="1448"/>
      <c r="EC636" s="1448">
        <f t="shared" si="3"/>
        <v>603</v>
      </c>
      <c r="ED636" s="1448"/>
      <c r="EE636" s="1448"/>
      <c r="EF636" s="1448"/>
      <c r="EG636" s="1448"/>
      <c r="EH636" s="1448" t="e">
        <f t="shared" si="4"/>
        <v>#VALUE!</v>
      </c>
      <c r="EI636" s="1448"/>
      <c r="EJ636" s="1448"/>
      <c r="EK636" s="1448"/>
      <c r="EL636" s="1448"/>
      <c r="EM636" s="1448" t="e">
        <f t="shared" si="5"/>
        <v>#VALUE!</v>
      </c>
      <c r="EN636" s="1448"/>
      <c r="EO636" s="1448"/>
      <c r="EP636" s="1448"/>
      <c r="EQ636" s="1448"/>
      <c r="ER636" s="1448" t="e">
        <f t="shared" si="6"/>
        <v>#VALUE!</v>
      </c>
      <c r="ES636" s="1448"/>
      <c r="ET636" s="1448"/>
      <c r="EU636" s="1448"/>
      <c r="EV636" s="1448"/>
      <c r="EW636" s="1448" t="e">
        <f t="shared" si="7"/>
        <v>#VALUE!</v>
      </c>
      <c r="EX636" s="1448"/>
      <c r="EY636" s="1448"/>
      <c r="EZ636" s="1448"/>
      <c r="FA636" s="1448"/>
    </row>
    <row r="637" spans="2:157" ht="12.95" customHeight="1">
      <c r="B637" s="52" t="s">
        <v>361</v>
      </c>
      <c r="C637" s="1349"/>
      <c r="D637" s="1349"/>
      <c r="E637" s="1349"/>
      <c r="F637" s="1349"/>
      <c r="G637" s="1349"/>
      <c r="H637" s="1349"/>
      <c r="I637" s="1349"/>
      <c r="J637" s="1349"/>
      <c r="K637" s="1349"/>
      <c r="L637" s="1349"/>
      <c r="M637" s="1620" t="s">
        <v>1184</v>
      </c>
      <c r="N637" s="1620"/>
      <c r="O637" s="1620"/>
      <c r="P637" s="1620"/>
      <c r="Q637" s="1427"/>
      <c r="R637" s="1428"/>
      <c r="S637" s="1429"/>
      <c r="T637" s="1427"/>
      <c r="U637" s="1428"/>
      <c r="V637" s="1429"/>
      <c r="W637" s="1441"/>
      <c r="X637" s="1442"/>
      <c r="Y637" s="1443"/>
      <c r="Z637" s="1481" t="s">
        <v>1184</v>
      </c>
      <c r="AA637" s="1482"/>
      <c r="AB637" s="1483"/>
      <c r="AC637" s="1449"/>
      <c r="AD637" s="1450"/>
      <c r="AE637" s="1451"/>
      <c r="AF637" s="1478"/>
      <c r="AG637" s="1479"/>
      <c r="AH637" s="1479"/>
      <c r="AI637" s="1479"/>
      <c r="AJ637" s="1480"/>
      <c r="AK637" s="1430"/>
      <c r="AL637" s="1431"/>
      <c r="AM637" s="1431"/>
      <c r="AN637" s="1432"/>
      <c r="AO637" s="1469"/>
      <c r="AP637" s="1470"/>
      <c r="AQ637" s="1470"/>
      <c r="AR637" s="1470"/>
      <c r="AS637" s="1471"/>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8" t="e">
        <f t="shared" si="2"/>
        <v>#VALUE!</v>
      </c>
      <c r="DY637" s="1448"/>
      <c r="DZ637" s="1448"/>
      <c r="EA637" s="1448"/>
      <c r="EB637" s="1448"/>
      <c r="EC637" s="1448" t="e">
        <f t="shared" si="3"/>
        <v>#VALUE!</v>
      </c>
      <c r="ED637" s="1448"/>
      <c r="EE637" s="1448"/>
      <c r="EF637" s="1448"/>
      <c r="EG637" s="1448"/>
      <c r="EH637" s="1448" t="e">
        <f t="shared" si="4"/>
        <v>#VALUE!</v>
      </c>
      <c r="EI637" s="1448"/>
      <c r="EJ637" s="1448"/>
      <c r="EK637" s="1448"/>
      <c r="EL637" s="1448"/>
      <c r="EM637" s="1448" t="e">
        <f t="shared" si="5"/>
        <v>#VALUE!</v>
      </c>
      <c r="EN637" s="1448"/>
      <c r="EO637" s="1448"/>
      <c r="EP637" s="1448"/>
      <c r="EQ637" s="1448"/>
      <c r="ER637" s="1448" t="e">
        <f t="shared" si="6"/>
        <v>#VALUE!</v>
      </c>
      <c r="ES637" s="1448"/>
      <c r="ET637" s="1448"/>
      <c r="EU637" s="1448"/>
      <c r="EV637" s="1448"/>
      <c r="EW637" s="1448" t="e">
        <f t="shared" si="7"/>
        <v>#VALUE!</v>
      </c>
      <c r="EX637" s="1448"/>
      <c r="EY637" s="1448"/>
      <c r="EZ637" s="1448"/>
      <c r="FA637" s="1448"/>
    </row>
    <row r="638" spans="2:157" ht="12.95" customHeight="1">
      <c r="B638" s="52" t="s">
        <v>362</v>
      </c>
      <c r="C638" s="1349"/>
      <c r="D638" s="1349"/>
      <c r="E638" s="1349"/>
      <c r="F638" s="1349"/>
      <c r="G638" s="1349"/>
      <c r="H638" s="1349"/>
      <c r="I638" s="1349"/>
      <c r="J638" s="1349"/>
      <c r="K638" s="1349"/>
      <c r="L638" s="1349"/>
      <c r="M638" s="1620" t="s">
        <v>1184</v>
      </c>
      <c r="N638" s="1620"/>
      <c r="O638" s="1620"/>
      <c r="P638" s="1620"/>
      <c r="Q638" s="1427"/>
      <c r="R638" s="1428"/>
      <c r="S638" s="1429"/>
      <c r="T638" s="1427"/>
      <c r="U638" s="1428"/>
      <c r="V638" s="1429"/>
      <c r="W638" s="1441"/>
      <c r="X638" s="1442"/>
      <c r="Y638" s="1443"/>
      <c r="Z638" s="1481" t="s">
        <v>1184</v>
      </c>
      <c r="AA638" s="1482"/>
      <c r="AB638" s="1483"/>
      <c r="AC638" s="1449"/>
      <c r="AD638" s="1450"/>
      <c r="AE638" s="1451"/>
      <c r="AF638" s="1478"/>
      <c r="AG638" s="1479"/>
      <c r="AH638" s="1479"/>
      <c r="AI638" s="1479"/>
      <c r="AJ638" s="1480"/>
      <c r="AK638" s="1430"/>
      <c r="AL638" s="1431"/>
      <c r="AM638" s="1431"/>
      <c r="AN638" s="1432"/>
      <c r="AO638" s="1469"/>
      <c r="AP638" s="1470"/>
      <c r="AQ638" s="1470"/>
      <c r="AR638" s="1470"/>
      <c r="AS638" s="1471"/>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8" t="e">
        <f t="shared" si="2"/>
        <v>#VALUE!</v>
      </c>
      <c r="DY638" s="1448"/>
      <c r="DZ638" s="1448"/>
      <c r="EA638" s="1448"/>
      <c r="EB638" s="1448"/>
      <c r="EC638" s="1448" t="e">
        <f t="shared" si="3"/>
        <v>#VALUE!</v>
      </c>
      <c r="ED638" s="1448"/>
      <c r="EE638" s="1448"/>
      <c r="EF638" s="1448"/>
      <c r="EG638" s="1448"/>
      <c r="EH638" s="1448" t="e">
        <f t="shared" si="4"/>
        <v>#VALUE!</v>
      </c>
      <c r="EI638" s="1448"/>
      <c r="EJ638" s="1448"/>
      <c r="EK638" s="1448"/>
      <c r="EL638" s="1448"/>
      <c r="EM638" s="1448" t="e">
        <f t="shared" si="5"/>
        <v>#VALUE!</v>
      </c>
      <c r="EN638" s="1448"/>
      <c r="EO638" s="1448"/>
      <c r="EP638" s="1448"/>
      <c r="EQ638" s="1448"/>
      <c r="ER638" s="1448" t="e">
        <f t="shared" si="6"/>
        <v>#VALUE!</v>
      </c>
      <c r="ES638" s="1448"/>
      <c r="ET638" s="1448"/>
      <c r="EU638" s="1448"/>
      <c r="EV638" s="1448"/>
      <c r="EW638" s="1448" t="e">
        <f t="shared" si="7"/>
        <v>#VALUE!</v>
      </c>
      <c r="EX638" s="1448"/>
      <c r="EY638" s="1448"/>
      <c r="EZ638" s="1448"/>
      <c r="FA638" s="1448"/>
    </row>
    <row r="639" spans="2:157" ht="12.95" customHeight="1">
      <c r="B639" s="1452" t="s">
        <v>128</v>
      </c>
      <c r="C639" s="1453"/>
      <c r="D639" s="1453"/>
      <c r="E639" s="1453"/>
      <c r="F639" s="1453"/>
      <c r="G639" s="1453"/>
      <c r="H639" s="1453"/>
      <c r="I639" s="1453"/>
      <c r="J639" s="1453"/>
      <c r="K639" s="1453"/>
      <c r="L639" s="1453"/>
      <c r="M639" s="1453"/>
      <c r="N639" s="1453"/>
      <c r="O639" s="1453"/>
      <c r="P639" s="1453"/>
      <c r="Q639" s="1453"/>
      <c r="R639" s="1453"/>
      <c r="S639" s="1453"/>
      <c r="T639" s="1453"/>
      <c r="U639" s="1453"/>
      <c r="V639" s="1453"/>
      <c r="W639" s="1453"/>
      <c r="X639" s="1453"/>
      <c r="Y639" s="1453"/>
      <c r="Z639" s="1453"/>
      <c r="AA639" s="1453"/>
      <c r="AB639" s="1453"/>
      <c r="AC639" s="1453"/>
      <c r="AD639" s="1453"/>
      <c r="AE639" s="1453"/>
      <c r="AF639" s="1453"/>
      <c r="AG639" s="1453"/>
      <c r="AH639" s="1453"/>
      <c r="AI639" s="1453"/>
      <c r="AJ639" s="1453"/>
      <c r="AK639" s="1453"/>
      <c r="AL639" s="1453"/>
      <c r="AM639" s="1453"/>
      <c r="AN639" s="1454"/>
      <c r="AO639" s="1617">
        <f>SUM(AO627:AR638)</f>
        <v>26173100</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8" t="e">
        <f t="shared" si="2"/>
        <v>#VALUE!</v>
      </c>
      <c r="DY639" s="1448"/>
      <c r="DZ639" s="1448"/>
      <c r="EA639" s="1448"/>
      <c r="EB639" s="1448"/>
      <c r="EC639" s="1448" t="e">
        <f t="shared" si="3"/>
        <v>#VALUE!</v>
      </c>
      <c r="ED639" s="1448"/>
      <c r="EE639" s="1448"/>
      <c r="EF639" s="1448"/>
      <c r="EG639" s="1448"/>
      <c r="EH639" s="1448" t="e">
        <f t="shared" si="4"/>
        <v>#VALUE!</v>
      </c>
      <c r="EI639" s="1448"/>
      <c r="EJ639" s="1448"/>
      <c r="EK639" s="1448"/>
      <c r="EL639" s="1448"/>
      <c r="EM639" s="1448" t="e">
        <f t="shared" si="5"/>
        <v>#VALUE!</v>
      </c>
      <c r="EN639" s="1448"/>
      <c r="EO639" s="1448"/>
      <c r="EP639" s="1448"/>
      <c r="EQ639" s="1448"/>
      <c r="ER639" s="1448" t="e">
        <f t="shared" si="6"/>
        <v>#VALUE!</v>
      </c>
      <c r="ES639" s="1448"/>
      <c r="ET639" s="1448"/>
      <c r="EU639" s="1448"/>
      <c r="EV639" s="1448"/>
      <c r="EW639" s="1448" t="e">
        <f t="shared" si="7"/>
        <v>#VALUE!</v>
      </c>
      <c r="EX639" s="1448"/>
      <c r="EY639" s="1448"/>
      <c r="EZ639" s="1448"/>
      <c r="FA639" s="1448"/>
    </row>
    <row r="640" spans="2:157" ht="12.95" customHeight="1">
      <c r="B640" s="1452" t="s">
        <v>266</v>
      </c>
      <c r="C640" s="1453"/>
      <c r="D640" s="1453"/>
      <c r="E640" s="1453"/>
      <c r="F640" s="1453"/>
      <c r="G640" s="1453"/>
      <c r="H640" s="1453"/>
      <c r="I640" s="1453"/>
      <c r="J640" s="1453"/>
      <c r="K640" s="1453"/>
      <c r="L640" s="1453"/>
      <c r="M640" s="1453"/>
      <c r="N640" s="1453"/>
      <c r="O640" s="1453"/>
      <c r="P640" s="1453"/>
      <c r="Q640" s="1453"/>
      <c r="R640" s="1453"/>
      <c r="S640" s="1453"/>
      <c r="T640" s="1453"/>
      <c r="U640" s="1453"/>
      <c r="V640" s="1453"/>
      <c r="W640" s="1453"/>
      <c r="X640" s="1453"/>
      <c r="Y640" s="1453"/>
      <c r="Z640" s="1453"/>
      <c r="AA640" s="1453"/>
      <c r="AB640" s="1453"/>
      <c r="AC640" s="1453"/>
      <c r="AD640" s="1453"/>
      <c r="AE640" s="1453"/>
      <c r="AF640" s="1453"/>
      <c r="AG640" s="1453"/>
      <c r="AH640" s="1453"/>
      <c r="AI640" s="1453"/>
      <c r="AJ640" s="1453"/>
      <c r="AK640" s="1453"/>
      <c r="AL640" s="1453"/>
      <c r="AM640" s="1453"/>
      <c r="AN640" s="1454"/>
      <c r="AO640" s="1469">
        <v>21581157</v>
      </c>
      <c r="AP640" s="1470"/>
      <c r="AQ640" s="1470"/>
      <c r="AR640" s="1470"/>
      <c r="AS640" s="147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8" t="e">
        <f t="shared" si="2"/>
        <v>#VALUE!</v>
      </c>
      <c r="DY640" s="1448"/>
      <c r="DZ640" s="1448"/>
      <c r="EA640" s="1448"/>
      <c r="EB640" s="1448"/>
      <c r="EC640" s="1448" t="e">
        <f t="shared" si="3"/>
        <v>#VALUE!</v>
      </c>
      <c r="ED640" s="1448"/>
      <c r="EE640" s="1448"/>
      <c r="EF640" s="1448"/>
      <c r="EG640" s="1448"/>
      <c r="EH640" s="1448" t="e">
        <f t="shared" si="4"/>
        <v>#VALUE!</v>
      </c>
      <c r="EI640" s="1448"/>
      <c r="EJ640" s="1448"/>
      <c r="EK640" s="1448"/>
      <c r="EL640" s="1448"/>
      <c r="EM640" s="1448" t="e">
        <f t="shared" si="5"/>
        <v>#VALUE!</v>
      </c>
      <c r="EN640" s="1448"/>
      <c r="EO640" s="1448"/>
      <c r="EP640" s="1448"/>
      <c r="EQ640" s="1448"/>
      <c r="ER640" s="1448" t="e">
        <f t="shared" si="6"/>
        <v>#VALUE!</v>
      </c>
      <c r="ES640" s="1448"/>
      <c r="ET640" s="1448"/>
      <c r="EU640" s="1448"/>
      <c r="EV640" s="1448"/>
      <c r="EW640" s="1448" t="e">
        <f t="shared" si="7"/>
        <v>#VALUE!</v>
      </c>
      <c r="EX640" s="1448"/>
      <c r="EY640" s="1448"/>
      <c r="EZ640" s="1448"/>
      <c r="FA640" s="1448"/>
    </row>
    <row r="641" spans="1:157" ht="12.95" customHeight="1">
      <c r="B641" s="1485" t="s">
        <v>267</v>
      </c>
      <c r="C641" s="1486"/>
      <c r="D641" s="1486"/>
      <c r="E641" s="1486"/>
      <c r="F641" s="1486"/>
      <c r="G641" s="1486"/>
      <c r="H641" s="1486"/>
      <c r="I641" s="1486"/>
      <c r="J641" s="1486"/>
      <c r="K641" s="1486"/>
      <c r="L641" s="1486"/>
      <c r="M641" s="1486"/>
      <c r="N641" s="1486"/>
      <c r="O641" s="1486"/>
      <c r="P641" s="1486"/>
      <c r="Q641" s="1486"/>
      <c r="R641" s="1486"/>
      <c r="S641" s="1486"/>
      <c r="T641" s="1486"/>
      <c r="U641" s="1486"/>
      <c r="V641" s="1486"/>
      <c r="W641" s="1486"/>
      <c r="X641" s="1486"/>
      <c r="Y641" s="1486"/>
      <c r="Z641" s="1486"/>
      <c r="AA641" s="1486"/>
      <c r="AB641" s="1486"/>
      <c r="AC641" s="1486"/>
      <c r="AD641" s="1486"/>
      <c r="AE641" s="1486"/>
      <c r="AF641" s="1486"/>
      <c r="AG641" s="1486"/>
      <c r="AH641" s="1486"/>
      <c r="AI641" s="1486"/>
      <c r="AJ641" s="1486"/>
      <c r="AK641" s="1486"/>
      <c r="AL641" s="1486"/>
      <c r="AM641" s="1486"/>
      <c r="AN641" s="1487"/>
      <c r="AO641" s="1617">
        <f>AO639+AO640</f>
        <v>47754257</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8" t="e">
        <f t="shared" si="2"/>
        <v>#VALUE!</v>
      </c>
      <c r="DY641" s="1448"/>
      <c r="DZ641" s="1448"/>
      <c r="EA641" s="1448"/>
      <c r="EB641" s="1448"/>
      <c r="EC641" s="1448" t="e">
        <f t="shared" si="3"/>
        <v>#VALUE!</v>
      </c>
      <c r="ED641" s="1448"/>
      <c r="EE641" s="1448"/>
      <c r="EF641" s="1448"/>
      <c r="EG641" s="1448"/>
      <c r="EH641" s="1448" t="e">
        <f t="shared" si="4"/>
        <v>#VALUE!</v>
      </c>
      <c r="EI641" s="1448"/>
      <c r="EJ641" s="1448"/>
      <c r="EK641" s="1448"/>
      <c r="EL641" s="1448"/>
      <c r="EM641" s="1448" t="e">
        <f t="shared" si="5"/>
        <v>#VALUE!</v>
      </c>
      <c r="EN641" s="1448"/>
      <c r="EO641" s="1448"/>
      <c r="EP641" s="1448"/>
      <c r="EQ641" s="1448"/>
      <c r="ER641" s="1448" t="e">
        <f t="shared" si="6"/>
        <v>#VALUE!</v>
      </c>
      <c r="ES641" s="1448"/>
      <c r="ET641" s="1448"/>
      <c r="EU641" s="1448"/>
      <c r="EV641" s="1448"/>
      <c r="EW641" s="1448" t="e">
        <f t="shared" si="7"/>
        <v>#VALUE!</v>
      </c>
      <c r="EX641" s="1448"/>
      <c r="EY641" s="1448"/>
      <c r="EZ641" s="1448"/>
      <c r="FA641" s="1448"/>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8" t="e">
        <f t="shared" si="2"/>
        <v>#VALUE!</v>
      </c>
      <c r="DY642" s="1448"/>
      <c r="DZ642" s="1448"/>
      <c r="EA642" s="1448"/>
      <c r="EB642" s="1448"/>
      <c r="EC642" s="1448" t="e">
        <f t="shared" si="3"/>
        <v>#VALUE!</v>
      </c>
      <c r="ED642" s="1448"/>
      <c r="EE642" s="1448"/>
      <c r="EF642" s="1448"/>
      <c r="EG642" s="1448"/>
      <c r="EH642" s="1448" t="e">
        <f t="shared" si="4"/>
        <v>#VALUE!</v>
      </c>
      <c r="EI642" s="1448"/>
      <c r="EJ642" s="1448"/>
      <c r="EK642" s="1448"/>
      <c r="EL642" s="1448"/>
      <c r="EM642" s="1448" t="e">
        <f t="shared" si="5"/>
        <v>#VALUE!</v>
      </c>
      <c r="EN642" s="1448"/>
      <c r="EO642" s="1448"/>
      <c r="EP642" s="1448"/>
      <c r="EQ642" s="1448"/>
      <c r="ER642" s="1448" t="e">
        <f t="shared" si="6"/>
        <v>#VALUE!</v>
      </c>
      <c r="ES642" s="1448"/>
      <c r="ET642" s="1448"/>
      <c r="EU642" s="1448"/>
      <c r="EV642" s="1448"/>
      <c r="EW642" s="1448" t="e">
        <f t="shared" si="7"/>
        <v>#VALUE!</v>
      </c>
      <c r="EX642" s="1448"/>
      <c r="EY642" s="1448"/>
      <c r="EZ642" s="1448"/>
      <c r="FA642" s="1448"/>
    </row>
    <row r="643" spans="1:157" ht="12.95" customHeight="1">
      <c r="A643" s="55" t="s">
        <v>112</v>
      </c>
      <c r="B643" t="s">
        <v>463</v>
      </c>
      <c r="G643" s="1360" t="str">
        <f>C627</f>
        <v>Citibank, N.A.</v>
      </c>
      <c r="H643" s="1360"/>
      <c r="I643" s="1360"/>
      <c r="J643" s="1360"/>
      <c r="K643" s="1360"/>
      <c r="L643" s="1360"/>
      <c r="M643" s="1360"/>
      <c r="N643" s="1360"/>
      <c r="O643" s="1360"/>
      <c r="P643" s="1360"/>
      <c r="Q643" s="1360"/>
      <c r="R643" s="1360"/>
      <c r="S643" s="8"/>
      <c r="T643" s="55" t="s">
        <v>113</v>
      </c>
      <c r="U643" t="s">
        <v>463</v>
      </c>
      <c r="Z643" s="1360" t="str">
        <f>C628</f>
        <v>Bonneville Multifamily Capital</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8" t="e">
        <f t="shared" si="2"/>
        <v>#VALUE!</v>
      </c>
      <c r="DY643" s="1448"/>
      <c r="DZ643" s="1448"/>
      <c r="EA643" s="1448"/>
      <c r="EB643" s="1448"/>
      <c r="EC643" s="1448" t="e">
        <f t="shared" si="3"/>
        <v>#VALUE!</v>
      </c>
      <c r="ED643" s="1448"/>
      <c r="EE643" s="1448"/>
      <c r="EF643" s="1448"/>
      <c r="EG643" s="1448"/>
      <c r="EH643" s="1448" t="e">
        <f t="shared" si="4"/>
        <v>#VALUE!</v>
      </c>
      <c r="EI643" s="1448"/>
      <c r="EJ643" s="1448"/>
      <c r="EK643" s="1448"/>
      <c r="EL643" s="1448"/>
      <c r="EM643" s="1448" t="e">
        <f t="shared" si="5"/>
        <v>#VALUE!</v>
      </c>
      <c r="EN643" s="1448"/>
      <c r="EO643" s="1448"/>
      <c r="EP643" s="1448"/>
      <c r="EQ643" s="1448"/>
      <c r="ER643" s="1448" t="e">
        <f t="shared" si="6"/>
        <v>#VALUE!</v>
      </c>
      <c r="ES643" s="1448"/>
      <c r="ET643" s="1448"/>
      <c r="EU643" s="1448"/>
      <c r="EV643" s="1448"/>
      <c r="EW643" s="1448" t="e">
        <f t="shared" si="7"/>
        <v>#VALUE!</v>
      </c>
      <c r="EX643" s="1448"/>
      <c r="EY643" s="1448"/>
      <c r="EZ643" s="1448"/>
      <c r="FA643" s="1448"/>
    </row>
    <row r="644" spans="1:157" ht="12.95" customHeight="1">
      <c r="A644" s="22"/>
      <c r="B644" t="s">
        <v>85</v>
      </c>
      <c r="G644" s="1373" t="s">
        <v>2722</v>
      </c>
      <c r="H644" s="1373"/>
      <c r="I644" s="1373"/>
      <c r="J644" s="1373"/>
      <c r="K644" s="1373"/>
      <c r="L644" s="1373"/>
      <c r="M644" s="1373"/>
      <c r="N644" s="1373"/>
      <c r="O644" s="1373"/>
      <c r="P644" s="1373"/>
      <c r="Q644" s="1373"/>
      <c r="R644" s="1373"/>
      <c r="S644" s="8"/>
      <c r="T644" s="22"/>
      <c r="U644" t="s">
        <v>85</v>
      </c>
      <c r="Z644" s="1373" t="s">
        <v>2739</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8" t="e">
        <f t="shared" si="2"/>
        <v>#VALUE!</v>
      </c>
      <c r="DY644" s="1448"/>
      <c r="DZ644" s="1448"/>
      <c r="EA644" s="1448"/>
      <c r="EB644" s="1448"/>
      <c r="EC644" s="1448" t="e">
        <f t="shared" si="3"/>
        <v>#VALUE!</v>
      </c>
      <c r="ED644" s="1448"/>
      <c r="EE644" s="1448"/>
      <c r="EF644" s="1448"/>
      <c r="EG644" s="1448"/>
      <c r="EH644" s="1448" t="e">
        <f t="shared" si="4"/>
        <v>#VALUE!</v>
      </c>
      <c r="EI644" s="1448"/>
      <c r="EJ644" s="1448"/>
      <c r="EK644" s="1448"/>
      <c r="EL644" s="1448"/>
      <c r="EM644" s="1448" t="e">
        <f t="shared" si="5"/>
        <v>#VALUE!</v>
      </c>
      <c r="EN644" s="1448"/>
      <c r="EO644" s="1448"/>
      <c r="EP644" s="1448"/>
      <c r="EQ644" s="1448"/>
      <c r="ER644" s="1448" t="e">
        <f t="shared" si="6"/>
        <v>#VALUE!</v>
      </c>
      <c r="ES644" s="1448"/>
      <c r="ET644" s="1448"/>
      <c r="EU644" s="1448"/>
      <c r="EV644" s="1448"/>
      <c r="EW644" s="1448" t="e">
        <f t="shared" si="7"/>
        <v>#VALUE!</v>
      </c>
      <c r="EX644" s="1448"/>
      <c r="EY644" s="1448"/>
      <c r="EZ644" s="1448"/>
      <c r="FA644" s="1448"/>
    </row>
    <row r="645" spans="1:157" ht="12.95" customHeight="1">
      <c r="A645" s="22"/>
      <c r="B645" t="s">
        <v>580</v>
      </c>
      <c r="G645" s="1373" t="s">
        <v>494</v>
      </c>
      <c r="H645" s="1373"/>
      <c r="I645" s="1373"/>
      <c r="J645" s="1373"/>
      <c r="K645" s="1373"/>
      <c r="L645" s="1373"/>
      <c r="M645" s="1373"/>
      <c r="N645" s="1373"/>
      <c r="O645" s="1373"/>
      <c r="P645" s="1373"/>
      <c r="Q645" s="1373"/>
      <c r="R645" s="1373"/>
      <c r="T645" s="22"/>
      <c r="U645" t="s">
        <v>580</v>
      </c>
      <c r="Z645" s="1350" t="s">
        <v>2740</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8" t="e">
        <f t="shared" si="2"/>
        <v>#VALUE!</v>
      </c>
      <c r="DY645" s="1448"/>
      <c r="DZ645" s="1448"/>
      <c r="EA645" s="1448"/>
      <c r="EB645" s="1448"/>
      <c r="EC645" s="1448" t="e">
        <f t="shared" si="3"/>
        <v>#VALUE!</v>
      </c>
      <c r="ED645" s="1448"/>
      <c r="EE645" s="1448"/>
      <c r="EF645" s="1448"/>
      <c r="EG645" s="1448"/>
      <c r="EH645" s="1448" t="e">
        <f t="shared" si="4"/>
        <v>#VALUE!</v>
      </c>
      <c r="EI645" s="1448"/>
      <c r="EJ645" s="1448"/>
      <c r="EK645" s="1448"/>
      <c r="EL645" s="1448"/>
      <c r="EM645" s="1448" t="e">
        <f t="shared" si="5"/>
        <v>#VALUE!</v>
      </c>
      <c r="EN645" s="1448"/>
      <c r="EO645" s="1448"/>
      <c r="EP645" s="1448"/>
      <c r="EQ645" s="1448"/>
      <c r="ER645" s="1448" t="e">
        <f t="shared" si="6"/>
        <v>#VALUE!</v>
      </c>
      <c r="ES645" s="1448"/>
      <c r="ET645" s="1448"/>
      <c r="EU645" s="1448"/>
      <c r="EV645" s="1448"/>
      <c r="EW645" s="1448" t="e">
        <f t="shared" si="7"/>
        <v>#VALUE!</v>
      </c>
      <c r="EX645" s="1448"/>
      <c r="EY645" s="1448"/>
      <c r="EZ645" s="1448"/>
      <c r="FA645" s="1448"/>
    </row>
    <row r="646" spans="1:157" ht="12.95" customHeight="1">
      <c r="A646" s="22"/>
      <c r="B646" t="s">
        <v>17</v>
      </c>
      <c r="G646" s="1373" t="s">
        <v>2723</v>
      </c>
      <c r="H646" s="1373"/>
      <c r="I646" s="1373"/>
      <c r="J646" s="1373"/>
      <c r="K646" s="1373"/>
      <c r="L646" s="1373"/>
      <c r="M646" s="1373"/>
      <c r="N646" s="1373"/>
      <c r="O646" s="1373"/>
      <c r="P646" s="1373"/>
      <c r="Q646" s="1373"/>
      <c r="R646" s="1373"/>
      <c r="S646" s="8"/>
      <c r="T646" s="22"/>
      <c r="U646" t="s">
        <v>17</v>
      </c>
      <c r="Z646" s="1350" t="s">
        <v>2741</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8" t="e">
        <f t="shared" si="2"/>
        <v>#VALUE!</v>
      </c>
      <c r="DY646" s="1448"/>
      <c r="DZ646" s="1448"/>
      <c r="EA646" s="1448"/>
      <c r="EB646" s="1448"/>
      <c r="EC646" s="1448" t="e">
        <f t="shared" si="3"/>
        <v>#VALUE!</v>
      </c>
      <c r="ED646" s="1448"/>
      <c r="EE646" s="1448"/>
      <c r="EF646" s="1448"/>
      <c r="EG646" s="1448"/>
      <c r="EH646" s="1448" t="e">
        <f t="shared" si="4"/>
        <v>#VALUE!</v>
      </c>
      <c r="EI646" s="1448"/>
      <c r="EJ646" s="1448"/>
      <c r="EK646" s="1448"/>
      <c r="EL646" s="1448"/>
      <c r="EM646" s="1448" t="e">
        <f t="shared" si="5"/>
        <v>#VALUE!</v>
      </c>
      <c r="EN646" s="1448"/>
      <c r="EO646" s="1448"/>
      <c r="EP646" s="1448"/>
      <c r="EQ646" s="1448"/>
      <c r="ER646" s="1448" t="e">
        <f t="shared" si="6"/>
        <v>#VALUE!</v>
      </c>
      <c r="ES646" s="1448"/>
      <c r="ET646" s="1448"/>
      <c r="EU646" s="1448"/>
      <c r="EV646" s="1448"/>
      <c r="EW646" s="1448" t="e">
        <f t="shared" si="7"/>
        <v>#VALUE!</v>
      </c>
      <c r="EX646" s="1448"/>
      <c r="EY646" s="1448"/>
      <c r="EZ646" s="1448"/>
      <c r="FA646" s="1448"/>
    </row>
    <row r="647" spans="1:157" ht="12.95" customHeight="1">
      <c r="A647" s="22"/>
      <c r="B647" t="s">
        <v>315</v>
      </c>
      <c r="G647" s="1347" t="s">
        <v>2724</v>
      </c>
      <c r="H647" s="1348"/>
      <c r="I647" s="1348"/>
      <c r="J647" s="1348"/>
      <c r="K647" s="1348"/>
      <c r="L647" s="1348"/>
      <c r="O647" s="33" t="s">
        <v>205</v>
      </c>
      <c r="P647" s="1440"/>
      <c r="Q647" s="1440"/>
      <c r="R647" s="1440"/>
      <c r="S647" s="10"/>
      <c r="T647" s="22"/>
      <c r="U647" t="s">
        <v>315</v>
      </c>
      <c r="Z647" s="1347" t="s">
        <v>2742</v>
      </c>
      <c r="AA647" s="1348"/>
      <c r="AB647" s="1348"/>
      <c r="AC647" s="1348"/>
      <c r="AD647" s="1348"/>
      <c r="AE647" s="1348"/>
      <c r="AH647" s="33" t="s">
        <v>205</v>
      </c>
      <c r="AI647" s="1440"/>
      <c r="AJ647" s="1440"/>
      <c r="AK647" s="1440"/>
      <c r="AZ647" s="34"/>
      <c r="BA647" s="34"/>
      <c r="BB647" s="34"/>
      <c r="BC647" s="34"/>
      <c r="BD647" s="34"/>
      <c r="BE647" s="34"/>
      <c r="BF647" s="34"/>
      <c r="BG647" s="34"/>
      <c r="BH647" s="34"/>
      <c r="BI647" s="34"/>
      <c r="BJ647" s="34"/>
      <c r="BK647" s="34"/>
      <c r="BL647" s="34"/>
      <c r="BM647" s="34"/>
      <c r="DX647" s="1448" t="e">
        <f t="shared" si="2"/>
        <v>#VALUE!</v>
      </c>
      <c r="DY647" s="1448"/>
      <c r="DZ647" s="1448"/>
      <c r="EA647" s="1448"/>
      <c r="EB647" s="1448"/>
      <c r="EC647" s="1448" t="e">
        <f t="shared" si="3"/>
        <v>#VALUE!</v>
      </c>
      <c r="ED647" s="1448"/>
      <c r="EE647" s="1448"/>
      <c r="EF647" s="1448"/>
      <c r="EG647" s="1448"/>
      <c r="EH647" s="1448" t="e">
        <f t="shared" si="4"/>
        <v>#VALUE!</v>
      </c>
      <c r="EI647" s="1448"/>
      <c r="EJ647" s="1448"/>
      <c r="EK647" s="1448"/>
      <c r="EL647" s="1448"/>
      <c r="EM647" s="1448" t="e">
        <f t="shared" si="5"/>
        <v>#VALUE!</v>
      </c>
      <c r="EN647" s="1448"/>
      <c r="EO647" s="1448"/>
      <c r="EP647" s="1448"/>
      <c r="EQ647" s="1448"/>
      <c r="ER647" s="1448" t="e">
        <f t="shared" si="6"/>
        <v>#VALUE!</v>
      </c>
      <c r="ES647" s="1448"/>
      <c r="ET647" s="1448"/>
      <c r="EU647" s="1448"/>
      <c r="EV647" s="1448"/>
      <c r="EW647" s="1448" t="e">
        <f t="shared" si="7"/>
        <v>#VALUE!</v>
      </c>
      <c r="EX647" s="1448"/>
      <c r="EY647" s="1448"/>
      <c r="EZ647" s="1448"/>
      <c r="FA647" s="1448"/>
    </row>
    <row r="648" spans="1:157" ht="12.95" customHeight="1">
      <c r="A648" s="22"/>
      <c r="B648" t="s">
        <v>18</v>
      </c>
      <c r="H648" s="1373" t="s">
        <v>2728</v>
      </c>
      <c r="I648" s="1373"/>
      <c r="J648" s="1373"/>
      <c r="K648" s="1373"/>
      <c r="L648" s="1373"/>
      <c r="M648" s="1373"/>
      <c r="N648" s="1373"/>
      <c r="O648" s="1373"/>
      <c r="P648" s="1373"/>
      <c r="Q648" s="1373"/>
      <c r="R648" s="1373"/>
      <c r="S648" s="8"/>
      <c r="T648" s="22"/>
      <c r="U648" t="s">
        <v>18</v>
      </c>
      <c r="AA648" s="1373" t="s">
        <v>2727</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8" t="e">
        <f t="shared" si="2"/>
        <v>#VALUE!</v>
      </c>
      <c r="DY648" s="1448"/>
      <c r="DZ648" s="1448"/>
      <c r="EA648" s="1448"/>
      <c r="EB648" s="1448"/>
      <c r="EC648" s="1448" t="e">
        <f t="shared" si="3"/>
        <v>#VALUE!</v>
      </c>
      <c r="ED648" s="1448"/>
      <c r="EE648" s="1448"/>
      <c r="EF648" s="1448"/>
      <c r="EG648" s="1448"/>
      <c r="EH648" s="1448" t="e">
        <f t="shared" si="4"/>
        <v>#VALUE!</v>
      </c>
      <c r="EI648" s="1448"/>
      <c r="EJ648" s="1448"/>
      <c r="EK648" s="1448"/>
      <c r="EL648" s="1448"/>
      <c r="EM648" s="1448" t="e">
        <f t="shared" si="5"/>
        <v>#VALUE!</v>
      </c>
      <c r="EN648" s="1448"/>
      <c r="EO648" s="1448"/>
      <c r="EP648" s="1448"/>
      <c r="EQ648" s="1448"/>
      <c r="ER648" s="1448" t="e">
        <f t="shared" si="6"/>
        <v>#VALUE!</v>
      </c>
      <c r="ES648" s="1448"/>
      <c r="ET648" s="1448"/>
      <c r="EU648" s="1448"/>
      <c r="EV648" s="1448"/>
      <c r="EW648" s="1448" t="e">
        <f t="shared" si="7"/>
        <v>#VALUE!</v>
      </c>
      <c r="EX648" s="1448"/>
      <c r="EY648" s="1448"/>
      <c r="EZ648" s="1448"/>
      <c r="FA648" s="1448"/>
    </row>
    <row r="649" spans="1:157" ht="12.95" customHeight="1">
      <c r="A649" s="22"/>
      <c r="B649" t="s">
        <v>20</v>
      </c>
      <c r="N649" s="1333" t="s">
        <v>545</v>
      </c>
      <c r="O649" s="1333"/>
      <c r="T649" s="22"/>
      <c r="U649" t="s">
        <v>20</v>
      </c>
      <c r="AG649" s="1333" t="s">
        <v>545</v>
      </c>
      <c r="AH649" s="1333"/>
      <c r="AZ649" s="34"/>
      <c r="BA649" s="34"/>
      <c r="BB649" s="34"/>
      <c r="BC649" s="34"/>
      <c r="BD649" s="34"/>
      <c r="BE649" s="34"/>
      <c r="BF649" s="34"/>
      <c r="BG649" s="34"/>
      <c r="BH649" s="34"/>
      <c r="BI649" s="34"/>
      <c r="BJ649" s="34"/>
      <c r="BK649" s="34"/>
      <c r="BL649" s="34"/>
      <c r="BM649" s="34"/>
      <c r="DX649" s="1448" t="e">
        <f t="shared" si="2"/>
        <v>#VALUE!</v>
      </c>
      <c r="DY649" s="1448"/>
      <c r="DZ649" s="1448"/>
      <c r="EA649" s="1448"/>
      <c r="EB649" s="1448"/>
      <c r="EC649" s="1448" t="e">
        <f t="shared" si="3"/>
        <v>#VALUE!</v>
      </c>
      <c r="ED649" s="1448"/>
      <c r="EE649" s="1448"/>
      <c r="EF649" s="1448"/>
      <c r="EG649" s="1448"/>
      <c r="EH649" s="1448" t="e">
        <f t="shared" si="4"/>
        <v>#VALUE!</v>
      </c>
      <c r="EI649" s="1448"/>
      <c r="EJ649" s="1448"/>
      <c r="EK649" s="1448"/>
      <c r="EL649" s="1448"/>
      <c r="EM649" s="1448" t="e">
        <f t="shared" si="5"/>
        <v>#VALUE!</v>
      </c>
      <c r="EN649" s="1448"/>
      <c r="EO649" s="1448"/>
      <c r="EP649" s="1448"/>
      <c r="EQ649" s="1448"/>
      <c r="ER649" s="1448" t="e">
        <f t="shared" si="6"/>
        <v>#VALUE!</v>
      </c>
      <c r="ES649" s="1448"/>
      <c r="ET649" s="1448"/>
      <c r="EU649" s="1448"/>
      <c r="EV649" s="1448"/>
      <c r="EW649" s="1448" t="e">
        <f t="shared" si="7"/>
        <v>#VALUE!</v>
      </c>
      <c r="EX649" s="1448"/>
      <c r="EY649" s="1448"/>
      <c r="EZ649" s="1448"/>
      <c r="FA649" s="1448"/>
    </row>
    <row r="650" spans="1:157" ht="12.95" customHeight="1">
      <c r="A650" s="22"/>
      <c r="T650" s="22"/>
      <c r="AZ650" s="34"/>
      <c r="BA650" s="34"/>
      <c r="BB650" s="34"/>
      <c r="BC650" s="34"/>
      <c r="BD650" s="34"/>
      <c r="BE650" s="34"/>
      <c r="BF650" s="34"/>
      <c r="BG650" s="34"/>
      <c r="BH650" s="34"/>
      <c r="BI650" s="34"/>
      <c r="BJ650" s="34"/>
      <c r="BK650" s="34"/>
      <c r="BL650" s="34"/>
      <c r="BM650" s="34"/>
      <c r="DX650" s="1448" t="e">
        <f t="shared" si="2"/>
        <v>#VALUE!</v>
      </c>
      <c r="DY650" s="1448"/>
      <c r="DZ650" s="1448"/>
      <c r="EA650" s="1448"/>
      <c r="EB650" s="1448"/>
      <c r="EC650" s="1448" t="e">
        <f t="shared" si="3"/>
        <v>#VALUE!</v>
      </c>
      <c r="ED650" s="1448"/>
      <c r="EE650" s="1448"/>
      <c r="EF650" s="1448"/>
      <c r="EG650" s="1448"/>
      <c r="EH650" s="1448" t="e">
        <f t="shared" si="4"/>
        <v>#VALUE!</v>
      </c>
      <c r="EI650" s="1448"/>
      <c r="EJ650" s="1448"/>
      <c r="EK650" s="1448"/>
      <c r="EL650" s="1448"/>
      <c r="EM650" s="1448" t="e">
        <f t="shared" si="5"/>
        <v>#VALUE!</v>
      </c>
      <c r="EN650" s="1448"/>
      <c r="EO650" s="1448"/>
      <c r="EP650" s="1448"/>
      <c r="EQ650" s="1448"/>
      <c r="ER650" s="1448" t="e">
        <f t="shared" si="6"/>
        <v>#VALUE!</v>
      </c>
      <c r="ES650" s="1448"/>
      <c r="ET650" s="1448"/>
      <c r="EU650" s="1448"/>
      <c r="EV650" s="1448"/>
      <c r="EW650" s="1448" t="e">
        <f t="shared" si="7"/>
        <v>#VALUE!</v>
      </c>
      <c r="EX650" s="1448"/>
      <c r="EY650" s="1448"/>
      <c r="EZ650" s="1448"/>
      <c r="FA650" s="1448"/>
    </row>
    <row r="651" spans="1:157" ht="12.95" customHeight="1">
      <c r="A651" s="55" t="s">
        <v>119</v>
      </c>
      <c r="B651" t="s">
        <v>463</v>
      </c>
      <c r="G651" s="1360" t="str">
        <f>C629</f>
        <v>FHLB AHP</v>
      </c>
      <c r="H651" s="1360"/>
      <c r="I651" s="1360"/>
      <c r="J651" s="1360"/>
      <c r="K651" s="1360"/>
      <c r="L651" s="1360"/>
      <c r="M651" s="1360"/>
      <c r="N651" s="1360"/>
      <c r="O651" s="1360"/>
      <c r="P651" s="1360"/>
      <c r="Q651" s="1360"/>
      <c r="R651" s="1360"/>
      <c r="T651" s="55" t="s">
        <v>581</v>
      </c>
      <c r="U651" t="s">
        <v>463</v>
      </c>
      <c r="Z651" s="1360" t="str">
        <f>C630</f>
        <v>City of Elk Grove - Land</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8" t="e">
        <f t="shared" si="2"/>
        <v>#VALUE!</v>
      </c>
      <c r="DY651" s="1448"/>
      <c r="DZ651" s="1448"/>
      <c r="EA651" s="1448"/>
      <c r="EB651" s="1448"/>
      <c r="EC651" s="1448" t="e">
        <f t="shared" si="3"/>
        <v>#VALUE!</v>
      </c>
      <c r="ED651" s="1448"/>
      <c r="EE651" s="1448"/>
      <c r="EF651" s="1448"/>
      <c r="EG651" s="1448"/>
      <c r="EH651" s="1448" t="e">
        <f t="shared" si="4"/>
        <v>#VALUE!</v>
      </c>
      <c r="EI651" s="1448"/>
      <c r="EJ651" s="1448"/>
      <c r="EK651" s="1448"/>
      <c r="EL651" s="1448"/>
      <c r="EM651" s="1448" t="e">
        <f t="shared" si="5"/>
        <v>#VALUE!</v>
      </c>
      <c r="EN651" s="1448"/>
      <c r="EO651" s="1448"/>
      <c r="EP651" s="1448"/>
      <c r="EQ651" s="1448"/>
      <c r="ER651" s="1448" t="e">
        <f t="shared" si="6"/>
        <v>#VALUE!</v>
      </c>
      <c r="ES651" s="1448"/>
      <c r="ET651" s="1448"/>
      <c r="EU651" s="1448"/>
      <c r="EV651" s="1448"/>
      <c r="EW651" s="1448" t="e">
        <f t="shared" si="7"/>
        <v>#VALUE!</v>
      </c>
      <c r="EX651" s="1448"/>
      <c r="EY651" s="1448"/>
      <c r="EZ651" s="1448"/>
      <c r="FA651" s="1448"/>
    </row>
    <row r="652" spans="1:157" ht="12.95" customHeight="1">
      <c r="A652" s="22"/>
      <c r="B652" t="s">
        <v>85</v>
      </c>
      <c r="G652" s="1373" t="s">
        <v>2729</v>
      </c>
      <c r="H652" s="1373"/>
      <c r="I652" s="1373"/>
      <c r="J652" s="1373"/>
      <c r="K652" s="1373"/>
      <c r="L652" s="1373"/>
      <c r="M652" s="1373"/>
      <c r="N652" s="1373"/>
      <c r="O652" s="1373"/>
      <c r="P652" s="1373"/>
      <c r="Q652" s="1373"/>
      <c r="R652" s="1373"/>
      <c r="T652" s="22"/>
      <c r="U652" t="s">
        <v>85</v>
      </c>
      <c r="Z652" s="1373" t="s">
        <v>2623</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8" t="e">
        <f t="shared" si="2"/>
        <v>#VALUE!</v>
      </c>
      <c r="DY652" s="1448"/>
      <c r="DZ652" s="1448"/>
      <c r="EA652" s="1448"/>
      <c r="EB652" s="1448"/>
      <c r="EC652" s="1448" t="e">
        <f t="shared" si="3"/>
        <v>#VALUE!</v>
      </c>
      <c r="ED652" s="1448"/>
      <c r="EE652" s="1448"/>
      <c r="EF652" s="1448"/>
      <c r="EG652" s="1448"/>
      <c r="EH652" s="1448" t="e">
        <f t="shared" si="4"/>
        <v>#VALUE!</v>
      </c>
      <c r="EI652" s="1448"/>
      <c r="EJ652" s="1448"/>
      <c r="EK652" s="1448"/>
      <c r="EL652" s="1448"/>
      <c r="EM652" s="1448" t="e">
        <f t="shared" si="5"/>
        <v>#VALUE!</v>
      </c>
      <c r="EN652" s="1448"/>
      <c r="EO652" s="1448"/>
      <c r="EP652" s="1448"/>
      <c r="EQ652" s="1448"/>
      <c r="ER652" s="1448" t="e">
        <f t="shared" si="6"/>
        <v>#VALUE!</v>
      </c>
      <c r="ES652" s="1448"/>
      <c r="ET652" s="1448"/>
      <c r="EU652" s="1448"/>
      <c r="EV652" s="1448"/>
      <c r="EW652" s="1448" t="e">
        <f t="shared" si="7"/>
        <v>#VALUE!</v>
      </c>
      <c r="EX652" s="1448"/>
      <c r="EY652" s="1448"/>
      <c r="EZ652" s="1448"/>
      <c r="FA652" s="1448"/>
    </row>
    <row r="653" spans="1:157" ht="12.95" customHeight="1">
      <c r="A653" s="22"/>
      <c r="B653" t="s">
        <v>580</v>
      </c>
      <c r="G653" s="1350" t="s">
        <v>730</v>
      </c>
      <c r="H653" s="1350"/>
      <c r="I653" s="1350"/>
      <c r="J653" s="1350"/>
      <c r="K653" s="1350"/>
      <c r="L653" s="1350"/>
      <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8" t="e">
        <f t="shared" si="2"/>
        <v>#VALUE!</v>
      </c>
      <c r="DY653" s="1448"/>
      <c r="DZ653" s="1448"/>
      <c r="EA653" s="1448"/>
      <c r="EB653" s="1448"/>
      <c r="EC653" s="1448" t="e">
        <f t="shared" si="3"/>
        <v>#VALUE!</v>
      </c>
      <c r="ED653" s="1448"/>
      <c r="EE653" s="1448"/>
      <c r="EF653" s="1448"/>
      <c r="EG653" s="1448"/>
      <c r="EH653" s="1448" t="e">
        <f t="shared" si="4"/>
        <v>#VALUE!</v>
      </c>
      <c r="EI653" s="1448"/>
      <c r="EJ653" s="1448"/>
      <c r="EK653" s="1448"/>
      <c r="EL653" s="1448"/>
      <c r="EM653" s="1448" t="e">
        <f t="shared" si="5"/>
        <v>#VALUE!</v>
      </c>
      <c r="EN653" s="1448"/>
      <c r="EO653" s="1448"/>
      <c r="EP653" s="1448"/>
      <c r="EQ653" s="1448"/>
      <c r="ER653" s="1448" t="e">
        <f t="shared" si="6"/>
        <v>#VALUE!</v>
      </c>
      <c r="ES653" s="1448"/>
      <c r="ET653" s="1448"/>
      <c r="EU653" s="1448"/>
      <c r="EV653" s="1448"/>
      <c r="EW653" s="1448" t="e">
        <f t="shared" si="7"/>
        <v>#VALUE!</v>
      </c>
      <c r="EX653" s="1448"/>
      <c r="EY653" s="1448"/>
      <c r="EZ653" s="1448"/>
      <c r="FA653" s="1448"/>
    </row>
    <row r="654" spans="1:157" ht="12.95" customHeight="1">
      <c r="A654" s="22"/>
      <c r="B654" t="s">
        <v>17</v>
      </c>
      <c r="G654" s="1350" t="s">
        <v>2730</v>
      </c>
      <c r="H654" s="1350"/>
      <c r="I654" s="1350"/>
      <c r="J654" s="1350"/>
      <c r="K654" s="1350"/>
      <c r="L654" s="1350"/>
      <c r="M654" s="1350"/>
      <c r="N654" s="1350"/>
      <c r="O654" s="1350"/>
      <c r="P654" s="1350"/>
      <c r="Q654" s="1350"/>
      <c r="R654" s="1350"/>
      <c r="T654" s="22"/>
      <c r="U654" t="s">
        <v>17</v>
      </c>
      <c r="Z654" s="1350" t="s">
        <v>2622</v>
      </c>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8" t="e">
        <f t="shared" si="2"/>
        <v>#VALUE!</v>
      </c>
      <c r="DY654" s="1448"/>
      <c r="DZ654" s="1448"/>
      <c r="EA654" s="1448"/>
      <c r="EB654" s="1448"/>
      <c r="EC654" s="1448" t="e">
        <f t="shared" si="3"/>
        <v>#VALUE!</v>
      </c>
      <c r="ED654" s="1448"/>
      <c r="EE654" s="1448"/>
      <c r="EF654" s="1448"/>
      <c r="EG654" s="1448"/>
      <c r="EH654" s="1448" t="e">
        <f t="shared" si="4"/>
        <v>#VALUE!</v>
      </c>
      <c r="EI654" s="1448"/>
      <c r="EJ654" s="1448"/>
      <c r="EK654" s="1448"/>
      <c r="EL654" s="1448"/>
      <c r="EM654" s="1448" t="e">
        <f t="shared" si="5"/>
        <v>#VALUE!</v>
      </c>
      <c r="EN654" s="1448"/>
      <c r="EO654" s="1448"/>
      <c r="EP654" s="1448"/>
      <c r="EQ654" s="1448"/>
      <c r="ER654" s="1448" t="e">
        <f t="shared" si="6"/>
        <v>#VALUE!</v>
      </c>
      <c r="ES654" s="1448"/>
      <c r="ET654" s="1448"/>
      <c r="EU654" s="1448"/>
      <c r="EV654" s="1448"/>
      <c r="EW654" s="1448" t="e">
        <f t="shared" si="7"/>
        <v>#VALUE!</v>
      </c>
      <c r="EX654" s="1448"/>
      <c r="EY654" s="1448"/>
      <c r="EZ654" s="1448"/>
      <c r="FA654" s="1448"/>
    </row>
    <row r="655" spans="1:157" ht="12.95" customHeight="1">
      <c r="A655" s="22"/>
      <c r="B655" t="s">
        <v>315</v>
      </c>
      <c r="G655" s="1347" t="s">
        <v>2731</v>
      </c>
      <c r="H655" s="1348"/>
      <c r="I655" s="1348"/>
      <c r="J655" s="1348"/>
      <c r="K655" s="1348"/>
      <c r="L655" s="1348"/>
      <c r="O655" s="33" t="s">
        <v>205</v>
      </c>
      <c r="P655" s="1440"/>
      <c r="Q655" s="1440"/>
      <c r="R655" s="1440"/>
      <c r="T655" s="22"/>
      <c r="U655" t="s">
        <v>315</v>
      </c>
      <c r="Z655" s="1347" t="s">
        <v>2624</v>
      </c>
      <c r="AA655" s="1348"/>
      <c r="AB655" s="1348"/>
      <c r="AC655" s="1348"/>
      <c r="AD655" s="1348"/>
      <c r="AE655" s="1348"/>
      <c r="AH655" s="33" t="s">
        <v>205</v>
      </c>
      <c r="AI655" s="1440"/>
      <c r="AJ655" s="1440"/>
      <c r="AK655" s="1440"/>
      <c r="AZ655" s="34"/>
      <c r="BA655" s="34"/>
      <c r="BB655" s="34"/>
      <c r="BC655" s="34"/>
      <c r="BD655" s="34"/>
      <c r="BE655" s="34"/>
      <c r="BF655" s="34"/>
      <c r="BG655" s="34"/>
      <c r="BH655" s="34"/>
      <c r="BI655" s="34"/>
      <c r="BJ655" s="34"/>
      <c r="BK655" s="34"/>
      <c r="BL655" s="34"/>
      <c r="BM655" s="34"/>
      <c r="DX655" s="1448" t="e">
        <f t="shared" si="2"/>
        <v>#VALUE!</v>
      </c>
      <c r="DY655" s="1448"/>
      <c r="DZ655" s="1448"/>
      <c r="EA655" s="1448"/>
      <c r="EB655" s="1448"/>
      <c r="EC655" s="1448" t="e">
        <f t="shared" si="3"/>
        <v>#VALUE!</v>
      </c>
      <c r="ED655" s="1448"/>
      <c r="EE655" s="1448"/>
      <c r="EF655" s="1448"/>
      <c r="EG655" s="1448"/>
      <c r="EH655" s="1448" t="e">
        <f t="shared" si="4"/>
        <v>#VALUE!</v>
      </c>
      <c r="EI655" s="1448"/>
      <c r="EJ655" s="1448"/>
      <c r="EK655" s="1448"/>
      <c r="EL655" s="1448"/>
      <c r="EM655" s="1448" t="e">
        <f t="shared" si="5"/>
        <v>#VALUE!</v>
      </c>
      <c r="EN655" s="1448"/>
      <c r="EO655" s="1448"/>
      <c r="EP655" s="1448"/>
      <c r="EQ655" s="1448"/>
      <c r="ER655" s="1448" t="e">
        <f t="shared" si="6"/>
        <v>#VALUE!</v>
      </c>
      <c r="ES655" s="1448"/>
      <c r="ET655" s="1448"/>
      <c r="EU655" s="1448"/>
      <c r="EV655" s="1448"/>
      <c r="EW655" s="1448" t="e">
        <f t="shared" si="7"/>
        <v>#VALUE!</v>
      </c>
      <c r="EX655" s="1448"/>
      <c r="EY655" s="1448"/>
      <c r="EZ655" s="1448"/>
      <c r="FA655" s="1448"/>
    </row>
    <row r="656" spans="1:157" ht="12.95" customHeight="1">
      <c r="A656" s="22"/>
      <c r="B656" t="s">
        <v>18</v>
      </c>
      <c r="H656" s="1373" t="s">
        <v>2732</v>
      </c>
      <c r="I656" s="1373"/>
      <c r="J656" s="1373"/>
      <c r="K656" s="1373"/>
      <c r="L656" s="1373"/>
      <c r="M656" s="1373"/>
      <c r="N656" s="1373"/>
      <c r="O656" s="1373"/>
      <c r="P656" s="1373"/>
      <c r="Q656" s="1373"/>
      <c r="R656" s="1373"/>
      <c r="T656" s="22"/>
      <c r="U656" t="s">
        <v>18</v>
      </c>
      <c r="AA656" s="1373" t="s">
        <v>2696</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8" t="e">
        <f t="shared" si="2"/>
        <v>#VALUE!</v>
      </c>
      <c r="DY656" s="1448"/>
      <c r="DZ656" s="1448"/>
      <c r="EA656" s="1448"/>
      <c r="EB656" s="1448"/>
      <c r="EC656" s="1448" t="e">
        <f t="shared" si="3"/>
        <v>#VALUE!</v>
      </c>
      <c r="ED656" s="1448"/>
      <c r="EE656" s="1448"/>
      <c r="EF656" s="1448"/>
      <c r="EG656" s="1448"/>
      <c r="EH656" s="1448" t="e">
        <f t="shared" si="4"/>
        <v>#VALUE!</v>
      </c>
      <c r="EI656" s="1448"/>
      <c r="EJ656" s="1448"/>
      <c r="EK656" s="1448"/>
      <c r="EL656" s="1448"/>
      <c r="EM656" s="1448" t="e">
        <f t="shared" si="5"/>
        <v>#VALUE!</v>
      </c>
      <c r="EN656" s="1448"/>
      <c r="EO656" s="1448"/>
      <c r="EP656" s="1448"/>
      <c r="EQ656" s="1448"/>
      <c r="ER656" s="1448" t="e">
        <f t="shared" si="6"/>
        <v>#VALUE!</v>
      </c>
      <c r="ES656" s="1448"/>
      <c r="ET656" s="1448"/>
      <c r="EU656" s="1448"/>
      <c r="EV656" s="1448"/>
      <c r="EW656" s="1448" t="e">
        <f t="shared" si="7"/>
        <v>#VALUE!</v>
      </c>
      <c r="EX656" s="1448"/>
      <c r="EY656" s="1448"/>
      <c r="EZ656" s="1448"/>
      <c r="FA656" s="1448"/>
    </row>
    <row r="657" spans="1:157" ht="12.95" customHeight="1">
      <c r="A657" s="22"/>
      <c r="B657" t="s">
        <v>20</v>
      </c>
      <c r="N657" s="1333" t="s">
        <v>669</v>
      </c>
      <c r="O657" s="1333"/>
      <c r="T657" s="22"/>
      <c r="U657" t="s">
        <v>20</v>
      </c>
      <c r="AG657" s="1333" t="s">
        <v>545</v>
      </c>
      <c r="AH657" s="1333"/>
      <c r="AZ657" s="34"/>
      <c r="BA657" s="34"/>
      <c r="BB657" s="34"/>
      <c r="BC657" s="34"/>
      <c r="BD657" s="34"/>
      <c r="BE657" s="34"/>
      <c r="BF657" s="34"/>
      <c r="BG657" s="34"/>
      <c r="BH657" s="34"/>
      <c r="BI657" s="34"/>
      <c r="BJ657" s="34"/>
      <c r="BK657" s="34"/>
      <c r="BL657" s="34"/>
      <c r="BM657" s="34"/>
      <c r="DX657" s="1448" t="e">
        <f t="shared" si="2"/>
        <v>#VALUE!</v>
      </c>
      <c r="DY657" s="1448"/>
      <c r="DZ657" s="1448"/>
      <c r="EA657" s="1448"/>
      <c r="EB657" s="1448"/>
      <c r="EC657" s="1448" t="e">
        <f t="shared" si="3"/>
        <v>#VALUE!</v>
      </c>
      <c r="ED657" s="1448"/>
      <c r="EE657" s="1448"/>
      <c r="EF657" s="1448"/>
      <c r="EG657" s="1448"/>
      <c r="EH657" s="1448" t="e">
        <f t="shared" si="4"/>
        <v>#VALUE!</v>
      </c>
      <c r="EI657" s="1448"/>
      <c r="EJ657" s="1448"/>
      <c r="EK657" s="1448"/>
      <c r="EL657" s="1448"/>
      <c r="EM657" s="1448" t="e">
        <f t="shared" si="5"/>
        <v>#VALUE!</v>
      </c>
      <c r="EN657" s="1448"/>
      <c r="EO657" s="1448"/>
      <c r="EP657" s="1448"/>
      <c r="EQ657" s="1448"/>
      <c r="ER657" s="1448" t="e">
        <f t="shared" si="6"/>
        <v>#VALUE!</v>
      </c>
      <c r="ES657" s="1448"/>
      <c r="ET657" s="1448"/>
      <c r="EU657" s="1448"/>
      <c r="EV657" s="1448"/>
      <c r="EW657" s="1448" t="e">
        <f t="shared" si="7"/>
        <v>#VALUE!</v>
      </c>
      <c r="EX657" s="1448"/>
      <c r="EY657" s="1448"/>
      <c r="EZ657" s="1448"/>
      <c r="FA657" s="1448"/>
    </row>
    <row r="658" spans="1:157" ht="12.95" customHeight="1">
      <c r="A658" s="22"/>
      <c r="T658" s="22"/>
      <c r="AZ658" s="34"/>
      <c r="BA658" s="34"/>
      <c r="BB658" s="34"/>
      <c r="BC658" s="34"/>
      <c r="BD658" s="34"/>
      <c r="BE658" s="34"/>
      <c r="BF658" s="34"/>
      <c r="BG658" s="34"/>
      <c r="BH658" s="34"/>
      <c r="BI658" s="34"/>
      <c r="BJ658" s="34"/>
      <c r="BK658" s="34"/>
      <c r="BL658" s="34"/>
      <c r="BM658" s="34"/>
      <c r="DX658" s="1448" t="e">
        <f t="shared" si="2"/>
        <v>#VALUE!</v>
      </c>
      <c r="DY658" s="1448"/>
      <c r="DZ658" s="1448"/>
      <c r="EA658" s="1448"/>
      <c r="EB658" s="1448"/>
      <c r="EC658" s="1448" t="e">
        <f t="shared" si="3"/>
        <v>#VALUE!</v>
      </c>
      <c r="ED658" s="1448"/>
      <c r="EE658" s="1448"/>
      <c r="EF658" s="1448"/>
      <c r="EG658" s="1448"/>
      <c r="EH658" s="1448" t="e">
        <f t="shared" si="4"/>
        <v>#VALUE!</v>
      </c>
      <c r="EI658" s="1448"/>
      <c r="EJ658" s="1448"/>
      <c r="EK658" s="1448"/>
      <c r="EL658" s="1448"/>
      <c r="EM658" s="1448" t="e">
        <f t="shared" si="5"/>
        <v>#VALUE!</v>
      </c>
      <c r="EN658" s="1448"/>
      <c r="EO658" s="1448"/>
      <c r="EP658" s="1448"/>
      <c r="EQ658" s="1448"/>
      <c r="ER658" s="1448" t="e">
        <f t="shared" si="6"/>
        <v>#VALUE!</v>
      </c>
      <c r="ES658" s="1448"/>
      <c r="ET658" s="1448"/>
      <c r="EU658" s="1448"/>
      <c r="EV658" s="1448"/>
      <c r="EW658" s="1448" t="e">
        <f t="shared" si="7"/>
        <v>#VALUE!</v>
      </c>
      <c r="EX658" s="1448"/>
      <c r="EY658" s="1448"/>
      <c r="EZ658" s="1448"/>
      <c r="FA658" s="1448"/>
    </row>
    <row r="659" spans="1:157" ht="12.95" customHeight="1">
      <c r="A659" s="55" t="s">
        <v>763</v>
      </c>
      <c r="B659" t="s">
        <v>463</v>
      </c>
      <c r="G659" s="1360" t="str">
        <f>C631</f>
        <v>City of Elk Grove</v>
      </c>
      <c r="H659" s="1360"/>
      <c r="I659" s="1360"/>
      <c r="J659" s="1360"/>
      <c r="K659" s="1360"/>
      <c r="L659" s="1360"/>
      <c r="M659" s="1360"/>
      <c r="N659" s="1360"/>
      <c r="O659" s="1360"/>
      <c r="P659" s="1360"/>
      <c r="Q659" s="1360"/>
      <c r="R659" s="1360"/>
      <c r="T659" s="55" t="s">
        <v>584</v>
      </c>
      <c r="U659" t="s">
        <v>463</v>
      </c>
      <c r="Z659" s="1360" t="str">
        <f>C632</f>
        <v>Excelerate Housing Group - GP Equity</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8" t="e">
        <f t="shared" si="2"/>
        <v>#VALUE!</v>
      </c>
      <c r="DY659" s="1448"/>
      <c r="DZ659" s="1448"/>
      <c r="EA659" s="1448"/>
      <c r="EB659" s="1448"/>
      <c r="EC659" s="1448" t="e">
        <f t="shared" si="3"/>
        <v>#VALUE!</v>
      </c>
      <c r="ED659" s="1448"/>
      <c r="EE659" s="1448"/>
      <c r="EF659" s="1448"/>
      <c r="EG659" s="1448"/>
      <c r="EH659" s="1448" t="e">
        <f t="shared" si="4"/>
        <v>#VALUE!</v>
      </c>
      <c r="EI659" s="1448"/>
      <c r="EJ659" s="1448"/>
      <c r="EK659" s="1448"/>
      <c r="EL659" s="1448"/>
      <c r="EM659" s="1448" t="e">
        <f t="shared" si="5"/>
        <v>#VALUE!</v>
      </c>
      <c r="EN659" s="1448"/>
      <c r="EO659" s="1448"/>
      <c r="EP659" s="1448"/>
      <c r="EQ659" s="1448"/>
      <c r="ER659" s="1448" t="e">
        <f t="shared" si="6"/>
        <v>#VALUE!</v>
      </c>
      <c r="ES659" s="1448"/>
      <c r="ET659" s="1448"/>
      <c r="EU659" s="1448"/>
      <c r="EV659" s="1448"/>
      <c r="EW659" s="1448" t="e">
        <f t="shared" si="7"/>
        <v>#VALUE!</v>
      </c>
      <c r="EX659" s="1448"/>
      <c r="EY659" s="1448"/>
      <c r="EZ659" s="1448"/>
      <c r="FA659" s="1448"/>
    </row>
    <row r="660" spans="1:157" ht="12.95" customHeight="1">
      <c r="A660" s="22"/>
      <c r="B660" t="s">
        <v>85</v>
      </c>
      <c r="G660" s="1373" t="s">
        <v>2623</v>
      </c>
      <c r="H660" s="1373"/>
      <c r="I660" s="1373"/>
      <c r="J660" s="1373"/>
      <c r="K660" s="1373"/>
      <c r="L660" s="1373"/>
      <c r="M660" s="1373"/>
      <c r="N660" s="1373"/>
      <c r="O660" s="1373"/>
      <c r="P660" s="1373"/>
      <c r="Q660" s="1373"/>
      <c r="R660" s="1373"/>
      <c r="T660" s="22"/>
      <c r="U660" t="s">
        <v>85</v>
      </c>
      <c r="Z660" s="1373" t="s">
        <v>2626</v>
      </c>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8" t="e">
        <f t="shared" si="2"/>
        <v>#VALUE!</v>
      </c>
      <c r="DY660" s="1448"/>
      <c r="DZ660" s="1448"/>
      <c r="EA660" s="1448"/>
      <c r="EB660" s="1448"/>
      <c r="EC660" s="1448" t="e">
        <f t="shared" si="3"/>
        <v>#VALUE!</v>
      </c>
      <c r="ED660" s="1448"/>
      <c r="EE660" s="1448"/>
      <c r="EF660" s="1448"/>
      <c r="EG660" s="1448"/>
      <c r="EH660" s="1448" t="e">
        <f t="shared" si="4"/>
        <v>#VALUE!</v>
      </c>
      <c r="EI660" s="1448"/>
      <c r="EJ660" s="1448"/>
      <c r="EK660" s="1448"/>
      <c r="EL660" s="1448"/>
      <c r="EM660" s="1448" t="e">
        <f t="shared" si="5"/>
        <v>#VALUE!</v>
      </c>
      <c r="EN660" s="1448"/>
      <c r="EO660" s="1448"/>
      <c r="EP660" s="1448"/>
      <c r="EQ660" s="1448"/>
      <c r="ER660" s="1448" t="e">
        <f t="shared" si="6"/>
        <v>#VALUE!</v>
      </c>
      <c r="ES660" s="1448"/>
      <c r="ET660" s="1448"/>
      <c r="EU660" s="1448"/>
      <c r="EV660" s="1448"/>
      <c r="EW660" s="1448" t="e">
        <f t="shared" si="7"/>
        <v>#VALUE!</v>
      </c>
      <c r="EX660" s="1448"/>
      <c r="EY660" s="1448"/>
      <c r="EZ660" s="1448"/>
      <c r="FA660" s="1448"/>
    </row>
    <row r="661" spans="1:157" ht="12.95" customHeight="1">
      <c r="A661" s="22"/>
      <c r="B661" t="s">
        <v>580</v>
      </c>
      <c r="G661" s="1350" t="s">
        <v>2614</v>
      </c>
      <c r="H661" s="1350"/>
      <c r="I661" s="1350"/>
      <c r="J661" s="1350"/>
      <c r="K661" s="1350"/>
      <c r="L661" s="1350"/>
      <c r="M661" s="1350"/>
      <c r="N661" s="1350"/>
      <c r="O661" s="1350"/>
      <c r="P661" s="1350"/>
      <c r="Q661" s="1350"/>
      <c r="R661" s="1350"/>
      <c r="T661" s="22"/>
      <c r="U661" t="s">
        <v>580</v>
      </c>
      <c r="Z661" s="1373" t="s">
        <v>2641</v>
      </c>
      <c r="AA661" s="1373"/>
      <c r="AB661" s="1373"/>
      <c r="AC661" s="1373"/>
      <c r="AD661" s="1373"/>
      <c r="AE661" s="1373"/>
      <c r="AF661" s="1373"/>
      <c r="AG661" s="1373"/>
      <c r="AH661" s="1373"/>
      <c r="AI661" s="1373"/>
      <c r="AJ661" s="1373"/>
      <c r="AK661" s="1373"/>
      <c r="AZ661" s="34"/>
      <c r="BA661" s="34"/>
      <c r="BB661" s="34"/>
      <c r="BC661" s="34"/>
      <c r="BD661" s="34"/>
      <c r="BE661" s="34"/>
      <c r="BF661" s="34"/>
      <c r="BG661" s="34"/>
      <c r="BH661" s="34"/>
      <c r="BI661" s="34"/>
      <c r="BJ661" s="34"/>
      <c r="BK661" s="34"/>
      <c r="BL661" s="34"/>
      <c r="BM661" s="34"/>
      <c r="DX661" s="1448" t="e">
        <f t="shared" si="2"/>
        <v>#VALUE!</v>
      </c>
      <c r="DY661" s="1448"/>
      <c r="DZ661" s="1448"/>
      <c r="EA661" s="1448"/>
      <c r="EB661" s="1448"/>
      <c r="EC661" s="1448" t="e">
        <f t="shared" si="3"/>
        <v>#VALUE!</v>
      </c>
      <c r="ED661" s="1448"/>
      <c r="EE661" s="1448"/>
      <c r="EF661" s="1448"/>
      <c r="EG661" s="1448"/>
      <c r="EH661" s="1448" t="e">
        <f t="shared" si="4"/>
        <v>#VALUE!</v>
      </c>
      <c r="EI661" s="1448"/>
      <c r="EJ661" s="1448"/>
      <c r="EK661" s="1448"/>
      <c r="EL661" s="1448"/>
      <c r="EM661" s="1448" t="e">
        <f t="shared" si="5"/>
        <v>#VALUE!</v>
      </c>
      <c r="EN661" s="1448"/>
      <c r="EO661" s="1448"/>
      <c r="EP661" s="1448"/>
      <c r="EQ661" s="1448"/>
      <c r="ER661" s="1448" t="e">
        <f t="shared" si="6"/>
        <v>#VALUE!</v>
      </c>
      <c r="ES661" s="1448"/>
      <c r="ET661" s="1448"/>
      <c r="EU661" s="1448"/>
      <c r="EV661" s="1448"/>
      <c r="EW661" s="1448" t="e">
        <f t="shared" si="7"/>
        <v>#VALUE!</v>
      </c>
      <c r="EX661" s="1448"/>
      <c r="EY661" s="1448"/>
      <c r="EZ661" s="1448"/>
      <c r="FA661" s="1448"/>
    </row>
    <row r="662" spans="1:157" ht="12.95" customHeight="1">
      <c r="A662" s="22"/>
      <c r="B662" t="s">
        <v>17</v>
      </c>
      <c r="G662" s="1350" t="s">
        <v>2622</v>
      </c>
      <c r="H662" s="1350"/>
      <c r="I662" s="1350"/>
      <c r="J662" s="1350"/>
      <c r="K662" s="1350"/>
      <c r="L662" s="1350"/>
      <c r="M662" s="1350"/>
      <c r="N662" s="1350"/>
      <c r="O662" s="1350"/>
      <c r="P662" s="1350"/>
      <c r="Q662" s="1350"/>
      <c r="R662" s="1350"/>
      <c r="T662" s="22"/>
      <c r="U662" t="s">
        <v>17</v>
      </c>
      <c r="Z662" s="1373" t="s">
        <v>2629</v>
      </c>
      <c r="AA662" s="1373"/>
      <c r="AB662" s="1373"/>
      <c r="AC662" s="1373"/>
      <c r="AD662" s="1373"/>
      <c r="AE662" s="1373"/>
      <c r="AF662" s="1373"/>
      <c r="AG662" s="1373"/>
      <c r="AH662" s="1373"/>
      <c r="AI662" s="1373"/>
      <c r="AJ662" s="1373"/>
      <c r="AK662" s="137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8" t="e">
        <f t="shared" si="2"/>
        <v>#VALUE!</v>
      </c>
      <c r="DY662" s="1448"/>
      <c r="DZ662" s="1448"/>
      <c r="EA662" s="1448"/>
      <c r="EB662" s="1448"/>
      <c r="EC662" s="1448" t="e">
        <f t="shared" si="3"/>
        <v>#VALUE!</v>
      </c>
      <c r="ED662" s="1448"/>
      <c r="EE662" s="1448"/>
      <c r="EF662" s="1448"/>
      <c r="EG662" s="1448"/>
      <c r="EH662" s="1448" t="e">
        <f t="shared" si="4"/>
        <v>#VALUE!</v>
      </c>
      <c r="EI662" s="1448"/>
      <c r="EJ662" s="1448"/>
      <c r="EK662" s="1448"/>
      <c r="EL662" s="1448"/>
      <c r="EM662" s="1448" t="e">
        <f t="shared" si="5"/>
        <v>#VALUE!</v>
      </c>
      <c r="EN662" s="1448"/>
      <c r="EO662" s="1448"/>
      <c r="EP662" s="1448"/>
      <c r="EQ662" s="1448"/>
      <c r="ER662" s="1448" t="e">
        <f t="shared" si="6"/>
        <v>#VALUE!</v>
      </c>
      <c r="ES662" s="1448"/>
      <c r="ET662" s="1448"/>
      <c r="EU662" s="1448"/>
      <c r="EV662" s="1448"/>
      <c r="EW662" s="1448" t="e">
        <f t="shared" si="7"/>
        <v>#VALUE!</v>
      </c>
      <c r="EX662" s="1448"/>
      <c r="EY662" s="1448"/>
      <c r="EZ662" s="1448"/>
      <c r="FA662" s="1448"/>
    </row>
    <row r="663" spans="1:157" ht="12.95" customHeight="1">
      <c r="A663" s="22"/>
      <c r="B663" t="s">
        <v>315</v>
      </c>
      <c r="G663" s="1347" t="s">
        <v>2624</v>
      </c>
      <c r="H663" s="1348"/>
      <c r="I663" s="1348"/>
      <c r="J663" s="1348"/>
      <c r="K663" s="1348"/>
      <c r="L663" s="1348"/>
      <c r="O663" s="33" t="s">
        <v>205</v>
      </c>
      <c r="P663" s="1440"/>
      <c r="Q663" s="1440"/>
      <c r="R663" s="1440"/>
      <c r="T663" s="22"/>
      <c r="U663" t="s">
        <v>315</v>
      </c>
      <c r="Z663" s="1347" t="s">
        <v>2630</v>
      </c>
      <c r="AA663" s="1348"/>
      <c r="AB663" s="1348"/>
      <c r="AC663" s="1348"/>
      <c r="AD663" s="1348"/>
      <c r="AE663" s="1348"/>
      <c r="AH663" s="33" t="s">
        <v>205</v>
      </c>
      <c r="AI663" s="1440">
        <v>101</v>
      </c>
      <c r="AJ663" s="1440"/>
      <c r="AK663" s="144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8" t="e">
        <f t="shared" si="2"/>
        <v>#VALUE!</v>
      </c>
      <c r="DY663" s="1448"/>
      <c r="DZ663" s="1448"/>
      <c r="EA663" s="1448"/>
      <c r="EB663" s="1448"/>
      <c r="EC663" s="1448" t="e">
        <f t="shared" si="3"/>
        <v>#VALUE!</v>
      </c>
      <c r="ED663" s="1448"/>
      <c r="EE663" s="1448"/>
      <c r="EF663" s="1448"/>
      <c r="EG663" s="1448"/>
      <c r="EH663" s="1448" t="e">
        <f t="shared" si="4"/>
        <v>#VALUE!</v>
      </c>
      <c r="EI663" s="1448"/>
      <c r="EJ663" s="1448"/>
      <c r="EK663" s="1448"/>
      <c r="EL663" s="1448"/>
      <c r="EM663" s="1448" t="e">
        <f t="shared" si="5"/>
        <v>#VALUE!</v>
      </c>
      <c r="EN663" s="1448"/>
      <c r="EO663" s="1448"/>
      <c r="EP663" s="1448"/>
      <c r="EQ663" s="1448"/>
      <c r="ER663" s="1448" t="e">
        <f t="shared" si="6"/>
        <v>#VALUE!</v>
      </c>
      <c r="ES663" s="1448"/>
      <c r="ET663" s="1448"/>
      <c r="EU663" s="1448"/>
      <c r="EV663" s="1448"/>
      <c r="EW663" s="1448" t="e">
        <f t="shared" si="7"/>
        <v>#VALUE!</v>
      </c>
      <c r="EX663" s="1448"/>
      <c r="EY663" s="1448"/>
      <c r="EZ663" s="1448"/>
      <c r="FA663" s="1448"/>
    </row>
    <row r="664" spans="1:157" ht="12.95" customHeight="1">
      <c r="A664" s="22"/>
      <c r="B664" t="s">
        <v>18</v>
      </c>
      <c r="H664" s="1373" t="s">
        <v>2113</v>
      </c>
      <c r="I664" s="1373"/>
      <c r="J664" s="1373"/>
      <c r="K664" s="1373"/>
      <c r="L664" s="1373"/>
      <c r="M664" s="1373"/>
      <c r="N664" s="1373"/>
      <c r="O664" s="1373"/>
      <c r="P664" s="1373"/>
      <c r="Q664" s="1373"/>
      <c r="R664" s="1373"/>
      <c r="T664" s="22"/>
      <c r="U664" t="s">
        <v>18</v>
      </c>
      <c r="AA664" s="1373" t="s">
        <v>2726</v>
      </c>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8" t="e">
        <f t="shared" si="2"/>
        <v>#VALUE!</v>
      </c>
      <c r="DY664" s="1448"/>
      <c r="DZ664" s="1448"/>
      <c r="EA664" s="1448"/>
      <c r="EB664" s="1448"/>
      <c r="EC664" s="1448" t="e">
        <f t="shared" si="3"/>
        <v>#VALUE!</v>
      </c>
      <c r="ED664" s="1448"/>
      <c r="EE664" s="1448"/>
      <c r="EF664" s="1448"/>
      <c r="EG664" s="1448"/>
      <c r="EH664" s="1448" t="e">
        <f t="shared" si="4"/>
        <v>#VALUE!</v>
      </c>
      <c r="EI664" s="1448"/>
      <c r="EJ664" s="1448"/>
      <c r="EK664" s="1448"/>
      <c r="EL664" s="1448"/>
      <c r="EM664" s="1448" t="e">
        <f t="shared" si="5"/>
        <v>#VALUE!</v>
      </c>
      <c r="EN664" s="1448"/>
      <c r="EO664" s="1448"/>
      <c r="EP664" s="1448"/>
      <c r="EQ664" s="1448"/>
      <c r="ER664" s="1448" t="e">
        <f t="shared" si="6"/>
        <v>#VALUE!</v>
      </c>
      <c r="ES664" s="1448"/>
      <c r="ET664" s="1448"/>
      <c r="EU664" s="1448"/>
      <c r="EV664" s="1448"/>
      <c r="EW664" s="1448" t="e">
        <f t="shared" si="7"/>
        <v>#VALUE!</v>
      </c>
      <c r="EX664" s="1448"/>
      <c r="EY664" s="1448"/>
      <c r="EZ664" s="1448"/>
      <c r="FA664" s="1448"/>
    </row>
    <row r="665" spans="1:157" ht="12.95" customHeight="1">
      <c r="A665" s="22"/>
      <c r="B665" t="s">
        <v>20</v>
      </c>
      <c r="N665" s="1333" t="s">
        <v>545</v>
      </c>
      <c r="O665" s="1333"/>
      <c r="T665" s="22"/>
      <c r="U665" t="s">
        <v>20</v>
      </c>
      <c r="AG665" s="1333" t="s">
        <v>545</v>
      </c>
      <c r="AH665" s="133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8" t="e">
        <f t="shared" si="2"/>
        <v>#VALUE!</v>
      </c>
      <c r="DY665" s="1448"/>
      <c r="DZ665" s="1448"/>
      <c r="EA665" s="1448"/>
      <c r="EB665" s="1448"/>
      <c r="EC665" s="1448" t="e">
        <f t="shared" si="3"/>
        <v>#VALUE!</v>
      </c>
      <c r="ED665" s="1448"/>
      <c r="EE665" s="1448"/>
      <c r="EF665" s="1448"/>
      <c r="EG665" s="1448"/>
      <c r="EH665" s="1448" t="e">
        <f t="shared" si="4"/>
        <v>#VALUE!</v>
      </c>
      <c r="EI665" s="1448"/>
      <c r="EJ665" s="1448"/>
      <c r="EK665" s="1448"/>
      <c r="EL665" s="1448"/>
      <c r="EM665" s="1448" t="e">
        <f t="shared" si="5"/>
        <v>#VALUE!</v>
      </c>
      <c r="EN665" s="1448"/>
      <c r="EO665" s="1448"/>
      <c r="EP665" s="1448"/>
      <c r="EQ665" s="1448"/>
      <c r="ER665" s="1448" t="e">
        <f t="shared" si="6"/>
        <v>#VALUE!</v>
      </c>
      <c r="ES665" s="1448"/>
      <c r="ET665" s="1448"/>
      <c r="EU665" s="1448"/>
      <c r="EV665" s="1448"/>
      <c r="EW665" s="1448" t="e">
        <f t="shared" si="7"/>
        <v>#VALUE!</v>
      </c>
      <c r="EX665" s="1448"/>
      <c r="EY665" s="1448"/>
      <c r="EZ665" s="1448"/>
      <c r="FA665" s="1448"/>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8" t="e">
        <f t="shared" si="2"/>
        <v>#VALUE!</v>
      </c>
      <c r="DY666" s="1448"/>
      <c r="DZ666" s="1448"/>
      <c r="EA666" s="1448"/>
      <c r="EB666" s="1448"/>
      <c r="EC666" s="1448" t="e">
        <f t="shared" si="3"/>
        <v>#VALUE!</v>
      </c>
      <c r="ED666" s="1448"/>
      <c r="EE666" s="1448"/>
      <c r="EF666" s="1448"/>
      <c r="EG666" s="1448"/>
      <c r="EH666" s="1448" t="e">
        <f t="shared" si="4"/>
        <v>#VALUE!</v>
      </c>
      <c r="EI666" s="1448"/>
      <c r="EJ666" s="1448"/>
      <c r="EK666" s="1448"/>
      <c r="EL666" s="1448"/>
      <c r="EM666" s="1448" t="e">
        <f t="shared" si="5"/>
        <v>#VALUE!</v>
      </c>
      <c r="EN666" s="1448"/>
      <c r="EO666" s="1448"/>
      <c r="EP666" s="1448"/>
      <c r="EQ666" s="1448"/>
      <c r="ER666" s="1448" t="e">
        <f t="shared" si="6"/>
        <v>#VALUE!</v>
      </c>
      <c r="ES666" s="1448"/>
      <c r="ET666" s="1448"/>
      <c r="EU666" s="1448"/>
      <c r="EV666" s="1448"/>
      <c r="EW666" s="1448" t="e">
        <f t="shared" si="7"/>
        <v>#VALUE!</v>
      </c>
      <c r="EX666" s="1448"/>
      <c r="EY666" s="1448"/>
      <c r="EZ666" s="1448"/>
      <c r="FA666" s="1448"/>
    </row>
    <row r="667" spans="1:157" ht="12.95" customHeight="1">
      <c r="A667" s="55" t="s">
        <v>455</v>
      </c>
      <c r="B667" t="s">
        <v>463</v>
      </c>
      <c r="G667" s="1360" t="str">
        <f>C633</f>
        <v>Excelerate Housing Group - Deferred Developer Fee</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8" t="e">
        <f t="shared" si="2"/>
        <v>#VALUE!</v>
      </c>
      <c r="DY667" s="1448"/>
      <c r="DZ667" s="1448"/>
      <c r="EA667" s="1448"/>
      <c r="EB667" s="1448"/>
      <c r="EC667" s="1448" t="e">
        <f t="shared" si="3"/>
        <v>#VALUE!</v>
      </c>
      <c r="ED667" s="1448"/>
      <c r="EE667" s="1448"/>
      <c r="EF667" s="1448"/>
      <c r="EG667" s="1448"/>
      <c r="EH667" s="1448" t="e">
        <f t="shared" si="4"/>
        <v>#VALUE!</v>
      </c>
      <c r="EI667" s="1448"/>
      <c r="EJ667" s="1448"/>
      <c r="EK667" s="1448"/>
      <c r="EL667" s="1448"/>
      <c r="EM667" s="1448" t="e">
        <f t="shared" si="5"/>
        <v>#VALUE!</v>
      </c>
      <c r="EN667" s="1448"/>
      <c r="EO667" s="1448"/>
      <c r="EP667" s="1448"/>
      <c r="EQ667" s="1448"/>
      <c r="ER667" s="1448" t="e">
        <f t="shared" si="6"/>
        <v>#VALUE!</v>
      </c>
      <c r="ES667" s="1448"/>
      <c r="ET667" s="1448"/>
      <c r="EU667" s="1448"/>
      <c r="EV667" s="1448"/>
      <c r="EW667" s="1448" t="e">
        <f t="shared" si="7"/>
        <v>#VALUE!</v>
      </c>
      <c r="EX667" s="1448"/>
      <c r="EY667" s="1448"/>
      <c r="EZ667" s="1448"/>
      <c r="FA667" s="1448"/>
    </row>
    <row r="668" spans="1:157" ht="12.95" customHeight="1">
      <c r="A668" s="22"/>
      <c r="B668" t="s">
        <v>85</v>
      </c>
      <c r="G668" s="1373" t="s">
        <v>2626</v>
      </c>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8" t="e">
        <f t="shared" si="2"/>
        <v>#VALUE!</v>
      </c>
      <c r="DY668" s="1448"/>
      <c r="DZ668" s="1448"/>
      <c r="EA668" s="1448"/>
      <c r="EB668" s="1448"/>
      <c r="EC668" s="1448" t="e">
        <f t="shared" si="3"/>
        <v>#VALUE!</v>
      </c>
      <c r="ED668" s="1448"/>
      <c r="EE668" s="1448"/>
      <c r="EF668" s="1448"/>
      <c r="EG668" s="1448"/>
      <c r="EH668" s="1448" t="e">
        <f t="shared" si="4"/>
        <v>#VALUE!</v>
      </c>
      <c r="EI668" s="1448"/>
      <c r="EJ668" s="1448"/>
      <c r="EK668" s="1448"/>
      <c r="EL668" s="1448"/>
      <c r="EM668" s="1448" t="e">
        <f t="shared" si="5"/>
        <v>#VALUE!</v>
      </c>
      <c r="EN668" s="1448"/>
      <c r="EO668" s="1448"/>
      <c r="EP668" s="1448"/>
      <c r="EQ668" s="1448"/>
      <c r="ER668" s="1448" t="e">
        <f t="shared" si="6"/>
        <v>#VALUE!</v>
      </c>
      <c r="ES668" s="1448"/>
      <c r="ET668" s="1448"/>
      <c r="EU668" s="1448"/>
      <c r="EV668" s="1448"/>
      <c r="EW668" s="1448" t="e">
        <f t="shared" si="7"/>
        <v>#VALUE!</v>
      </c>
      <c r="EX668" s="1448"/>
      <c r="EY668" s="1448"/>
      <c r="EZ668" s="1448"/>
      <c r="FA668" s="1448"/>
    </row>
    <row r="669" spans="1:157" ht="12.95" customHeight="1">
      <c r="A669" s="22"/>
      <c r="B669" t="s">
        <v>580</v>
      </c>
      <c r="G669" s="1373" t="s">
        <v>2641</v>
      </c>
      <c r="H669" s="1373"/>
      <c r="I669" s="1373"/>
      <c r="J669" s="1373"/>
      <c r="K669" s="1373"/>
      <c r="L669" s="1373"/>
      <c r="M669" s="1373"/>
      <c r="N669" s="1373"/>
      <c r="O669" s="1373"/>
      <c r="P669" s="1373"/>
      <c r="Q669" s="1373"/>
      <c r="R669" s="1373"/>
      <c r="T669" s="22"/>
      <c r="U669" t="s">
        <v>580</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8" t="e">
        <f t="shared" si="2"/>
        <v>#VALUE!</v>
      </c>
      <c r="DY669" s="1448"/>
      <c r="DZ669" s="1448"/>
      <c r="EA669" s="1448"/>
      <c r="EB669" s="1448"/>
      <c r="EC669" s="1448" t="e">
        <f t="shared" si="3"/>
        <v>#VALUE!</v>
      </c>
      <c r="ED669" s="1448"/>
      <c r="EE669" s="1448"/>
      <c r="EF669" s="1448"/>
      <c r="EG669" s="1448"/>
      <c r="EH669" s="1448" t="e">
        <f t="shared" si="4"/>
        <v>#VALUE!</v>
      </c>
      <c r="EI669" s="1448"/>
      <c r="EJ669" s="1448"/>
      <c r="EK669" s="1448"/>
      <c r="EL669" s="1448"/>
      <c r="EM669" s="1448" t="e">
        <f t="shared" si="5"/>
        <v>#VALUE!</v>
      </c>
      <c r="EN669" s="1448"/>
      <c r="EO669" s="1448"/>
      <c r="EP669" s="1448"/>
      <c r="EQ669" s="1448"/>
      <c r="ER669" s="1448" t="e">
        <f t="shared" si="6"/>
        <v>#VALUE!</v>
      </c>
      <c r="ES669" s="1448"/>
      <c r="ET669" s="1448"/>
      <c r="EU669" s="1448"/>
      <c r="EV669" s="1448"/>
      <c r="EW669" s="1448" t="e">
        <f t="shared" si="7"/>
        <v>#VALUE!</v>
      </c>
      <c r="EX669" s="1448"/>
      <c r="EY669" s="1448"/>
      <c r="EZ669" s="1448"/>
      <c r="FA669" s="1448"/>
    </row>
    <row r="670" spans="1:157" ht="12.95" customHeight="1">
      <c r="A670" s="22"/>
      <c r="B670" t="s">
        <v>17</v>
      </c>
      <c r="G670" s="1373" t="s">
        <v>2629</v>
      </c>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8">
        <f>SUMIF(DX635:EB669,"&gt;0")</f>
        <v>0</v>
      </c>
      <c r="DY670" s="1448"/>
      <c r="DZ670" s="1448"/>
      <c r="EA670" s="1448"/>
      <c r="EB670" s="1448"/>
      <c r="EC670" s="1448">
        <f>SUMIF(EC635:EG669,"&gt;0")</f>
        <v>964.5</v>
      </c>
      <c r="ED670" s="1448"/>
      <c r="EE670" s="1448"/>
      <c r="EF670" s="1448"/>
      <c r="EG670" s="1448"/>
      <c r="EH670" s="1448">
        <f>SUMIF(EH635:EL669,"&gt;0")</f>
        <v>0</v>
      </c>
      <c r="EI670" s="1448"/>
      <c r="EJ670" s="1448"/>
      <c r="EK670" s="1448"/>
      <c r="EL670" s="1448"/>
      <c r="EM670" s="1448">
        <f>SUMIF(EM635:EQ669,"&gt;0")</f>
        <v>0</v>
      </c>
      <c r="EN670" s="1448"/>
      <c r="EO670" s="1448"/>
      <c r="EP670" s="1448"/>
      <c r="EQ670" s="1448"/>
      <c r="ER670" s="1448">
        <f>SUMIF(ER635:EV669,"&gt;0")</f>
        <v>0</v>
      </c>
      <c r="ES670" s="1448"/>
      <c r="ET670" s="1448"/>
      <c r="EU670" s="1448"/>
      <c r="EV670" s="1448"/>
      <c r="EW670" s="1448">
        <f>SUMIF(EW635:FA669,"&gt;0")</f>
        <v>0</v>
      </c>
      <c r="EX670" s="1448"/>
      <c r="EY670" s="1448"/>
      <c r="EZ670" s="1448"/>
      <c r="FA670" s="1448"/>
    </row>
    <row r="671" spans="1:157" ht="12.95" customHeight="1">
      <c r="A671" s="22"/>
      <c r="B671" t="s">
        <v>315</v>
      </c>
      <c r="G671" s="1347" t="s">
        <v>2630</v>
      </c>
      <c r="H671" s="1348"/>
      <c r="I671" s="1348"/>
      <c r="J671" s="1348"/>
      <c r="K671" s="1348"/>
      <c r="L671" s="1348"/>
      <c r="O671" s="33" t="s">
        <v>205</v>
      </c>
      <c r="P671" s="1440">
        <v>101</v>
      </c>
      <c r="Q671" s="1440"/>
      <c r="R671" s="1440"/>
      <c r="T671" s="22"/>
      <c r="U671" t="s">
        <v>315</v>
      </c>
      <c r="Z671" s="1348"/>
      <c r="AA671" s="1348"/>
      <c r="AB671" s="1348"/>
      <c r="AC671" s="1348"/>
      <c r="AD671" s="1348"/>
      <c r="AE671" s="1348"/>
      <c r="AH671" s="33" t="s">
        <v>205</v>
      </c>
      <c r="AI671" s="1440"/>
      <c r="AJ671" s="1440"/>
      <c r="AK671" s="1440"/>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3" t="s">
        <v>2322</v>
      </c>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3" t="s">
        <v>545</v>
      </c>
      <c r="O673" s="1333"/>
      <c r="T673" s="22"/>
      <c r="U673" t="s">
        <v>20</v>
      </c>
      <c r="AG673" s="1333" t="s">
        <v>669</v>
      </c>
      <c r="AH673" s="1333"/>
      <c r="AZ673" s="3"/>
    </row>
    <row r="674" spans="1:52" ht="12.95" customHeight="1">
      <c r="A674" s="22"/>
      <c r="T674" s="22"/>
      <c r="AZ674" s="3"/>
    </row>
    <row r="675" spans="1:52" ht="12.95"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2.95"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5" customHeight="1">
      <c r="A677" s="22"/>
      <c r="B677" t="s">
        <v>580</v>
      </c>
      <c r="G677" s="1373"/>
      <c r="H677" s="1373"/>
      <c r="I677" s="1373"/>
      <c r="J677" s="1373"/>
      <c r="K677" s="1373"/>
      <c r="L677" s="1373"/>
      <c r="M677" s="1373"/>
      <c r="N677" s="1373"/>
      <c r="O677" s="1373"/>
      <c r="P677" s="1373"/>
      <c r="Q677" s="1373"/>
      <c r="R677" s="1373"/>
      <c r="T677" s="22"/>
      <c r="U677" t="s">
        <v>580</v>
      </c>
      <c r="Z677" s="1350"/>
      <c r="AA677" s="1350"/>
      <c r="AB677" s="1350"/>
      <c r="AC677" s="1350"/>
      <c r="AD677" s="1350"/>
      <c r="AE677" s="1350"/>
      <c r="AF677" s="1350"/>
      <c r="AG677" s="1350"/>
      <c r="AH677" s="1350"/>
      <c r="AI677" s="1350"/>
      <c r="AJ677" s="1350"/>
      <c r="AK677" s="1350"/>
      <c r="AZ677" s="3"/>
    </row>
    <row r="678" spans="1:52" ht="12.95"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2.95" customHeight="1">
      <c r="A679" s="22"/>
      <c r="B679" t="s">
        <v>315</v>
      </c>
      <c r="G679" s="1348"/>
      <c r="H679" s="1348"/>
      <c r="I679" s="1348"/>
      <c r="J679" s="1348"/>
      <c r="K679" s="1348"/>
      <c r="L679" s="1348"/>
      <c r="O679" s="33" t="s">
        <v>205</v>
      </c>
      <c r="P679" s="1440"/>
      <c r="Q679" s="1440"/>
      <c r="R679" s="1440"/>
      <c r="T679" s="22"/>
      <c r="U679" t="s">
        <v>315</v>
      </c>
      <c r="Z679" s="1348"/>
      <c r="AA679" s="1348"/>
      <c r="AB679" s="1348"/>
      <c r="AC679" s="1348"/>
      <c r="AD679" s="1348"/>
      <c r="AE679" s="1348"/>
      <c r="AH679" s="33" t="s">
        <v>205</v>
      </c>
      <c r="AI679" s="1440"/>
      <c r="AJ679" s="1440"/>
      <c r="AK679" s="1440"/>
      <c r="AZ679" s="3"/>
    </row>
    <row r="680" spans="1:52" ht="12.95"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5" customHeight="1">
      <c r="A681" s="22"/>
      <c r="B681" t="s">
        <v>20</v>
      </c>
      <c r="N681" s="1333" t="s">
        <v>669</v>
      </c>
      <c r="O681" s="1333"/>
      <c r="T681" s="22"/>
      <c r="U681" t="s">
        <v>20</v>
      </c>
      <c r="AG681" s="1333" t="s">
        <v>669</v>
      </c>
      <c r="AH681" s="1333"/>
      <c r="AZ681" s="3"/>
    </row>
    <row r="682" spans="1:52" ht="12.95" customHeight="1">
      <c r="A682" s="22"/>
      <c r="T682" s="22"/>
      <c r="AZ682" s="3"/>
    </row>
    <row r="683" spans="1:52" ht="12.95" customHeight="1">
      <c r="A683" s="55" t="s">
        <v>361</v>
      </c>
      <c r="B683" t="s">
        <v>463</v>
      </c>
      <c r="G683" s="1360">
        <f>C637</f>
        <v>0</v>
      </c>
      <c r="H683" s="1360"/>
      <c r="I683" s="1360"/>
      <c r="J683" s="1360"/>
      <c r="K683" s="1360"/>
      <c r="L683" s="1360"/>
      <c r="M683" s="1360"/>
      <c r="N683" s="1360"/>
      <c r="O683" s="1360"/>
      <c r="P683" s="1360"/>
      <c r="Q683" s="1360"/>
      <c r="R683" s="1360"/>
      <c r="T683" s="55" t="s">
        <v>362</v>
      </c>
      <c r="U683" t="s">
        <v>463</v>
      </c>
      <c r="Z683" s="1360">
        <f>C638</f>
        <v>0</v>
      </c>
      <c r="AA683" s="1360"/>
      <c r="AB683" s="1360"/>
      <c r="AC683" s="1360"/>
      <c r="AD683" s="1360"/>
      <c r="AE683" s="1360"/>
      <c r="AF683" s="1360"/>
      <c r="AG683" s="1360"/>
      <c r="AH683" s="1360"/>
      <c r="AI683" s="1360"/>
      <c r="AJ683" s="1360"/>
      <c r="AK683" s="1360"/>
      <c r="AZ683" s="3"/>
    </row>
    <row r="684" spans="1:52" ht="12.95"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5" customHeight="1">
      <c r="B685" t="s">
        <v>580</v>
      </c>
      <c r="G685" s="1373"/>
      <c r="H685" s="1373"/>
      <c r="I685" s="1373"/>
      <c r="J685" s="1373"/>
      <c r="K685" s="1373"/>
      <c r="L685" s="1373"/>
      <c r="M685" s="1373"/>
      <c r="N685" s="1373"/>
      <c r="O685" s="1373"/>
      <c r="P685" s="1373"/>
      <c r="Q685" s="1373"/>
      <c r="R685" s="1373"/>
      <c r="U685" t="s">
        <v>580</v>
      </c>
      <c r="Z685" s="1350"/>
      <c r="AA685" s="1350"/>
      <c r="AB685" s="1350"/>
      <c r="AC685" s="1350"/>
      <c r="AD685" s="1350"/>
      <c r="AE685" s="1350"/>
      <c r="AF685" s="1350"/>
      <c r="AG685" s="1350"/>
      <c r="AH685" s="1350"/>
      <c r="AI685" s="1350"/>
      <c r="AJ685" s="1350"/>
      <c r="AK685" s="1350"/>
      <c r="AZ685" s="3"/>
    </row>
    <row r="686" spans="1:52" ht="12.95"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2.95" customHeight="1">
      <c r="B687" t="s">
        <v>315</v>
      </c>
      <c r="G687" s="1348"/>
      <c r="H687" s="1348"/>
      <c r="I687" s="1348"/>
      <c r="J687" s="1348"/>
      <c r="K687" s="1348"/>
      <c r="L687" s="1348"/>
      <c r="O687" s="33" t="s">
        <v>205</v>
      </c>
      <c r="P687" s="1440"/>
      <c r="Q687" s="1440"/>
      <c r="R687" s="1440"/>
      <c r="U687" t="s">
        <v>315</v>
      </c>
      <c r="Z687" s="1348"/>
      <c r="AA687" s="1348"/>
      <c r="AB687" s="1348"/>
      <c r="AC687" s="1348"/>
      <c r="AD687" s="1348"/>
      <c r="AE687" s="1348"/>
      <c r="AH687" s="33" t="s">
        <v>205</v>
      </c>
      <c r="AI687" s="1440"/>
      <c r="AJ687" s="1440"/>
      <c r="AK687" s="1440"/>
      <c r="AZ687" s="3"/>
    </row>
    <row r="688" spans="1:52" ht="12.95"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5" customHeight="1">
      <c r="B689" t="s">
        <v>20</v>
      </c>
      <c r="N689" s="1333" t="s">
        <v>669</v>
      </c>
      <c r="O689" s="1333"/>
      <c r="U689" t="s">
        <v>20</v>
      </c>
      <c r="AG689" s="1333" t="s">
        <v>669</v>
      </c>
      <c r="AH689" s="1333"/>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3" t="s">
        <v>545</v>
      </c>
      <c r="AF693" s="1333"/>
      <c r="AZ693" s="3"/>
    </row>
    <row r="694" spans="1:67" ht="12.95" customHeight="1">
      <c r="B694" s="135"/>
      <c r="C694" s="135"/>
      <c r="D694" s="136" t="s">
        <v>437</v>
      </c>
      <c r="E694" s="135"/>
      <c r="F694" s="135"/>
      <c r="G694" s="135"/>
      <c r="H694" s="135"/>
      <c r="AE694" s="1333" t="s">
        <v>545</v>
      </c>
      <c r="AF694" s="1333"/>
      <c r="AZ694" s="3"/>
    </row>
    <row r="695" spans="1:67" ht="12.95" customHeight="1">
      <c r="B695" s="135"/>
      <c r="C695" s="135"/>
      <c r="D695" s="136" t="s">
        <v>920</v>
      </c>
      <c r="E695" s="135"/>
      <c r="F695" s="135"/>
      <c r="G695" s="135"/>
      <c r="H695" s="135"/>
      <c r="AE695" s="1693">
        <v>45797</v>
      </c>
      <c r="AF695" s="1693"/>
      <c r="AG695" s="1693"/>
      <c r="AH695" s="1693"/>
      <c r="AI695" s="1693"/>
    </row>
    <row r="696" spans="1:67" ht="12.95" customHeight="1">
      <c r="B696" s="135"/>
      <c r="C696" s="135"/>
      <c r="D696" s="317" t="s">
        <v>983</v>
      </c>
      <c r="E696" s="135"/>
      <c r="F696" s="135"/>
      <c r="G696" s="135"/>
      <c r="H696" s="135"/>
      <c r="AE696" s="1704">
        <v>45874</v>
      </c>
      <c r="AF696" s="1704"/>
      <c r="AG696" s="1704"/>
      <c r="AH696" s="1704"/>
      <c r="AI696" s="1704"/>
    </row>
    <row r="697" spans="1:67" ht="12.95" customHeight="1">
      <c r="B697" s="135"/>
      <c r="C697" s="135"/>
    </row>
    <row r="698" spans="1:67" ht="12.95" customHeight="1">
      <c r="B698" s="135"/>
      <c r="C698" s="135"/>
      <c r="D698" s="136" t="s">
        <v>816</v>
      </c>
      <c r="E698" s="135"/>
      <c r="F698" s="135"/>
      <c r="G698" s="135"/>
      <c r="H698" s="135"/>
      <c r="AE698" s="1693">
        <v>46006</v>
      </c>
      <c r="AF698" s="1693"/>
      <c r="AG698" s="1693"/>
      <c r="AH698" s="1693"/>
      <c r="AI698" s="1693"/>
    </row>
    <row r="699" spans="1:67" ht="12.95" customHeight="1">
      <c r="B699" s="135"/>
      <c r="C699" s="135"/>
      <c r="D699" s="136" t="s">
        <v>435</v>
      </c>
      <c r="E699" s="135"/>
      <c r="F699" s="135"/>
      <c r="G699" s="135"/>
      <c r="H699" s="135"/>
      <c r="AE699" s="1663">
        <v>0.53049999999999997</v>
      </c>
      <c r="AF699" s="1663"/>
      <c r="AG699" s="1663"/>
      <c r="AH699" s="1663"/>
      <c r="AI699" s="1663"/>
    </row>
    <row r="700" spans="1:67" ht="12.95" customHeight="1">
      <c r="B700" s="135"/>
      <c r="C700" s="135"/>
      <c r="D700" s="136" t="s">
        <v>436</v>
      </c>
      <c r="E700" s="135"/>
      <c r="F700" s="135"/>
      <c r="G700" s="135"/>
      <c r="H700" s="135"/>
      <c r="W700" s="1360" t="str">
        <f>H335</f>
        <v>California Municipal Finance Authority</v>
      </c>
      <c r="X700" s="1360"/>
      <c r="Y700" s="1360"/>
      <c r="Z700" s="1360"/>
      <c r="AA700" s="1360"/>
      <c r="AB700" s="1360"/>
      <c r="AC700" s="1360"/>
      <c r="AD700" s="1360"/>
      <c r="AE700" s="1360"/>
      <c r="AF700" s="1360"/>
      <c r="AG700" s="1360"/>
      <c r="AH700" s="1360"/>
      <c r="AI700" s="1360"/>
      <c r="AJ700" s="1360"/>
      <c r="AK700" s="1360"/>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3" t="s">
        <v>669</v>
      </c>
      <c r="AF702" s="1333"/>
      <c r="AZ702" s="4" t="s">
        <v>323</v>
      </c>
    </row>
    <row r="703" spans="1:67" ht="12.95"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2.95"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5" customHeight="1">
      <c r="B705" s="135"/>
      <c r="C705" s="135"/>
      <c r="D705" s="136" t="s">
        <v>88</v>
      </c>
      <c r="J705" s="1348"/>
      <c r="K705" s="1348"/>
      <c r="L705" s="1348"/>
      <c r="M705" s="1348"/>
      <c r="N705" s="1348"/>
      <c r="O705" s="1348"/>
      <c r="P705" s="4" t="s">
        <v>205</v>
      </c>
      <c r="Q705" s="4"/>
      <c r="R705" s="1440"/>
      <c r="S705" s="1440"/>
      <c r="T705" s="1440"/>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1" t="s">
        <v>95</v>
      </c>
      <c r="B709" s="1261"/>
      <c r="C709" s="1261"/>
      <c r="D709" s="1261"/>
      <c r="E709" s="1261"/>
      <c r="F709" s="1261"/>
      <c r="G709" s="1261"/>
      <c r="H709" s="1261"/>
      <c r="I709" s="1261"/>
      <c r="J709" s="1261"/>
      <c r="K709" s="1261"/>
      <c r="L709" s="1261"/>
      <c r="M709" s="1261"/>
      <c r="N709" s="1261"/>
      <c r="O709" s="1261"/>
      <c r="P709" s="1261"/>
      <c r="Q709" s="1261"/>
      <c r="R709" s="1261"/>
      <c r="S709" s="1261"/>
      <c r="T709" s="1261"/>
      <c r="U709" s="1261"/>
      <c r="V709" s="1261"/>
      <c r="W709" s="1261"/>
      <c r="X709" s="1261"/>
      <c r="Y709" s="1261"/>
      <c r="Z709" s="1261"/>
      <c r="AA709" s="1261"/>
      <c r="AB709" s="1261"/>
      <c r="AC709" s="1261"/>
      <c r="AD709" s="1261"/>
      <c r="AE709" s="1261"/>
      <c r="AF709" s="1261"/>
      <c r="AG709" s="1261"/>
      <c r="AH709" s="1261"/>
      <c r="AI709" s="1261"/>
      <c r="AJ709" s="1261"/>
      <c r="AK709" s="1261"/>
      <c r="AL709" s="1261"/>
      <c r="AM709" s="1261"/>
      <c r="AN709" s="1261"/>
      <c r="AO709" s="1261"/>
      <c r="AP709" s="1261"/>
      <c r="AQ709" s="1261"/>
      <c r="AR709" s="1261"/>
      <c r="AS709" s="1261"/>
      <c r="AT709" s="126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1"/>
      <c r="B710" s="1261"/>
      <c r="C710" s="1261"/>
      <c r="D710" s="1261"/>
      <c r="E710" s="1261"/>
      <c r="F710" s="1261"/>
      <c r="G710" s="1261"/>
      <c r="H710" s="1261"/>
      <c r="I710" s="1261"/>
      <c r="J710" s="1261"/>
      <c r="K710" s="1261"/>
      <c r="L710" s="1261"/>
      <c r="M710" s="1261"/>
      <c r="N710" s="1261"/>
      <c r="O710" s="1261"/>
      <c r="P710" s="1261"/>
      <c r="Q710" s="1261"/>
      <c r="R710" s="1261"/>
      <c r="S710" s="1261"/>
      <c r="T710" s="1261"/>
      <c r="U710" s="1261"/>
      <c r="V710" s="1261"/>
      <c r="W710" s="1261"/>
      <c r="X710" s="1261"/>
      <c r="Y710" s="1261"/>
      <c r="Z710" s="1261"/>
      <c r="AA710" s="1261"/>
      <c r="AB710" s="1261"/>
      <c r="AC710" s="1261"/>
      <c r="AD710" s="1261"/>
      <c r="AE710" s="1261"/>
      <c r="AF710" s="1261"/>
      <c r="AG710" s="1261"/>
      <c r="AH710" s="1261"/>
      <c r="AI710" s="1261"/>
      <c r="AJ710" s="1261"/>
      <c r="AK710" s="1261"/>
      <c r="AL710" s="1261"/>
      <c r="AM710" s="1261"/>
      <c r="AN710" s="1261"/>
      <c r="AO710" s="1261"/>
      <c r="AP710" s="1261"/>
      <c r="AQ710" s="1261"/>
      <c r="AR710" s="1261"/>
      <c r="AS710" s="1261"/>
      <c r="AT710" s="126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1"/>
      <c r="B711" s="1261"/>
      <c r="C711" s="1261"/>
      <c r="D711" s="1261"/>
      <c r="E711" s="1261"/>
      <c r="F711" s="1261"/>
      <c r="G711" s="1261"/>
      <c r="H711" s="1261"/>
      <c r="I711" s="1261"/>
      <c r="J711" s="1261"/>
      <c r="K711" s="1261"/>
      <c r="L711" s="1261"/>
      <c r="M711" s="1261"/>
      <c r="N711" s="1261"/>
      <c r="O711" s="1261"/>
      <c r="P711" s="1261"/>
      <c r="Q711" s="1261"/>
      <c r="R711" s="1261"/>
      <c r="S711" s="1261"/>
      <c r="T711" s="1261"/>
      <c r="U711" s="1261"/>
      <c r="V711" s="1261"/>
      <c r="W711" s="1261"/>
      <c r="X711" s="1261"/>
      <c r="Y711" s="1261"/>
      <c r="Z711" s="1261"/>
      <c r="AA711" s="1261"/>
      <c r="AB711" s="1261"/>
      <c r="AC711" s="1261"/>
      <c r="AD711" s="1261"/>
      <c r="AE711" s="1261"/>
      <c r="AF711" s="1261"/>
      <c r="AG711" s="1261"/>
      <c r="AH711" s="1261"/>
      <c r="AI711" s="1261"/>
      <c r="AJ711" s="1261"/>
      <c r="AK711" s="1261"/>
      <c r="AL711" s="1261"/>
      <c r="AM711" s="1261"/>
      <c r="AN711" s="1261"/>
      <c r="AO711" s="1261"/>
      <c r="AP711" s="1261"/>
      <c r="AQ711" s="1261"/>
      <c r="AR711" s="1261"/>
      <c r="AS711" s="1261"/>
      <c r="AT711" s="126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4" t="s">
        <v>388</v>
      </c>
      <c r="C714" s="1365"/>
      <c r="D714" s="1365"/>
      <c r="E714" s="1365"/>
      <c r="F714" s="1366"/>
      <c r="G714" s="1364" t="s">
        <v>284</v>
      </c>
      <c r="H714" s="1365"/>
      <c r="I714" s="1365"/>
      <c r="J714" s="1366"/>
      <c r="K714" s="1721" t="s">
        <v>1679</v>
      </c>
      <c r="L714" s="1722"/>
      <c r="M714" s="1722"/>
      <c r="N714" s="1723"/>
      <c r="O714" s="1364" t="s">
        <v>447</v>
      </c>
      <c r="P714" s="1365"/>
      <c r="Q714" s="1365"/>
      <c r="R714" s="1365"/>
      <c r="S714" s="1366"/>
      <c r="T714" s="1661" t="s">
        <v>1950</v>
      </c>
      <c r="U714" s="1365"/>
      <c r="V714" s="1365"/>
      <c r="W714" s="1366"/>
      <c r="X714" s="1661" t="s">
        <v>1952</v>
      </c>
      <c r="Y714" s="1365"/>
      <c r="Z714" s="1365"/>
      <c r="AA714" s="1365"/>
      <c r="AB714" s="1366"/>
      <c r="AC714" s="1661" t="s">
        <v>1951</v>
      </c>
      <c r="AD714" s="1365"/>
      <c r="AE714" s="1365"/>
      <c r="AF714" s="1365"/>
      <c r="AG714" s="1366"/>
      <c r="AH714" s="1661" t="s">
        <v>1953</v>
      </c>
      <c r="AI714" s="1365"/>
      <c r="AJ714" s="1366"/>
      <c r="AK714" s="1661"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7"/>
      <c r="C715" s="1368"/>
      <c r="D715" s="1368"/>
      <c r="E715" s="1368"/>
      <c r="F715" s="1369"/>
      <c r="G715" s="1367"/>
      <c r="H715" s="1368"/>
      <c r="I715" s="1368"/>
      <c r="J715" s="1369"/>
      <c r="K715" s="1724"/>
      <c r="L715" s="1725"/>
      <c r="M715" s="1725"/>
      <c r="N715" s="1726"/>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7"/>
      <c r="C716" s="1368"/>
      <c r="D716" s="1368"/>
      <c r="E716" s="1368"/>
      <c r="F716" s="1369"/>
      <c r="G716" s="1367"/>
      <c r="H716" s="1368"/>
      <c r="I716" s="1368"/>
      <c r="J716" s="1369"/>
      <c r="K716" s="1724"/>
      <c r="L716" s="1725"/>
      <c r="M716" s="1725"/>
      <c r="N716" s="1726"/>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0"/>
      <c r="C717" s="1371"/>
      <c r="D717" s="1371"/>
      <c r="E717" s="1371"/>
      <c r="F717" s="1372"/>
      <c r="G717" s="1370"/>
      <c r="H717" s="1371"/>
      <c r="I717" s="1371"/>
      <c r="J717" s="1372"/>
      <c r="K717" s="1724"/>
      <c r="L717" s="1725"/>
      <c r="M717" s="1725"/>
      <c r="N717" s="1726"/>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2"/>
      <c r="CJ717" s="1473"/>
      <c r="CK717" s="121" t="s">
        <v>475</v>
      </c>
      <c r="CL717" s="122"/>
      <c r="CM717" s="1472"/>
      <c r="CN717" s="1473"/>
      <c r="CO717" s="3"/>
      <c r="CP717" s="1388" t="s">
        <v>633</v>
      </c>
      <c r="CQ717" s="1389"/>
      <c r="CR717" s="1389"/>
      <c r="CS717" s="1389"/>
      <c r="CT717" s="1390"/>
      <c r="CU717" s="1465" t="s">
        <v>324</v>
      </c>
      <c r="CV717" s="1465"/>
      <c r="CW717" s="1465"/>
      <c r="CX717" s="1465"/>
      <c r="CY717" s="1465"/>
      <c r="CZ717" s="1465" t="s">
        <v>163</v>
      </c>
      <c r="DA717" s="1465"/>
      <c r="DB717" s="1465"/>
      <c r="DC717" s="1465"/>
      <c r="DD717" s="1465"/>
      <c r="DE717" s="1465" t="s">
        <v>164</v>
      </c>
      <c r="DF717" s="1465"/>
      <c r="DG717" s="1465"/>
      <c r="DH717" s="1465"/>
      <c r="DI717" s="1465"/>
      <c r="DJ717" s="1465" t="s">
        <v>460</v>
      </c>
      <c r="DK717" s="1465"/>
      <c r="DL717" s="1465"/>
      <c r="DM717" s="1465"/>
      <c r="DN717" s="1465"/>
      <c r="DO717" s="1465" t="s">
        <v>30</v>
      </c>
      <c r="DP717" s="1465"/>
      <c r="DQ717" s="1465"/>
      <c r="DR717" s="1465"/>
      <c r="DS717" s="1465"/>
      <c r="DT717" s="89"/>
      <c r="DU717" s="1465" t="s">
        <v>633</v>
      </c>
      <c r="DV717" s="1465"/>
      <c r="DW717" s="1465"/>
      <c r="DX717" s="1465"/>
      <c r="DY717" s="1465"/>
      <c r="DZ717" s="1465" t="s">
        <v>324</v>
      </c>
      <c r="EA717" s="1465"/>
      <c r="EB717" s="1465"/>
      <c r="EC717" s="1465"/>
      <c r="ED717" s="1465"/>
      <c r="EE717" s="1465" t="s">
        <v>163</v>
      </c>
      <c r="EF717" s="1465"/>
      <c r="EG717" s="1465"/>
      <c r="EH717" s="1465"/>
      <c r="EI717" s="1465"/>
      <c r="EJ717" s="1465" t="s">
        <v>164</v>
      </c>
      <c r="EK717" s="1465"/>
      <c r="EL717" s="1465"/>
      <c r="EM717" s="1465"/>
      <c r="EN717" s="1465"/>
      <c r="EO717" s="1465" t="s">
        <v>460</v>
      </c>
      <c r="EP717" s="1465"/>
      <c r="EQ717" s="1465"/>
      <c r="ER717" s="1465"/>
      <c r="ES717" s="1465"/>
      <c r="ET717" s="1465" t="s">
        <v>30</v>
      </c>
      <c r="EU717" s="1465"/>
      <c r="EV717" s="1465"/>
      <c r="EW717" s="1465"/>
      <c r="EX717" s="1465"/>
      <c r="EY717" s="4"/>
      <c r="EZ717" s="1465" t="s">
        <v>633</v>
      </c>
      <c r="FA717" s="1465"/>
      <c r="FB717" s="1465"/>
      <c r="FC717" s="1465"/>
      <c r="FD717" s="1465"/>
      <c r="FE717" s="1465" t="s">
        <v>324</v>
      </c>
      <c r="FF717" s="1465"/>
      <c r="FG717" s="1465"/>
      <c r="FH717" s="1465"/>
      <c r="FI717" s="1465"/>
      <c r="FJ717" s="1465" t="s">
        <v>163</v>
      </c>
      <c r="FK717" s="1465"/>
      <c r="FL717" s="1465"/>
      <c r="FM717" s="1465"/>
      <c r="FN717" s="1465"/>
      <c r="FO717" s="1465" t="s">
        <v>164</v>
      </c>
      <c r="FP717" s="1465"/>
      <c r="FQ717" s="1465"/>
      <c r="FR717" s="1465"/>
      <c r="FS717" s="1465"/>
      <c r="FT717" s="1465" t="s">
        <v>460</v>
      </c>
      <c r="FU717" s="1465"/>
      <c r="FV717" s="1465"/>
      <c r="FW717" s="1465"/>
      <c r="FX717" s="1465"/>
      <c r="FY717" s="1465" t="s">
        <v>30</v>
      </c>
      <c r="FZ717" s="1465"/>
      <c r="GA717" s="1465"/>
      <c r="GB717" s="1465"/>
      <c r="GC717" s="1465"/>
    </row>
    <row r="718" spans="1:185" ht="12.95" customHeight="1">
      <c r="A718" s="4"/>
      <c r="B718" s="1338" t="s">
        <v>324</v>
      </c>
      <c r="C718" s="1339"/>
      <c r="D718" s="1339"/>
      <c r="E718" s="1339"/>
      <c r="F718" s="1340"/>
      <c r="G718" s="1351">
        <v>40</v>
      </c>
      <c r="H718" s="1352"/>
      <c r="I718" s="1352"/>
      <c r="J718" s="1353"/>
      <c r="K718" s="1344">
        <v>583</v>
      </c>
      <c r="L718" s="1345"/>
      <c r="M718" s="1345"/>
      <c r="N718" s="1346"/>
      <c r="O718" s="1341">
        <v>723</v>
      </c>
      <c r="P718" s="1342"/>
      <c r="Q718" s="1342"/>
      <c r="R718" s="1342"/>
      <c r="S718" s="1343"/>
      <c r="T718" s="1341">
        <v>0</v>
      </c>
      <c r="U718" s="1342"/>
      <c r="V718" s="1342"/>
      <c r="W718" s="1343"/>
      <c r="X718" s="1354">
        <f t="shared" ref="X718:X741" si="8">O718+T718</f>
        <v>723</v>
      </c>
      <c r="Y718" s="1355"/>
      <c r="Z718" s="1355"/>
      <c r="AA718" s="1355"/>
      <c r="AB718" s="1356"/>
      <c r="AC718" s="1361">
        <v>0.3</v>
      </c>
      <c r="AD718" s="1362"/>
      <c r="AE718" s="1362"/>
      <c r="AF718" s="1362"/>
      <c r="AG718" s="1363"/>
      <c r="AH718" s="1357">
        <f>IF($AC718&gt;0,($X718/$AZ718), "")</f>
        <v>0.29975124378109452</v>
      </c>
      <c r="AI718" s="1358"/>
      <c r="AJ718" s="1359"/>
      <c r="AK718" s="1338" t="s">
        <v>2100</v>
      </c>
      <c r="AL718" s="1339"/>
      <c r="AM718" s="1339"/>
      <c r="AN718" s="1339"/>
      <c r="AO718" s="1340"/>
      <c r="AP718" s="3"/>
      <c r="AQ718" s="3"/>
      <c r="AR718" s="3"/>
      <c r="AS718" s="3"/>
      <c r="AZ718" s="118">
        <f t="shared" ref="AZ718:AZ752" si="9">IF($G718=0,"N/A",VLOOKUP($T$189,TC_Rent,(MATCH($B718,bedrooms,FALSE)),FALSE))</f>
        <v>2412</v>
      </c>
      <c r="BA718" s="3"/>
      <c r="BB718" s="3"/>
      <c r="BC718" s="3"/>
      <c r="BD718" s="3"/>
      <c r="BE718" s="204"/>
      <c r="BF718" s="293">
        <f t="shared" ref="BF718:BF752" si="10">G718</f>
        <v>40</v>
      </c>
      <c r="BG718" s="297">
        <f t="shared" ref="BG718:BG752" si="11">IF($BF$753=0,0,BF718/$BF$753)</f>
        <v>0.5</v>
      </c>
      <c r="BH718" s="298">
        <f t="shared" ref="BH718:BH752" si="12">IF(BG718=0,"",BG718*AC718)</f>
        <v>0.15</v>
      </c>
      <c r="BI718" s="3"/>
      <c r="BJ718" s="3"/>
      <c r="BK718" s="3"/>
      <c r="BL718" s="3"/>
      <c r="BM718" s="3"/>
      <c r="BN718" s="3"/>
      <c r="BS718" s="293">
        <f t="shared" ref="BS718:BS752" si="13">G718</f>
        <v>40</v>
      </c>
      <c r="BT718" s="297">
        <f t="shared" ref="BT718:BT752" si="14">IF($BS$753=0,0,BS718/$BS$753)</f>
        <v>0.5</v>
      </c>
      <c r="BU718" s="298">
        <f t="shared" ref="BU718:BU752" si="15">IF(BT718=0,"",BT718*AH718)</f>
        <v>0.14987562189054726</v>
      </c>
      <c r="CC718" s="3"/>
      <c r="CD718" s="3"/>
      <c r="CE718" s="3"/>
      <c r="CF718" s="3"/>
      <c r="CG718" s="1466">
        <f>IF(AND(AC718&lt;=0.5,AC718&gt;=0.36),1,0)</f>
        <v>0</v>
      </c>
      <c r="CH718" s="1467"/>
      <c r="CI718" s="1472">
        <f>IF(CG718=1,G718,0)</f>
        <v>0</v>
      </c>
      <c r="CJ718" s="1473"/>
      <c r="CK718" s="1466">
        <f t="shared" ref="CK718:CK752" si="16">IF(AND(AC718&lt;=0.35,AC718&gt;0),1,0)</f>
        <v>1</v>
      </c>
      <c r="CL718" s="1467"/>
      <c r="CM718" s="1472">
        <f t="shared" ref="CM718:CM752" si="17">IF(CK718=1,G718,0)</f>
        <v>40</v>
      </c>
      <c r="CN718" s="1473"/>
      <c r="CO718" s="3"/>
      <c r="CP718" s="1461">
        <f t="shared" ref="CP718:CP752" si="18">IF(B718="SRO/Studio",G718,0)</f>
        <v>0</v>
      </c>
      <c r="CQ718" s="1462"/>
      <c r="CR718" s="1462"/>
      <c r="CS718" s="1462"/>
      <c r="CT718" s="1463"/>
      <c r="CU718" s="1446">
        <f t="shared" ref="CU718:CU752" si="19">IF(B718="1 Bedroom",G718,0)</f>
        <v>40</v>
      </c>
      <c r="CV718" s="1446"/>
      <c r="CW718" s="1446"/>
      <c r="CX718" s="1446"/>
      <c r="CY718" s="1446"/>
      <c r="CZ718" s="1446">
        <f t="shared" ref="CZ718:CZ752" si="20">IF(B718="2 Bedrooms",G718,0)</f>
        <v>0</v>
      </c>
      <c r="DA718" s="1446"/>
      <c r="DB718" s="1446"/>
      <c r="DC718" s="1446"/>
      <c r="DD718" s="1446"/>
      <c r="DE718" s="1446">
        <f t="shared" ref="DE718:DE752" si="21">IF(B718="3 Bedrooms",G718,0)</f>
        <v>0</v>
      </c>
      <c r="DF718" s="1446"/>
      <c r="DG718" s="1446"/>
      <c r="DH718" s="1446"/>
      <c r="DI718" s="1446"/>
      <c r="DJ718" s="1446">
        <f t="shared" ref="DJ718:DJ752" si="22">IF(B718="4 Bedrooms",G718,0)</f>
        <v>0</v>
      </c>
      <c r="DK718" s="1446"/>
      <c r="DL718" s="1446"/>
      <c r="DM718" s="1446"/>
      <c r="DN718" s="1446"/>
      <c r="DO718" s="1446">
        <f t="shared" ref="DO718:DO752" si="23">IF(B718="5 Bedrooms",G718,0)</f>
        <v>0</v>
      </c>
      <c r="DP718" s="1446"/>
      <c r="DQ718" s="1446"/>
      <c r="DR718" s="1446"/>
      <c r="DS718" s="1446"/>
      <c r="DT718" s="6"/>
      <c r="DU718" s="1447">
        <f t="shared" ref="DU718:DU752" si="24">IF(AND(B718="SRO/Studio",AC718&lt;=0.3),G718,0)</f>
        <v>0</v>
      </c>
      <c r="DV718" s="1447"/>
      <c r="DW718" s="1447"/>
      <c r="DX718" s="1447"/>
      <c r="DY718" s="1447"/>
      <c r="DZ718" s="1447">
        <f t="shared" ref="DZ718:DZ752" si="25">IF(AND(B718="1 Bedroom",AC718&lt;=0.3),G718,0)</f>
        <v>40</v>
      </c>
      <c r="EA718" s="1447"/>
      <c r="EB718" s="1447"/>
      <c r="EC718" s="1447"/>
      <c r="ED718" s="1447"/>
      <c r="EE718" s="1447">
        <f t="shared" ref="EE718:EE752" si="26">IF(AND(B718="2 Bedrooms",AC718&lt;=0.3),G718,0)</f>
        <v>0</v>
      </c>
      <c r="EF718" s="1447"/>
      <c r="EG718" s="1447"/>
      <c r="EH718" s="1447"/>
      <c r="EI718" s="1447"/>
      <c r="EJ718" s="1447">
        <f t="shared" ref="EJ718:EJ752" si="27">IF(AND(B718="3 Bedrooms",AC718&lt;=0.3),G718,0)</f>
        <v>0</v>
      </c>
      <c r="EK718" s="1447"/>
      <c r="EL718" s="1447"/>
      <c r="EM718" s="1447"/>
      <c r="EN718" s="1447"/>
      <c r="EO718" s="1447">
        <f t="shared" ref="EO718:EO752" si="28">IF(AND(B718="4 Bedrooms",AC718&lt;=0.3),G718,0)</f>
        <v>0</v>
      </c>
      <c r="EP718" s="1447"/>
      <c r="EQ718" s="1447"/>
      <c r="ER718" s="1447"/>
      <c r="ES718" s="1447"/>
      <c r="ET718" s="1447">
        <f t="shared" ref="ET718:ET752" si="29">IF(AND(B718="5 Bedrooms",AC718&lt;=0.3),G718,0)</f>
        <v>0</v>
      </c>
      <c r="EU718" s="1447"/>
      <c r="EV718" s="1447"/>
      <c r="EW718" s="1447"/>
      <c r="EX718" s="1447"/>
      <c r="EY718" s="4"/>
      <c r="EZ718" s="1466" t="str">
        <f t="shared" ref="EZ718:EZ752" si="30">IF(CP718&gt;0,O718,"")</f>
        <v/>
      </c>
      <c r="FA718" s="1468"/>
      <c r="FB718" s="1468"/>
      <c r="FC718" s="1468"/>
      <c r="FD718" s="1467"/>
      <c r="FE718" s="1466">
        <f t="shared" ref="FE718:FE752" si="31">IF(CU718&gt;0,O718,"")</f>
        <v>723</v>
      </c>
      <c r="FF718" s="1468"/>
      <c r="FG718" s="1468"/>
      <c r="FH718" s="1468"/>
      <c r="FI718" s="1467"/>
      <c r="FJ718" s="1466" t="str">
        <f t="shared" ref="FJ718:FJ752" si="32">IF(CZ718&gt;0,O718,"")</f>
        <v/>
      </c>
      <c r="FK718" s="1468"/>
      <c r="FL718" s="1468"/>
      <c r="FM718" s="1468"/>
      <c r="FN718" s="1467"/>
      <c r="FO718" s="1466" t="str">
        <f t="shared" ref="FO718:FO752" si="33">IF(DE718&gt;0,O718,"")</f>
        <v/>
      </c>
      <c r="FP718" s="1468"/>
      <c r="FQ718" s="1468"/>
      <c r="FR718" s="1468"/>
      <c r="FS718" s="1467"/>
      <c r="FT718" s="1466" t="str">
        <f t="shared" ref="FT718:FT752" si="34">IF(DJ718&gt;0,O718,"")</f>
        <v/>
      </c>
      <c r="FU718" s="1468"/>
      <c r="FV718" s="1468"/>
      <c r="FW718" s="1468"/>
      <c r="FX718" s="1467"/>
      <c r="FY718" s="1466" t="str">
        <f t="shared" ref="FY718:FY752" si="35">IF(DO718&gt;0,O718,"")</f>
        <v/>
      </c>
      <c r="FZ718" s="1468"/>
      <c r="GA718" s="1468"/>
      <c r="GB718" s="1468"/>
      <c r="GC718" s="1467"/>
    </row>
    <row r="719" spans="1:185" ht="12.95" customHeight="1">
      <c r="A719" s="4"/>
      <c r="B719" s="1338" t="s">
        <v>324</v>
      </c>
      <c r="C719" s="1339"/>
      <c r="D719" s="1339"/>
      <c r="E719" s="1339"/>
      <c r="F719" s="1340"/>
      <c r="G719" s="1351">
        <v>40</v>
      </c>
      <c r="H719" s="1352"/>
      <c r="I719" s="1352"/>
      <c r="J719" s="1353"/>
      <c r="K719" s="1344">
        <v>583</v>
      </c>
      <c r="L719" s="1345"/>
      <c r="M719" s="1345"/>
      <c r="N719" s="1346"/>
      <c r="O719" s="1341">
        <v>1206</v>
      </c>
      <c r="P719" s="1342"/>
      <c r="Q719" s="1342"/>
      <c r="R719" s="1342"/>
      <c r="S719" s="1343"/>
      <c r="T719" s="1341">
        <v>0</v>
      </c>
      <c r="U719" s="1342"/>
      <c r="V719" s="1342"/>
      <c r="W719" s="1343"/>
      <c r="X719" s="1354">
        <f t="shared" si="8"/>
        <v>1206</v>
      </c>
      <c r="Y719" s="1355"/>
      <c r="Z719" s="1355"/>
      <c r="AA719" s="1355"/>
      <c r="AB719" s="1356"/>
      <c r="AC719" s="1361">
        <v>0.5</v>
      </c>
      <c r="AD719" s="1362"/>
      <c r="AE719" s="1362"/>
      <c r="AF719" s="1362"/>
      <c r="AG719" s="1363"/>
      <c r="AH719" s="1357">
        <f t="shared" ref="AH719:AH752" si="36">IF($AC719&gt;0,($X719/$AZ719), "")</f>
        <v>0.5</v>
      </c>
      <c r="AI719" s="1358"/>
      <c r="AJ719" s="1359"/>
      <c r="AK719" s="1338" t="s">
        <v>2100</v>
      </c>
      <c r="AL719" s="1339"/>
      <c r="AM719" s="1339"/>
      <c r="AN719" s="1339"/>
      <c r="AO719" s="1340"/>
      <c r="AP719" s="3"/>
      <c r="AQ719" s="3"/>
      <c r="AR719" s="3"/>
      <c r="AS719" s="3"/>
      <c r="AZ719" s="118">
        <f t="shared" si="9"/>
        <v>2412</v>
      </c>
      <c r="BA719" s="3"/>
      <c r="BB719" s="3"/>
      <c r="BC719" s="3"/>
      <c r="BD719" s="3"/>
      <c r="BE719" s="204"/>
      <c r="BF719" s="294">
        <f t="shared" si="10"/>
        <v>40</v>
      </c>
      <c r="BG719" s="297">
        <f t="shared" si="11"/>
        <v>0.5</v>
      </c>
      <c r="BH719" s="298">
        <f t="shared" si="12"/>
        <v>0.25</v>
      </c>
      <c r="BI719" s="3"/>
      <c r="BJ719" s="3"/>
      <c r="BK719" s="3"/>
      <c r="BL719" s="3"/>
      <c r="BM719" s="3"/>
      <c r="BN719" s="3"/>
      <c r="BS719" s="294">
        <f t="shared" si="13"/>
        <v>40</v>
      </c>
      <c r="BT719" s="297">
        <f t="shared" si="14"/>
        <v>0.5</v>
      </c>
      <c r="BU719" s="298">
        <f t="shared" si="15"/>
        <v>0.25</v>
      </c>
      <c r="CC719" s="3"/>
      <c r="CD719" s="3"/>
      <c r="CE719" s="3"/>
      <c r="CF719" s="3"/>
      <c r="CG719" s="1466">
        <f t="shared" ref="CG719:CG752" si="37">IF(AND(AC719&lt;=0.5,AC719&gt;=0.36),1,0)</f>
        <v>1</v>
      </c>
      <c r="CH719" s="1467"/>
      <c r="CI719" s="1472">
        <f t="shared" ref="CI719:CI752" si="38">IF(CG719=1,G719,0)</f>
        <v>40</v>
      </c>
      <c r="CJ719" s="1473"/>
      <c r="CK719" s="1466">
        <f t="shared" si="16"/>
        <v>0</v>
      </c>
      <c r="CL719" s="1467"/>
      <c r="CM719" s="1472">
        <f t="shared" si="17"/>
        <v>0</v>
      </c>
      <c r="CN719" s="1473"/>
      <c r="CO719" s="3"/>
      <c r="CP719" s="1461">
        <f t="shared" si="18"/>
        <v>0</v>
      </c>
      <c r="CQ719" s="1462"/>
      <c r="CR719" s="1462"/>
      <c r="CS719" s="1462"/>
      <c r="CT719" s="1463"/>
      <c r="CU719" s="1446">
        <f t="shared" si="19"/>
        <v>40</v>
      </c>
      <c r="CV719" s="1446"/>
      <c r="CW719" s="1446"/>
      <c r="CX719" s="1446"/>
      <c r="CY719" s="1446"/>
      <c r="CZ719" s="1446">
        <f t="shared" si="20"/>
        <v>0</v>
      </c>
      <c r="DA719" s="1446"/>
      <c r="DB719" s="1446"/>
      <c r="DC719" s="1446"/>
      <c r="DD719" s="1446"/>
      <c r="DE719" s="1446">
        <f t="shared" si="21"/>
        <v>0</v>
      </c>
      <c r="DF719" s="1446"/>
      <c r="DG719" s="1446"/>
      <c r="DH719" s="1446"/>
      <c r="DI719" s="1446"/>
      <c r="DJ719" s="1446">
        <f t="shared" si="22"/>
        <v>0</v>
      </c>
      <c r="DK719" s="1446"/>
      <c r="DL719" s="1446"/>
      <c r="DM719" s="1446"/>
      <c r="DN719" s="1446"/>
      <c r="DO719" s="1446">
        <f t="shared" si="23"/>
        <v>0</v>
      </c>
      <c r="DP719" s="1446"/>
      <c r="DQ719" s="1446"/>
      <c r="DR719" s="1446"/>
      <c r="DS719" s="1446"/>
      <c r="DT719" s="6"/>
      <c r="DU719" s="1447">
        <f t="shared" si="24"/>
        <v>0</v>
      </c>
      <c r="DV719" s="1447"/>
      <c r="DW719" s="1447"/>
      <c r="DX719" s="1447"/>
      <c r="DY719" s="1447"/>
      <c r="DZ719" s="1447">
        <f t="shared" si="25"/>
        <v>0</v>
      </c>
      <c r="EA719" s="1447"/>
      <c r="EB719" s="1447"/>
      <c r="EC719" s="1447"/>
      <c r="ED719" s="1447"/>
      <c r="EE719" s="1447">
        <f t="shared" si="26"/>
        <v>0</v>
      </c>
      <c r="EF719" s="1447"/>
      <c r="EG719" s="1447"/>
      <c r="EH719" s="1447"/>
      <c r="EI719" s="1447"/>
      <c r="EJ719" s="1447">
        <f t="shared" si="27"/>
        <v>0</v>
      </c>
      <c r="EK719" s="1447"/>
      <c r="EL719" s="1447"/>
      <c r="EM719" s="1447"/>
      <c r="EN719" s="1447"/>
      <c r="EO719" s="1447">
        <f t="shared" si="28"/>
        <v>0</v>
      </c>
      <c r="EP719" s="1447"/>
      <c r="EQ719" s="1447"/>
      <c r="ER719" s="1447"/>
      <c r="ES719" s="1447"/>
      <c r="ET719" s="1447">
        <f t="shared" si="29"/>
        <v>0</v>
      </c>
      <c r="EU719" s="1447"/>
      <c r="EV719" s="1447"/>
      <c r="EW719" s="1447"/>
      <c r="EX719" s="1447"/>
      <c r="EY719" s="4"/>
      <c r="EZ719" s="1466" t="str">
        <f t="shared" si="30"/>
        <v/>
      </c>
      <c r="FA719" s="1468"/>
      <c r="FB719" s="1468"/>
      <c r="FC719" s="1468"/>
      <c r="FD719" s="1467"/>
      <c r="FE719" s="1466">
        <f t="shared" si="31"/>
        <v>1206</v>
      </c>
      <c r="FF719" s="1468"/>
      <c r="FG719" s="1468"/>
      <c r="FH719" s="1468"/>
      <c r="FI719" s="1467"/>
      <c r="FJ719" s="1466" t="str">
        <f t="shared" si="32"/>
        <v/>
      </c>
      <c r="FK719" s="1468"/>
      <c r="FL719" s="1468"/>
      <c r="FM719" s="1468"/>
      <c r="FN719" s="1467"/>
      <c r="FO719" s="1466" t="str">
        <f t="shared" si="33"/>
        <v/>
      </c>
      <c r="FP719" s="1468"/>
      <c r="FQ719" s="1468"/>
      <c r="FR719" s="1468"/>
      <c r="FS719" s="1467"/>
      <c r="FT719" s="1466" t="str">
        <f t="shared" si="34"/>
        <v/>
      </c>
      <c r="FU719" s="1468"/>
      <c r="FV719" s="1468"/>
      <c r="FW719" s="1468"/>
      <c r="FX719" s="1467"/>
      <c r="FY719" s="1466" t="str">
        <f t="shared" si="35"/>
        <v/>
      </c>
      <c r="FZ719" s="1468"/>
      <c r="GA719" s="1468"/>
      <c r="GB719" s="1468"/>
      <c r="GC719" s="1467"/>
    </row>
    <row r="720" spans="1:185" ht="12.95" customHeight="1">
      <c r="A720" s="4"/>
      <c r="B720" s="1338"/>
      <c r="C720" s="1339"/>
      <c r="D720" s="1339"/>
      <c r="E720" s="1339"/>
      <c r="F720" s="1340"/>
      <c r="G720" s="1351"/>
      <c r="H720" s="1352"/>
      <c r="I720" s="1352"/>
      <c r="J720" s="1353"/>
      <c r="K720" s="1344"/>
      <c r="L720" s="1345"/>
      <c r="M720" s="1345"/>
      <c r="N720" s="1346"/>
      <c r="O720" s="1341"/>
      <c r="P720" s="1342"/>
      <c r="Q720" s="1342"/>
      <c r="R720" s="1342"/>
      <c r="S720" s="1343"/>
      <c r="T720" s="1341"/>
      <c r="U720" s="1342"/>
      <c r="V720" s="1342"/>
      <c r="W720" s="1343"/>
      <c r="X720" s="1354">
        <f t="shared" si="8"/>
        <v>0</v>
      </c>
      <c r="Y720" s="1355"/>
      <c r="Z720" s="1355"/>
      <c r="AA720" s="1355"/>
      <c r="AB720" s="1356"/>
      <c r="AC720" s="1361"/>
      <c r="AD720" s="1362"/>
      <c r="AE720" s="1362"/>
      <c r="AF720" s="1362"/>
      <c r="AG720" s="1363"/>
      <c r="AH720" s="1357" t="str">
        <f t="shared" si="36"/>
        <v/>
      </c>
      <c r="AI720" s="1358"/>
      <c r="AJ720" s="1359"/>
      <c r="AK720" s="1338" t="s">
        <v>591</v>
      </c>
      <c r="AL720" s="1339"/>
      <c r="AM720" s="1339"/>
      <c r="AN720" s="1339"/>
      <c r="AO720" s="1340"/>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466">
        <f t="shared" si="37"/>
        <v>0</v>
      </c>
      <c r="CH720" s="1467"/>
      <c r="CI720" s="1472">
        <f t="shared" si="38"/>
        <v>0</v>
      </c>
      <c r="CJ720" s="1473"/>
      <c r="CK720" s="1466">
        <f t="shared" si="16"/>
        <v>0</v>
      </c>
      <c r="CL720" s="1467"/>
      <c r="CM720" s="1472">
        <f t="shared" si="17"/>
        <v>0</v>
      </c>
      <c r="CN720" s="1473"/>
      <c r="CO720" s="3"/>
      <c r="CP720" s="1461">
        <f t="shared" si="18"/>
        <v>0</v>
      </c>
      <c r="CQ720" s="1462"/>
      <c r="CR720" s="1462"/>
      <c r="CS720" s="1462"/>
      <c r="CT720" s="1463"/>
      <c r="CU720" s="1446">
        <f t="shared" si="19"/>
        <v>0</v>
      </c>
      <c r="CV720" s="1446"/>
      <c r="CW720" s="1446"/>
      <c r="CX720" s="1446"/>
      <c r="CY720" s="1446"/>
      <c r="CZ720" s="1446">
        <f t="shared" si="20"/>
        <v>0</v>
      </c>
      <c r="DA720" s="1446"/>
      <c r="DB720" s="1446"/>
      <c r="DC720" s="1446"/>
      <c r="DD720" s="1446"/>
      <c r="DE720" s="1446">
        <f t="shared" si="21"/>
        <v>0</v>
      </c>
      <c r="DF720" s="1446"/>
      <c r="DG720" s="1446"/>
      <c r="DH720" s="1446"/>
      <c r="DI720" s="1446"/>
      <c r="DJ720" s="1446">
        <f t="shared" si="22"/>
        <v>0</v>
      </c>
      <c r="DK720" s="1446"/>
      <c r="DL720" s="1446"/>
      <c r="DM720" s="1446"/>
      <c r="DN720" s="1446"/>
      <c r="DO720" s="1446">
        <f t="shared" si="23"/>
        <v>0</v>
      </c>
      <c r="DP720" s="1446"/>
      <c r="DQ720" s="1446"/>
      <c r="DR720" s="1446"/>
      <c r="DS720" s="1446"/>
      <c r="DT720" s="6"/>
      <c r="DU720" s="1447">
        <f t="shared" si="24"/>
        <v>0</v>
      </c>
      <c r="DV720" s="1447"/>
      <c r="DW720" s="1447"/>
      <c r="DX720" s="1447"/>
      <c r="DY720" s="1447"/>
      <c r="DZ720" s="1447">
        <f t="shared" si="25"/>
        <v>0</v>
      </c>
      <c r="EA720" s="1447"/>
      <c r="EB720" s="1447"/>
      <c r="EC720" s="1447"/>
      <c r="ED720" s="1447"/>
      <c r="EE720" s="1447">
        <f t="shared" si="26"/>
        <v>0</v>
      </c>
      <c r="EF720" s="1447"/>
      <c r="EG720" s="1447"/>
      <c r="EH720" s="1447"/>
      <c r="EI720" s="1447"/>
      <c r="EJ720" s="1447">
        <f t="shared" si="27"/>
        <v>0</v>
      </c>
      <c r="EK720" s="1447"/>
      <c r="EL720" s="1447"/>
      <c r="EM720" s="1447"/>
      <c r="EN720" s="1447"/>
      <c r="EO720" s="1447">
        <f t="shared" si="28"/>
        <v>0</v>
      </c>
      <c r="EP720" s="1447"/>
      <c r="EQ720" s="1447"/>
      <c r="ER720" s="1447"/>
      <c r="ES720" s="1447"/>
      <c r="ET720" s="1447">
        <f t="shared" si="29"/>
        <v>0</v>
      </c>
      <c r="EU720" s="1447"/>
      <c r="EV720" s="1447"/>
      <c r="EW720" s="1447"/>
      <c r="EX720" s="1447"/>
      <c r="EZ720" s="1466" t="str">
        <f t="shared" si="30"/>
        <v/>
      </c>
      <c r="FA720" s="1468"/>
      <c r="FB720" s="1468"/>
      <c r="FC720" s="1468"/>
      <c r="FD720" s="1467"/>
      <c r="FE720" s="1466" t="str">
        <f t="shared" si="31"/>
        <v/>
      </c>
      <c r="FF720" s="1468"/>
      <c r="FG720" s="1468"/>
      <c r="FH720" s="1468"/>
      <c r="FI720" s="1467"/>
      <c r="FJ720" s="1466" t="str">
        <f t="shared" si="32"/>
        <v/>
      </c>
      <c r="FK720" s="1468"/>
      <c r="FL720" s="1468"/>
      <c r="FM720" s="1468"/>
      <c r="FN720" s="1467"/>
      <c r="FO720" s="1466" t="str">
        <f t="shared" si="33"/>
        <v/>
      </c>
      <c r="FP720" s="1468"/>
      <c r="FQ720" s="1468"/>
      <c r="FR720" s="1468"/>
      <c r="FS720" s="1467"/>
      <c r="FT720" s="1466" t="str">
        <f t="shared" si="34"/>
        <v/>
      </c>
      <c r="FU720" s="1468"/>
      <c r="FV720" s="1468"/>
      <c r="FW720" s="1468"/>
      <c r="FX720" s="1467"/>
      <c r="FY720" s="1466" t="str">
        <f t="shared" si="35"/>
        <v/>
      </c>
      <c r="FZ720" s="1468"/>
      <c r="GA720" s="1468"/>
      <c r="GB720" s="1468"/>
      <c r="GC720" s="1467"/>
    </row>
    <row r="721" spans="1:185" ht="12.95" customHeight="1">
      <c r="B721" s="1338"/>
      <c r="C721" s="1339"/>
      <c r="D721" s="1339"/>
      <c r="E721" s="1339"/>
      <c r="F721" s="1340"/>
      <c r="G721" s="1351"/>
      <c r="H721" s="1352"/>
      <c r="I721" s="1352"/>
      <c r="J721" s="1353"/>
      <c r="K721" s="1344"/>
      <c r="L721" s="1345"/>
      <c r="M721" s="1345"/>
      <c r="N721" s="1346"/>
      <c r="O721" s="1341"/>
      <c r="P721" s="1342"/>
      <c r="Q721" s="1342"/>
      <c r="R721" s="1342"/>
      <c r="S721" s="1343"/>
      <c r="T721" s="1341"/>
      <c r="U721" s="1342"/>
      <c r="V721" s="1342"/>
      <c r="W721" s="1343"/>
      <c r="X721" s="1354">
        <f t="shared" si="8"/>
        <v>0</v>
      </c>
      <c r="Y721" s="1355"/>
      <c r="Z721" s="1355"/>
      <c r="AA721" s="1355"/>
      <c r="AB721" s="1356"/>
      <c r="AC721" s="1361"/>
      <c r="AD721" s="1362"/>
      <c r="AE721" s="1362"/>
      <c r="AF721" s="1362"/>
      <c r="AG721" s="1363"/>
      <c r="AH721" s="1357" t="str">
        <f t="shared" si="36"/>
        <v/>
      </c>
      <c r="AI721" s="1358"/>
      <c r="AJ721" s="1359"/>
      <c r="AK721" s="1338" t="s">
        <v>591</v>
      </c>
      <c r="AL721" s="1339"/>
      <c r="AM721" s="1339"/>
      <c r="AN721" s="1339"/>
      <c r="AO721" s="1340"/>
      <c r="AP721" s="3"/>
      <c r="AQ721" s="3"/>
      <c r="AR721" s="3"/>
      <c r="AS721" s="3"/>
      <c r="AY721" s="116"/>
      <c r="AZ721" s="118" t="str">
        <f t="shared" si="9"/>
        <v>N/A</v>
      </c>
      <c r="BA721" s="3"/>
      <c r="BB721" s="3"/>
      <c r="BC721" s="3"/>
      <c r="BD721" s="3"/>
      <c r="BE721" s="204"/>
      <c r="BF721" s="294">
        <f t="shared" si="10"/>
        <v>0</v>
      </c>
      <c r="BG721" s="297">
        <f t="shared" si="11"/>
        <v>0</v>
      </c>
      <c r="BH721" s="298" t="str">
        <f t="shared" si="12"/>
        <v/>
      </c>
      <c r="BI721" s="3"/>
      <c r="BJ721" s="3"/>
      <c r="BK721" s="3"/>
      <c r="BL721" s="3"/>
      <c r="BM721" s="3"/>
      <c r="BN721" s="3"/>
      <c r="BS721" s="294">
        <f t="shared" si="13"/>
        <v>0</v>
      </c>
      <c r="BT721" s="297">
        <f t="shared" si="14"/>
        <v>0</v>
      </c>
      <c r="BU721" s="298" t="str">
        <f t="shared" si="15"/>
        <v/>
      </c>
      <c r="CC721" s="3"/>
      <c r="CD721" s="3"/>
      <c r="CE721" s="3"/>
      <c r="CF721" s="3"/>
      <c r="CG721" s="1466">
        <f t="shared" si="37"/>
        <v>0</v>
      </c>
      <c r="CH721" s="1467"/>
      <c r="CI721" s="1472">
        <f t="shared" si="38"/>
        <v>0</v>
      </c>
      <c r="CJ721" s="1473"/>
      <c r="CK721" s="1466">
        <f t="shared" si="16"/>
        <v>0</v>
      </c>
      <c r="CL721" s="1467"/>
      <c r="CM721" s="1472">
        <f t="shared" si="17"/>
        <v>0</v>
      </c>
      <c r="CN721" s="1473"/>
      <c r="CO721" s="3"/>
      <c r="CP721" s="1461">
        <f t="shared" si="18"/>
        <v>0</v>
      </c>
      <c r="CQ721" s="1462"/>
      <c r="CR721" s="1462"/>
      <c r="CS721" s="1462"/>
      <c r="CT721" s="1463"/>
      <c r="CU721" s="1446">
        <f t="shared" si="19"/>
        <v>0</v>
      </c>
      <c r="CV721" s="1446"/>
      <c r="CW721" s="1446"/>
      <c r="CX721" s="1446"/>
      <c r="CY721" s="1446"/>
      <c r="CZ721" s="1446">
        <f t="shared" si="20"/>
        <v>0</v>
      </c>
      <c r="DA721" s="1446"/>
      <c r="DB721" s="1446"/>
      <c r="DC721" s="1446"/>
      <c r="DD721" s="1446"/>
      <c r="DE721" s="1446">
        <f t="shared" si="21"/>
        <v>0</v>
      </c>
      <c r="DF721" s="1446"/>
      <c r="DG721" s="1446"/>
      <c r="DH721" s="1446"/>
      <c r="DI721" s="1446"/>
      <c r="DJ721" s="1446">
        <f t="shared" si="22"/>
        <v>0</v>
      </c>
      <c r="DK721" s="1446"/>
      <c r="DL721" s="1446"/>
      <c r="DM721" s="1446"/>
      <c r="DN721" s="1446"/>
      <c r="DO721" s="1446">
        <f t="shared" si="23"/>
        <v>0</v>
      </c>
      <c r="DP721" s="1446"/>
      <c r="DQ721" s="1446"/>
      <c r="DR721" s="1446"/>
      <c r="DS721" s="1446"/>
      <c r="DT721" s="6"/>
      <c r="DU721" s="1447">
        <f t="shared" si="24"/>
        <v>0</v>
      </c>
      <c r="DV721" s="1447"/>
      <c r="DW721" s="1447"/>
      <c r="DX721" s="1447"/>
      <c r="DY721" s="1447"/>
      <c r="DZ721" s="1447">
        <f t="shared" si="25"/>
        <v>0</v>
      </c>
      <c r="EA721" s="1447"/>
      <c r="EB721" s="1447"/>
      <c r="EC721" s="1447"/>
      <c r="ED721" s="1447"/>
      <c r="EE721" s="1447">
        <f t="shared" si="26"/>
        <v>0</v>
      </c>
      <c r="EF721" s="1447"/>
      <c r="EG721" s="1447"/>
      <c r="EH721" s="1447"/>
      <c r="EI721" s="1447"/>
      <c r="EJ721" s="1447">
        <f t="shared" si="27"/>
        <v>0</v>
      </c>
      <c r="EK721" s="1447"/>
      <c r="EL721" s="1447"/>
      <c r="EM721" s="1447"/>
      <c r="EN721" s="1447"/>
      <c r="EO721" s="1447">
        <f t="shared" si="28"/>
        <v>0</v>
      </c>
      <c r="EP721" s="1447"/>
      <c r="EQ721" s="1447"/>
      <c r="ER721" s="1447"/>
      <c r="ES721" s="1447"/>
      <c r="ET721" s="1447">
        <f t="shared" si="29"/>
        <v>0</v>
      </c>
      <c r="EU721" s="1447"/>
      <c r="EV721" s="1447"/>
      <c r="EW721" s="1447"/>
      <c r="EX721" s="1447"/>
      <c r="EZ721" s="1466" t="str">
        <f t="shared" si="30"/>
        <v/>
      </c>
      <c r="FA721" s="1468"/>
      <c r="FB721" s="1468"/>
      <c r="FC721" s="1468"/>
      <c r="FD721" s="1467"/>
      <c r="FE721" s="1466" t="str">
        <f t="shared" si="31"/>
        <v/>
      </c>
      <c r="FF721" s="1468"/>
      <c r="FG721" s="1468"/>
      <c r="FH721" s="1468"/>
      <c r="FI721" s="1467"/>
      <c r="FJ721" s="1466" t="str">
        <f t="shared" si="32"/>
        <v/>
      </c>
      <c r="FK721" s="1468"/>
      <c r="FL721" s="1468"/>
      <c r="FM721" s="1468"/>
      <c r="FN721" s="1467"/>
      <c r="FO721" s="1466" t="str">
        <f t="shared" si="33"/>
        <v/>
      </c>
      <c r="FP721" s="1468"/>
      <c r="FQ721" s="1468"/>
      <c r="FR721" s="1468"/>
      <c r="FS721" s="1467"/>
      <c r="FT721" s="1466" t="str">
        <f t="shared" si="34"/>
        <v/>
      </c>
      <c r="FU721" s="1468"/>
      <c r="FV721" s="1468"/>
      <c r="FW721" s="1468"/>
      <c r="FX721" s="1467"/>
      <c r="FY721" s="1466" t="str">
        <f t="shared" si="35"/>
        <v/>
      </c>
      <c r="FZ721" s="1468"/>
      <c r="GA721" s="1468"/>
      <c r="GB721" s="1468"/>
      <c r="GC721" s="1467"/>
    </row>
    <row r="722" spans="1:185" ht="12.95" customHeight="1">
      <c r="B722" s="1338"/>
      <c r="C722" s="1339"/>
      <c r="D722" s="1339"/>
      <c r="E722" s="1339"/>
      <c r="F722" s="1340"/>
      <c r="G722" s="1351"/>
      <c r="H722" s="1352"/>
      <c r="I722" s="1352"/>
      <c r="J722" s="1353"/>
      <c r="K722" s="1344"/>
      <c r="L722" s="1345"/>
      <c r="M722" s="1345"/>
      <c r="N722" s="1346"/>
      <c r="O722" s="1341"/>
      <c r="P722" s="1342"/>
      <c r="Q722" s="1342"/>
      <c r="R722" s="1342"/>
      <c r="S722" s="1343"/>
      <c r="T722" s="1341"/>
      <c r="U722" s="1342"/>
      <c r="V722" s="1342"/>
      <c r="W722" s="1343"/>
      <c r="X722" s="1354">
        <f t="shared" si="8"/>
        <v>0</v>
      </c>
      <c r="Y722" s="1355"/>
      <c r="Z722" s="1355"/>
      <c r="AA722" s="1355"/>
      <c r="AB722" s="1356"/>
      <c r="AC722" s="1361"/>
      <c r="AD722" s="1362"/>
      <c r="AE722" s="1362"/>
      <c r="AF722" s="1362"/>
      <c r="AG722" s="1363"/>
      <c r="AH722" s="1357" t="str">
        <f t="shared" si="36"/>
        <v/>
      </c>
      <c r="AI722" s="1358"/>
      <c r="AJ722" s="1359"/>
      <c r="AK722" s="1338" t="s">
        <v>591</v>
      </c>
      <c r="AL722" s="1339"/>
      <c r="AM722" s="1339"/>
      <c r="AN722" s="1339"/>
      <c r="AO722" s="1340"/>
      <c r="AP722" s="3"/>
      <c r="AQ722" s="3"/>
      <c r="AR722" s="3"/>
      <c r="AS722" s="3"/>
      <c r="AY722" s="116"/>
      <c r="AZ722" s="118" t="str">
        <f t="shared" si="9"/>
        <v>N/A</v>
      </c>
      <c r="BA722" s="3"/>
      <c r="BB722" s="3"/>
      <c r="BC722" s="3"/>
      <c r="BD722" s="3"/>
      <c r="BE722" s="204"/>
      <c r="BF722" s="294">
        <f t="shared" si="10"/>
        <v>0</v>
      </c>
      <c r="BG722" s="297">
        <f t="shared" si="11"/>
        <v>0</v>
      </c>
      <c r="BH722" s="298" t="str">
        <f t="shared" si="12"/>
        <v/>
      </c>
      <c r="BI722" s="3"/>
      <c r="BJ722" s="3"/>
      <c r="BK722" s="3"/>
      <c r="BL722" s="3"/>
      <c r="BM722" s="3"/>
      <c r="BN722" s="3"/>
      <c r="BS722" s="294">
        <f t="shared" si="13"/>
        <v>0</v>
      </c>
      <c r="BT722" s="297">
        <f t="shared" si="14"/>
        <v>0</v>
      </c>
      <c r="BU722" s="298" t="str">
        <f t="shared" si="15"/>
        <v/>
      </c>
      <c r="CC722" s="3"/>
      <c r="CD722" s="3"/>
      <c r="CE722" s="3"/>
      <c r="CF722" s="3"/>
      <c r="CG722" s="1466">
        <f t="shared" si="37"/>
        <v>0</v>
      </c>
      <c r="CH722" s="1467"/>
      <c r="CI722" s="1472">
        <f t="shared" si="38"/>
        <v>0</v>
      </c>
      <c r="CJ722" s="1473"/>
      <c r="CK722" s="1466">
        <f t="shared" si="16"/>
        <v>0</v>
      </c>
      <c r="CL722" s="1467"/>
      <c r="CM722" s="1472">
        <f t="shared" si="17"/>
        <v>0</v>
      </c>
      <c r="CN722" s="1473"/>
      <c r="CO722" s="3"/>
      <c r="CP722" s="1461">
        <f t="shared" si="18"/>
        <v>0</v>
      </c>
      <c r="CQ722" s="1462"/>
      <c r="CR722" s="1462"/>
      <c r="CS722" s="1462"/>
      <c r="CT722" s="1463"/>
      <c r="CU722" s="1446">
        <f t="shared" si="19"/>
        <v>0</v>
      </c>
      <c r="CV722" s="1446"/>
      <c r="CW722" s="1446"/>
      <c r="CX722" s="1446"/>
      <c r="CY722" s="1446"/>
      <c r="CZ722" s="1446">
        <f t="shared" si="20"/>
        <v>0</v>
      </c>
      <c r="DA722" s="1446"/>
      <c r="DB722" s="1446"/>
      <c r="DC722" s="1446"/>
      <c r="DD722" s="1446"/>
      <c r="DE722" s="1446">
        <f t="shared" si="21"/>
        <v>0</v>
      </c>
      <c r="DF722" s="1446"/>
      <c r="DG722" s="1446"/>
      <c r="DH722" s="1446"/>
      <c r="DI722" s="1446"/>
      <c r="DJ722" s="1446">
        <f t="shared" si="22"/>
        <v>0</v>
      </c>
      <c r="DK722" s="1446"/>
      <c r="DL722" s="1446"/>
      <c r="DM722" s="1446"/>
      <c r="DN722" s="1446"/>
      <c r="DO722" s="1446">
        <f t="shared" si="23"/>
        <v>0</v>
      </c>
      <c r="DP722" s="1446"/>
      <c r="DQ722" s="1446"/>
      <c r="DR722" s="1446"/>
      <c r="DS722" s="1446"/>
      <c r="DT722" s="6"/>
      <c r="DU722" s="1447">
        <f t="shared" si="24"/>
        <v>0</v>
      </c>
      <c r="DV722" s="1447"/>
      <c r="DW722" s="1447"/>
      <c r="DX722" s="1447"/>
      <c r="DY722" s="1447"/>
      <c r="DZ722" s="1447">
        <f t="shared" si="25"/>
        <v>0</v>
      </c>
      <c r="EA722" s="1447"/>
      <c r="EB722" s="1447"/>
      <c r="EC722" s="1447"/>
      <c r="ED722" s="1447"/>
      <c r="EE722" s="1447">
        <f t="shared" si="26"/>
        <v>0</v>
      </c>
      <c r="EF722" s="1447"/>
      <c r="EG722" s="1447"/>
      <c r="EH722" s="1447"/>
      <c r="EI722" s="1447"/>
      <c r="EJ722" s="1447">
        <f t="shared" si="27"/>
        <v>0</v>
      </c>
      <c r="EK722" s="1447"/>
      <c r="EL722" s="1447"/>
      <c r="EM722" s="1447"/>
      <c r="EN722" s="1447"/>
      <c r="EO722" s="1447">
        <f t="shared" si="28"/>
        <v>0</v>
      </c>
      <c r="EP722" s="1447"/>
      <c r="EQ722" s="1447"/>
      <c r="ER722" s="1447"/>
      <c r="ES722" s="1447"/>
      <c r="ET722" s="1447">
        <f t="shared" si="29"/>
        <v>0</v>
      </c>
      <c r="EU722" s="1447"/>
      <c r="EV722" s="1447"/>
      <c r="EW722" s="1447"/>
      <c r="EX722" s="1447"/>
      <c r="EZ722" s="1466" t="str">
        <f t="shared" si="30"/>
        <v/>
      </c>
      <c r="FA722" s="1468"/>
      <c r="FB722" s="1468"/>
      <c r="FC722" s="1468"/>
      <c r="FD722" s="1467"/>
      <c r="FE722" s="1466" t="str">
        <f t="shared" si="31"/>
        <v/>
      </c>
      <c r="FF722" s="1468"/>
      <c r="FG722" s="1468"/>
      <c r="FH722" s="1468"/>
      <c r="FI722" s="1467"/>
      <c r="FJ722" s="1466" t="str">
        <f t="shared" si="32"/>
        <v/>
      </c>
      <c r="FK722" s="1468"/>
      <c r="FL722" s="1468"/>
      <c r="FM722" s="1468"/>
      <c r="FN722" s="1467"/>
      <c r="FO722" s="1466" t="str">
        <f t="shared" si="33"/>
        <v/>
      </c>
      <c r="FP722" s="1468"/>
      <c r="FQ722" s="1468"/>
      <c r="FR722" s="1468"/>
      <c r="FS722" s="1467"/>
      <c r="FT722" s="1466" t="str">
        <f t="shared" si="34"/>
        <v/>
      </c>
      <c r="FU722" s="1468"/>
      <c r="FV722" s="1468"/>
      <c r="FW722" s="1468"/>
      <c r="FX722" s="1467"/>
      <c r="FY722" s="1466" t="str">
        <f t="shared" si="35"/>
        <v/>
      </c>
      <c r="FZ722" s="1468"/>
      <c r="GA722" s="1468"/>
      <c r="GB722" s="1468"/>
      <c r="GC722" s="1467"/>
    </row>
    <row r="723" spans="1:185" ht="12.95" customHeight="1">
      <c r="B723" s="1338"/>
      <c r="C723" s="1339"/>
      <c r="D723" s="1339"/>
      <c r="E723" s="1339"/>
      <c r="F723" s="1340"/>
      <c r="G723" s="1351"/>
      <c r="H723" s="1352"/>
      <c r="I723" s="1352"/>
      <c r="J723" s="1353"/>
      <c r="K723" s="1344"/>
      <c r="L723" s="1345"/>
      <c r="M723" s="1345"/>
      <c r="N723" s="1346"/>
      <c r="O723" s="1341"/>
      <c r="P723" s="1342"/>
      <c r="Q723" s="1342"/>
      <c r="R723" s="1342"/>
      <c r="S723" s="1343"/>
      <c r="T723" s="1341"/>
      <c r="U723" s="1342"/>
      <c r="V723" s="1342"/>
      <c r="W723" s="1343"/>
      <c r="X723" s="1354">
        <f t="shared" si="8"/>
        <v>0</v>
      </c>
      <c r="Y723" s="1355"/>
      <c r="Z723" s="1355"/>
      <c r="AA723" s="1355"/>
      <c r="AB723" s="1356"/>
      <c r="AC723" s="1361"/>
      <c r="AD723" s="1362"/>
      <c r="AE723" s="1362"/>
      <c r="AF723" s="1362"/>
      <c r="AG723" s="1363"/>
      <c r="AH723" s="1357" t="str">
        <f t="shared" si="36"/>
        <v/>
      </c>
      <c r="AI723" s="1358"/>
      <c r="AJ723" s="1359"/>
      <c r="AK723" s="1338" t="s">
        <v>591</v>
      </c>
      <c r="AL723" s="1339"/>
      <c r="AM723" s="1339"/>
      <c r="AN723" s="1339"/>
      <c r="AO723" s="1340"/>
      <c r="AP723" s="3"/>
      <c r="AQ723" s="3"/>
      <c r="AR723" s="3"/>
      <c r="AS723" s="3"/>
      <c r="AY723" s="116"/>
      <c r="AZ723" s="118" t="str">
        <f t="shared" si="9"/>
        <v>N/A</v>
      </c>
      <c r="BA723" s="3"/>
      <c r="BB723" s="3"/>
      <c r="BC723" s="3"/>
      <c r="BD723" s="3"/>
      <c r="BE723" s="204"/>
      <c r="BF723" s="294">
        <f t="shared" si="10"/>
        <v>0</v>
      </c>
      <c r="BG723" s="297">
        <f t="shared" si="11"/>
        <v>0</v>
      </c>
      <c r="BH723" s="298" t="str">
        <f t="shared" si="12"/>
        <v/>
      </c>
      <c r="BI723" s="3"/>
      <c r="BJ723" s="3"/>
      <c r="BK723" s="3"/>
      <c r="BL723" s="3"/>
      <c r="BM723" s="3"/>
      <c r="BN723" s="3"/>
      <c r="BS723" s="294">
        <f t="shared" si="13"/>
        <v>0</v>
      </c>
      <c r="BT723" s="297">
        <f t="shared" si="14"/>
        <v>0</v>
      </c>
      <c r="BU723" s="298" t="str">
        <f t="shared" si="15"/>
        <v/>
      </c>
      <c r="CC723" s="3"/>
      <c r="CD723" s="3"/>
      <c r="CE723" s="3"/>
      <c r="CF723" s="3"/>
      <c r="CG723" s="1466">
        <f t="shared" si="37"/>
        <v>0</v>
      </c>
      <c r="CH723" s="1467"/>
      <c r="CI723" s="1472">
        <f t="shared" si="38"/>
        <v>0</v>
      </c>
      <c r="CJ723" s="1473"/>
      <c r="CK723" s="1466">
        <f t="shared" si="16"/>
        <v>0</v>
      </c>
      <c r="CL723" s="1467"/>
      <c r="CM723" s="1472">
        <f t="shared" si="17"/>
        <v>0</v>
      </c>
      <c r="CN723" s="1473"/>
      <c r="CO723" s="3"/>
      <c r="CP723" s="1461">
        <f t="shared" si="18"/>
        <v>0</v>
      </c>
      <c r="CQ723" s="1462"/>
      <c r="CR723" s="1462"/>
      <c r="CS723" s="1462"/>
      <c r="CT723" s="1463"/>
      <c r="CU723" s="1446">
        <f t="shared" si="19"/>
        <v>0</v>
      </c>
      <c r="CV723" s="1446"/>
      <c r="CW723" s="1446"/>
      <c r="CX723" s="1446"/>
      <c r="CY723" s="1446"/>
      <c r="CZ723" s="1446">
        <f t="shared" si="20"/>
        <v>0</v>
      </c>
      <c r="DA723" s="1446"/>
      <c r="DB723" s="1446"/>
      <c r="DC723" s="1446"/>
      <c r="DD723" s="1446"/>
      <c r="DE723" s="1446">
        <f t="shared" si="21"/>
        <v>0</v>
      </c>
      <c r="DF723" s="1446"/>
      <c r="DG723" s="1446"/>
      <c r="DH723" s="1446"/>
      <c r="DI723" s="1446"/>
      <c r="DJ723" s="1446">
        <f t="shared" si="22"/>
        <v>0</v>
      </c>
      <c r="DK723" s="1446"/>
      <c r="DL723" s="1446"/>
      <c r="DM723" s="1446"/>
      <c r="DN723" s="1446"/>
      <c r="DO723" s="1446">
        <f t="shared" si="23"/>
        <v>0</v>
      </c>
      <c r="DP723" s="1446"/>
      <c r="DQ723" s="1446"/>
      <c r="DR723" s="1446"/>
      <c r="DS723" s="1446"/>
      <c r="DT723" s="6"/>
      <c r="DU723" s="1447">
        <f t="shared" si="24"/>
        <v>0</v>
      </c>
      <c r="DV723" s="1447"/>
      <c r="DW723" s="1447"/>
      <c r="DX723" s="1447"/>
      <c r="DY723" s="1447"/>
      <c r="DZ723" s="1447">
        <f t="shared" si="25"/>
        <v>0</v>
      </c>
      <c r="EA723" s="1447"/>
      <c r="EB723" s="1447"/>
      <c r="EC723" s="1447"/>
      <c r="ED723" s="1447"/>
      <c r="EE723" s="1447">
        <f t="shared" si="26"/>
        <v>0</v>
      </c>
      <c r="EF723" s="1447"/>
      <c r="EG723" s="1447"/>
      <c r="EH723" s="1447"/>
      <c r="EI723" s="1447"/>
      <c r="EJ723" s="1447">
        <f t="shared" si="27"/>
        <v>0</v>
      </c>
      <c r="EK723" s="1447"/>
      <c r="EL723" s="1447"/>
      <c r="EM723" s="1447"/>
      <c r="EN723" s="1447"/>
      <c r="EO723" s="1447">
        <f t="shared" si="28"/>
        <v>0</v>
      </c>
      <c r="EP723" s="1447"/>
      <c r="EQ723" s="1447"/>
      <c r="ER723" s="1447"/>
      <c r="ES723" s="1447"/>
      <c r="ET723" s="1447">
        <f t="shared" si="29"/>
        <v>0</v>
      </c>
      <c r="EU723" s="1447"/>
      <c r="EV723" s="1447"/>
      <c r="EW723" s="1447"/>
      <c r="EX723" s="1447"/>
      <c r="EZ723" s="1466" t="str">
        <f t="shared" si="30"/>
        <v/>
      </c>
      <c r="FA723" s="1468"/>
      <c r="FB723" s="1468"/>
      <c r="FC723" s="1468"/>
      <c r="FD723" s="1467"/>
      <c r="FE723" s="1466" t="str">
        <f t="shared" si="31"/>
        <v/>
      </c>
      <c r="FF723" s="1468"/>
      <c r="FG723" s="1468"/>
      <c r="FH723" s="1468"/>
      <c r="FI723" s="1467"/>
      <c r="FJ723" s="1466" t="str">
        <f t="shared" si="32"/>
        <v/>
      </c>
      <c r="FK723" s="1468"/>
      <c r="FL723" s="1468"/>
      <c r="FM723" s="1468"/>
      <c r="FN723" s="1467"/>
      <c r="FO723" s="1466" t="str">
        <f t="shared" si="33"/>
        <v/>
      </c>
      <c r="FP723" s="1468"/>
      <c r="FQ723" s="1468"/>
      <c r="FR723" s="1468"/>
      <c r="FS723" s="1467"/>
      <c r="FT723" s="1466" t="str">
        <f t="shared" si="34"/>
        <v/>
      </c>
      <c r="FU723" s="1468"/>
      <c r="FV723" s="1468"/>
      <c r="FW723" s="1468"/>
      <c r="FX723" s="1467"/>
      <c r="FY723" s="1466" t="str">
        <f t="shared" si="35"/>
        <v/>
      </c>
      <c r="FZ723" s="1468"/>
      <c r="GA723" s="1468"/>
      <c r="GB723" s="1468"/>
      <c r="GC723" s="1467"/>
    </row>
    <row r="724" spans="1:185" ht="12.95" customHeight="1">
      <c r="B724" s="1338"/>
      <c r="C724" s="1339"/>
      <c r="D724" s="1339"/>
      <c r="E724" s="1339"/>
      <c r="F724" s="1340"/>
      <c r="G724" s="1351"/>
      <c r="H724" s="1352"/>
      <c r="I724" s="1352"/>
      <c r="J724" s="1353"/>
      <c r="K724" s="1344"/>
      <c r="L724" s="1345"/>
      <c r="M724" s="1345"/>
      <c r="N724" s="1346"/>
      <c r="O724" s="1341"/>
      <c r="P724" s="1342"/>
      <c r="Q724" s="1342"/>
      <c r="R724" s="1342"/>
      <c r="S724" s="1343"/>
      <c r="T724" s="1341"/>
      <c r="U724" s="1342"/>
      <c r="V724" s="1342"/>
      <c r="W724" s="1343"/>
      <c r="X724" s="1354">
        <f t="shared" si="8"/>
        <v>0</v>
      </c>
      <c r="Y724" s="1355"/>
      <c r="Z724" s="1355"/>
      <c r="AA724" s="1355"/>
      <c r="AB724" s="1356"/>
      <c r="AC724" s="1361"/>
      <c r="AD724" s="1362"/>
      <c r="AE724" s="1362"/>
      <c r="AF724" s="1362"/>
      <c r="AG724" s="1363"/>
      <c r="AH724" s="1357" t="str">
        <f t="shared" si="36"/>
        <v/>
      </c>
      <c r="AI724" s="1358"/>
      <c r="AJ724" s="1359"/>
      <c r="AK724" s="1338" t="s">
        <v>591</v>
      </c>
      <c r="AL724" s="1339"/>
      <c r="AM724" s="1339"/>
      <c r="AN724" s="1339"/>
      <c r="AO724" s="1340"/>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466">
        <f t="shared" si="37"/>
        <v>0</v>
      </c>
      <c r="CH724" s="1467"/>
      <c r="CI724" s="1472">
        <f t="shared" si="38"/>
        <v>0</v>
      </c>
      <c r="CJ724" s="1473"/>
      <c r="CK724" s="1466">
        <f t="shared" si="16"/>
        <v>0</v>
      </c>
      <c r="CL724" s="1467"/>
      <c r="CM724" s="1472">
        <f t="shared" si="17"/>
        <v>0</v>
      </c>
      <c r="CN724" s="1473"/>
      <c r="CO724" s="3"/>
      <c r="CP724" s="1461">
        <f t="shared" si="18"/>
        <v>0</v>
      </c>
      <c r="CQ724" s="1462"/>
      <c r="CR724" s="1462"/>
      <c r="CS724" s="1462"/>
      <c r="CT724" s="1463"/>
      <c r="CU724" s="1446">
        <f t="shared" si="19"/>
        <v>0</v>
      </c>
      <c r="CV724" s="1446"/>
      <c r="CW724" s="1446"/>
      <c r="CX724" s="1446"/>
      <c r="CY724" s="1446"/>
      <c r="CZ724" s="1446">
        <f t="shared" si="20"/>
        <v>0</v>
      </c>
      <c r="DA724" s="1446"/>
      <c r="DB724" s="1446"/>
      <c r="DC724" s="1446"/>
      <c r="DD724" s="1446"/>
      <c r="DE724" s="1446">
        <f t="shared" si="21"/>
        <v>0</v>
      </c>
      <c r="DF724" s="1446"/>
      <c r="DG724" s="1446"/>
      <c r="DH724" s="1446"/>
      <c r="DI724" s="1446"/>
      <c r="DJ724" s="1446">
        <f t="shared" si="22"/>
        <v>0</v>
      </c>
      <c r="DK724" s="1446"/>
      <c r="DL724" s="1446"/>
      <c r="DM724" s="1446"/>
      <c r="DN724" s="1446"/>
      <c r="DO724" s="1446">
        <f t="shared" si="23"/>
        <v>0</v>
      </c>
      <c r="DP724" s="1446"/>
      <c r="DQ724" s="1446"/>
      <c r="DR724" s="1446"/>
      <c r="DS724" s="1446"/>
      <c r="DT724" s="6"/>
      <c r="DU724" s="1447">
        <f t="shared" si="24"/>
        <v>0</v>
      </c>
      <c r="DV724" s="1447"/>
      <c r="DW724" s="1447"/>
      <c r="DX724" s="1447"/>
      <c r="DY724" s="1447"/>
      <c r="DZ724" s="1447">
        <f t="shared" si="25"/>
        <v>0</v>
      </c>
      <c r="EA724" s="1447"/>
      <c r="EB724" s="1447"/>
      <c r="EC724" s="1447"/>
      <c r="ED724" s="1447"/>
      <c r="EE724" s="1447">
        <f t="shared" si="26"/>
        <v>0</v>
      </c>
      <c r="EF724" s="1447"/>
      <c r="EG724" s="1447"/>
      <c r="EH724" s="1447"/>
      <c r="EI724" s="1447"/>
      <c r="EJ724" s="1447">
        <f t="shared" si="27"/>
        <v>0</v>
      </c>
      <c r="EK724" s="1447"/>
      <c r="EL724" s="1447"/>
      <c r="EM724" s="1447"/>
      <c r="EN724" s="1447"/>
      <c r="EO724" s="1447">
        <f t="shared" si="28"/>
        <v>0</v>
      </c>
      <c r="EP724" s="1447"/>
      <c r="EQ724" s="1447"/>
      <c r="ER724" s="1447"/>
      <c r="ES724" s="1447"/>
      <c r="ET724" s="1447">
        <f t="shared" si="29"/>
        <v>0</v>
      </c>
      <c r="EU724" s="1447"/>
      <c r="EV724" s="1447"/>
      <c r="EW724" s="1447"/>
      <c r="EX724" s="1447"/>
      <c r="EZ724" s="1466" t="str">
        <f t="shared" si="30"/>
        <v/>
      </c>
      <c r="FA724" s="1468"/>
      <c r="FB724" s="1468"/>
      <c r="FC724" s="1468"/>
      <c r="FD724" s="1467"/>
      <c r="FE724" s="1466" t="str">
        <f t="shared" si="31"/>
        <v/>
      </c>
      <c r="FF724" s="1468"/>
      <c r="FG724" s="1468"/>
      <c r="FH724" s="1468"/>
      <c r="FI724" s="1467"/>
      <c r="FJ724" s="1466" t="str">
        <f t="shared" si="32"/>
        <v/>
      </c>
      <c r="FK724" s="1468"/>
      <c r="FL724" s="1468"/>
      <c r="FM724" s="1468"/>
      <c r="FN724" s="1467"/>
      <c r="FO724" s="1466" t="str">
        <f t="shared" si="33"/>
        <v/>
      </c>
      <c r="FP724" s="1468"/>
      <c r="FQ724" s="1468"/>
      <c r="FR724" s="1468"/>
      <c r="FS724" s="1467"/>
      <c r="FT724" s="1466" t="str">
        <f t="shared" si="34"/>
        <v/>
      </c>
      <c r="FU724" s="1468"/>
      <c r="FV724" s="1468"/>
      <c r="FW724" s="1468"/>
      <c r="FX724" s="1467"/>
      <c r="FY724" s="1466" t="str">
        <f t="shared" si="35"/>
        <v/>
      </c>
      <c r="FZ724" s="1468"/>
      <c r="GA724" s="1468"/>
      <c r="GB724" s="1468"/>
      <c r="GC724" s="1467"/>
    </row>
    <row r="725" spans="1:185" ht="12.95" customHeight="1">
      <c r="B725" s="1338"/>
      <c r="C725" s="1339"/>
      <c r="D725" s="1339"/>
      <c r="E725" s="1339"/>
      <c r="F725" s="1340"/>
      <c r="G725" s="1351"/>
      <c r="H725" s="1352"/>
      <c r="I725" s="1352"/>
      <c r="J725" s="1353"/>
      <c r="K725" s="1344"/>
      <c r="L725" s="1345"/>
      <c r="M725" s="1345"/>
      <c r="N725" s="1346"/>
      <c r="O725" s="1341"/>
      <c r="P725" s="1342"/>
      <c r="Q725" s="1342"/>
      <c r="R725" s="1342"/>
      <c r="S725" s="1343"/>
      <c r="T725" s="1341"/>
      <c r="U725" s="1342"/>
      <c r="V725" s="1342"/>
      <c r="W725" s="1343"/>
      <c r="X725" s="1354">
        <f t="shared" si="8"/>
        <v>0</v>
      </c>
      <c r="Y725" s="1355"/>
      <c r="Z725" s="1355"/>
      <c r="AA725" s="1355"/>
      <c r="AB725" s="1356"/>
      <c r="AC725" s="1361"/>
      <c r="AD725" s="1362"/>
      <c r="AE725" s="1362"/>
      <c r="AF725" s="1362"/>
      <c r="AG725" s="1363"/>
      <c r="AH725" s="1357" t="str">
        <f t="shared" si="36"/>
        <v/>
      </c>
      <c r="AI725" s="1358"/>
      <c r="AJ725" s="1359"/>
      <c r="AK725" s="1338" t="s">
        <v>591</v>
      </c>
      <c r="AL725" s="1339"/>
      <c r="AM725" s="1339"/>
      <c r="AN725" s="1339"/>
      <c r="AO725" s="1340"/>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466">
        <f t="shared" si="37"/>
        <v>0</v>
      </c>
      <c r="CH725" s="1467"/>
      <c r="CI725" s="1472">
        <f t="shared" si="38"/>
        <v>0</v>
      </c>
      <c r="CJ725" s="1473"/>
      <c r="CK725" s="1466">
        <f t="shared" si="16"/>
        <v>0</v>
      </c>
      <c r="CL725" s="1467"/>
      <c r="CM725" s="1472">
        <f t="shared" si="17"/>
        <v>0</v>
      </c>
      <c r="CN725" s="1473"/>
      <c r="CO725" s="3"/>
      <c r="CP725" s="1461">
        <f t="shared" si="18"/>
        <v>0</v>
      </c>
      <c r="CQ725" s="1462"/>
      <c r="CR725" s="1462"/>
      <c r="CS725" s="1462"/>
      <c r="CT725" s="1463"/>
      <c r="CU725" s="1446">
        <f t="shared" si="19"/>
        <v>0</v>
      </c>
      <c r="CV725" s="1446"/>
      <c r="CW725" s="1446"/>
      <c r="CX725" s="1446"/>
      <c r="CY725" s="1446"/>
      <c r="CZ725" s="1446">
        <f t="shared" si="20"/>
        <v>0</v>
      </c>
      <c r="DA725" s="1446"/>
      <c r="DB725" s="1446"/>
      <c r="DC725" s="1446"/>
      <c r="DD725" s="1446"/>
      <c r="DE725" s="1446">
        <f t="shared" si="21"/>
        <v>0</v>
      </c>
      <c r="DF725" s="1446"/>
      <c r="DG725" s="1446"/>
      <c r="DH725" s="1446"/>
      <c r="DI725" s="1446"/>
      <c r="DJ725" s="1446">
        <f t="shared" si="22"/>
        <v>0</v>
      </c>
      <c r="DK725" s="1446"/>
      <c r="DL725" s="1446"/>
      <c r="DM725" s="1446"/>
      <c r="DN725" s="1446"/>
      <c r="DO725" s="1446">
        <f t="shared" si="23"/>
        <v>0</v>
      </c>
      <c r="DP725" s="1446"/>
      <c r="DQ725" s="1446"/>
      <c r="DR725" s="1446"/>
      <c r="DS725" s="1446"/>
      <c r="DT725" s="6"/>
      <c r="DU725" s="1447">
        <f t="shared" si="24"/>
        <v>0</v>
      </c>
      <c r="DV725" s="1447"/>
      <c r="DW725" s="1447"/>
      <c r="DX725" s="1447"/>
      <c r="DY725" s="1447"/>
      <c r="DZ725" s="1447">
        <f t="shared" si="25"/>
        <v>0</v>
      </c>
      <c r="EA725" s="1447"/>
      <c r="EB725" s="1447"/>
      <c r="EC725" s="1447"/>
      <c r="ED725" s="1447"/>
      <c r="EE725" s="1447">
        <f t="shared" si="26"/>
        <v>0</v>
      </c>
      <c r="EF725" s="1447"/>
      <c r="EG725" s="1447"/>
      <c r="EH725" s="1447"/>
      <c r="EI725" s="1447"/>
      <c r="EJ725" s="1447">
        <f t="shared" si="27"/>
        <v>0</v>
      </c>
      <c r="EK725" s="1447"/>
      <c r="EL725" s="1447"/>
      <c r="EM725" s="1447"/>
      <c r="EN725" s="1447"/>
      <c r="EO725" s="1447">
        <f t="shared" si="28"/>
        <v>0</v>
      </c>
      <c r="EP725" s="1447"/>
      <c r="EQ725" s="1447"/>
      <c r="ER725" s="1447"/>
      <c r="ES725" s="1447"/>
      <c r="ET725" s="1447">
        <f t="shared" si="29"/>
        <v>0</v>
      </c>
      <c r="EU725" s="1447"/>
      <c r="EV725" s="1447"/>
      <c r="EW725" s="1447"/>
      <c r="EX725" s="1447"/>
      <c r="EZ725" s="1466" t="str">
        <f t="shared" si="30"/>
        <v/>
      </c>
      <c r="FA725" s="1468"/>
      <c r="FB725" s="1468"/>
      <c r="FC725" s="1468"/>
      <c r="FD725" s="1467"/>
      <c r="FE725" s="1466" t="str">
        <f t="shared" si="31"/>
        <v/>
      </c>
      <c r="FF725" s="1468"/>
      <c r="FG725" s="1468"/>
      <c r="FH725" s="1468"/>
      <c r="FI725" s="1467"/>
      <c r="FJ725" s="1466" t="str">
        <f t="shared" si="32"/>
        <v/>
      </c>
      <c r="FK725" s="1468"/>
      <c r="FL725" s="1468"/>
      <c r="FM725" s="1468"/>
      <c r="FN725" s="1467"/>
      <c r="FO725" s="1466" t="str">
        <f t="shared" si="33"/>
        <v/>
      </c>
      <c r="FP725" s="1468"/>
      <c r="FQ725" s="1468"/>
      <c r="FR725" s="1468"/>
      <c r="FS725" s="1467"/>
      <c r="FT725" s="1466" t="str">
        <f t="shared" si="34"/>
        <v/>
      </c>
      <c r="FU725" s="1468"/>
      <c r="FV725" s="1468"/>
      <c r="FW725" s="1468"/>
      <c r="FX725" s="1467"/>
      <c r="FY725" s="1466" t="str">
        <f t="shared" si="35"/>
        <v/>
      </c>
      <c r="FZ725" s="1468"/>
      <c r="GA725" s="1468"/>
      <c r="GB725" s="1468"/>
      <c r="GC725" s="1467"/>
    </row>
    <row r="726" spans="1:185" ht="12.95" customHeight="1">
      <c r="B726" s="1338"/>
      <c r="C726" s="1339"/>
      <c r="D726" s="1339"/>
      <c r="E726" s="1339"/>
      <c r="F726" s="1340"/>
      <c r="G726" s="1351"/>
      <c r="H726" s="1352"/>
      <c r="I726" s="1352"/>
      <c r="J726" s="1353"/>
      <c r="K726" s="1344"/>
      <c r="L726" s="1345"/>
      <c r="M726" s="1345"/>
      <c r="N726" s="1346"/>
      <c r="O726" s="1341"/>
      <c r="P726" s="1342"/>
      <c r="Q726" s="1342"/>
      <c r="R726" s="1342"/>
      <c r="S726" s="1343"/>
      <c r="T726" s="1341"/>
      <c r="U726" s="1342"/>
      <c r="V726" s="1342"/>
      <c r="W726" s="1343"/>
      <c r="X726" s="1354">
        <f t="shared" si="8"/>
        <v>0</v>
      </c>
      <c r="Y726" s="1355"/>
      <c r="Z726" s="1355"/>
      <c r="AA726" s="1355"/>
      <c r="AB726" s="1356"/>
      <c r="AC726" s="1361"/>
      <c r="AD726" s="1362"/>
      <c r="AE726" s="1362"/>
      <c r="AF726" s="1362"/>
      <c r="AG726" s="1363"/>
      <c r="AH726" s="1357" t="str">
        <f t="shared" si="36"/>
        <v/>
      </c>
      <c r="AI726" s="1358"/>
      <c r="AJ726" s="1359"/>
      <c r="AK726" s="1338" t="s">
        <v>591</v>
      </c>
      <c r="AL726" s="1339"/>
      <c r="AM726" s="1339"/>
      <c r="AN726" s="1339"/>
      <c r="AO726" s="1340"/>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466">
        <f t="shared" si="37"/>
        <v>0</v>
      </c>
      <c r="CH726" s="1467"/>
      <c r="CI726" s="1472">
        <f t="shared" si="38"/>
        <v>0</v>
      </c>
      <c r="CJ726" s="1473"/>
      <c r="CK726" s="1466">
        <f t="shared" si="16"/>
        <v>0</v>
      </c>
      <c r="CL726" s="1467"/>
      <c r="CM726" s="1472">
        <f t="shared" si="17"/>
        <v>0</v>
      </c>
      <c r="CN726" s="1473"/>
      <c r="CO726" s="3"/>
      <c r="CP726" s="1461">
        <f t="shared" si="18"/>
        <v>0</v>
      </c>
      <c r="CQ726" s="1462"/>
      <c r="CR726" s="1462"/>
      <c r="CS726" s="1462"/>
      <c r="CT726" s="1463"/>
      <c r="CU726" s="1446">
        <f t="shared" si="19"/>
        <v>0</v>
      </c>
      <c r="CV726" s="1446"/>
      <c r="CW726" s="1446"/>
      <c r="CX726" s="1446"/>
      <c r="CY726" s="1446"/>
      <c r="CZ726" s="1446">
        <f t="shared" si="20"/>
        <v>0</v>
      </c>
      <c r="DA726" s="1446"/>
      <c r="DB726" s="1446"/>
      <c r="DC726" s="1446"/>
      <c r="DD726" s="1446"/>
      <c r="DE726" s="1446">
        <f t="shared" si="21"/>
        <v>0</v>
      </c>
      <c r="DF726" s="1446"/>
      <c r="DG726" s="1446"/>
      <c r="DH726" s="1446"/>
      <c r="DI726" s="1446"/>
      <c r="DJ726" s="1446">
        <f t="shared" si="22"/>
        <v>0</v>
      </c>
      <c r="DK726" s="1446"/>
      <c r="DL726" s="1446"/>
      <c r="DM726" s="1446"/>
      <c r="DN726" s="1446"/>
      <c r="DO726" s="1446">
        <f t="shared" si="23"/>
        <v>0</v>
      </c>
      <c r="DP726" s="1446"/>
      <c r="DQ726" s="1446"/>
      <c r="DR726" s="1446"/>
      <c r="DS726" s="1446"/>
      <c r="DT726" s="6"/>
      <c r="DU726" s="1447">
        <f t="shared" si="24"/>
        <v>0</v>
      </c>
      <c r="DV726" s="1447"/>
      <c r="DW726" s="1447"/>
      <c r="DX726" s="1447"/>
      <c r="DY726" s="1447"/>
      <c r="DZ726" s="1447">
        <f t="shared" si="25"/>
        <v>0</v>
      </c>
      <c r="EA726" s="1447"/>
      <c r="EB726" s="1447"/>
      <c r="EC726" s="1447"/>
      <c r="ED726" s="1447"/>
      <c r="EE726" s="1447">
        <f t="shared" si="26"/>
        <v>0</v>
      </c>
      <c r="EF726" s="1447"/>
      <c r="EG726" s="1447"/>
      <c r="EH726" s="1447"/>
      <c r="EI726" s="1447"/>
      <c r="EJ726" s="1447">
        <f t="shared" si="27"/>
        <v>0</v>
      </c>
      <c r="EK726" s="1447"/>
      <c r="EL726" s="1447"/>
      <c r="EM726" s="1447"/>
      <c r="EN726" s="1447"/>
      <c r="EO726" s="1447">
        <f t="shared" si="28"/>
        <v>0</v>
      </c>
      <c r="EP726" s="1447"/>
      <c r="EQ726" s="1447"/>
      <c r="ER726" s="1447"/>
      <c r="ES726" s="1447"/>
      <c r="ET726" s="1447">
        <f t="shared" si="29"/>
        <v>0</v>
      </c>
      <c r="EU726" s="1447"/>
      <c r="EV726" s="1447"/>
      <c r="EW726" s="1447"/>
      <c r="EX726" s="1447"/>
      <c r="EY726" s="4"/>
      <c r="EZ726" s="1466" t="str">
        <f t="shared" si="30"/>
        <v/>
      </c>
      <c r="FA726" s="1468"/>
      <c r="FB726" s="1468"/>
      <c r="FC726" s="1468"/>
      <c r="FD726" s="1467"/>
      <c r="FE726" s="1466" t="str">
        <f t="shared" si="31"/>
        <v/>
      </c>
      <c r="FF726" s="1468"/>
      <c r="FG726" s="1468"/>
      <c r="FH726" s="1468"/>
      <c r="FI726" s="1467"/>
      <c r="FJ726" s="1466" t="str">
        <f t="shared" si="32"/>
        <v/>
      </c>
      <c r="FK726" s="1468"/>
      <c r="FL726" s="1468"/>
      <c r="FM726" s="1468"/>
      <c r="FN726" s="1467"/>
      <c r="FO726" s="1466" t="str">
        <f t="shared" si="33"/>
        <v/>
      </c>
      <c r="FP726" s="1468"/>
      <c r="FQ726" s="1468"/>
      <c r="FR726" s="1468"/>
      <c r="FS726" s="1467"/>
      <c r="FT726" s="1466" t="str">
        <f t="shared" si="34"/>
        <v/>
      </c>
      <c r="FU726" s="1468"/>
      <c r="FV726" s="1468"/>
      <c r="FW726" s="1468"/>
      <c r="FX726" s="1467"/>
      <c r="FY726" s="1466" t="str">
        <f t="shared" si="35"/>
        <v/>
      </c>
      <c r="FZ726" s="1468"/>
      <c r="GA726" s="1468"/>
      <c r="GB726" s="1468"/>
      <c r="GC726" s="1467"/>
    </row>
    <row r="727" spans="1:185" ht="12.95" customHeight="1">
      <c r="A727" s="4"/>
      <c r="B727" s="1338"/>
      <c r="C727" s="1339"/>
      <c r="D727" s="1339"/>
      <c r="E727" s="1339"/>
      <c r="F727" s="1340"/>
      <c r="G727" s="1351"/>
      <c r="H727" s="1352"/>
      <c r="I727" s="1352"/>
      <c r="J727" s="1353"/>
      <c r="K727" s="1344"/>
      <c r="L727" s="1345"/>
      <c r="M727" s="1345"/>
      <c r="N727" s="1346"/>
      <c r="O727" s="1341"/>
      <c r="P727" s="1342"/>
      <c r="Q727" s="1342"/>
      <c r="R727" s="1342"/>
      <c r="S727" s="1343"/>
      <c r="T727" s="1341"/>
      <c r="U727" s="1342"/>
      <c r="V727" s="1342"/>
      <c r="W727" s="1343"/>
      <c r="X727" s="1354">
        <f t="shared" si="8"/>
        <v>0</v>
      </c>
      <c r="Y727" s="1355"/>
      <c r="Z727" s="1355"/>
      <c r="AA727" s="1355"/>
      <c r="AB727" s="1356"/>
      <c r="AC727" s="1361"/>
      <c r="AD727" s="1362"/>
      <c r="AE727" s="1362"/>
      <c r="AF727" s="1362"/>
      <c r="AG727" s="1363"/>
      <c r="AH727" s="1357" t="str">
        <f t="shared" si="36"/>
        <v/>
      </c>
      <c r="AI727" s="1358"/>
      <c r="AJ727" s="1359"/>
      <c r="AK727" s="1338" t="s">
        <v>591</v>
      </c>
      <c r="AL727" s="1339"/>
      <c r="AM727" s="1339"/>
      <c r="AN727" s="1339"/>
      <c r="AO727" s="1340"/>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466">
        <f t="shared" si="37"/>
        <v>0</v>
      </c>
      <c r="CH727" s="1467"/>
      <c r="CI727" s="1472">
        <f t="shared" si="38"/>
        <v>0</v>
      </c>
      <c r="CJ727" s="1473"/>
      <c r="CK727" s="1466">
        <f t="shared" si="16"/>
        <v>0</v>
      </c>
      <c r="CL727" s="1467"/>
      <c r="CM727" s="1472">
        <f t="shared" si="17"/>
        <v>0</v>
      </c>
      <c r="CN727" s="1473"/>
      <c r="CO727" s="3"/>
      <c r="CP727" s="1461">
        <f t="shared" si="18"/>
        <v>0</v>
      </c>
      <c r="CQ727" s="1462"/>
      <c r="CR727" s="1462"/>
      <c r="CS727" s="1462"/>
      <c r="CT727" s="1463"/>
      <c r="CU727" s="1446">
        <f t="shared" si="19"/>
        <v>0</v>
      </c>
      <c r="CV727" s="1446"/>
      <c r="CW727" s="1446"/>
      <c r="CX727" s="1446"/>
      <c r="CY727" s="1446"/>
      <c r="CZ727" s="1446">
        <f t="shared" si="20"/>
        <v>0</v>
      </c>
      <c r="DA727" s="1446"/>
      <c r="DB727" s="1446"/>
      <c r="DC727" s="1446"/>
      <c r="DD727" s="1446"/>
      <c r="DE727" s="1446">
        <f t="shared" si="21"/>
        <v>0</v>
      </c>
      <c r="DF727" s="1446"/>
      <c r="DG727" s="1446"/>
      <c r="DH727" s="1446"/>
      <c r="DI727" s="1446"/>
      <c r="DJ727" s="1446">
        <f t="shared" si="22"/>
        <v>0</v>
      </c>
      <c r="DK727" s="1446"/>
      <c r="DL727" s="1446"/>
      <c r="DM727" s="1446"/>
      <c r="DN727" s="1446"/>
      <c r="DO727" s="1446">
        <f t="shared" si="23"/>
        <v>0</v>
      </c>
      <c r="DP727" s="1446"/>
      <c r="DQ727" s="1446"/>
      <c r="DR727" s="1446"/>
      <c r="DS727" s="1446"/>
      <c r="DT727" s="6"/>
      <c r="DU727" s="1447">
        <f t="shared" si="24"/>
        <v>0</v>
      </c>
      <c r="DV727" s="1447"/>
      <c r="DW727" s="1447"/>
      <c r="DX727" s="1447"/>
      <c r="DY727" s="1447"/>
      <c r="DZ727" s="1447">
        <f t="shared" si="25"/>
        <v>0</v>
      </c>
      <c r="EA727" s="1447"/>
      <c r="EB727" s="1447"/>
      <c r="EC727" s="1447"/>
      <c r="ED727" s="1447"/>
      <c r="EE727" s="1447">
        <f t="shared" si="26"/>
        <v>0</v>
      </c>
      <c r="EF727" s="1447"/>
      <c r="EG727" s="1447"/>
      <c r="EH727" s="1447"/>
      <c r="EI727" s="1447"/>
      <c r="EJ727" s="1447">
        <f t="shared" si="27"/>
        <v>0</v>
      </c>
      <c r="EK727" s="1447"/>
      <c r="EL727" s="1447"/>
      <c r="EM727" s="1447"/>
      <c r="EN727" s="1447"/>
      <c r="EO727" s="1447">
        <f t="shared" si="28"/>
        <v>0</v>
      </c>
      <c r="EP727" s="1447"/>
      <c r="EQ727" s="1447"/>
      <c r="ER727" s="1447"/>
      <c r="ES727" s="1447"/>
      <c r="ET727" s="1447">
        <f t="shared" si="29"/>
        <v>0</v>
      </c>
      <c r="EU727" s="1447"/>
      <c r="EV727" s="1447"/>
      <c r="EW727" s="1447"/>
      <c r="EX727" s="1447"/>
      <c r="EY727" s="4"/>
      <c r="EZ727" s="1466" t="str">
        <f t="shared" si="30"/>
        <v/>
      </c>
      <c r="FA727" s="1468"/>
      <c r="FB727" s="1468"/>
      <c r="FC727" s="1468"/>
      <c r="FD727" s="1467"/>
      <c r="FE727" s="1466" t="str">
        <f t="shared" si="31"/>
        <v/>
      </c>
      <c r="FF727" s="1468"/>
      <c r="FG727" s="1468"/>
      <c r="FH727" s="1468"/>
      <c r="FI727" s="1467"/>
      <c r="FJ727" s="1466" t="str">
        <f t="shared" si="32"/>
        <v/>
      </c>
      <c r="FK727" s="1468"/>
      <c r="FL727" s="1468"/>
      <c r="FM727" s="1468"/>
      <c r="FN727" s="1467"/>
      <c r="FO727" s="1466" t="str">
        <f t="shared" si="33"/>
        <v/>
      </c>
      <c r="FP727" s="1468"/>
      <c r="FQ727" s="1468"/>
      <c r="FR727" s="1468"/>
      <c r="FS727" s="1467"/>
      <c r="FT727" s="1466" t="str">
        <f t="shared" si="34"/>
        <v/>
      </c>
      <c r="FU727" s="1468"/>
      <c r="FV727" s="1468"/>
      <c r="FW727" s="1468"/>
      <c r="FX727" s="1467"/>
      <c r="FY727" s="1466" t="str">
        <f t="shared" si="35"/>
        <v/>
      </c>
      <c r="FZ727" s="1468"/>
      <c r="GA727" s="1468"/>
      <c r="GB727" s="1468"/>
      <c r="GC727" s="1467"/>
    </row>
    <row r="728" spans="1:185" ht="12.95" customHeight="1">
      <c r="A728" s="4"/>
      <c r="B728" s="1338"/>
      <c r="C728" s="1339"/>
      <c r="D728" s="1339"/>
      <c r="E728" s="1339"/>
      <c r="F728" s="1340"/>
      <c r="G728" s="1351"/>
      <c r="H728" s="1352"/>
      <c r="I728" s="1352"/>
      <c r="J728" s="1353"/>
      <c r="K728" s="1344"/>
      <c r="L728" s="1345"/>
      <c r="M728" s="1345"/>
      <c r="N728" s="1346"/>
      <c r="O728" s="1341"/>
      <c r="P728" s="1342"/>
      <c r="Q728" s="1342"/>
      <c r="R728" s="1342"/>
      <c r="S728" s="1343"/>
      <c r="T728" s="1341"/>
      <c r="U728" s="1342"/>
      <c r="V728" s="1342"/>
      <c r="W728" s="1343"/>
      <c r="X728" s="1354">
        <f t="shared" si="8"/>
        <v>0</v>
      </c>
      <c r="Y728" s="1355"/>
      <c r="Z728" s="1355"/>
      <c r="AA728" s="1355"/>
      <c r="AB728" s="1356"/>
      <c r="AC728" s="1361"/>
      <c r="AD728" s="1362"/>
      <c r="AE728" s="1362"/>
      <c r="AF728" s="1362"/>
      <c r="AG728" s="1363"/>
      <c r="AH728" s="1357" t="str">
        <f t="shared" si="36"/>
        <v/>
      </c>
      <c r="AI728" s="1358"/>
      <c r="AJ728" s="1359"/>
      <c r="AK728" s="1338" t="s">
        <v>591</v>
      </c>
      <c r="AL728" s="1339"/>
      <c r="AM728" s="1339"/>
      <c r="AN728" s="1339"/>
      <c r="AO728" s="1340"/>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466">
        <f t="shared" si="37"/>
        <v>0</v>
      </c>
      <c r="CH728" s="1467"/>
      <c r="CI728" s="1472">
        <f t="shared" si="38"/>
        <v>0</v>
      </c>
      <c r="CJ728" s="1473"/>
      <c r="CK728" s="1466">
        <f t="shared" si="16"/>
        <v>0</v>
      </c>
      <c r="CL728" s="1467"/>
      <c r="CM728" s="1472">
        <f t="shared" si="17"/>
        <v>0</v>
      </c>
      <c r="CN728" s="1473"/>
      <c r="CO728" s="3"/>
      <c r="CP728" s="1461">
        <f t="shared" si="18"/>
        <v>0</v>
      </c>
      <c r="CQ728" s="1462"/>
      <c r="CR728" s="1462"/>
      <c r="CS728" s="1462"/>
      <c r="CT728" s="1463"/>
      <c r="CU728" s="1446">
        <f t="shared" si="19"/>
        <v>0</v>
      </c>
      <c r="CV728" s="1446"/>
      <c r="CW728" s="1446"/>
      <c r="CX728" s="1446"/>
      <c r="CY728" s="1446"/>
      <c r="CZ728" s="1446">
        <f t="shared" si="20"/>
        <v>0</v>
      </c>
      <c r="DA728" s="1446"/>
      <c r="DB728" s="1446"/>
      <c r="DC728" s="1446"/>
      <c r="DD728" s="1446"/>
      <c r="DE728" s="1446">
        <f t="shared" si="21"/>
        <v>0</v>
      </c>
      <c r="DF728" s="1446"/>
      <c r="DG728" s="1446"/>
      <c r="DH728" s="1446"/>
      <c r="DI728" s="1446"/>
      <c r="DJ728" s="1446">
        <f t="shared" si="22"/>
        <v>0</v>
      </c>
      <c r="DK728" s="1446"/>
      <c r="DL728" s="1446"/>
      <c r="DM728" s="1446"/>
      <c r="DN728" s="1446"/>
      <c r="DO728" s="1446">
        <f t="shared" si="23"/>
        <v>0</v>
      </c>
      <c r="DP728" s="1446"/>
      <c r="DQ728" s="1446"/>
      <c r="DR728" s="1446"/>
      <c r="DS728" s="1446"/>
      <c r="DT728" s="6"/>
      <c r="DU728" s="1447">
        <f t="shared" si="24"/>
        <v>0</v>
      </c>
      <c r="DV728" s="1447"/>
      <c r="DW728" s="1447"/>
      <c r="DX728" s="1447"/>
      <c r="DY728" s="1447"/>
      <c r="DZ728" s="1447">
        <f t="shared" si="25"/>
        <v>0</v>
      </c>
      <c r="EA728" s="1447"/>
      <c r="EB728" s="1447"/>
      <c r="EC728" s="1447"/>
      <c r="ED728" s="1447"/>
      <c r="EE728" s="1447">
        <f t="shared" si="26"/>
        <v>0</v>
      </c>
      <c r="EF728" s="1447"/>
      <c r="EG728" s="1447"/>
      <c r="EH728" s="1447"/>
      <c r="EI728" s="1447"/>
      <c r="EJ728" s="1447">
        <f t="shared" si="27"/>
        <v>0</v>
      </c>
      <c r="EK728" s="1447"/>
      <c r="EL728" s="1447"/>
      <c r="EM728" s="1447"/>
      <c r="EN728" s="1447"/>
      <c r="EO728" s="1447">
        <f t="shared" si="28"/>
        <v>0</v>
      </c>
      <c r="EP728" s="1447"/>
      <c r="EQ728" s="1447"/>
      <c r="ER728" s="1447"/>
      <c r="ES728" s="1447"/>
      <c r="ET728" s="1447">
        <f t="shared" si="29"/>
        <v>0</v>
      </c>
      <c r="EU728" s="1447"/>
      <c r="EV728" s="1447"/>
      <c r="EW728" s="1447"/>
      <c r="EX728" s="1447"/>
      <c r="EY728" s="4"/>
      <c r="EZ728" s="1466" t="str">
        <f t="shared" si="30"/>
        <v/>
      </c>
      <c r="FA728" s="1468"/>
      <c r="FB728" s="1468"/>
      <c r="FC728" s="1468"/>
      <c r="FD728" s="1467"/>
      <c r="FE728" s="1466" t="str">
        <f t="shared" si="31"/>
        <v/>
      </c>
      <c r="FF728" s="1468"/>
      <c r="FG728" s="1468"/>
      <c r="FH728" s="1468"/>
      <c r="FI728" s="1467"/>
      <c r="FJ728" s="1466" t="str">
        <f t="shared" si="32"/>
        <v/>
      </c>
      <c r="FK728" s="1468"/>
      <c r="FL728" s="1468"/>
      <c r="FM728" s="1468"/>
      <c r="FN728" s="1467"/>
      <c r="FO728" s="1466" t="str">
        <f t="shared" si="33"/>
        <v/>
      </c>
      <c r="FP728" s="1468"/>
      <c r="FQ728" s="1468"/>
      <c r="FR728" s="1468"/>
      <c r="FS728" s="1467"/>
      <c r="FT728" s="1466" t="str">
        <f t="shared" si="34"/>
        <v/>
      </c>
      <c r="FU728" s="1468"/>
      <c r="FV728" s="1468"/>
      <c r="FW728" s="1468"/>
      <c r="FX728" s="1467"/>
      <c r="FY728" s="1466" t="str">
        <f t="shared" si="35"/>
        <v/>
      </c>
      <c r="FZ728" s="1468"/>
      <c r="GA728" s="1468"/>
      <c r="GB728" s="1468"/>
      <c r="GC728" s="1467"/>
    </row>
    <row r="729" spans="1:185" ht="12.95" customHeight="1">
      <c r="A729" s="4"/>
      <c r="B729" s="1338"/>
      <c r="C729" s="1339"/>
      <c r="D729" s="1339"/>
      <c r="E729" s="1339"/>
      <c r="F729" s="1340"/>
      <c r="G729" s="1351"/>
      <c r="H729" s="1352"/>
      <c r="I729" s="1352"/>
      <c r="J729" s="1353"/>
      <c r="K729" s="1344"/>
      <c r="L729" s="1345"/>
      <c r="M729" s="1345"/>
      <c r="N729" s="1346"/>
      <c r="O729" s="1341"/>
      <c r="P729" s="1342"/>
      <c r="Q729" s="1342"/>
      <c r="R729" s="1342"/>
      <c r="S729" s="1343"/>
      <c r="T729" s="1341"/>
      <c r="U729" s="1342"/>
      <c r="V729" s="1342"/>
      <c r="W729" s="1343"/>
      <c r="X729" s="1354">
        <f t="shared" si="8"/>
        <v>0</v>
      </c>
      <c r="Y729" s="1355"/>
      <c r="Z729" s="1355"/>
      <c r="AA729" s="1355"/>
      <c r="AB729" s="1356"/>
      <c r="AC729" s="1361"/>
      <c r="AD729" s="1362"/>
      <c r="AE729" s="1362"/>
      <c r="AF729" s="1362"/>
      <c r="AG729" s="1363"/>
      <c r="AH729" s="1357" t="str">
        <f t="shared" si="36"/>
        <v/>
      </c>
      <c r="AI729" s="1358"/>
      <c r="AJ729" s="1359"/>
      <c r="AK729" s="1338" t="s">
        <v>591</v>
      </c>
      <c r="AL729" s="1339"/>
      <c r="AM729" s="1339"/>
      <c r="AN729" s="1339"/>
      <c r="AO729" s="1340"/>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466">
        <f t="shared" si="37"/>
        <v>0</v>
      </c>
      <c r="CH729" s="1467"/>
      <c r="CI729" s="1472">
        <f t="shared" si="38"/>
        <v>0</v>
      </c>
      <c r="CJ729" s="1473"/>
      <c r="CK729" s="1466">
        <f t="shared" si="16"/>
        <v>0</v>
      </c>
      <c r="CL729" s="1467"/>
      <c r="CM729" s="1472">
        <f t="shared" si="17"/>
        <v>0</v>
      </c>
      <c r="CN729" s="1473"/>
      <c r="CO729" s="3"/>
      <c r="CP729" s="1461">
        <f t="shared" si="18"/>
        <v>0</v>
      </c>
      <c r="CQ729" s="1462"/>
      <c r="CR729" s="1462"/>
      <c r="CS729" s="1462"/>
      <c r="CT729" s="1463"/>
      <c r="CU729" s="1446">
        <f t="shared" si="19"/>
        <v>0</v>
      </c>
      <c r="CV729" s="1446"/>
      <c r="CW729" s="1446"/>
      <c r="CX729" s="1446"/>
      <c r="CY729" s="1446"/>
      <c r="CZ729" s="1446">
        <f t="shared" si="20"/>
        <v>0</v>
      </c>
      <c r="DA729" s="1446"/>
      <c r="DB729" s="1446"/>
      <c r="DC729" s="1446"/>
      <c r="DD729" s="1446"/>
      <c r="DE729" s="1446">
        <f t="shared" si="21"/>
        <v>0</v>
      </c>
      <c r="DF729" s="1446"/>
      <c r="DG729" s="1446"/>
      <c r="DH729" s="1446"/>
      <c r="DI729" s="1446"/>
      <c r="DJ729" s="1446">
        <f t="shared" si="22"/>
        <v>0</v>
      </c>
      <c r="DK729" s="1446"/>
      <c r="DL729" s="1446"/>
      <c r="DM729" s="1446"/>
      <c r="DN729" s="1446"/>
      <c r="DO729" s="1446">
        <f t="shared" si="23"/>
        <v>0</v>
      </c>
      <c r="DP729" s="1446"/>
      <c r="DQ729" s="1446"/>
      <c r="DR729" s="1446"/>
      <c r="DS729" s="1446"/>
      <c r="DT729" s="6"/>
      <c r="DU729" s="1447">
        <f t="shared" si="24"/>
        <v>0</v>
      </c>
      <c r="DV729" s="1447"/>
      <c r="DW729" s="1447"/>
      <c r="DX729" s="1447"/>
      <c r="DY729" s="1447"/>
      <c r="DZ729" s="1447">
        <f t="shared" si="25"/>
        <v>0</v>
      </c>
      <c r="EA729" s="1447"/>
      <c r="EB729" s="1447"/>
      <c r="EC729" s="1447"/>
      <c r="ED729" s="1447"/>
      <c r="EE729" s="1447">
        <f t="shared" si="26"/>
        <v>0</v>
      </c>
      <c r="EF729" s="1447"/>
      <c r="EG729" s="1447"/>
      <c r="EH729" s="1447"/>
      <c r="EI729" s="1447"/>
      <c r="EJ729" s="1447">
        <f t="shared" si="27"/>
        <v>0</v>
      </c>
      <c r="EK729" s="1447"/>
      <c r="EL729" s="1447"/>
      <c r="EM729" s="1447"/>
      <c r="EN729" s="1447"/>
      <c r="EO729" s="1447">
        <f t="shared" si="28"/>
        <v>0</v>
      </c>
      <c r="EP729" s="1447"/>
      <c r="EQ729" s="1447"/>
      <c r="ER729" s="1447"/>
      <c r="ES729" s="1447"/>
      <c r="ET729" s="1447">
        <f t="shared" si="29"/>
        <v>0</v>
      </c>
      <c r="EU729" s="1447"/>
      <c r="EV729" s="1447"/>
      <c r="EW729" s="1447"/>
      <c r="EX729" s="1447"/>
      <c r="EZ729" s="1466" t="str">
        <f t="shared" si="30"/>
        <v/>
      </c>
      <c r="FA729" s="1468"/>
      <c r="FB729" s="1468"/>
      <c r="FC729" s="1468"/>
      <c r="FD729" s="1467"/>
      <c r="FE729" s="1466" t="str">
        <f t="shared" si="31"/>
        <v/>
      </c>
      <c r="FF729" s="1468"/>
      <c r="FG729" s="1468"/>
      <c r="FH729" s="1468"/>
      <c r="FI729" s="1467"/>
      <c r="FJ729" s="1466" t="str">
        <f t="shared" si="32"/>
        <v/>
      </c>
      <c r="FK729" s="1468"/>
      <c r="FL729" s="1468"/>
      <c r="FM729" s="1468"/>
      <c r="FN729" s="1467"/>
      <c r="FO729" s="1466" t="str">
        <f t="shared" si="33"/>
        <v/>
      </c>
      <c r="FP729" s="1468"/>
      <c r="FQ729" s="1468"/>
      <c r="FR729" s="1468"/>
      <c r="FS729" s="1467"/>
      <c r="FT729" s="1466" t="str">
        <f t="shared" si="34"/>
        <v/>
      </c>
      <c r="FU729" s="1468"/>
      <c r="FV729" s="1468"/>
      <c r="FW729" s="1468"/>
      <c r="FX729" s="1467"/>
      <c r="FY729" s="1466" t="str">
        <f t="shared" si="35"/>
        <v/>
      </c>
      <c r="FZ729" s="1468"/>
      <c r="GA729" s="1468"/>
      <c r="GB729" s="1468"/>
      <c r="GC729" s="1467"/>
    </row>
    <row r="730" spans="1:185" ht="12.95" customHeight="1">
      <c r="B730" s="1338"/>
      <c r="C730" s="1339"/>
      <c r="D730" s="1339"/>
      <c r="E730" s="1339"/>
      <c r="F730" s="1340"/>
      <c r="G730" s="1351"/>
      <c r="H730" s="1352"/>
      <c r="I730" s="1352"/>
      <c r="J730" s="1353"/>
      <c r="K730" s="1344"/>
      <c r="L730" s="1345"/>
      <c r="M730" s="1345"/>
      <c r="N730" s="1346"/>
      <c r="O730" s="1341"/>
      <c r="P730" s="1342"/>
      <c r="Q730" s="1342"/>
      <c r="R730" s="1342"/>
      <c r="S730" s="1343"/>
      <c r="T730" s="1341"/>
      <c r="U730" s="1342"/>
      <c r="V730" s="1342"/>
      <c r="W730" s="1343"/>
      <c r="X730" s="1354">
        <f t="shared" si="8"/>
        <v>0</v>
      </c>
      <c r="Y730" s="1355"/>
      <c r="Z730" s="1355"/>
      <c r="AA730" s="1355"/>
      <c r="AB730" s="1356"/>
      <c r="AC730" s="1361"/>
      <c r="AD730" s="1362"/>
      <c r="AE730" s="1362"/>
      <c r="AF730" s="1362"/>
      <c r="AG730" s="1363"/>
      <c r="AH730" s="1357" t="str">
        <f t="shared" si="36"/>
        <v/>
      </c>
      <c r="AI730" s="1358"/>
      <c r="AJ730" s="1359"/>
      <c r="AK730" s="1338" t="s">
        <v>591</v>
      </c>
      <c r="AL730" s="1339"/>
      <c r="AM730" s="1339"/>
      <c r="AN730" s="1339"/>
      <c r="AO730" s="1340"/>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466">
        <f t="shared" si="37"/>
        <v>0</v>
      </c>
      <c r="CH730" s="1467"/>
      <c r="CI730" s="1472">
        <f t="shared" si="38"/>
        <v>0</v>
      </c>
      <c r="CJ730" s="1473"/>
      <c r="CK730" s="1466">
        <f t="shared" si="16"/>
        <v>0</v>
      </c>
      <c r="CL730" s="1467"/>
      <c r="CM730" s="1472">
        <f t="shared" si="17"/>
        <v>0</v>
      </c>
      <c r="CN730" s="1473"/>
      <c r="CO730" s="3"/>
      <c r="CP730" s="1461">
        <f t="shared" si="18"/>
        <v>0</v>
      </c>
      <c r="CQ730" s="1462"/>
      <c r="CR730" s="1462"/>
      <c r="CS730" s="1462"/>
      <c r="CT730" s="1463"/>
      <c r="CU730" s="1446">
        <f t="shared" si="19"/>
        <v>0</v>
      </c>
      <c r="CV730" s="1446"/>
      <c r="CW730" s="1446"/>
      <c r="CX730" s="1446"/>
      <c r="CY730" s="1446"/>
      <c r="CZ730" s="1446">
        <f t="shared" si="20"/>
        <v>0</v>
      </c>
      <c r="DA730" s="1446"/>
      <c r="DB730" s="1446"/>
      <c r="DC730" s="1446"/>
      <c r="DD730" s="1446"/>
      <c r="DE730" s="1446">
        <f t="shared" si="21"/>
        <v>0</v>
      </c>
      <c r="DF730" s="1446"/>
      <c r="DG730" s="1446"/>
      <c r="DH730" s="1446"/>
      <c r="DI730" s="1446"/>
      <c r="DJ730" s="1446">
        <f t="shared" si="22"/>
        <v>0</v>
      </c>
      <c r="DK730" s="1446"/>
      <c r="DL730" s="1446"/>
      <c r="DM730" s="1446"/>
      <c r="DN730" s="1446"/>
      <c r="DO730" s="1446">
        <f t="shared" si="23"/>
        <v>0</v>
      </c>
      <c r="DP730" s="1446"/>
      <c r="DQ730" s="1446"/>
      <c r="DR730" s="1446"/>
      <c r="DS730" s="1446"/>
      <c r="DT730" s="6"/>
      <c r="DU730" s="1447">
        <f t="shared" si="24"/>
        <v>0</v>
      </c>
      <c r="DV730" s="1447"/>
      <c r="DW730" s="1447"/>
      <c r="DX730" s="1447"/>
      <c r="DY730" s="1447"/>
      <c r="DZ730" s="1447">
        <f t="shared" si="25"/>
        <v>0</v>
      </c>
      <c r="EA730" s="1447"/>
      <c r="EB730" s="1447"/>
      <c r="EC730" s="1447"/>
      <c r="ED730" s="1447"/>
      <c r="EE730" s="1447">
        <f t="shared" si="26"/>
        <v>0</v>
      </c>
      <c r="EF730" s="1447"/>
      <c r="EG730" s="1447"/>
      <c r="EH730" s="1447"/>
      <c r="EI730" s="1447"/>
      <c r="EJ730" s="1447">
        <f t="shared" si="27"/>
        <v>0</v>
      </c>
      <c r="EK730" s="1447"/>
      <c r="EL730" s="1447"/>
      <c r="EM730" s="1447"/>
      <c r="EN730" s="1447"/>
      <c r="EO730" s="1447">
        <f t="shared" si="28"/>
        <v>0</v>
      </c>
      <c r="EP730" s="1447"/>
      <c r="EQ730" s="1447"/>
      <c r="ER730" s="1447"/>
      <c r="ES730" s="1447"/>
      <c r="ET730" s="1447">
        <f t="shared" si="29"/>
        <v>0</v>
      </c>
      <c r="EU730" s="1447"/>
      <c r="EV730" s="1447"/>
      <c r="EW730" s="1447"/>
      <c r="EX730" s="1447"/>
      <c r="EZ730" s="1466" t="str">
        <f t="shared" si="30"/>
        <v/>
      </c>
      <c r="FA730" s="1468"/>
      <c r="FB730" s="1468"/>
      <c r="FC730" s="1468"/>
      <c r="FD730" s="1467"/>
      <c r="FE730" s="1466" t="str">
        <f t="shared" si="31"/>
        <v/>
      </c>
      <c r="FF730" s="1468"/>
      <c r="FG730" s="1468"/>
      <c r="FH730" s="1468"/>
      <c r="FI730" s="1467"/>
      <c r="FJ730" s="1466" t="str">
        <f t="shared" si="32"/>
        <v/>
      </c>
      <c r="FK730" s="1468"/>
      <c r="FL730" s="1468"/>
      <c r="FM730" s="1468"/>
      <c r="FN730" s="1467"/>
      <c r="FO730" s="1466" t="str">
        <f t="shared" si="33"/>
        <v/>
      </c>
      <c r="FP730" s="1468"/>
      <c r="FQ730" s="1468"/>
      <c r="FR730" s="1468"/>
      <c r="FS730" s="1467"/>
      <c r="FT730" s="1466" t="str">
        <f t="shared" si="34"/>
        <v/>
      </c>
      <c r="FU730" s="1468"/>
      <c r="FV730" s="1468"/>
      <c r="FW730" s="1468"/>
      <c r="FX730" s="1467"/>
      <c r="FY730" s="1466" t="str">
        <f t="shared" si="35"/>
        <v/>
      </c>
      <c r="FZ730" s="1468"/>
      <c r="GA730" s="1468"/>
      <c r="GB730" s="1468"/>
      <c r="GC730" s="1467"/>
    </row>
    <row r="731" spans="1:185" ht="12.95" customHeight="1">
      <c r="B731" s="1338"/>
      <c r="C731" s="1339"/>
      <c r="D731" s="1339"/>
      <c r="E731" s="1339"/>
      <c r="F731" s="1340"/>
      <c r="G731" s="1351"/>
      <c r="H731" s="1352"/>
      <c r="I731" s="1352"/>
      <c r="J731" s="1353"/>
      <c r="K731" s="1344"/>
      <c r="L731" s="1345"/>
      <c r="M731" s="1345"/>
      <c r="N731" s="1346"/>
      <c r="O731" s="1341"/>
      <c r="P731" s="1342"/>
      <c r="Q731" s="1342"/>
      <c r="R731" s="1342"/>
      <c r="S731" s="1343"/>
      <c r="T731" s="1341"/>
      <c r="U731" s="1342"/>
      <c r="V731" s="1342"/>
      <c r="W731" s="1343"/>
      <c r="X731" s="1354">
        <f t="shared" si="8"/>
        <v>0</v>
      </c>
      <c r="Y731" s="1355"/>
      <c r="Z731" s="1355"/>
      <c r="AA731" s="1355"/>
      <c r="AB731" s="1356"/>
      <c r="AC731" s="1361"/>
      <c r="AD731" s="1362"/>
      <c r="AE731" s="1362"/>
      <c r="AF731" s="1362"/>
      <c r="AG731" s="1363"/>
      <c r="AH731" s="1357" t="str">
        <f t="shared" si="36"/>
        <v/>
      </c>
      <c r="AI731" s="1358"/>
      <c r="AJ731" s="1359"/>
      <c r="AK731" s="1338" t="s">
        <v>591</v>
      </c>
      <c r="AL731" s="1339"/>
      <c r="AM731" s="1339"/>
      <c r="AN731" s="1339"/>
      <c r="AO731" s="1340"/>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466">
        <f t="shared" si="37"/>
        <v>0</v>
      </c>
      <c r="CH731" s="1467"/>
      <c r="CI731" s="1472">
        <f t="shared" si="38"/>
        <v>0</v>
      </c>
      <c r="CJ731" s="1473"/>
      <c r="CK731" s="1466">
        <f t="shared" si="16"/>
        <v>0</v>
      </c>
      <c r="CL731" s="1467"/>
      <c r="CM731" s="1472">
        <f t="shared" si="17"/>
        <v>0</v>
      </c>
      <c r="CN731" s="1473"/>
      <c r="CO731" s="3"/>
      <c r="CP731" s="1461">
        <f t="shared" si="18"/>
        <v>0</v>
      </c>
      <c r="CQ731" s="1462"/>
      <c r="CR731" s="1462"/>
      <c r="CS731" s="1462"/>
      <c r="CT731" s="1463"/>
      <c r="CU731" s="1446">
        <f t="shared" si="19"/>
        <v>0</v>
      </c>
      <c r="CV731" s="1446"/>
      <c r="CW731" s="1446"/>
      <c r="CX731" s="1446"/>
      <c r="CY731" s="1446"/>
      <c r="CZ731" s="1446">
        <f t="shared" si="20"/>
        <v>0</v>
      </c>
      <c r="DA731" s="1446"/>
      <c r="DB731" s="1446"/>
      <c r="DC731" s="1446"/>
      <c r="DD731" s="1446"/>
      <c r="DE731" s="1446">
        <f t="shared" si="21"/>
        <v>0</v>
      </c>
      <c r="DF731" s="1446"/>
      <c r="DG731" s="1446"/>
      <c r="DH731" s="1446"/>
      <c r="DI731" s="1446"/>
      <c r="DJ731" s="1446">
        <f t="shared" si="22"/>
        <v>0</v>
      </c>
      <c r="DK731" s="1446"/>
      <c r="DL731" s="1446"/>
      <c r="DM731" s="1446"/>
      <c r="DN731" s="1446"/>
      <c r="DO731" s="1446">
        <f t="shared" si="23"/>
        <v>0</v>
      </c>
      <c r="DP731" s="1446"/>
      <c r="DQ731" s="1446"/>
      <c r="DR731" s="1446"/>
      <c r="DS731" s="1446"/>
      <c r="DT731" s="6"/>
      <c r="DU731" s="1447">
        <f t="shared" si="24"/>
        <v>0</v>
      </c>
      <c r="DV731" s="1447"/>
      <c r="DW731" s="1447"/>
      <c r="DX731" s="1447"/>
      <c r="DY731" s="1447"/>
      <c r="DZ731" s="1447">
        <f t="shared" si="25"/>
        <v>0</v>
      </c>
      <c r="EA731" s="1447"/>
      <c r="EB731" s="1447"/>
      <c r="EC731" s="1447"/>
      <c r="ED731" s="1447"/>
      <c r="EE731" s="1447">
        <f t="shared" si="26"/>
        <v>0</v>
      </c>
      <c r="EF731" s="1447"/>
      <c r="EG731" s="1447"/>
      <c r="EH731" s="1447"/>
      <c r="EI731" s="1447"/>
      <c r="EJ731" s="1447">
        <f t="shared" si="27"/>
        <v>0</v>
      </c>
      <c r="EK731" s="1447"/>
      <c r="EL731" s="1447"/>
      <c r="EM731" s="1447"/>
      <c r="EN731" s="1447"/>
      <c r="EO731" s="1447">
        <f t="shared" si="28"/>
        <v>0</v>
      </c>
      <c r="EP731" s="1447"/>
      <c r="EQ731" s="1447"/>
      <c r="ER731" s="1447"/>
      <c r="ES731" s="1447"/>
      <c r="ET731" s="1447">
        <f t="shared" si="29"/>
        <v>0</v>
      </c>
      <c r="EU731" s="1447"/>
      <c r="EV731" s="1447"/>
      <c r="EW731" s="1447"/>
      <c r="EX731" s="1447"/>
      <c r="EZ731" s="1466" t="str">
        <f t="shared" si="30"/>
        <v/>
      </c>
      <c r="FA731" s="1468"/>
      <c r="FB731" s="1468"/>
      <c r="FC731" s="1468"/>
      <c r="FD731" s="1467"/>
      <c r="FE731" s="1466" t="str">
        <f t="shared" si="31"/>
        <v/>
      </c>
      <c r="FF731" s="1468"/>
      <c r="FG731" s="1468"/>
      <c r="FH731" s="1468"/>
      <c r="FI731" s="1467"/>
      <c r="FJ731" s="1466" t="str">
        <f t="shared" si="32"/>
        <v/>
      </c>
      <c r="FK731" s="1468"/>
      <c r="FL731" s="1468"/>
      <c r="FM731" s="1468"/>
      <c r="FN731" s="1467"/>
      <c r="FO731" s="1466" t="str">
        <f t="shared" si="33"/>
        <v/>
      </c>
      <c r="FP731" s="1468"/>
      <c r="FQ731" s="1468"/>
      <c r="FR731" s="1468"/>
      <c r="FS731" s="1467"/>
      <c r="FT731" s="1466" t="str">
        <f t="shared" si="34"/>
        <v/>
      </c>
      <c r="FU731" s="1468"/>
      <c r="FV731" s="1468"/>
      <c r="FW731" s="1468"/>
      <c r="FX731" s="1467"/>
      <c r="FY731" s="1466" t="str">
        <f t="shared" si="35"/>
        <v/>
      </c>
      <c r="FZ731" s="1468"/>
      <c r="GA731" s="1468"/>
      <c r="GB731" s="1468"/>
      <c r="GC731" s="1467"/>
    </row>
    <row r="732" spans="1:185" ht="12.95" customHeight="1">
      <c r="B732" s="1338"/>
      <c r="C732" s="1339"/>
      <c r="D732" s="1339"/>
      <c r="E732" s="1339"/>
      <c r="F732" s="1340"/>
      <c r="G732" s="1351"/>
      <c r="H732" s="1352"/>
      <c r="I732" s="1352"/>
      <c r="J732" s="1353"/>
      <c r="K732" s="1344"/>
      <c r="L732" s="1345"/>
      <c r="M732" s="1345"/>
      <c r="N732" s="1346"/>
      <c r="O732" s="1341"/>
      <c r="P732" s="1342"/>
      <c r="Q732" s="1342"/>
      <c r="R732" s="1342"/>
      <c r="S732" s="1343"/>
      <c r="T732" s="1341"/>
      <c r="U732" s="1342"/>
      <c r="V732" s="1342"/>
      <c r="W732" s="1343"/>
      <c r="X732" s="1354">
        <f t="shared" si="8"/>
        <v>0</v>
      </c>
      <c r="Y732" s="1355"/>
      <c r="Z732" s="1355"/>
      <c r="AA732" s="1355"/>
      <c r="AB732" s="1356"/>
      <c r="AC732" s="1361"/>
      <c r="AD732" s="1362"/>
      <c r="AE732" s="1362"/>
      <c r="AF732" s="1362"/>
      <c r="AG732" s="1363"/>
      <c r="AH732" s="1357" t="str">
        <f t="shared" si="36"/>
        <v/>
      </c>
      <c r="AI732" s="1358"/>
      <c r="AJ732" s="1359"/>
      <c r="AK732" s="1338" t="s">
        <v>591</v>
      </c>
      <c r="AL732" s="1339"/>
      <c r="AM732" s="1339"/>
      <c r="AN732" s="1339"/>
      <c r="AO732" s="1340"/>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466">
        <f t="shared" si="37"/>
        <v>0</v>
      </c>
      <c r="CH732" s="1467"/>
      <c r="CI732" s="1472">
        <f t="shared" si="38"/>
        <v>0</v>
      </c>
      <c r="CJ732" s="1473"/>
      <c r="CK732" s="1466">
        <f t="shared" si="16"/>
        <v>0</v>
      </c>
      <c r="CL732" s="1467"/>
      <c r="CM732" s="1472">
        <f t="shared" si="17"/>
        <v>0</v>
      </c>
      <c r="CN732" s="1473"/>
      <c r="CO732" s="3"/>
      <c r="CP732" s="1461">
        <f t="shared" si="18"/>
        <v>0</v>
      </c>
      <c r="CQ732" s="1462"/>
      <c r="CR732" s="1462"/>
      <c r="CS732" s="1462"/>
      <c r="CT732" s="1463"/>
      <c r="CU732" s="1446">
        <f t="shared" si="19"/>
        <v>0</v>
      </c>
      <c r="CV732" s="1446"/>
      <c r="CW732" s="1446"/>
      <c r="CX732" s="1446"/>
      <c r="CY732" s="1446"/>
      <c r="CZ732" s="1446">
        <f t="shared" si="20"/>
        <v>0</v>
      </c>
      <c r="DA732" s="1446"/>
      <c r="DB732" s="1446"/>
      <c r="DC732" s="1446"/>
      <c r="DD732" s="1446"/>
      <c r="DE732" s="1446">
        <f t="shared" si="21"/>
        <v>0</v>
      </c>
      <c r="DF732" s="1446"/>
      <c r="DG732" s="1446"/>
      <c r="DH732" s="1446"/>
      <c r="DI732" s="1446"/>
      <c r="DJ732" s="1446">
        <f t="shared" si="22"/>
        <v>0</v>
      </c>
      <c r="DK732" s="1446"/>
      <c r="DL732" s="1446"/>
      <c r="DM732" s="1446"/>
      <c r="DN732" s="1446"/>
      <c r="DO732" s="1446">
        <f t="shared" si="23"/>
        <v>0</v>
      </c>
      <c r="DP732" s="1446"/>
      <c r="DQ732" s="1446"/>
      <c r="DR732" s="1446"/>
      <c r="DS732" s="1446"/>
      <c r="DT732" s="6"/>
      <c r="DU732" s="1447">
        <f t="shared" si="24"/>
        <v>0</v>
      </c>
      <c r="DV732" s="1447"/>
      <c r="DW732" s="1447"/>
      <c r="DX732" s="1447"/>
      <c r="DY732" s="1447"/>
      <c r="DZ732" s="1447">
        <f t="shared" si="25"/>
        <v>0</v>
      </c>
      <c r="EA732" s="1447"/>
      <c r="EB732" s="1447"/>
      <c r="EC732" s="1447"/>
      <c r="ED732" s="1447"/>
      <c r="EE732" s="1447">
        <f t="shared" si="26"/>
        <v>0</v>
      </c>
      <c r="EF732" s="1447"/>
      <c r="EG732" s="1447"/>
      <c r="EH732" s="1447"/>
      <c r="EI732" s="1447"/>
      <c r="EJ732" s="1447">
        <f t="shared" si="27"/>
        <v>0</v>
      </c>
      <c r="EK732" s="1447"/>
      <c r="EL732" s="1447"/>
      <c r="EM732" s="1447"/>
      <c r="EN732" s="1447"/>
      <c r="EO732" s="1447">
        <f t="shared" si="28"/>
        <v>0</v>
      </c>
      <c r="EP732" s="1447"/>
      <c r="EQ732" s="1447"/>
      <c r="ER732" s="1447"/>
      <c r="ES732" s="1447"/>
      <c r="ET732" s="1447">
        <f t="shared" si="29"/>
        <v>0</v>
      </c>
      <c r="EU732" s="1447"/>
      <c r="EV732" s="1447"/>
      <c r="EW732" s="1447"/>
      <c r="EX732" s="1447"/>
      <c r="EZ732" s="1466" t="str">
        <f t="shared" si="30"/>
        <v/>
      </c>
      <c r="FA732" s="1468"/>
      <c r="FB732" s="1468"/>
      <c r="FC732" s="1468"/>
      <c r="FD732" s="1467"/>
      <c r="FE732" s="1466" t="str">
        <f t="shared" si="31"/>
        <v/>
      </c>
      <c r="FF732" s="1468"/>
      <c r="FG732" s="1468"/>
      <c r="FH732" s="1468"/>
      <c r="FI732" s="1467"/>
      <c r="FJ732" s="1466" t="str">
        <f t="shared" si="32"/>
        <v/>
      </c>
      <c r="FK732" s="1468"/>
      <c r="FL732" s="1468"/>
      <c r="FM732" s="1468"/>
      <c r="FN732" s="1467"/>
      <c r="FO732" s="1466" t="str">
        <f t="shared" si="33"/>
        <v/>
      </c>
      <c r="FP732" s="1468"/>
      <c r="FQ732" s="1468"/>
      <c r="FR732" s="1468"/>
      <c r="FS732" s="1467"/>
      <c r="FT732" s="1466" t="str">
        <f t="shared" si="34"/>
        <v/>
      </c>
      <c r="FU732" s="1468"/>
      <c r="FV732" s="1468"/>
      <c r="FW732" s="1468"/>
      <c r="FX732" s="1467"/>
      <c r="FY732" s="1466" t="str">
        <f t="shared" si="35"/>
        <v/>
      </c>
      <c r="FZ732" s="1468"/>
      <c r="GA732" s="1468"/>
      <c r="GB732" s="1468"/>
      <c r="GC732" s="1467"/>
    </row>
    <row r="733" spans="1:185" ht="12.95" customHeight="1">
      <c r="B733" s="1338"/>
      <c r="C733" s="1339"/>
      <c r="D733" s="1339"/>
      <c r="E733" s="1339"/>
      <c r="F733" s="1340"/>
      <c r="G733" s="1351"/>
      <c r="H733" s="1352"/>
      <c r="I733" s="1352"/>
      <c r="J733" s="1353"/>
      <c r="K733" s="1344"/>
      <c r="L733" s="1345"/>
      <c r="M733" s="1345"/>
      <c r="N733" s="1346"/>
      <c r="O733" s="1341"/>
      <c r="P733" s="1342"/>
      <c r="Q733" s="1342"/>
      <c r="R733" s="1342"/>
      <c r="S733" s="1343"/>
      <c r="T733" s="1341"/>
      <c r="U733" s="1342"/>
      <c r="V733" s="1342"/>
      <c r="W733" s="1343"/>
      <c r="X733" s="1354">
        <f t="shared" si="8"/>
        <v>0</v>
      </c>
      <c r="Y733" s="1355"/>
      <c r="Z733" s="1355"/>
      <c r="AA733" s="1355"/>
      <c r="AB733" s="1356"/>
      <c r="AC733" s="1361"/>
      <c r="AD733" s="1362"/>
      <c r="AE733" s="1362"/>
      <c r="AF733" s="1362"/>
      <c r="AG733" s="1363"/>
      <c r="AH733" s="1357" t="str">
        <f t="shared" si="36"/>
        <v/>
      </c>
      <c r="AI733" s="1358"/>
      <c r="AJ733" s="1359"/>
      <c r="AK733" s="1338" t="s">
        <v>591</v>
      </c>
      <c r="AL733" s="1339"/>
      <c r="AM733" s="1339"/>
      <c r="AN733" s="1339"/>
      <c r="AO733" s="1340"/>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466">
        <f t="shared" si="37"/>
        <v>0</v>
      </c>
      <c r="CH733" s="1467"/>
      <c r="CI733" s="1472">
        <f t="shared" si="38"/>
        <v>0</v>
      </c>
      <c r="CJ733" s="1473"/>
      <c r="CK733" s="1466">
        <f t="shared" si="16"/>
        <v>0</v>
      </c>
      <c r="CL733" s="1467"/>
      <c r="CM733" s="1472">
        <f t="shared" si="17"/>
        <v>0</v>
      </c>
      <c r="CN733" s="1473"/>
      <c r="CO733" s="3"/>
      <c r="CP733" s="1461">
        <f t="shared" si="18"/>
        <v>0</v>
      </c>
      <c r="CQ733" s="1462"/>
      <c r="CR733" s="1462"/>
      <c r="CS733" s="1462"/>
      <c r="CT733" s="1463"/>
      <c r="CU733" s="1446">
        <f t="shared" si="19"/>
        <v>0</v>
      </c>
      <c r="CV733" s="1446"/>
      <c r="CW733" s="1446"/>
      <c r="CX733" s="1446"/>
      <c r="CY733" s="1446"/>
      <c r="CZ733" s="1446">
        <f t="shared" si="20"/>
        <v>0</v>
      </c>
      <c r="DA733" s="1446"/>
      <c r="DB733" s="1446"/>
      <c r="DC733" s="1446"/>
      <c r="DD733" s="1446"/>
      <c r="DE733" s="1446">
        <f t="shared" si="21"/>
        <v>0</v>
      </c>
      <c r="DF733" s="1446"/>
      <c r="DG733" s="1446"/>
      <c r="DH733" s="1446"/>
      <c r="DI733" s="1446"/>
      <c r="DJ733" s="1446">
        <f t="shared" si="22"/>
        <v>0</v>
      </c>
      <c r="DK733" s="1446"/>
      <c r="DL733" s="1446"/>
      <c r="DM733" s="1446"/>
      <c r="DN733" s="1446"/>
      <c r="DO733" s="1446">
        <f t="shared" si="23"/>
        <v>0</v>
      </c>
      <c r="DP733" s="1446"/>
      <c r="DQ733" s="1446"/>
      <c r="DR733" s="1446"/>
      <c r="DS733" s="1446"/>
      <c r="DT733" s="6"/>
      <c r="DU733" s="1447">
        <f t="shared" si="24"/>
        <v>0</v>
      </c>
      <c r="DV733" s="1447"/>
      <c r="DW733" s="1447"/>
      <c r="DX733" s="1447"/>
      <c r="DY733" s="1447"/>
      <c r="DZ733" s="1447">
        <f t="shared" si="25"/>
        <v>0</v>
      </c>
      <c r="EA733" s="1447"/>
      <c r="EB733" s="1447"/>
      <c r="EC733" s="1447"/>
      <c r="ED733" s="1447"/>
      <c r="EE733" s="1447">
        <f t="shared" si="26"/>
        <v>0</v>
      </c>
      <c r="EF733" s="1447"/>
      <c r="EG733" s="1447"/>
      <c r="EH733" s="1447"/>
      <c r="EI733" s="1447"/>
      <c r="EJ733" s="1447">
        <f t="shared" si="27"/>
        <v>0</v>
      </c>
      <c r="EK733" s="1447"/>
      <c r="EL733" s="1447"/>
      <c r="EM733" s="1447"/>
      <c r="EN733" s="1447"/>
      <c r="EO733" s="1447">
        <f t="shared" si="28"/>
        <v>0</v>
      </c>
      <c r="EP733" s="1447"/>
      <c r="EQ733" s="1447"/>
      <c r="ER733" s="1447"/>
      <c r="ES733" s="1447"/>
      <c r="ET733" s="1447">
        <f t="shared" si="29"/>
        <v>0</v>
      </c>
      <c r="EU733" s="1447"/>
      <c r="EV733" s="1447"/>
      <c r="EW733" s="1447"/>
      <c r="EX733" s="1447"/>
      <c r="EZ733" s="1466" t="str">
        <f t="shared" si="30"/>
        <v/>
      </c>
      <c r="FA733" s="1468"/>
      <c r="FB733" s="1468"/>
      <c r="FC733" s="1468"/>
      <c r="FD733" s="1467"/>
      <c r="FE733" s="1466" t="str">
        <f t="shared" si="31"/>
        <v/>
      </c>
      <c r="FF733" s="1468"/>
      <c r="FG733" s="1468"/>
      <c r="FH733" s="1468"/>
      <c r="FI733" s="1467"/>
      <c r="FJ733" s="1466" t="str">
        <f t="shared" si="32"/>
        <v/>
      </c>
      <c r="FK733" s="1468"/>
      <c r="FL733" s="1468"/>
      <c r="FM733" s="1468"/>
      <c r="FN733" s="1467"/>
      <c r="FO733" s="1466" t="str">
        <f t="shared" si="33"/>
        <v/>
      </c>
      <c r="FP733" s="1468"/>
      <c r="FQ733" s="1468"/>
      <c r="FR733" s="1468"/>
      <c r="FS733" s="1467"/>
      <c r="FT733" s="1466" t="str">
        <f t="shared" si="34"/>
        <v/>
      </c>
      <c r="FU733" s="1468"/>
      <c r="FV733" s="1468"/>
      <c r="FW733" s="1468"/>
      <c r="FX733" s="1467"/>
      <c r="FY733" s="1466" t="str">
        <f t="shared" si="35"/>
        <v/>
      </c>
      <c r="FZ733" s="1468"/>
      <c r="GA733" s="1468"/>
      <c r="GB733" s="1468"/>
      <c r="GC733" s="1467"/>
    </row>
    <row r="734" spans="1:185" ht="12.95" customHeight="1">
      <c r="B734" s="1338"/>
      <c r="C734" s="1339"/>
      <c r="D734" s="1339"/>
      <c r="E734" s="1339"/>
      <c r="F734" s="1340"/>
      <c r="G734" s="1351"/>
      <c r="H734" s="1352"/>
      <c r="I734" s="1352"/>
      <c r="J734" s="1353"/>
      <c r="K734" s="1344"/>
      <c r="L734" s="1345"/>
      <c r="M734" s="1345"/>
      <c r="N734" s="1346"/>
      <c r="O734" s="1341"/>
      <c r="P734" s="1342"/>
      <c r="Q734" s="1342"/>
      <c r="R734" s="1342"/>
      <c r="S734" s="1343"/>
      <c r="T734" s="1341"/>
      <c r="U734" s="1342"/>
      <c r="V734" s="1342"/>
      <c r="W734" s="1343"/>
      <c r="X734" s="1354">
        <f t="shared" si="8"/>
        <v>0</v>
      </c>
      <c r="Y734" s="1355"/>
      <c r="Z734" s="1355"/>
      <c r="AA734" s="1355"/>
      <c r="AB734" s="1356"/>
      <c r="AC734" s="1361"/>
      <c r="AD734" s="1362"/>
      <c r="AE734" s="1362"/>
      <c r="AF734" s="1362"/>
      <c r="AG734" s="1363"/>
      <c r="AH734" s="1357" t="str">
        <f t="shared" si="36"/>
        <v/>
      </c>
      <c r="AI734" s="1358"/>
      <c r="AJ734" s="1359"/>
      <c r="AK734" s="1338" t="s">
        <v>591</v>
      </c>
      <c r="AL734" s="1339"/>
      <c r="AM734" s="1339"/>
      <c r="AN734" s="1339"/>
      <c r="AO734" s="1340"/>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466">
        <f t="shared" si="37"/>
        <v>0</v>
      </c>
      <c r="CH734" s="1467"/>
      <c r="CI734" s="1472">
        <f t="shared" si="38"/>
        <v>0</v>
      </c>
      <c r="CJ734" s="1473"/>
      <c r="CK734" s="1466">
        <f t="shared" si="16"/>
        <v>0</v>
      </c>
      <c r="CL734" s="1467"/>
      <c r="CM734" s="1472">
        <f t="shared" si="17"/>
        <v>0</v>
      </c>
      <c r="CN734" s="1473"/>
      <c r="CO734" s="3"/>
      <c r="CP734" s="1461">
        <f t="shared" si="18"/>
        <v>0</v>
      </c>
      <c r="CQ734" s="1462"/>
      <c r="CR734" s="1462"/>
      <c r="CS734" s="1462"/>
      <c r="CT734" s="1463"/>
      <c r="CU734" s="1446">
        <f t="shared" si="19"/>
        <v>0</v>
      </c>
      <c r="CV734" s="1446"/>
      <c r="CW734" s="1446"/>
      <c r="CX734" s="1446"/>
      <c r="CY734" s="1446"/>
      <c r="CZ734" s="1446">
        <f t="shared" si="20"/>
        <v>0</v>
      </c>
      <c r="DA734" s="1446"/>
      <c r="DB734" s="1446"/>
      <c r="DC734" s="1446"/>
      <c r="DD734" s="1446"/>
      <c r="DE734" s="1446">
        <f t="shared" si="21"/>
        <v>0</v>
      </c>
      <c r="DF734" s="1446"/>
      <c r="DG734" s="1446"/>
      <c r="DH734" s="1446"/>
      <c r="DI734" s="1446"/>
      <c r="DJ734" s="1446">
        <f t="shared" si="22"/>
        <v>0</v>
      </c>
      <c r="DK734" s="1446"/>
      <c r="DL734" s="1446"/>
      <c r="DM734" s="1446"/>
      <c r="DN734" s="1446"/>
      <c r="DO734" s="1446">
        <f t="shared" si="23"/>
        <v>0</v>
      </c>
      <c r="DP734" s="1446"/>
      <c r="DQ734" s="1446"/>
      <c r="DR734" s="1446"/>
      <c r="DS734" s="1446"/>
      <c r="DT734" s="6"/>
      <c r="DU734" s="1447">
        <f t="shared" si="24"/>
        <v>0</v>
      </c>
      <c r="DV734" s="1447"/>
      <c r="DW734" s="1447"/>
      <c r="DX734" s="1447"/>
      <c r="DY734" s="1447"/>
      <c r="DZ734" s="1447">
        <f t="shared" si="25"/>
        <v>0</v>
      </c>
      <c r="EA734" s="1447"/>
      <c r="EB734" s="1447"/>
      <c r="EC734" s="1447"/>
      <c r="ED734" s="1447"/>
      <c r="EE734" s="1447">
        <f t="shared" si="26"/>
        <v>0</v>
      </c>
      <c r="EF734" s="1447"/>
      <c r="EG734" s="1447"/>
      <c r="EH734" s="1447"/>
      <c r="EI734" s="1447"/>
      <c r="EJ734" s="1447">
        <f t="shared" si="27"/>
        <v>0</v>
      </c>
      <c r="EK734" s="1447"/>
      <c r="EL734" s="1447"/>
      <c r="EM734" s="1447"/>
      <c r="EN734" s="1447"/>
      <c r="EO734" s="1447">
        <f t="shared" si="28"/>
        <v>0</v>
      </c>
      <c r="EP734" s="1447"/>
      <c r="EQ734" s="1447"/>
      <c r="ER734" s="1447"/>
      <c r="ES734" s="1447"/>
      <c r="ET734" s="1447">
        <f t="shared" si="29"/>
        <v>0</v>
      </c>
      <c r="EU734" s="1447"/>
      <c r="EV734" s="1447"/>
      <c r="EW734" s="1447"/>
      <c r="EX734" s="1447"/>
      <c r="EZ734" s="1466" t="str">
        <f t="shared" si="30"/>
        <v/>
      </c>
      <c r="FA734" s="1468"/>
      <c r="FB734" s="1468"/>
      <c r="FC734" s="1468"/>
      <c r="FD734" s="1467"/>
      <c r="FE734" s="1466" t="str">
        <f t="shared" si="31"/>
        <v/>
      </c>
      <c r="FF734" s="1468"/>
      <c r="FG734" s="1468"/>
      <c r="FH734" s="1468"/>
      <c r="FI734" s="1467"/>
      <c r="FJ734" s="1466" t="str">
        <f t="shared" si="32"/>
        <v/>
      </c>
      <c r="FK734" s="1468"/>
      <c r="FL734" s="1468"/>
      <c r="FM734" s="1468"/>
      <c r="FN734" s="1467"/>
      <c r="FO734" s="1466" t="str">
        <f t="shared" si="33"/>
        <v/>
      </c>
      <c r="FP734" s="1468"/>
      <c r="FQ734" s="1468"/>
      <c r="FR734" s="1468"/>
      <c r="FS734" s="1467"/>
      <c r="FT734" s="1466" t="str">
        <f t="shared" si="34"/>
        <v/>
      </c>
      <c r="FU734" s="1468"/>
      <c r="FV734" s="1468"/>
      <c r="FW734" s="1468"/>
      <c r="FX734" s="1467"/>
      <c r="FY734" s="1466" t="str">
        <f t="shared" si="35"/>
        <v/>
      </c>
      <c r="FZ734" s="1468"/>
      <c r="GA734" s="1468"/>
      <c r="GB734" s="1468"/>
      <c r="GC734" s="1467"/>
    </row>
    <row r="735" spans="1:185" ht="12.95" customHeight="1">
      <c r="B735" s="1338"/>
      <c r="C735" s="1339"/>
      <c r="D735" s="1339"/>
      <c r="E735" s="1339"/>
      <c r="F735" s="1340"/>
      <c r="G735" s="1351"/>
      <c r="H735" s="1352"/>
      <c r="I735" s="1352"/>
      <c r="J735" s="1353"/>
      <c r="K735" s="1344"/>
      <c r="L735" s="1345"/>
      <c r="M735" s="1345"/>
      <c r="N735" s="1346"/>
      <c r="O735" s="1341"/>
      <c r="P735" s="1342"/>
      <c r="Q735" s="1342"/>
      <c r="R735" s="1342"/>
      <c r="S735" s="1343"/>
      <c r="T735" s="1341"/>
      <c r="U735" s="1342"/>
      <c r="V735" s="1342"/>
      <c r="W735" s="1343"/>
      <c r="X735" s="1354">
        <f t="shared" si="8"/>
        <v>0</v>
      </c>
      <c r="Y735" s="1355"/>
      <c r="Z735" s="1355"/>
      <c r="AA735" s="1355"/>
      <c r="AB735" s="1356"/>
      <c r="AC735" s="1361"/>
      <c r="AD735" s="1362"/>
      <c r="AE735" s="1362"/>
      <c r="AF735" s="1362"/>
      <c r="AG735" s="1363"/>
      <c r="AH735" s="1357" t="str">
        <f t="shared" si="36"/>
        <v/>
      </c>
      <c r="AI735" s="1358"/>
      <c r="AJ735" s="1359"/>
      <c r="AK735" s="1338" t="s">
        <v>591</v>
      </c>
      <c r="AL735" s="1339"/>
      <c r="AM735" s="1339"/>
      <c r="AN735" s="1339"/>
      <c r="AO735" s="1340"/>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466">
        <f t="shared" si="37"/>
        <v>0</v>
      </c>
      <c r="CH735" s="1467"/>
      <c r="CI735" s="1472">
        <f t="shared" si="38"/>
        <v>0</v>
      </c>
      <c r="CJ735" s="1473"/>
      <c r="CK735" s="1466">
        <f t="shared" si="16"/>
        <v>0</v>
      </c>
      <c r="CL735" s="1467"/>
      <c r="CM735" s="1472">
        <f t="shared" si="17"/>
        <v>0</v>
      </c>
      <c r="CN735" s="1473"/>
      <c r="CO735" s="3"/>
      <c r="CP735" s="1461">
        <f t="shared" si="18"/>
        <v>0</v>
      </c>
      <c r="CQ735" s="1462"/>
      <c r="CR735" s="1462"/>
      <c r="CS735" s="1462"/>
      <c r="CT735" s="1463"/>
      <c r="CU735" s="1446">
        <f t="shared" si="19"/>
        <v>0</v>
      </c>
      <c r="CV735" s="1446"/>
      <c r="CW735" s="1446"/>
      <c r="CX735" s="1446"/>
      <c r="CY735" s="1446"/>
      <c r="CZ735" s="1446">
        <f t="shared" si="20"/>
        <v>0</v>
      </c>
      <c r="DA735" s="1446"/>
      <c r="DB735" s="1446"/>
      <c r="DC735" s="1446"/>
      <c r="DD735" s="1446"/>
      <c r="DE735" s="1446">
        <f t="shared" si="21"/>
        <v>0</v>
      </c>
      <c r="DF735" s="1446"/>
      <c r="DG735" s="1446"/>
      <c r="DH735" s="1446"/>
      <c r="DI735" s="1446"/>
      <c r="DJ735" s="1446">
        <f t="shared" si="22"/>
        <v>0</v>
      </c>
      <c r="DK735" s="1446"/>
      <c r="DL735" s="1446"/>
      <c r="DM735" s="1446"/>
      <c r="DN735" s="1446"/>
      <c r="DO735" s="1446">
        <f t="shared" si="23"/>
        <v>0</v>
      </c>
      <c r="DP735" s="1446"/>
      <c r="DQ735" s="1446"/>
      <c r="DR735" s="1446"/>
      <c r="DS735" s="1446"/>
      <c r="DT735" s="6"/>
      <c r="DU735" s="1447">
        <f t="shared" si="24"/>
        <v>0</v>
      </c>
      <c r="DV735" s="1447"/>
      <c r="DW735" s="1447"/>
      <c r="DX735" s="1447"/>
      <c r="DY735" s="1447"/>
      <c r="DZ735" s="1447">
        <f t="shared" si="25"/>
        <v>0</v>
      </c>
      <c r="EA735" s="1447"/>
      <c r="EB735" s="1447"/>
      <c r="EC735" s="1447"/>
      <c r="ED735" s="1447"/>
      <c r="EE735" s="1447">
        <f t="shared" si="26"/>
        <v>0</v>
      </c>
      <c r="EF735" s="1447"/>
      <c r="EG735" s="1447"/>
      <c r="EH735" s="1447"/>
      <c r="EI735" s="1447"/>
      <c r="EJ735" s="1447">
        <f t="shared" si="27"/>
        <v>0</v>
      </c>
      <c r="EK735" s="1447"/>
      <c r="EL735" s="1447"/>
      <c r="EM735" s="1447"/>
      <c r="EN735" s="1447"/>
      <c r="EO735" s="1447">
        <f t="shared" si="28"/>
        <v>0</v>
      </c>
      <c r="EP735" s="1447"/>
      <c r="EQ735" s="1447"/>
      <c r="ER735" s="1447"/>
      <c r="ES735" s="1447"/>
      <c r="ET735" s="1447">
        <f t="shared" si="29"/>
        <v>0</v>
      </c>
      <c r="EU735" s="1447"/>
      <c r="EV735" s="1447"/>
      <c r="EW735" s="1447"/>
      <c r="EX735" s="1447"/>
      <c r="EZ735" s="1466" t="str">
        <f t="shared" si="30"/>
        <v/>
      </c>
      <c r="FA735" s="1468"/>
      <c r="FB735" s="1468"/>
      <c r="FC735" s="1468"/>
      <c r="FD735" s="1467"/>
      <c r="FE735" s="1466" t="str">
        <f t="shared" si="31"/>
        <v/>
      </c>
      <c r="FF735" s="1468"/>
      <c r="FG735" s="1468"/>
      <c r="FH735" s="1468"/>
      <c r="FI735" s="1467"/>
      <c r="FJ735" s="1466" t="str">
        <f t="shared" si="32"/>
        <v/>
      </c>
      <c r="FK735" s="1468"/>
      <c r="FL735" s="1468"/>
      <c r="FM735" s="1468"/>
      <c r="FN735" s="1467"/>
      <c r="FO735" s="1466" t="str">
        <f t="shared" si="33"/>
        <v/>
      </c>
      <c r="FP735" s="1468"/>
      <c r="FQ735" s="1468"/>
      <c r="FR735" s="1468"/>
      <c r="FS735" s="1467"/>
      <c r="FT735" s="1466" t="str">
        <f t="shared" si="34"/>
        <v/>
      </c>
      <c r="FU735" s="1468"/>
      <c r="FV735" s="1468"/>
      <c r="FW735" s="1468"/>
      <c r="FX735" s="1467"/>
      <c r="FY735" s="1466" t="str">
        <f t="shared" si="35"/>
        <v/>
      </c>
      <c r="FZ735" s="1468"/>
      <c r="GA735" s="1468"/>
      <c r="GB735" s="1468"/>
      <c r="GC735" s="1467"/>
    </row>
    <row r="736" spans="1:185" ht="12.95" customHeight="1">
      <c r="B736" s="1338"/>
      <c r="C736" s="1339"/>
      <c r="D736" s="1339"/>
      <c r="E736" s="1339"/>
      <c r="F736" s="1340"/>
      <c r="G736" s="1351"/>
      <c r="H736" s="1352"/>
      <c r="I736" s="1352"/>
      <c r="J736" s="1353"/>
      <c r="K736" s="1344"/>
      <c r="L736" s="1345"/>
      <c r="M736" s="1345"/>
      <c r="N736" s="1346"/>
      <c r="O736" s="1341"/>
      <c r="P736" s="1342"/>
      <c r="Q736" s="1342"/>
      <c r="R736" s="1342"/>
      <c r="S736" s="1343"/>
      <c r="T736" s="1341"/>
      <c r="U736" s="1342"/>
      <c r="V736" s="1342"/>
      <c r="W736" s="1343"/>
      <c r="X736" s="1354">
        <f t="shared" si="8"/>
        <v>0</v>
      </c>
      <c r="Y736" s="1355"/>
      <c r="Z736" s="1355"/>
      <c r="AA736" s="1355"/>
      <c r="AB736" s="1356"/>
      <c r="AC736" s="1361"/>
      <c r="AD736" s="1362"/>
      <c r="AE736" s="1362"/>
      <c r="AF736" s="1362"/>
      <c r="AG736" s="1363"/>
      <c r="AH736" s="1357" t="str">
        <f t="shared" si="36"/>
        <v/>
      </c>
      <c r="AI736" s="1358"/>
      <c r="AJ736" s="1359"/>
      <c r="AK736" s="1338" t="s">
        <v>591</v>
      </c>
      <c r="AL736" s="1339"/>
      <c r="AM736" s="1339"/>
      <c r="AN736" s="1339"/>
      <c r="AO736" s="1340"/>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466">
        <f t="shared" si="37"/>
        <v>0</v>
      </c>
      <c r="CH736" s="1467"/>
      <c r="CI736" s="1472">
        <f t="shared" si="38"/>
        <v>0</v>
      </c>
      <c r="CJ736" s="1473"/>
      <c r="CK736" s="1466">
        <f t="shared" si="16"/>
        <v>0</v>
      </c>
      <c r="CL736" s="1467"/>
      <c r="CM736" s="1472">
        <f t="shared" si="17"/>
        <v>0</v>
      </c>
      <c r="CN736" s="1473"/>
      <c r="CO736" s="3"/>
      <c r="CP736" s="1461">
        <f t="shared" si="18"/>
        <v>0</v>
      </c>
      <c r="CQ736" s="1462"/>
      <c r="CR736" s="1462"/>
      <c r="CS736" s="1462"/>
      <c r="CT736" s="1463"/>
      <c r="CU736" s="1446">
        <f t="shared" si="19"/>
        <v>0</v>
      </c>
      <c r="CV736" s="1446"/>
      <c r="CW736" s="1446"/>
      <c r="CX736" s="1446"/>
      <c r="CY736" s="1446"/>
      <c r="CZ736" s="1446">
        <f t="shared" si="20"/>
        <v>0</v>
      </c>
      <c r="DA736" s="1446"/>
      <c r="DB736" s="1446"/>
      <c r="DC736" s="1446"/>
      <c r="DD736" s="1446"/>
      <c r="DE736" s="1446">
        <f t="shared" si="21"/>
        <v>0</v>
      </c>
      <c r="DF736" s="1446"/>
      <c r="DG736" s="1446"/>
      <c r="DH736" s="1446"/>
      <c r="DI736" s="1446"/>
      <c r="DJ736" s="1446">
        <f t="shared" si="22"/>
        <v>0</v>
      </c>
      <c r="DK736" s="1446"/>
      <c r="DL736" s="1446"/>
      <c r="DM736" s="1446"/>
      <c r="DN736" s="1446"/>
      <c r="DO736" s="1446">
        <f t="shared" si="23"/>
        <v>0</v>
      </c>
      <c r="DP736" s="1446"/>
      <c r="DQ736" s="1446"/>
      <c r="DR736" s="1446"/>
      <c r="DS736" s="1446"/>
      <c r="DT736" s="6"/>
      <c r="DU736" s="1447">
        <f t="shared" si="24"/>
        <v>0</v>
      </c>
      <c r="DV736" s="1447"/>
      <c r="DW736" s="1447"/>
      <c r="DX736" s="1447"/>
      <c r="DY736" s="1447"/>
      <c r="DZ736" s="1447">
        <f t="shared" si="25"/>
        <v>0</v>
      </c>
      <c r="EA736" s="1447"/>
      <c r="EB736" s="1447"/>
      <c r="EC736" s="1447"/>
      <c r="ED736" s="1447"/>
      <c r="EE736" s="1447">
        <f t="shared" si="26"/>
        <v>0</v>
      </c>
      <c r="EF736" s="1447"/>
      <c r="EG736" s="1447"/>
      <c r="EH736" s="1447"/>
      <c r="EI736" s="1447"/>
      <c r="EJ736" s="1447">
        <f t="shared" si="27"/>
        <v>0</v>
      </c>
      <c r="EK736" s="1447"/>
      <c r="EL736" s="1447"/>
      <c r="EM736" s="1447"/>
      <c r="EN736" s="1447"/>
      <c r="EO736" s="1447">
        <f t="shared" si="28"/>
        <v>0</v>
      </c>
      <c r="EP736" s="1447"/>
      <c r="EQ736" s="1447"/>
      <c r="ER736" s="1447"/>
      <c r="ES736" s="1447"/>
      <c r="ET736" s="1447">
        <f t="shared" si="29"/>
        <v>0</v>
      </c>
      <c r="EU736" s="1447"/>
      <c r="EV736" s="1447"/>
      <c r="EW736" s="1447"/>
      <c r="EX736" s="1447"/>
      <c r="EZ736" s="1466" t="str">
        <f t="shared" si="30"/>
        <v/>
      </c>
      <c r="FA736" s="1468"/>
      <c r="FB736" s="1468"/>
      <c r="FC736" s="1468"/>
      <c r="FD736" s="1467"/>
      <c r="FE736" s="1466" t="str">
        <f t="shared" si="31"/>
        <v/>
      </c>
      <c r="FF736" s="1468"/>
      <c r="FG736" s="1468"/>
      <c r="FH736" s="1468"/>
      <c r="FI736" s="1467"/>
      <c r="FJ736" s="1466" t="str">
        <f t="shared" si="32"/>
        <v/>
      </c>
      <c r="FK736" s="1468"/>
      <c r="FL736" s="1468"/>
      <c r="FM736" s="1468"/>
      <c r="FN736" s="1467"/>
      <c r="FO736" s="1466" t="str">
        <f t="shared" si="33"/>
        <v/>
      </c>
      <c r="FP736" s="1468"/>
      <c r="FQ736" s="1468"/>
      <c r="FR736" s="1468"/>
      <c r="FS736" s="1467"/>
      <c r="FT736" s="1466" t="str">
        <f t="shared" si="34"/>
        <v/>
      </c>
      <c r="FU736" s="1468"/>
      <c r="FV736" s="1468"/>
      <c r="FW736" s="1468"/>
      <c r="FX736" s="1467"/>
      <c r="FY736" s="1466" t="str">
        <f t="shared" si="35"/>
        <v/>
      </c>
      <c r="FZ736" s="1468"/>
      <c r="GA736" s="1468"/>
      <c r="GB736" s="1468"/>
      <c r="GC736" s="1467"/>
    </row>
    <row r="737" spans="1:185" ht="12.95" customHeight="1">
      <c r="B737" s="1338"/>
      <c r="C737" s="1339"/>
      <c r="D737" s="1339"/>
      <c r="E737" s="1339"/>
      <c r="F737" s="1340"/>
      <c r="G737" s="1351"/>
      <c r="H737" s="1352"/>
      <c r="I737" s="1352"/>
      <c r="J737" s="1353"/>
      <c r="K737" s="1344"/>
      <c r="L737" s="1345"/>
      <c r="M737" s="1345"/>
      <c r="N737" s="1346"/>
      <c r="O737" s="1341"/>
      <c r="P737" s="1342"/>
      <c r="Q737" s="1342"/>
      <c r="R737" s="1342"/>
      <c r="S737" s="1343"/>
      <c r="T737" s="1341"/>
      <c r="U737" s="1342"/>
      <c r="V737" s="1342"/>
      <c r="W737" s="1343"/>
      <c r="X737" s="1354">
        <f t="shared" si="8"/>
        <v>0</v>
      </c>
      <c r="Y737" s="1355"/>
      <c r="Z737" s="1355"/>
      <c r="AA737" s="1355"/>
      <c r="AB737" s="1356"/>
      <c r="AC737" s="1361"/>
      <c r="AD737" s="1362"/>
      <c r="AE737" s="1362"/>
      <c r="AF737" s="1362"/>
      <c r="AG737" s="1363"/>
      <c r="AH737" s="1357" t="str">
        <f t="shared" si="36"/>
        <v/>
      </c>
      <c r="AI737" s="1358"/>
      <c r="AJ737" s="1359"/>
      <c r="AK737" s="1338" t="s">
        <v>591</v>
      </c>
      <c r="AL737" s="1339"/>
      <c r="AM737" s="1339"/>
      <c r="AN737" s="1339"/>
      <c r="AO737" s="1340"/>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466">
        <f t="shared" si="37"/>
        <v>0</v>
      </c>
      <c r="CH737" s="1467"/>
      <c r="CI737" s="1472">
        <f t="shared" si="38"/>
        <v>0</v>
      </c>
      <c r="CJ737" s="1473"/>
      <c r="CK737" s="1466">
        <f t="shared" si="16"/>
        <v>0</v>
      </c>
      <c r="CL737" s="1467"/>
      <c r="CM737" s="1472">
        <f t="shared" si="17"/>
        <v>0</v>
      </c>
      <c r="CN737" s="1473"/>
      <c r="CO737" s="3"/>
      <c r="CP737" s="1461">
        <f t="shared" si="18"/>
        <v>0</v>
      </c>
      <c r="CQ737" s="1462"/>
      <c r="CR737" s="1462"/>
      <c r="CS737" s="1462"/>
      <c r="CT737" s="1463"/>
      <c r="CU737" s="1446">
        <f t="shared" si="19"/>
        <v>0</v>
      </c>
      <c r="CV737" s="1446"/>
      <c r="CW737" s="1446"/>
      <c r="CX737" s="1446"/>
      <c r="CY737" s="1446"/>
      <c r="CZ737" s="1446">
        <f t="shared" si="20"/>
        <v>0</v>
      </c>
      <c r="DA737" s="1446"/>
      <c r="DB737" s="1446"/>
      <c r="DC737" s="1446"/>
      <c r="DD737" s="1446"/>
      <c r="DE737" s="1446">
        <f t="shared" si="21"/>
        <v>0</v>
      </c>
      <c r="DF737" s="1446"/>
      <c r="DG737" s="1446"/>
      <c r="DH737" s="1446"/>
      <c r="DI737" s="1446"/>
      <c r="DJ737" s="1446">
        <f t="shared" si="22"/>
        <v>0</v>
      </c>
      <c r="DK737" s="1446"/>
      <c r="DL737" s="1446"/>
      <c r="DM737" s="1446"/>
      <c r="DN737" s="1446"/>
      <c r="DO737" s="1446">
        <f t="shared" si="23"/>
        <v>0</v>
      </c>
      <c r="DP737" s="1446"/>
      <c r="DQ737" s="1446"/>
      <c r="DR737" s="1446"/>
      <c r="DS737" s="1446"/>
      <c r="DT737" s="6"/>
      <c r="DU737" s="1447">
        <f t="shared" si="24"/>
        <v>0</v>
      </c>
      <c r="DV737" s="1447"/>
      <c r="DW737" s="1447"/>
      <c r="DX737" s="1447"/>
      <c r="DY737" s="1447"/>
      <c r="DZ737" s="1447">
        <f t="shared" si="25"/>
        <v>0</v>
      </c>
      <c r="EA737" s="1447"/>
      <c r="EB737" s="1447"/>
      <c r="EC737" s="1447"/>
      <c r="ED737" s="1447"/>
      <c r="EE737" s="1447">
        <f t="shared" si="26"/>
        <v>0</v>
      </c>
      <c r="EF737" s="1447"/>
      <c r="EG737" s="1447"/>
      <c r="EH737" s="1447"/>
      <c r="EI737" s="1447"/>
      <c r="EJ737" s="1447">
        <f t="shared" si="27"/>
        <v>0</v>
      </c>
      <c r="EK737" s="1447"/>
      <c r="EL737" s="1447"/>
      <c r="EM737" s="1447"/>
      <c r="EN737" s="1447"/>
      <c r="EO737" s="1447">
        <f t="shared" si="28"/>
        <v>0</v>
      </c>
      <c r="EP737" s="1447"/>
      <c r="EQ737" s="1447"/>
      <c r="ER737" s="1447"/>
      <c r="ES737" s="1447"/>
      <c r="ET737" s="1447">
        <f t="shared" si="29"/>
        <v>0</v>
      </c>
      <c r="EU737" s="1447"/>
      <c r="EV737" s="1447"/>
      <c r="EW737" s="1447"/>
      <c r="EX737" s="1447"/>
      <c r="EZ737" s="1466" t="str">
        <f t="shared" si="30"/>
        <v/>
      </c>
      <c r="FA737" s="1468"/>
      <c r="FB737" s="1468"/>
      <c r="FC737" s="1468"/>
      <c r="FD737" s="1467"/>
      <c r="FE737" s="1466" t="str">
        <f t="shared" si="31"/>
        <v/>
      </c>
      <c r="FF737" s="1468"/>
      <c r="FG737" s="1468"/>
      <c r="FH737" s="1468"/>
      <c r="FI737" s="1467"/>
      <c r="FJ737" s="1466" t="str">
        <f t="shared" si="32"/>
        <v/>
      </c>
      <c r="FK737" s="1468"/>
      <c r="FL737" s="1468"/>
      <c r="FM737" s="1468"/>
      <c r="FN737" s="1467"/>
      <c r="FO737" s="1466" t="str">
        <f t="shared" si="33"/>
        <v/>
      </c>
      <c r="FP737" s="1468"/>
      <c r="FQ737" s="1468"/>
      <c r="FR737" s="1468"/>
      <c r="FS737" s="1467"/>
      <c r="FT737" s="1466" t="str">
        <f t="shared" si="34"/>
        <v/>
      </c>
      <c r="FU737" s="1468"/>
      <c r="FV737" s="1468"/>
      <c r="FW737" s="1468"/>
      <c r="FX737" s="1467"/>
      <c r="FY737" s="1466" t="str">
        <f t="shared" si="35"/>
        <v/>
      </c>
      <c r="FZ737" s="1468"/>
      <c r="GA737" s="1468"/>
      <c r="GB737" s="1468"/>
      <c r="GC737" s="1467"/>
    </row>
    <row r="738" spans="1:185" ht="12.95" customHeight="1">
      <c r="B738" s="1338"/>
      <c r="C738" s="1339"/>
      <c r="D738" s="1339"/>
      <c r="E738" s="1339"/>
      <c r="F738" s="1340"/>
      <c r="G738" s="1351"/>
      <c r="H738" s="1352"/>
      <c r="I738" s="1352"/>
      <c r="J738" s="1353"/>
      <c r="K738" s="1344"/>
      <c r="L738" s="1345"/>
      <c r="M738" s="1345"/>
      <c r="N738" s="1346"/>
      <c r="O738" s="1341"/>
      <c r="P738" s="1342"/>
      <c r="Q738" s="1342"/>
      <c r="R738" s="1342"/>
      <c r="S738" s="1343"/>
      <c r="T738" s="1341"/>
      <c r="U738" s="1342"/>
      <c r="V738" s="1342"/>
      <c r="W738" s="1343"/>
      <c r="X738" s="1354">
        <f t="shared" si="8"/>
        <v>0</v>
      </c>
      <c r="Y738" s="1355"/>
      <c r="Z738" s="1355"/>
      <c r="AA738" s="1355"/>
      <c r="AB738" s="1356"/>
      <c r="AC738" s="1361"/>
      <c r="AD738" s="1362"/>
      <c r="AE738" s="1362"/>
      <c r="AF738" s="1362"/>
      <c r="AG738" s="1363"/>
      <c r="AH738" s="1357" t="str">
        <f t="shared" si="36"/>
        <v/>
      </c>
      <c r="AI738" s="1358"/>
      <c r="AJ738" s="1359"/>
      <c r="AK738" s="1338" t="s">
        <v>591</v>
      </c>
      <c r="AL738" s="1339"/>
      <c r="AM738" s="1339"/>
      <c r="AN738" s="1339"/>
      <c r="AO738" s="1340"/>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6">
        <f t="shared" si="37"/>
        <v>0</v>
      </c>
      <c r="CH738" s="1467"/>
      <c r="CI738" s="1472">
        <f t="shared" si="38"/>
        <v>0</v>
      </c>
      <c r="CJ738" s="1473"/>
      <c r="CK738" s="1466">
        <f t="shared" si="16"/>
        <v>0</v>
      </c>
      <c r="CL738" s="1467"/>
      <c r="CM738" s="1472">
        <f t="shared" si="17"/>
        <v>0</v>
      </c>
      <c r="CN738" s="1473"/>
      <c r="CO738" s="3"/>
      <c r="CP738" s="1461">
        <f t="shared" si="18"/>
        <v>0</v>
      </c>
      <c r="CQ738" s="1462"/>
      <c r="CR738" s="1462"/>
      <c r="CS738" s="1462"/>
      <c r="CT738" s="1463"/>
      <c r="CU738" s="1446">
        <f t="shared" si="19"/>
        <v>0</v>
      </c>
      <c r="CV738" s="1446"/>
      <c r="CW738" s="1446"/>
      <c r="CX738" s="1446"/>
      <c r="CY738" s="1446"/>
      <c r="CZ738" s="1446">
        <f t="shared" si="20"/>
        <v>0</v>
      </c>
      <c r="DA738" s="1446"/>
      <c r="DB738" s="1446"/>
      <c r="DC738" s="1446"/>
      <c r="DD738" s="1446"/>
      <c r="DE738" s="1446">
        <f t="shared" si="21"/>
        <v>0</v>
      </c>
      <c r="DF738" s="1446"/>
      <c r="DG738" s="1446"/>
      <c r="DH738" s="1446"/>
      <c r="DI738" s="1446"/>
      <c r="DJ738" s="1446">
        <f t="shared" si="22"/>
        <v>0</v>
      </c>
      <c r="DK738" s="1446"/>
      <c r="DL738" s="1446"/>
      <c r="DM738" s="1446"/>
      <c r="DN738" s="1446"/>
      <c r="DO738" s="1446">
        <f t="shared" si="23"/>
        <v>0</v>
      </c>
      <c r="DP738" s="1446"/>
      <c r="DQ738" s="1446"/>
      <c r="DR738" s="1446"/>
      <c r="DS738" s="1446"/>
      <c r="DT738" s="6"/>
      <c r="DU738" s="1447">
        <f t="shared" si="24"/>
        <v>0</v>
      </c>
      <c r="DV738" s="1447"/>
      <c r="DW738" s="1447"/>
      <c r="DX738" s="1447"/>
      <c r="DY738" s="1447"/>
      <c r="DZ738" s="1447">
        <f t="shared" si="25"/>
        <v>0</v>
      </c>
      <c r="EA738" s="1447"/>
      <c r="EB738" s="1447"/>
      <c r="EC738" s="1447"/>
      <c r="ED738" s="1447"/>
      <c r="EE738" s="1447">
        <f t="shared" si="26"/>
        <v>0</v>
      </c>
      <c r="EF738" s="1447"/>
      <c r="EG738" s="1447"/>
      <c r="EH738" s="1447"/>
      <c r="EI738" s="1447"/>
      <c r="EJ738" s="1447">
        <f t="shared" si="27"/>
        <v>0</v>
      </c>
      <c r="EK738" s="1447"/>
      <c r="EL738" s="1447"/>
      <c r="EM738" s="1447"/>
      <c r="EN738" s="1447"/>
      <c r="EO738" s="1447">
        <f t="shared" si="28"/>
        <v>0</v>
      </c>
      <c r="EP738" s="1447"/>
      <c r="EQ738" s="1447"/>
      <c r="ER738" s="1447"/>
      <c r="ES738" s="1447"/>
      <c r="ET738" s="1447">
        <f t="shared" si="29"/>
        <v>0</v>
      </c>
      <c r="EU738" s="1447"/>
      <c r="EV738" s="1447"/>
      <c r="EW738" s="1447"/>
      <c r="EX738" s="1447"/>
      <c r="EZ738" s="1466" t="str">
        <f t="shared" si="30"/>
        <v/>
      </c>
      <c r="FA738" s="1468"/>
      <c r="FB738" s="1468"/>
      <c r="FC738" s="1468"/>
      <c r="FD738" s="1467"/>
      <c r="FE738" s="1466" t="str">
        <f t="shared" si="31"/>
        <v/>
      </c>
      <c r="FF738" s="1468"/>
      <c r="FG738" s="1468"/>
      <c r="FH738" s="1468"/>
      <c r="FI738" s="1467"/>
      <c r="FJ738" s="1466" t="str">
        <f t="shared" si="32"/>
        <v/>
      </c>
      <c r="FK738" s="1468"/>
      <c r="FL738" s="1468"/>
      <c r="FM738" s="1468"/>
      <c r="FN738" s="1467"/>
      <c r="FO738" s="1466" t="str">
        <f t="shared" si="33"/>
        <v/>
      </c>
      <c r="FP738" s="1468"/>
      <c r="FQ738" s="1468"/>
      <c r="FR738" s="1468"/>
      <c r="FS738" s="1467"/>
      <c r="FT738" s="1466" t="str">
        <f t="shared" si="34"/>
        <v/>
      </c>
      <c r="FU738" s="1468"/>
      <c r="FV738" s="1468"/>
      <c r="FW738" s="1468"/>
      <c r="FX738" s="1467"/>
      <c r="FY738" s="1466" t="str">
        <f t="shared" si="35"/>
        <v/>
      </c>
      <c r="FZ738" s="1468"/>
      <c r="GA738" s="1468"/>
      <c r="GB738" s="1468"/>
      <c r="GC738" s="1467"/>
    </row>
    <row r="739" spans="1:185" ht="12.95" customHeight="1">
      <c r="B739" s="1338"/>
      <c r="C739" s="1339"/>
      <c r="D739" s="1339"/>
      <c r="E739" s="1339"/>
      <c r="F739" s="1340"/>
      <c r="G739" s="1351"/>
      <c r="H739" s="1352"/>
      <c r="I739" s="1352"/>
      <c r="J739" s="1353"/>
      <c r="K739" s="1344"/>
      <c r="L739" s="1345"/>
      <c r="M739" s="1345"/>
      <c r="N739" s="1346"/>
      <c r="O739" s="1341"/>
      <c r="P739" s="1342"/>
      <c r="Q739" s="1342"/>
      <c r="R739" s="1342"/>
      <c r="S739" s="1343"/>
      <c r="T739" s="1341"/>
      <c r="U739" s="1342"/>
      <c r="V739" s="1342"/>
      <c r="W739" s="1343"/>
      <c r="X739" s="1354">
        <f t="shared" si="8"/>
        <v>0</v>
      </c>
      <c r="Y739" s="1355"/>
      <c r="Z739" s="1355"/>
      <c r="AA739" s="1355"/>
      <c r="AB739" s="1356"/>
      <c r="AC739" s="1361"/>
      <c r="AD739" s="1362"/>
      <c r="AE739" s="1362"/>
      <c r="AF739" s="1362"/>
      <c r="AG739" s="1363"/>
      <c r="AH739" s="1357" t="str">
        <f t="shared" si="36"/>
        <v/>
      </c>
      <c r="AI739" s="1358"/>
      <c r="AJ739" s="1359"/>
      <c r="AK739" s="1338" t="s">
        <v>591</v>
      </c>
      <c r="AL739" s="1339"/>
      <c r="AM739" s="1339"/>
      <c r="AN739" s="1339"/>
      <c r="AO739" s="1340"/>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6">
        <f t="shared" si="37"/>
        <v>0</v>
      </c>
      <c r="CH739" s="1467"/>
      <c r="CI739" s="1472">
        <f t="shared" si="38"/>
        <v>0</v>
      </c>
      <c r="CJ739" s="1473"/>
      <c r="CK739" s="1466">
        <f t="shared" si="16"/>
        <v>0</v>
      </c>
      <c r="CL739" s="1467"/>
      <c r="CM739" s="1472">
        <f t="shared" si="17"/>
        <v>0</v>
      </c>
      <c r="CN739" s="1473"/>
      <c r="CO739" s="3"/>
      <c r="CP739" s="1461">
        <f t="shared" si="18"/>
        <v>0</v>
      </c>
      <c r="CQ739" s="1462"/>
      <c r="CR739" s="1462"/>
      <c r="CS739" s="1462"/>
      <c r="CT739" s="1463"/>
      <c r="CU739" s="1446">
        <f t="shared" si="19"/>
        <v>0</v>
      </c>
      <c r="CV739" s="1446"/>
      <c r="CW739" s="1446"/>
      <c r="CX739" s="1446"/>
      <c r="CY739" s="1446"/>
      <c r="CZ739" s="1446">
        <f t="shared" si="20"/>
        <v>0</v>
      </c>
      <c r="DA739" s="1446"/>
      <c r="DB739" s="1446"/>
      <c r="DC739" s="1446"/>
      <c r="DD739" s="1446"/>
      <c r="DE739" s="1446">
        <f t="shared" si="21"/>
        <v>0</v>
      </c>
      <c r="DF739" s="1446"/>
      <c r="DG739" s="1446"/>
      <c r="DH739" s="1446"/>
      <c r="DI739" s="1446"/>
      <c r="DJ739" s="1446">
        <f t="shared" si="22"/>
        <v>0</v>
      </c>
      <c r="DK739" s="1446"/>
      <c r="DL739" s="1446"/>
      <c r="DM739" s="1446"/>
      <c r="DN739" s="1446"/>
      <c r="DO739" s="1446">
        <f t="shared" si="23"/>
        <v>0</v>
      </c>
      <c r="DP739" s="1446"/>
      <c r="DQ739" s="1446"/>
      <c r="DR739" s="1446"/>
      <c r="DS739" s="1446"/>
      <c r="DT739" s="6"/>
      <c r="DU739" s="1447">
        <f t="shared" si="24"/>
        <v>0</v>
      </c>
      <c r="DV739" s="1447"/>
      <c r="DW739" s="1447"/>
      <c r="DX739" s="1447"/>
      <c r="DY739" s="1447"/>
      <c r="DZ739" s="1447">
        <f t="shared" si="25"/>
        <v>0</v>
      </c>
      <c r="EA739" s="1447"/>
      <c r="EB739" s="1447"/>
      <c r="EC739" s="1447"/>
      <c r="ED739" s="1447"/>
      <c r="EE739" s="1447">
        <f t="shared" si="26"/>
        <v>0</v>
      </c>
      <c r="EF739" s="1447"/>
      <c r="EG739" s="1447"/>
      <c r="EH739" s="1447"/>
      <c r="EI739" s="1447"/>
      <c r="EJ739" s="1447">
        <f t="shared" si="27"/>
        <v>0</v>
      </c>
      <c r="EK739" s="1447"/>
      <c r="EL739" s="1447"/>
      <c r="EM739" s="1447"/>
      <c r="EN739" s="1447"/>
      <c r="EO739" s="1447">
        <f t="shared" si="28"/>
        <v>0</v>
      </c>
      <c r="EP739" s="1447"/>
      <c r="EQ739" s="1447"/>
      <c r="ER739" s="1447"/>
      <c r="ES739" s="1447"/>
      <c r="ET739" s="1447">
        <f t="shared" si="29"/>
        <v>0</v>
      </c>
      <c r="EU739" s="1447"/>
      <c r="EV739" s="1447"/>
      <c r="EW739" s="1447"/>
      <c r="EX739" s="1447"/>
      <c r="EZ739" s="1466" t="str">
        <f t="shared" si="30"/>
        <v/>
      </c>
      <c r="FA739" s="1468"/>
      <c r="FB739" s="1468"/>
      <c r="FC739" s="1468"/>
      <c r="FD739" s="1467"/>
      <c r="FE739" s="1466" t="str">
        <f t="shared" si="31"/>
        <v/>
      </c>
      <c r="FF739" s="1468"/>
      <c r="FG739" s="1468"/>
      <c r="FH739" s="1468"/>
      <c r="FI739" s="1467"/>
      <c r="FJ739" s="1466" t="str">
        <f t="shared" si="32"/>
        <v/>
      </c>
      <c r="FK739" s="1468"/>
      <c r="FL739" s="1468"/>
      <c r="FM739" s="1468"/>
      <c r="FN739" s="1467"/>
      <c r="FO739" s="1466" t="str">
        <f t="shared" si="33"/>
        <v/>
      </c>
      <c r="FP739" s="1468"/>
      <c r="FQ739" s="1468"/>
      <c r="FR739" s="1468"/>
      <c r="FS739" s="1467"/>
      <c r="FT739" s="1466" t="str">
        <f t="shared" si="34"/>
        <v/>
      </c>
      <c r="FU739" s="1468"/>
      <c r="FV739" s="1468"/>
      <c r="FW739" s="1468"/>
      <c r="FX739" s="1467"/>
      <c r="FY739" s="1466" t="str">
        <f t="shared" si="35"/>
        <v/>
      </c>
      <c r="FZ739" s="1468"/>
      <c r="GA739" s="1468"/>
      <c r="GB739" s="1468"/>
      <c r="GC739" s="1467"/>
    </row>
    <row r="740" spans="1:185" ht="12.95" customHeight="1">
      <c r="B740" s="1338"/>
      <c r="C740" s="1339"/>
      <c r="D740" s="1339"/>
      <c r="E740" s="1339"/>
      <c r="F740" s="1340"/>
      <c r="G740" s="1351"/>
      <c r="H740" s="1352"/>
      <c r="I740" s="1352"/>
      <c r="J740" s="1353"/>
      <c r="K740" s="1344"/>
      <c r="L740" s="1345"/>
      <c r="M740" s="1345"/>
      <c r="N740" s="1346"/>
      <c r="O740" s="1341"/>
      <c r="P740" s="1342"/>
      <c r="Q740" s="1342"/>
      <c r="R740" s="1342"/>
      <c r="S740" s="1343"/>
      <c r="T740" s="1341"/>
      <c r="U740" s="1342"/>
      <c r="V740" s="1342"/>
      <c r="W740" s="1343"/>
      <c r="X740" s="1354">
        <f t="shared" si="8"/>
        <v>0</v>
      </c>
      <c r="Y740" s="1355"/>
      <c r="Z740" s="1355"/>
      <c r="AA740" s="1355"/>
      <c r="AB740" s="1356"/>
      <c r="AC740" s="1361"/>
      <c r="AD740" s="1362"/>
      <c r="AE740" s="1362"/>
      <c r="AF740" s="1362"/>
      <c r="AG740" s="1363"/>
      <c r="AH740" s="1357" t="str">
        <f t="shared" si="36"/>
        <v/>
      </c>
      <c r="AI740" s="1358"/>
      <c r="AJ740" s="1359"/>
      <c r="AK740" s="1338" t="s">
        <v>591</v>
      </c>
      <c r="AL740" s="1339"/>
      <c r="AM740" s="1339"/>
      <c r="AN740" s="1339"/>
      <c r="AO740" s="1340"/>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6">
        <f t="shared" si="37"/>
        <v>0</v>
      </c>
      <c r="CH740" s="1467"/>
      <c r="CI740" s="1472">
        <f t="shared" si="38"/>
        <v>0</v>
      </c>
      <c r="CJ740" s="1473"/>
      <c r="CK740" s="1466">
        <f t="shared" si="16"/>
        <v>0</v>
      </c>
      <c r="CL740" s="1467"/>
      <c r="CM740" s="1472">
        <f t="shared" si="17"/>
        <v>0</v>
      </c>
      <c r="CN740" s="1473"/>
      <c r="CO740" s="3"/>
      <c r="CP740" s="1461">
        <f t="shared" si="18"/>
        <v>0</v>
      </c>
      <c r="CQ740" s="1462"/>
      <c r="CR740" s="1462"/>
      <c r="CS740" s="1462"/>
      <c r="CT740" s="1463"/>
      <c r="CU740" s="1446">
        <f t="shared" si="19"/>
        <v>0</v>
      </c>
      <c r="CV740" s="1446"/>
      <c r="CW740" s="1446"/>
      <c r="CX740" s="1446"/>
      <c r="CY740" s="1446"/>
      <c r="CZ740" s="1446">
        <f t="shared" si="20"/>
        <v>0</v>
      </c>
      <c r="DA740" s="1446"/>
      <c r="DB740" s="1446"/>
      <c r="DC740" s="1446"/>
      <c r="DD740" s="1446"/>
      <c r="DE740" s="1446">
        <f t="shared" si="21"/>
        <v>0</v>
      </c>
      <c r="DF740" s="1446"/>
      <c r="DG740" s="1446"/>
      <c r="DH740" s="1446"/>
      <c r="DI740" s="1446"/>
      <c r="DJ740" s="1446">
        <f t="shared" si="22"/>
        <v>0</v>
      </c>
      <c r="DK740" s="1446"/>
      <c r="DL740" s="1446"/>
      <c r="DM740" s="1446"/>
      <c r="DN740" s="1446"/>
      <c r="DO740" s="1446">
        <f t="shared" si="23"/>
        <v>0</v>
      </c>
      <c r="DP740" s="1446"/>
      <c r="DQ740" s="1446"/>
      <c r="DR740" s="1446"/>
      <c r="DS740" s="1446"/>
      <c r="DT740" s="6"/>
      <c r="DU740" s="1447">
        <f t="shared" si="24"/>
        <v>0</v>
      </c>
      <c r="DV740" s="1447"/>
      <c r="DW740" s="1447"/>
      <c r="DX740" s="1447"/>
      <c r="DY740" s="1447"/>
      <c r="DZ740" s="1447">
        <f t="shared" si="25"/>
        <v>0</v>
      </c>
      <c r="EA740" s="1447"/>
      <c r="EB740" s="1447"/>
      <c r="EC740" s="1447"/>
      <c r="ED740" s="1447"/>
      <c r="EE740" s="1447">
        <f t="shared" si="26"/>
        <v>0</v>
      </c>
      <c r="EF740" s="1447"/>
      <c r="EG740" s="1447"/>
      <c r="EH740" s="1447"/>
      <c r="EI740" s="1447"/>
      <c r="EJ740" s="1447">
        <f t="shared" si="27"/>
        <v>0</v>
      </c>
      <c r="EK740" s="1447"/>
      <c r="EL740" s="1447"/>
      <c r="EM740" s="1447"/>
      <c r="EN740" s="1447"/>
      <c r="EO740" s="1447">
        <f t="shared" si="28"/>
        <v>0</v>
      </c>
      <c r="EP740" s="1447"/>
      <c r="EQ740" s="1447"/>
      <c r="ER740" s="1447"/>
      <c r="ES740" s="1447"/>
      <c r="ET740" s="1447">
        <f t="shared" si="29"/>
        <v>0</v>
      </c>
      <c r="EU740" s="1447"/>
      <c r="EV740" s="1447"/>
      <c r="EW740" s="1447"/>
      <c r="EX740" s="1447"/>
      <c r="EZ740" s="1466" t="str">
        <f t="shared" si="30"/>
        <v/>
      </c>
      <c r="FA740" s="1468"/>
      <c r="FB740" s="1468"/>
      <c r="FC740" s="1468"/>
      <c r="FD740" s="1467"/>
      <c r="FE740" s="1466" t="str">
        <f t="shared" si="31"/>
        <v/>
      </c>
      <c r="FF740" s="1468"/>
      <c r="FG740" s="1468"/>
      <c r="FH740" s="1468"/>
      <c r="FI740" s="1467"/>
      <c r="FJ740" s="1466" t="str">
        <f t="shared" si="32"/>
        <v/>
      </c>
      <c r="FK740" s="1468"/>
      <c r="FL740" s="1468"/>
      <c r="FM740" s="1468"/>
      <c r="FN740" s="1467"/>
      <c r="FO740" s="1466" t="str">
        <f t="shared" si="33"/>
        <v/>
      </c>
      <c r="FP740" s="1468"/>
      <c r="FQ740" s="1468"/>
      <c r="FR740" s="1468"/>
      <c r="FS740" s="1467"/>
      <c r="FT740" s="1466" t="str">
        <f t="shared" si="34"/>
        <v/>
      </c>
      <c r="FU740" s="1468"/>
      <c r="FV740" s="1468"/>
      <c r="FW740" s="1468"/>
      <c r="FX740" s="1467"/>
      <c r="FY740" s="1466" t="str">
        <f t="shared" si="35"/>
        <v/>
      </c>
      <c r="FZ740" s="1468"/>
      <c r="GA740" s="1468"/>
      <c r="GB740" s="1468"/>
      <c r="GC740" s="1467"/>
    </row>
    <row r="741" spans="1:185" ht="12.95" customHeight="1">
      <c r="B741" s="1338"/>
      <c r="C741" s="1339"/>
      <c r="D741" s="1339"/>
      <c r="E741" s="1339"/>
      <c r="F741" s="1340"/>
      <c r="G741" s="1351"/>
      <c r="H741" s="1352"/>
      <c r="I741" s="1352"/>
      <c r="J741" s="1353"/>
      <c r="K741" s="1344"/>
      <c r="L741" s="1345"/>
      <c r="M741" s="1345"/>
      <c r="N741" s="1346"/>
      <c r="O741" s="1341"/>
      <c r="P741" s="1342"/>
      <c r="Q741" s="1342"/>
      <c r="R741" s="1342"/>
      <c r="S741" s="1343"/>
      <c r="T741" s="1341"/>
      <c r="U741" s="1342"/>
      <c r="V741" s="1342"/>
      <c r="W741" s="1343"/>
      <c r="X741" s="1354">
        <f t="shared" si="8"/>
        <v>0</v>
      </c>
      <c r="Y741" s="1355"/>
      <c r="Z741" s="1355"/>
      <c r="AA741" s="1355"/>
      <c r="AB741" s="1356"/>
      <c r="AC741" s="1361"/>
      <c r="AD741" s="1362"/>
      <c r="AE741" s="1362"/>
      <c r="AF741" s="1362"/>
      <c r="AG741" s="1363"/>
      <c r="AH741" s="1357" t="str">
        <f t="shared" si="36"/>
        <v/>
      </c>
      <c r="AI741" s="1358"/>
      <c r="AJ741" s="1359"/>
      <c r="AK741" s="1338" t="s">
        <v>591</v>
      </c>
      <c r="AL741" s="1339"/>
      <c r="AM741" s="1339"/>
      <c r="AN741" s="1339"/>
      <c r="AO741" s="1340"/>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6">
        <f t="shared" si="37"/>
        <v>0</v>
      </c>
      <c r="CH741" s="1467"/>
      <c r="CI741" s="1472">
        <f t="shared" si="38"/>
        <v>0</v>
      </c>
      <c r="CJ741" s="1473"/>
      <c r="CK741" s="1466">
        <f t="shared" si="16"/>
        <v>0</v>
      </c>
      <c r="CL741" s="1467"/>
      <c r="CM741" s="1472">
        <f t="shared" si="17"/>
        <v>0</v>
      </c>
      <c r="CN741" s="1473"/>
      <c r="CO741" s="3"/>
      <c r="CP741" s="1461">
        <f t="shared" si="18"/>
        <v>0</v>
      </c>
      <c r="CQ741" s="1462"/>
      <c r="CR741" s="1462"/>
      <c r="CS741" s="1462"/>
      <c r="CT741" s="1463"/>
      <c r="CU741" s="1446">
        <f t="shared" si="19"/>
        <v>0</v>
      </c>
      <c r="CV741" s="1446"/>
      <c r="CW741" s="1446"/>
      <c r="CX741" s="1446"/>
      <c r="CY741" s="1446"/>
      <c r="CZ741" s="1446">
        <f t="shared" si="20"/>
        <v>0</v>
      </c>
      <c r="DA741" s="1446"/>
      <c r="DB741" s="1446"/>
      <c r="DC741" s="1446"/>
      <c r="DD741" s="1446"/>
      <c r="DE741" s="1446">
        <f t="shared" si="21"/>
        <v>0</v>
      </c>
      <c r="DF741" s="1446"/>
      <c r="DG741" s="1446"/>
      <c r="DH741" s="1446"/>
      <c r="DI741" s="1446"/>
      <c r="DJ741" s="1446">
        <f t="shared" si="22"/>
        <v>0</v>
      </c>
      <c r="DK741" s="1446"/>
      <c r="DL741" s="1446"/>
      <c r="DM741" s="1446"/>
      <c r="DN741" s="1446"/>
      <c r="DO741" s="1446">
        <f t="shared" si="23"/>
        <v>0</v>
      </c>
      <c r="DP741" s="1446"/>
      <c r="DQ741" s="1446"/>
      <c r="DR741" s="1446"/>
      <c r="DS741" s="1446"/>
      <c r="DT741" s="6"/>
      <c r="DU741" s="1447">
        <f t="shared" si="24"/>
        <v>0</v>
      </c>
      <c r="DV741" s="1447"/>
      <c r="DW741" s="1447"/>
      <c r="DX741" s="1447"/>
      <c r="DY741" s="1447"/>
      <c r="DZ741" s="1447">
        <f t="shared" si="25"/>
        <v>0</v>
      </c>
      <c r="EA741" s="1447"/>
      <c r="EB741" s="1447"/>
      <c r="EC741" s="1447"/>
      <c r="ED741" s="1447"/>
      <c r="EE741" s="1447">
        <f t="shared" si="26"/>
        <v>0</v>
      </c>
      <c r="EF741" s="1447"/>
      <c r="EG741" s="1447"/>
      <c r="EH741" s="1447"/>
      <c r="EI741" s="1447"/>
      <c r="EJ741" s="1447">
        <f t="shared" si="27"/>
        <v>0</v>
      </c>
      <c r="EK741" s="1447"/>
      <c r="EL741" s="1447"/>
      <c r="EM741" s="1447"/>
      <c r="EN741" s="1447"/>
      <c r="EO741" s="1447">
        <f t="shared" si="28"/>
        <v>0</v>
      </c>
      <c r="EP741" s="1447"/>
      <c r="EQ741" s="1447"/>
      <c r="ER741" s="1447"/>
      <c r="ES741" s="1447"/>
      <c r="ET741" s="1447">
        <f t="shared" si="29"/>
        <v>0</v>
      </c>
      <c r="EU741" s="1447"/>
      <c r="EV741" s="1447"/>
      <c r="EW741" s="1447"/>
      <c r="EX741" s="1447"/>
      <c r="EZ741" s="1466" t="str">
        <f t="shared" si="30"/>
        <v/>
      </c>
      <c r="FA741" s="1468"/>
      <c r="FB741" s="1468"/>
      <c r="FC741" s="1468"/>
      <c r="FD741" s="1467"/>
      <c r="FE741" s="1466" t="str">
        <f t="shared" si="31"/>
        <v/>
      </c>
      <c r="FF741" s="1468"/>
      <c r="FG741" s="1468"/>
      <c r="FH741" s="1468"/>
      <c r="FI741" s="1467"/>
      <c r="FJ741" s="1466" t="str">
        <f t="shared" si="32"/>
        <v/>
      </c>
      <c r="FK741" s="1468"/>
      <c r="FL741" s="1468"/>
      <c r="FM741" s="1468"/>
      <c r="FN741" s="1467"/>
      <c r="FO741" s="1466" t="str">
        <f t="shared" si="33"/>
        <v/>
      </c>
      <c r="FP741" s="1468"/>
      <c r="FQ741" s="1468"/>
      <c r="FR741" s="1468"/>
      <c r="FS741" s="1467"/>
      <c r="FT741" s="1466" t="str">
        <f t="shared" si="34"/>
        <v/>
      </c>
      <c r="FU741" s="1468"/>
      <c r="FV741" s="1468"/>
      <c r="FW741" s="1468"/>
      <c r="FX741" s="1467"/>
      <c r="FY741" s="1466" t="str">
        <f t="shared" si="35"/>
        <v/>
      </c>
      <c r="FZ741" s="1468"/>
      <c r="GA741" s="1468"/>
      <c r="GB741" s="1468"/>
      <c r="GC741" s="1467"/>
    </row>
    <row r="742" spans="1:185" ht="12.95" customHeight="1">
      <c r="B742" s="1338"/>
      <c r="C742" s="1339"/>
      <c r="D742" s="1339"/>
      <c r="E742" s="1339"/>
      <c r="F742" s="1340"/>
      <c r="G742" s="1351"/>
      <c r="H742" s="1352"/>
      <c r="I742" s="1352"/>
      <c r="J742" s="1353"/>
      <c r="K742" s="1344"/>
      <c r="L742" s="1345"/>
      <c r="M742" s="1345"/>
      <c r="N742" s="1346"/>
      <c r="O742" s="1341"/>
      <c r="P742" s="1342"/>
      <c r="Q742" s="1342"/>
      <c r="R742" s="1342"/>
      <c r="S742" s="1343"/>
      <c r="T742" s="1341"/>
      <c r="U742" s="1342"/>
      <c r="V742" s="1342"/>
      <c r="W742" s="1343"/>
      <c r="X742" s="1354">
        <f t="shared" ref="X742:X751" si="39">O742+T742</f>
        <v>0</v>
      </c>
      <c r="Y742" s="1355"/>
      <c r="Z742" s="1355"/>
      <c r="AA742" s="1355"/>
      <c r="AB742" s="1356"/>
      <c r="AC742" s="1361"/>
      <c r="AD742" s="1362"/>
      <c r="AE742" s="1362"/>
      <c r="AF742" s="1362"/>
      <c r="AG742" s="1363"/>
      <c r="AH742" s="1357" t="str">
        <f t="shared" si="36"/>
        <v/>
      </c>
      <c r="AI742" s="1358"/>
      <c r="AJ742" s="1359"/>
      <c r="AK742" s="1338" t="s">
        <v>591</v>
      </c>
      <c r="AL742" s="1339"/>
      <c r="AM742" s="1339"/>
      <c r="AN742" s="1339"/>
      <c r="AO742" s="1340"/>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6">
        <f t="shared" si="37"/>
        <v>0</v>
      </c>
      <c r="CH742" s="1467"/>
      <c r="CI742" s="1472">
        <f t="shared" si="38"/>
        <v>0</v>
      </c>
      <c r="CJ742" s="1473"/>
      <c r="CK742" s="1466">
        <f t="shared" si="16"/>
        <v>0</v>
      </c>
      <c r="CL742" s="1467"/>
      <c r="CM742" s="1472">
        <f t="shared" si="17"/>
        <v>0</v>
      </c>
      <c r="CN742" s="1473"/>
      <c r="CO742" s="3"/>
      <c r="CP742" s="1461">
        <f t="shared" si="18"/>
        <v>0</v>
      </c>
      <c r="CQ742" s="1462"/>
      <c r="CR742" s="1462"/>
      <c r="CS742" s="1462"/>
      <c r="CT742" s="1463"/>
      <c r="CU742" s="1446">
        <f t="shared" si="19"/>
        <v>0</v>
      </c>
      <c r="CV742" s="1446"/>
      <c r="CW742" s="1446"/>
      <c r="CX742" s="1446"/>
      <c r="CY742" s="1446"/>
      <c r="CZ742" s="1446">
        <f t="shared" si="20"/>
        <v>0</v>
      </c>
      <c r="DA742" s="1446"/>
      <c r="DB742" s="1446"/>
      <c r="DC742" s="1446"/>
      <c r="DD742" s="1446"/>
      <c r="DE742" s="1446">
        <f t="shared" si="21"/>
        <v>0</v>
      </c>
      <c r="DF742" s="1446"/>
      <c r="DG742" s="1446"/>
      <c r="DH742" s="1446"/>
      <c r="DI742" s="1446"/>
      <c r="DJ742" s="1446">
        <f t="shared" si="22"/>
        <v>0</v>
      </c>
      <c r="DK742" s="1446"/>
      <c r="DL742" s="1446"/>
      <c r="DM742" s="1446"/>
      <c r="DN742" s="1446"/>
      <c r="DO742" s="1446">
        <f t="shared" si="23"/>
        <v>0</v>
      </c>
      <c r="DP742" s="1446"/>
      <c r="DQ742" s="1446"/>
      <c r="DR742" s="1446"/>
      <c r="DS742" s="1446"/>
      <c r="DT742" s="6"/>
      <c r="DU742" s="1447">
        <f t="shared" si="24"/>
        <v>0</v>
      </c>
      <c r="DV742" s="1447"/>
      <c r="DW742" s="1447"/>
      <c r="DX742" s="1447"/>
      <c r="DY742" s="1447"/>
      <c r="DZ742" s="1447">
        <f t="shared" si="25"/>
        <v>0</v>
      </c>
      <c r="EA742" s="1447"/>
      <c r="EB742" s="1447"/>
      <c r="EC742" s="1447"/>
      <c r="ED742" s="1447"/>
      <c r="EE742" s="1447">
        <f t="shared" si="26"/>
        <v>0</v>
      </c>
      <c r="EF742" s="1447"/>
      <c r="EG742" s="1447"/>
      <c r="EH742" s="1447"/>
      <c r="EI742" s="1447"/>
      <c r="EJ742" s="1447">
        <f t="shared" si="27"/>
        <v>0</v>
      </c>
      <c r="EK742" s="1447"/>
      <c r="EL742" s="1447"/>
      <c r="EM742" s="1447"/>
      <c r="EN742" s="1447"/>
      <c r="EO742" s="1447">
        <f t="shared" si="28"/>
        <v>0</v>
      </c>
      <c r="EP742" s="1447"/>
      <c r="EQ742" s="1447"/>
      <c r="ER742" s="1447"/>
      <c r="ES742" s="1447"/>
      <c r="ET742" s="1447">
        <f t="shared" si="29"/>
        <v>0</v>
      </c>
      <c r="EU742" s="1447"/>
      <c r="EV742" s="1447"/>
      <c r="EW742" s="1447"/>
      <c r="EX742" s="1447"/>
      <c r="EZ742" s="1466" t="str">
        <f t="shared" si="30"/>
        <v/>
      </c>
      <c r="FA742" s="1468"/>
      <c r="FB742" s="1468"/>
      <c r="FC742" s="1468"/>
      <c r="FD742" s="1467"/>
      <c r="FE742" s="1466" t="str">
        <f t="shared" si="31"/>
        <v/>
      </c>
      <c r="FF742" s="1468"/>
      <c r="FG742" s="1468"/>
      <c r="FH742" s="1468"/>
      <c r="FI742" s="1467"/>
      <c r="FJ742" s="1466" t="str">
        <f t="shared" si="32"/>
        <v/>
      </c>
      <c r="FK742" s="1468"/>
      <c r="FL742" s="1468"/>
      <c r="FM742" s="1468"/>
      <c r="FN742" s="1467"/>
      <c r="FO742" s="1466" t="str">
        <f t="shared" si="33"/>
        <v/>
      </c>
      <c r="FP742" s="1468"/>
      <c r="FQ742" s="1468"/>
      <c r="FR742" s="1468"/>
      <c r="FS742" s="1467"/>
      <c r="FT742" s="1466" t="str">
        <f t="shared" si="34"/>
        <v/>
      </c>
      <c r="FU742" s="1468"/>
      <c r="FV742" s="1468"/>
      <c r="FW742" s="1468"/>
      <c r="FX742" s="1467"/>
      <c r="FY742" s="1466" t="str">
        <f t="shared" si="35"/>
        <v/>
      </c>
      <c r="FZ742" s="1468"/>
      <c r="GA742" s="1468"/>
      <c r="GB742" s="1468"/>
      <c r="GC742" s="1467"/>
    </row>
    <row r="743" spans="1:185" s="3" customFormat="1" ht="12.95" customHeight="1">
      <c r="A743"/>
      <c r="B743" s="1338"/>
      <c r="C743" s="1339"/>
      <c r="D743" s="1339"/>
      <c r="E743" s="1339"/>
      <c r="F743" s="1340"/>
      <c r="G743" s="1351"/>
      <c r="H743" s="1352"/>
      <c r="I743" s="1352"/>
      <c r="J743" s="1353"/>
      <c r="K743" s="1344"/>
      <c r="L743" s="1345"/>
      <c r="M743" s="1345"/>
      <c r="N743" s="1346"/>
      <c r="O743" s="1341"/>
      <c r="P743" s="1342"/>
      <c r="Q743" s="1342"/>
      <c r="R743" s="1342"/>
      <c r="S743" s="1343"/>
      <c r="T743" s="1341"/>
      <c r="U743" s="1342"/>
      <c r="V743" s="1342"/>
      <c r="W743" s="1343"/>
      <c r="X743" s="1354">
        <f t="shared" si="39"/>
        <v>0</v>
      </c>
      <c r="Y743" s="1355"/>
      <c r="Z743" s="1355"/>
      <c r="AA743" s="1355"/>
      <c r="AB743" s="1356"/>
      <c r="AC743" s="1361"/>
      <c r="AD743" s="1362"/>
      <c r="AE743" s="1362"/>
      <c r="AF743" s="1362"/>
      <c r="AG743" s="1363"/>
      <c r="AH743" s="1357" t="str">
        <f t="shared" si="36"/>
        <v/>
      </c>
      <c r="AI743" s="1358"/>
      <c r="AJ743" s="1359"/>
      <c r="AK743" s="1338" t="s">
        <v>591</v>
      </c>
      <c r="AL743" s="1339"/>
      <c r="AM743" s="1339"/>
      <c r="AN743" s="1339"/>
      <c r="AO743" s="1340"/>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6">
        <f t="shared" si="37"/>
        <v>0</v>
      </c>
      <c r="CH743" s="1467"/>
      <c r="CI743" s="1472">
        <f t="shared" si="38"/>
        <v>0</v>
      </c>
      <c r="CJ743" s="1473"/>
      <c r="CK743" s="1466">
        <f t="shared" si="16"/>
        <v>0</v>
      </c>
      <c r="CL743" s="1467"/>
      <c r="CM743" s="1472">
        <f t="shared" si="17"/>
        <v>0</v>
      </c>
      <c r="CN743" s="1473"/>
      <c r="CP743" s="1461">
        <f t="shared" si="18"/>
        <v>0</v>
      </c>
      <c r="CQ743" s="1462"/>
      <c r="CR743" s="1462"/>
      <c r="CS743" s="1462"/>
      <c r="CT743" s="1463"/>
      <c r="CU743" s="1446">
        <f t="shared" si="19"/>
        <v>0</v>
      </c>
      <c r="CV743" s="1446"/>
      <c r="CW743" s="1446"/>
      <c r="CX743" s="1446"/>
      <c r="CY743" s="1446"/>
      <c r="CZ743" s="1446">
        <f t="shared" si="20"/>
        <v>0</v>
      </c>
      <c r="DA743" s="1446"/>
      <c r="DB743" s="1446"/>
      <c r="DC743" s="1446"/>
      <c r="DD743" s="1446"/>
      <c r="DE743" s="1446">
        <f t="shared" si="21"/>
        <v>0</v>
      </c>
      <c r="DF743" s="1446"/>
      <c r="DG743" s="1446"/>
      <c r="DH743" s="1446"/>
      <c r="DI743" s="1446"/>
      <c r="DJ743" s="1446">
        <f t="shared" si="22"/>
        <v>0</v>
      </c>
      <c r="DK743" s="1446"/>
      <c r="DL743" s="1446"/>
      <c r="DM743" s="1446"/>
      <c r="DN743" s="1446"/>
      <c r="DO743" s="1446">
        <f t="shared" si="23"/>
        <v>0</v>
      </c>
      <c r="DP743" s="1446"/>
      <c r="DQ743" s="1446"/>
      <c r="DR743" s="1446"/>
      <c r="DS743" s="1446"/>
      <c r="DT743" s="6"/>
      <c r="DU743" s="1447">
        <f t="shared" si="24"/>
        <v>0</v>
      </c>
      <c r="DV743" s="1447"/>
      <c r="DW743" s="1447"/>
      <c r="DX743" s="1447"/>
      <c r="DY743" s="1447"/>
      <c r="DZ743" s="1447">
        <f t="shared" si="25"/>
        <v>0</v>
      </c>
      <c r="EA743" s="1447"/>
      <c r="EB743" s="1447"/>
      <c r="EC743" s="1447"/>
      <c r="ED743" s="1447"/>
      <c r="EE743" s="1447">
        <f t="shared" si="26"/>
        <v>0</v>
      </c>
      <c r="EF743" s="1447"/>
      <c r="EG743" s="1447"/>
      <c r="EH743" s="1447"/>
      <c r="EI743" s="1447"/>
      <c r="EJ743" s="1447">
        <f t="shared" si="27"/>
        <v>0</v>
      </c>
      <c r="EK743" s="1447"/>
      <c r="EL743" s="1447"/>
      <c r="EM743" s="1447"/>
      <c r="EN743" s="1447"/>
      <c r="EO743" s="1447">
        <f t="shared" si="28"/>
        <v>0</v>
      </c>
      <c r="EP743" s="1447"/>
      <c r="EQ743" s="1447"/>
      <c r="ER743" s="1447"/>
      <c r="ES743" s="1447"/>
      <c r="ET743" s="1447">
        <f t="shared" si="29"/>
        <v>0</v>
      </c>
      <c r="EU743" s="1447"/>
      <c r="EV743" s="1447"/>
      <c r="EW743" s="1447"/>
      <c r="EX743" s="1447"/>
      <c r="EY743"/>
      <c r="EZ743" s="1466" t="str">
        <f t="shared" si="30"/>
        <v/>
      </c>
      <c r="FA743" s="1468"/>
      <c r="FB743" s="1468"/>
      <c r="FC743" s="1468"/>
      <c r="FD743" s="1467"/>
      <c r="FE743" s="1466" t="str">
        <f t="shared" si="31"/>
        <v/>
      </c>
      <c r="FF743" s="1468"/>
      <c r="FG743" s="1468"/>
      <c r="FH743" s="1468"/>
      <c r="FI743" s="1467"/>
      <c r="FJ743" s="1466" t="str">
        <f t="shared" si="32"/>
        <v/>
      </c>
      <c r="FK743" s="1468"/>
      <c r="FL743" s="1468"/>
      <c r="FM743" s="1468"/>
      <c r="FN743" s="1467"/>
      <c r="FO743" s="1466" t="str">
        <f t="shared" si="33"/>
        <v/>
      </c>
      <c r="FP743" s="1468"/>
      <c r="FQ743" s="1468"/>
      <c r="FR743" s="1468"/>
      <c r="FS743" s="1467"/>
      <c r="FT743" s="1466" t="str">
        <f t="shared" si="34"/>
        <v/>
      </c>
      <c r="FU743" s="1468"/>
      <c r="FV743" s="1468"/>
      <c r="FW743" s="1468"/>
      <c r="FX743" s="1467"/>
      <c r="FY743" s="1466" t="str">
        <f t="shared" si="35"/>
        <v/>
      </c>
      <c r="FZ743" s="1468"/>
      <c r="GA743" s="1468"/>
      <c r="GB743" s="1468"/>
      <c r="GC743" s="1467"/>
    </row>
    <row r="744" spans="1:185" ht="12.95" customHeight="1">
      <c r="B744" s="1338"/>
      <c r="C744" s="1339"/>
      <c r="D744" s="1339"/>
      <c r="E744" s="1339"/>
      <c r="F744" s="1340"/>
      <c r="G744" s="1351"/>
      <c r="H744" s="1352"/>
      <c r="I744" s="1352"/>
      <c r="J744" s="1353"/>
      <c r="K744" s="1344"/>
      <c r="L744" s="1345"/>
      <c r="M744" s="1345"/>
      <c r="N744" s="1346"/>
      <c r="O744" s="1341"/>
      <c r="P744" s="1342"/>
      <c r="Q744" s="1342"/>
      <c r="R744" s="1342"/>
      <c r="S744" s="1343"/>
      <c r="T744" s="1341"/>
      <c r="U744" s="1342"/>
      <c r="V744" s="1342"/>
      <c r="W744" s="1343"/>
      <c r="X744" s="1354">
        <f t="shared" si="39"/>
        <v>0</v>
      </c>
      <c r="Y744" s="1355"/>
      <c r="Z744" s="1355"/>
      <c r="AA744" s="1355"/>
      <c r="AB744" s="1356"/>
      <c r="AC744" s="1361"/>
      <c r="AD744" s="1362"/>
      <c r="AE744" s="1362"/>
      <c r="AF744" s="1362"/>
      <c r="AG744" s="1363"/>
      <c r="AH744" s="1357" t="str">
        <f t="shared" si="36"/>
        <v/>
      </c>
      <c r="AI744" s="1358"/>
      <c r="AJ744" s="1359"/>
      <c r="AK744" s="1338" t="s">
        <v>591</v>
      </c>
      <c r="AL744" s="1339"/>
      <c r="AM744" s="1339"/>
      <c r="AN744" s="1339"/>
      <c r="AO744" s="1340"/>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6">
        <f t="shared" si="37"/>
        <v>0</v>
      </c>
      <c r="CH744" s="1467"/>
      <c r="CI744" s="1472">
        <f t="shared" si="38"/>
        <v>0</v>
      </c>
      <c r="CJ744" s="1473"/>
      <c r="CK744" s="1466">
        <f t="shared" si="16"/>
        <v>0</v>
      </c>
      <c r="CL744" s="1467"/>
      <c r="CM744" s="1472">
        <f t="shared" si="17"/>
        <v>0</v>
      </c>
      <c r="CN744" s="1473"/>
      <c r="CO744" s="3"/>
      <c r="CP744" s="1461">
        <f t="shared" si="18"/>
        <v>0</v>
      </c>
      <c r="CQ744" s="1462"/>
      <c r="CR744" s="1462"/>
      <c r="CS744" s="1462"/>
      <c r="CT744" s="1463"/>
      <c r="CU744" s="1446">
        <f t="shared" si="19"/>
        <v>0</v>
      </c>
      <c r="CV744" s="1446"/>
      <c r="CW744" s="1446"/>
      <c r="CX744" s="1446"/>
      <c r="CY744" s="1446"/>
      <c r="CZ744" s="1446">
        <f t="shared" si="20"/>
        <v>0</v>
      </c>
      <c r="DA744" s="1446"/>
      <c r="DB744" s="1446"/>
      <c r="DC744" s="1446"/>
      <c r="DD744" s="1446"/>
      <c r="DE744" s="1446">
        <f t="shared" si="21"/>
        <v>0</v>
      </c>
      <c r="DF744" s="1446"/>
      <c r="DG744" s="1446"/>
      <c r="DH744" s="1446"/>
      <c r="DI744" s="1446"/>
      <c r="DJ744" s="1446">
        <f t="shared" si="22"/>
        <v>0</v>
      </c>
      <c r="DK744" s="1446"/>
      <c r="DL744" s="1446"/>
      <c r="DM744" s="1446"/>
      <c r="DN744" s="1446"/>
      <c r="DO744" s="1446">
        <f t="shared" si="23"/>
        <v>0</v>
      </c>
      <c r="DP744" s="1446"/>
      <c r="DQ744" s="1446"/>
      <c r="DR744" s="1446"/>
      <c r="DS744" s="1446"/>
      <c r="DT744" s="6"/>
      <c r="DU744" s="1447">
        <f t="shared" si="24"/>
        <v>0</v>
      </c>
      <c r="DV744" s="1447"/>
      <c r="DW744" s="1447"/>
      <c r="DX744" s="1447"/>
      <c r="DY744" s="1447"/>
      <c r="DZ744" s="1447">
        <f t="shared" si="25"/>
        <v>0</v>
      </c>
      <c r="EA744" s="1447"/>
      <c r="EB744" s="1447"/>
      <c r="EC744" s="1447"/>
      <c r="ED744" s="1447"/>
      <c r="EE744" s="1447">
        <f t="shared" si="26"/>
        <v>0</v>
      </c>
      <c r="EF744" s="1447"/>
      <c r="EG744" s="1447"/>
      <c r="EH744" s="1447"/>
      <c r="EI744" s="1447"/>
      <c r="EJ744" s="1447">
        <f t="shared" si="27"/>
        <v>0</v>
      </c>
      <c r="EK744" s="1447"/>
      <c r="EL744" s="1447"/>
      <c r="EM744" s="1447"/>
      <c r="EN744" s="1447"/>
      <c r="EO744" s="1447">
        <f t="shared" si="28"/>
        <v>0</v>
      </c>
      <c r="EP744" s="1447"/>
      <c r="EQ744" s="1447"/>
      <c r="ER744" s="1447"/>
      <c r="ES744" s="1447"/>
      <c r="ET744" s="1447">
        <f t="shared" si="29"/>
        <v>0</v>
      </c>
      <c r="EU744" s="1447"/>
      <c r="EV744" s="1447"/>
      <c r="EW744" s="1447"/>
      <c r="EX744" s="1447"/>
      <c r="EZ744" s="1466" t="str">
        <f t="shared" si="30"/>
        <v/>
      </c>
      <c r="FA744" s="1468"/>
      <c r="FB744" s="1468"/>
      <c r="FC744" s="1468"/>
      <c r="FD744" s="1467"/>
      <c r="FE744" s="1466" t="str">
        <f t="shared" si="31"/>
        <v/>
      </c>
      <c r="FF744" s="1468"/>
      <c r="FG744" s="1468"/>
      <c r="FH744" s="1468"/>
      <c r="FI744" s="1467"/>
      <c r="FJ744" s="1466" t="str">
        <f t="shared" si="32"/>
        <v/>
      </c>
      <c r="FK744" s="1468"/>
      <c r="FL744" s="1468"/>
      <c r="FM744" s="1468"/>
      <c r="FN744" s="1467"/>
      <c r="FO744" s="1466" t="str">
        <f t="shared" si="33"/>
        <v/>
      </c>
      <c r="FP744" s="1468"/>
      <c r="FQ744" s="1468"/>
      <c r="FR744" s="1468"/>
      <c r="FS744" s="1467"/>
      <c r="FT744" s="1466" t="str">
        <f t="shared" si="34"/>
        <v/>
      </c>
      <c r="FU744" s="1468"/>
      <c r="FV744" s="1468"/>
      <c r="FW744" s="1468"/>
      <c r="FX744" s="1467"/>
      <c r="FY744" s="1466" t="str">
        <f t="shared" si="35"/>
        <v/>
      </c>
      <c r="FZ744" s="1468"/>
      <c r="GA744" s="1468"/>
      <c r="GB744" s="1468"/>
      <c r="GC744" s="1467"/>
    </row>
    <row r="745" spans="1:185" ht="12.95" customHeight="1">
      <c r="B745" s="1338"/>
      <c r="C745" s="1339"/>
      <c r="D745" s="1339"/>
      <c r="E745" s="1339"/>
      <c r="F745" s="1340"/>
      <c r="G745" s="1351"/>
      <c r="H745" s="1352"/>
      <c r="I745" s="1352"/>
      <c r="J745" s="1353"/>
      <c r="K745" s="1344"/>
      <c r="L745" s="1345"/>
      <c r="M745" s="1345"/>
      <c r="N745" s="1346"/>
      <c r="O745" s="1341"/>
      <c r="P745" s="1342"/>
      <c r="Q745" s="1342"/>
      <c r="R745" s="1342"/>
      <c r="S745" s="1343"/>
      <c r="T745" s="1341"/>
      <c r="U745" s="1342"/>
      <c r="V745" s="1342"/>
      <c r="W745" s="1343"/>
      <c r="X745" s="1354">
        <f t="shared" si="39"/>
        <v>0</v>
      </c>
      <c r="Y745" s="1355"/>
      <c r="Z745" s="1355"/>
      <c r="AA745" s="1355"/>
      <c r="AB745" s="1356"/>
      <c r="AC745" s="1361"/>
      <c r="AD745" s="1362"/>
      <c r="AE745" s="1362"/>
      <c r="AF745" s="1362"/>
      <c r="AG745" s="1363"/>
      <c r="AH745" s="1357" t="str">
        <f t="shared" si="36"/>
        <v/>
      </c>
      <c r="AI745" s="1358"/>
      <c r="AJ745" s="1359"/>
      <c r="AK745" s="1338" t="s">
        <v>591</v>
      </c>
      <c r="AL745" s="1339"/>
      <c r="AM745" s="1339"/>
      <c r="AN745" s="1339"/>
      <c r="AO745" s="1340"/>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6">
        <f t="shared" si="37"/>
        <v>0</v>
      </c>
      <c r="CH745" s="1467"/>
      <c r="CI745" s="1472">
        <f t="shared" si="38"/>
        <v>0</v>
      </c>
      <c r="CJ745" s="1473"/>
      <c r="CK745" s="1466">
        <f t="shared" si="16"/>
        <v>0</v>
      </c>
      <c r="CL745" s="1467"/>
      <c r="CM745" s="1472">
        <f t="shared" si="17"/>
        <v>0</v>
      </c>
      <c r="CN745" s="1473"/>
      <c r="CO745" s="3"/>
      <c r="CP745" s="1461">
        <f t="shared" si="18"/>
        <v>0</v>
      </c>
      <c r="CQ745" s="1462"/>
      <c r="CR745" s="1462"/>
      <c r="CS745" s="1462"/>
      <c r="CT745" s="1463"/>
      <c r="CU745" s="1446">
        <f t="shared" si="19"/>
        <v>0</v>
      </c>
      <c r="CV745" s="1446"/>
      <c r="CW745" s="1446"/>
      <c r="CX745" s="1446"/>
      <c r="CY745" s="1446"/>
      <c r="CZ745" s="1446">
        <f t="shared" si="20"/>
        <v>0</v>
      </c>
      <c r="DA745" s="1446"/>
      <c r="DB745" s="1446"/>
      <c r="DC745" s="1446"/>
      <c r="DD745" s="1446"/>
      <c r="DE745" s="1446">
        <f t="shared" si="21"/>
        <v>0</v>
      </c>
      <c r="DF745" s="1446"/>
      <c r="DG745" s="1446"/>
      <c r="DH745" s="1446"/>
      <c r="DI745" s="1446"/>
      <c r="DJ745" s="1446">
        <f t="shared" si="22"/>
        <v>0</v>
      </c>
      <c r="DK745" s="1446"/>
      <c r="DL745" s="1446"/>
      <c r="DM745" s="1446"/>
      <c r="DN745" s="1446"/>
      <c r="DO745" s="1446">
        <f t="shared" si="23"/>
        <v>0</v>
      </c>
      <c r="DP745" s="1446"/>
      <c r="DQ745" s="1446"/>
      <c r="DR745" s="1446"/>
      <c r="DS745" s="1446"/>
      <c r="DT745" s="6"/>
      <c r="DU745" s="1447">
        <f t="shared" si="24"/>
        <v>0</v>
      </c>
      <c r="DV745" s="1447"/>
      <c r="DW745" s="1447"/>
      <c r="DX745" s="1447"/>
      <c r="DY745" s="1447"/>
      <c r="DZ745" s="1447">
        <f t="shared" si="25"/>
        <v>0</v>
      </c>
      <c r="EA745" s="1447"/>
      <c r="EB745" s="1447"/>
      <c r="EC745" s="1447"/>
      <c r="ED745" s="1447"/>
      <c r="EE745" s="1447">
        <f t="shared" si="26"/>
        <v>0</v>
      </c>
      <c r="EF745" s="1447"/>
      <c r="EG745" s="1447"/>
      <c r="EH745" s="1447"/>
      <c r="EI745" s="1447"/>
      <c r="EJ745" s="1447">
        <f t="shared" si="27"/>
        <v>0</v>
      </c>
      <c r="EK745" s="1447"/>
      <c r="EL745" s="1447"/>
      <c r="EM745" s="1447"/>
      <c r="EN745" s="1447"/>
      <c r="EO745" s="1447">
        <f t="shared" si="28"/>
        <v>0</v>
      </c>
      <c r="EP745" s="1447"/>
      <c r="EQ745" s="1447"/>
      <c r="ER745" s="1447"/>
      <c r="ES745" s="1447"/>
      <c r="ET745" s="1447">
        <f t="shared" si="29"/>
        <v>0</v>
      </c>
      <c r="EU745" s="1447"/>
      <c r="EV745" s="1447"/>
      <c r="EW745" s="1447"/>
      <c r="EX745" s="1447"/>
      <c r="EZ745" s="1466" t="str">
        <f t="shared" si="30"/>
        <v/>
      </c>
      <c r="FA745" s="1468"/>
      <c r="FB745" s="1468"/>
      <c r="FC745" s="1468"/>
      <c r="FD745" s="1467"/>
      <c r="FE745" s="1466" t="str">
        <f t="shared" si="31"/>
        <v/>
      </c>
      <c r="FF745" s="1468"/>
      <c r="FG745" s="1468"/>
      <c r="FH745" s="1468"/>
      <c r="FI745" s="1467"/>
      <c r="FJ745" s="1466" t="str">
        <f t="shared" si="32"/>
        <v/>
      </c>
      <c r="FK745" s="1468"/>
      <c r="FL745" s="1468"/>
      <c r="FM745" s="1468"/>
      <c r="FN745" s="1467"/>
      <c r="FO745" s="1466" t="str">
        <f t="shared" si="33"/>
        <v/>
      </c>
      <c r="FP745" s="1468"/>
      <c r="FQ745" s="1468"/>
      <c r="FR745" s="1468"/>
      <c r="FS745" s="1467"/>
      <c r="FT745" s="1466" t="str">
        <f t="shared" si="34"/>
        <v/>
      </c>
      <c r="FU745" s="1468"/>
      <c r="FV745" s="1468"/>
      <c r="FW745" s="1468"/>
      <c r="FX745" s="1467"/>
      <c r="FY745" s="1466" t="str">
        <f t="shared" si="35"/>
        <v/>
      </c>
      <c r="FZ745" s="1468"/>
      <c r="GA745" s="1468"/>
      <c r="GB745" s="1468"/>
      <c r="GC745" s="1467"/>
    </row>
    <row r="746" spans="1:185" ht="12.95" customHeight="1">
      <c r="B746" s="1338"/>
      <c r="C746" s="1339"/>
      <c r="D746" s="1339"/>
      <c r="E746" s="1339"/>
      <c r="F746" s="1340"/>
      <c r="G746" s="1351"/>
      <c r="H746" s="1352"/>
      <c r="I746" s="1352"/>
      <c r="J746" s="1353"/>
      <c r="K746" s="1344"/>
      <c r="L746" s="1345"/>
      <c r="M746" s="1345"/>
      <c r="N746" s="1346"/>
      <c r="O746" s="1341"/>
      <c r="P746" s="1342"/>
      <c r="Q746" s="1342"/>
      <c r="R746" s="1342"/>
      <c r="S746" s="1343"/>
      <c r="T746" s="1341"/>
      <c r="U746" s="1342"/>
      <c r="V746" s="1342"/>
      <c r="W746" s="1343"/>
      <c r="X746" s="1354">
        <f t="shared" si="39"/>
        <v>0</v>
      </c>
      <c r="Y746" s="1355"/>
      <c r="Z746" s="1355"/>
      <c r="AA746" s="1355"/>
      <c r="AB746" s="1356"/>
      <c r="AC746" s="1361"/>
      <c r="AD746" s="1362"/>
      <c r="AE746" s="1362"/>
      <c r="AF746" s="1362"/>
      <c r="AG746" s="1363"/>
      <c r="AH746" s="1357" t="str">
        <f t="shared" si="36"/>
        <v/>
      </c>
      <c r="AI746" s="1358"/>
      <c r="AJ746" s="1359"/>
      <c r="AK746" s="1338" t="s">
        <v>591</v>
      </c>
      <c r="AL746" s="1339"/>
      <c r="AM746" s="1339"/>
      <c r="AN746" s="1339"/>
      <c r="AO746" s="1340"/>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6">
        <f t="shared" si="37"/>
        <v>0</v>
      </c>
      <c r="CH746" s="1467"/>
      <c r="CI746" s="1472">
        <f t="shared" si="38"/>
        <v>0</v>
      </c>
      <c r="CJ746" s="1473"/>
      <c r="CK746" s="1466">
        <f t="shared" si="16"/>
        <v>0</v>
      </c>
      <c r="CL746" s="1467"/>
      <c r="CM746" s="1472">
        <f t="shared" si="17"/>
        <v>0</v>
      </c>
      <c r="CN746" s="1473"/>
      <c r="CO746" s="3"/>
      <c r="CP746" s="1461">
        <f t="shared" si="18"/>
        <v>0</v>
      </c>
      <c r="CQ746" s="1462"/>
      <c r="CR746" s="1462"/>
      <c r="CS746" s="1462"/>
      <c r="CT746" s="1463"/>
      <c r="CU746" s="1446">
        <f t="shared" si="19"/>
        <v>0</v>
      </c>
      <c r="CV746" s="1446"/>
      <c r="CW746" s="1446"/>
      <c r="CX746" s="1446"/>
      <c r="CY746" s="1446"/>
      <c r="CZ746" s="1446">
        <f t="shared" si="20"/>
        <v>0</v>
      </c>
      <c r="DA746" s="1446"/>
      <c r="DB746" s="1446"/>
      <c r="DC746" s="1446"/>
      <c r="DD746" s="1446"/>
      <c r="DE746" s="1446">
        <f t="shared" si="21"/>
        <v>0</v>
      </c>
      <c r="DF746" s="1446"/>
      <c r="DG746" s="1446"/>
      <c r="DH746" s="1446"/>
      <c r="DI746" s="1446"/>
      <c r="DJ746" s="1446">
        <f t="shared" si="22"/>
        <v>0</v>
      </c>
      <c r="DK746" s="1446"/>
      <c r="DL746" s="1446"/>
      <c r="DM746" s="1446"/>
      <c r="DN746" s="1446"/>
      <c r="DO746" s="1446">
        <f t="shared" si="23"/>
        <v>0</v>
      </c>
      <c r="DP746" s="1446"/>
      <c r="DQ746" s="1446"/>
      <c r="DR746" s="1446"/>
      <c r="DS746" s="1446"/>
      <c r="DT746" s="6"/>
      <c r="DU746" s="1447">
        <f t="shared" si="24"/>
        <v>0</v>
      </c>
      <c r="DV746" s="1447"/>
      <c r="DW746" s="1447"/>
      <c r="DX746" s="1447"/>
      <c r="DY746" s="1447"/>
      <c r="DZ746" s="1447">
        <f t="shared" si="25"/>
        <v>0</v>
      </c>
      <c r="EA746" s="1447"/>
      <c r="EB746" s="1447"/>
      <c r="EC746" s="1447"/>
      <c r="ED746" s="1447"/>
      <c r="EE746" s="1447">
        <f t="shared" si="26"/>
        <v>0</v>
      </c>
      <c r="EF746" s="1447"/>
      <c r="EG746" s="1447"/>
      <c r="EH746" s="1447"/>
      <c r="EI746" s="1447"/>
      <c r="EJ746" s="1447">
        <f t="shared" si="27"/>
        <v>0</v>
      </c>
      <c r="EK746" s="1447"/>
      <c r="EL746" s="1447"/>
      <c r="EM746" s="1447"/>
      <c r="EN746" s="1447"/>
      <c r="EO746" s="1447">
        <f t="shared" si="28"/>
        <v>0</v>
      </c>
      <c r="EP746" s="1447"/>
      <c r="EQ746" s="1447"/>
      <c r="ER746" s="1447"/>
      <c r="ES746" s="1447"/>
      <c r="ET746" s="1447">
        <f t="shared" si="29"/>
        <v>0</v>
      </c>
      <c r="EU746" s="1447"/>
      <c r="EV746" s="1447"/>
      <c r="EW746" s="1447"/>
      <c r="EX746" s="1447"/>
      <c r="EZ746" s="1466" t="str">
        <f t="shared" si="30"/>
        <v/>
      </c>
      <c r="FA746" s="1468"/>
      <c r="FB746" s="1468"/>
      <c r="FC746" s="1468"/>
      <c r="FD746" s="1467"/>
      <c r="FE746" s="1466" t="str">
        <f t="shared" si="31"/>
        <v/>
      </c>
      <c r="FF746" s="1468"/>
      <c r="FG746" s="1468"/>
      <c r="FH746" s="1468"/>
      <c r="FI746" s="1467"/>
      <c r="FJ746" s="1466" t="str">
        <f t="shared" si="32"/>
        <v/>
      </c>
      <c r="FK746" s="1468"/>
      <c r="FL746" s="1468"/>
      <c r="FM746" s="1468"/>
      <c r="FN746" s="1467"/>
      <c r="FO746" s="1466" t="str">
        <f t="shared" si="33"/>
        <v/>
      </c>
      <c r="FP746" s="1468"/>
      <c r="FQ746" s="1468"/>
      <c r="FR746" s="1468"/>
      <c r="FS746" s="1467"/>
      <c r="FT746" s="1466" t="str">
        <f t="shared" si="34"/>
        <v/>
      </c>
      <c r="FU746" s="1468"/>
      <c r="FV746" s="1468"/>
      <c r="FW746" s="1468"/>
      <c r="FX746" s="1467"/>
      <c r="FY746" s="1466" t="str">
        <f t="shared" si="35"/>
        <v/>
      </c>
      <c r="FZ746" s="1468"/>
      <c r="GA746" s="1468"/>
      <c r="GB746" s="1468"/>
      <c r="GC746" s="1467"/>
    </row>
    <row r="747" spans="1:185" ht="12.95" customHeight="1">
      <c r="B747" s="1338"/>
      <c r="C747" s="1339"/>
      <c r="D747" s="1339"/>
      <c r="E747" s="1339"/>
      <c r="F747" s="1340"/>
      <c r="G747" s="1351"/>
      <c r="H747" s="1352"/>
      <c r="I747" s="1352"/>
      <c r="J747" s="1353"/>
      <c r="K747" s="1344"/>
      <c r="L747" s="1345"/>
      <c r="M747" s="1345"/>
      <c r="N747" s="1346"/>
      <c r="O747" s="1341"/>
      <c r="P747" s="1342"/>
      <c r="Q747" s="1342"/>
      <c r="R747" s="1342"/>
      <c r="S747" s="1343"/>
      <c r="T747" s="1341"/>
      <c r="U747" s="1342"/>
      <c r="V747" s="1342"/>
      <c r="W747" s="1343"/>
      <c r="X747" s="1354">
        <f t="shared" si="39"/>
        <v>0</v>
      </c>
      <c r="Y747" s="1355"/>
      <c r="Z747" s="1355"/>
      <c r="AA747" s="1355"/>
      <c r="AB747" s="1356"/>
      <c r="AC747" s="1361"/>
      <c r="AD747" s="1362"/>
      <c r="AE747" s="1362"/>
      <c r="AF747" s="1362"/>
      <c r="AG747" s="1363"/>
      <c r="AH747" s="1357" t="str">
        <f t="shared" si="36"/>
        <v/>
      </c>
      <c r="AI747" s="1358"/>
      <c r="AJ747" s="1359"/>
      <c r="AK747" s="1338" t="s">
        <v>591</v>
      </c>
      <c r="AL747" s="1339"/>
      <c r="AM747" s="1339"/>
      <c r="AN747" s="1339"/>
      <c r="AO747" s="1340"/>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6">
        <f t="shared" si="37"/>
        <v>0</v>
      </c>
      <c r="CH747" s="1467"/>
      <c r="CI747" s="1472">
        <f t="shared" si="38"/>
        <v>0</v>
      </c>
      <c r="CJ747" s="1473"/>
      <c r="CK747" s="1466">
        <f t="shared" si="16"/>
        <v>0</v>
      </c>
      <c r="CL747" s="1467"/>
      <c r="CM747" s="1472">
        <f t="shared" si="17"/>
        <v>0</v>
      </c>
      <c r="CN747" s="1473"/>
      <c r="CO747" s="3"/>
      <c r="CP747" s="1461">
        <f t="shared" si="18"/>
        <v>0</v>
      </c>
      <c r="CQ747" s="1462"/>
      <c r="CR747" s="1462"/>
      <c r="CS747" s="1462"/>
      <c r="CT747" s="1463"/>
      <c r="CU747" s="1446">
        <f t="shared" si="19"/>
        <v>0</v>
      </c>
      <c r="CV747" s="1446"/>
      <c r="CW747" s="1446"/>
      <c r="CX747" s="1446"/>
      <c r="CY747" s="1446"/>
      <c r="CZ747" s="1446">
        <f t="shared" si="20"/>
        <v>0</v>
      </c>
      <c r="DA747" s="1446"/>
      <c r="DB747" s="1446"/>
      <c r="DC747" s="1446"/>
      <c r="DD747" s="1446"/>
      <c r="DE747" s="1446">
        <f t="shared" si="21"/>
        <v>0</v>
      </c>
      <c r="DF747" s="1446"/>
      <c r="DG747" s="1446"/>
      <c r="DH747" s="1446"/>
      <c r="DI747" s="1446"/>
      <c r="DJ747" s="1446">
        <f t="shared" si="22"/>
        <v>0</v>
      </c>
      <c r="DK747" s="1446"/>
      <c r="DL747" s="1446"/>
      <c r="DM747" s="1446"/>
      <c r="DN747" s="1446"/>
      <c r="DO747" s="1446">
        <f t="shared" si="23"/>
        <v>0</v>
      </c>
      <c r="DP747" s="1446"/>
      <c r="DQ747" s="1446"/>
      <c r="DR747" s="1446"/>
      <c r="DS747" s="1446"/>
      <c r="DT747" s="6"/>
      <c r="DU747" s="1447">
        <f t="shared" si="24"/>
        <v>0</v>
      </c>
      <c r="DV747" s="1447"/>
      <c r="DW747" s="1447"/>
      <c r="DX747" s="1447"/>
      <c r="DY747" s="1447"/>
      <c r="DZ747" s="1447">
        <f t="shared" si="25"/>
        <v>0</v>
      </c>
      <c r="EA747" s="1447"/>
      <c r="EB747" s="1447"/>
      <c r="EC747" s="1447"/>
      <c r="ED747" s="1447"/>
      <c r="EE747" s="1447">
        <f t="shared" si="26"/>
        <v>0</v>
      </c>
      <c r="EF747" s="1447"/>
      <c r="EG747" s="1447"/>
      <c r="EH747" s="1447"/>
      <c r="EI747" s="1447"/>
      <c r="EJ747" s="1447">
        <f t="shared" si="27"/>
        <v>0</v>
      </c>
      <c r="EK747" s="1447"/>
      <c r="EL747" s="1447"/>
      <c r="EM747" s="1447"/>
      <c r="EN747" s="1447"/>
      <c r="EO747" s="1447">
        <f t="shared" si="28"/>
        <v>0</v>
      </c>
      <c r="EP747" s="1447"/>
      <c r="EQ747" s="1447"/>
      <c r="ER747" s="1447"/>
      <c r="ES747" s="1447"/>
      <c r="ET747" s="1447">
        <f t="shared" si="29"/>
        <v>0</v>
      </c>
      <c r="EU747" s="1447"/>
      <c r="EV747" s="1447"/>
      <c r="EW747" s="1447"/>
      <c r="EX747" s="1447"/>
      <c r="EZ747" s="1466" t="str">
        <f t="shared" si="30"/>
        <v/>
      </c>
      <c r="FA747" s="1468"/>
      <c r="FB747" s="1468"/>
      <c r="FC747" s="1468"/>
      <c r="FD747" s="1467"/>
      <c r="FE747" s="1466" t="str">
        <f t="shared" si="31"/>
        <v/>
      </c>
      <c r="FF747" s="1468"/>
      <c r="FG747" s="1468"/>
      <c r="FH747" s="1468"/>
      <c r="FI747" s="1467"/>
      <c r="FJ747" s="1466" t="str">
        <f t="shared" si="32"/>
        <v/>
      </c>
      <c r="FK747" s="1468"/>
      <c r="FL747" s="1468"/>
      <c r="FM747" s="1468"/>
      <c r="FN747" s="1467"/>
      <c r="FO747" s="1466" t="str">
        <f t="shared" si="33"/>
        <v/>
      </c>
      <c r="FP747" s="1468"/>
      <c r="FQ747" s="1468"/>
      <c r="FR747" s="1468"/>
      <c r="FS747" s="1467"/>
      <c r="FT747" s="1466" t="str">
        <f t="shared" si="34"/>
        <v/>
      </c>
      <c r="FU747" s="1468"/>
      <c r="FV747" s="1468"/>
      <c r="FW747" s="1468"/>
      <c r="FX747" s="1467"/>
      <c r="FY747" s="1466" t="str">
        <f t="shared" si="35"/>
        <v/>
      </c>
      <c r="FZ747" s="1468"/>
      <c r="GA747" s="1468"/>
      <c r="GB747" s="1468"/>
      <c r="GC747" s="1467"/>
    </row>
    <row r="748" spans="1:185" s="3" customFormat="1" ht="12.95" customHeight="1">
      <c r="A748"/>
      <c r="B748" s="1338"/>
      <c r="C748" s="1339"/>
      <c r="D748" s="1339"/>
      <c r="E748" s="1339"/>
      <c r="F748" s="1340"/>
      <c r="G748" s="1351"/>
      <c r="H748" s="1352"/>
      <c r="I748" s="1352"/>
      <c r="J748" s="1353"/>
      <c r="K748" s="1344"/>
      <c r="L748" s="1345"/>
      <c r="M748" s="1345"/>
      <c r="N748" s="1346"/>
      <c r="O748" s="1341"/>
      <c r="P748" s="1342"/>
      <c r="Q748" s="1342"/>
      <c r="R748" s="1342"/>
      <c r="S748" s="1343"/>
      <c r="T748" s="1341"/>
      <c r="U748" s="1342"/>
      <c r="V748" s="1342"/>
      <c r="W748" s="1343"/>
      <c r="X748" s="1354">
        <f t="shared" si="39"/>
        <v>0</v>
      </c>
      <c r="Y748" s="1355"/>
      <c r="Z748" s="1355"/>
      <c r="AA748" s="1355"/>
      <c r="AB748" s="1356"/>
      <c r="AC748" s="1361"/>
      <c r="AD748" s="1362"/>
      <c r="AE748" s="1362"/>
      <c r="AF748" s="1362"/>
      <c r="AG748" s="1363"/>
      <c r="AH748" s="1357" t="str">
        <f t="shared" si="36"/>
        <v/>
      </c>
      <c r="AI748" s="1358"/>
      <c r="AJ748" s="1359"/>
      <c r="AK748" s="1338" t="s">
        <v>591</v>
      </c>
      <c r="AL748" s="1339"/>
      <c r="AM748" s="1339"/>
      <c r="AN748" s="1339"/>
      <c r="AO748" s="1340"/>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6">
        <f t="shared" si="37"/>
        <v>0</v>
      </c>
      <c r="CH748" s="1467"/>
      <c r="CI748" s="1472">
        <f t="shared" si="38"/>
        <v>0</v>
      </c>
      <c r="CJ748" s="1473"/>
      <c r="CK748" s="1466">
        <f t="shared" si="16"/>
        <v>0</v>
      </c>
      <c r="CL748" s="1467"/>
      <c r="CM748" s="1472">
        <f t="shared" si="17"/>
        <v>0</v>
      </c>
      <c r="CN748" s="1473"/>
      <c r="CP748" s="1461">
        <f t="shared" si="18"/>
        <v>0</v>
      </c>
      <c r="CQ748" s="1462"/>
      <c r="CR748" s="1462"/>
      <c r="CS748" s="1462"/>
      <c r="CT748" s="1463"/>
      <c r="CU748" s="1446">
        <f t="shared" si="19"/>
        <v>0</v>
      </c>
      <c r="CV748" s="1446"/>
      <c r="CW748" s="1446"/>
      <c r="CX748" s="1446"/>
      <c r="CY748" s="1446"/>
      <c r="CZ748" s="1446">
        <f t="shared" si="20"/>
        <v>0</v>
      </c>
      <c r="DA748" s="1446"/>
      <c r="DB748" s="1446"/>
      <c r="DC748" s="1446"/>
      <c r="DD748" s="1446"/>
      <c r="DE748" s="1446">
        <f t="shared" si="21"/>
        <v>0</v>
      </c>
      <c r="DF748" s="1446"/>
      <c r="DG748" s="1446"/>
      <c r="DH748" s="1446"/>
      <c r="DI748" s="1446"/>
      <c r="DJ748" s="1446">
        <f t="shared" si="22"/>
        <v>0</v>
      </c>
      <c r="DK748" s="1446"/>
      <c r="DL748" s="1446"/>
      <c r="DM748" s="1446"/>
      <c r="DN748" s="1446"/>
      <c r="DO748" s="1446">
        <f t="shared" si="23"/>
        <v>0</v>
      </c>
      <c r="DP748" s="1446"/>
      <c r="DQ748" s="1446"/>
      <c r="DR748" s="1446"/>
      <c r="DS748" s="1446"/>
      <c r="DT748" s="6"/>
      <c r="DU748" s="1447">
        <f t="shared" si="24"/>
        <v>0</v>
      </c>
      <c r="DV748" s="1447"/>
      <c r="DW748" s="1447"/>
      <c r="DX748" s="1447"/>
      <c r="DY748" s="1447"/>
      <c r="DZ748" s="1447">
        <f t="shared" si="25"/>
        <v>0</v>
      </c>
      <c r="EA748" s="1447"/>
      <c r="EB748" s="1447"/>
      <c r="EC748" s="1447"/>
      <c r="ED748" s="1447"/>
      <c r="EE748" s="1447">
        <f t="shared" si="26"/>
        <v>0</v>
      </c>
      <c r="EF748" s="1447"/>
      <c r="EG748" s="1447"/>
      <c r="EH748" s="1447"/>
      <c r="EI748" s="1447"/>
      <c r="EJ748" s="1447">
        <f t="shared" si="27"/>
        <v>0</v>
      </c>
      <c r="EK748" s="1447"/>
      <c r="EL748" s="1447"/>
      <c r="EM748" s="1447"/>
      <c r="EN748" s="1447"/>
      <c r="EO748" s="1447">
        <f t="shared" si="28"/>
        <v>0</v>
      </c>
      <c r="EP748" s="1447"/>
      <c r="EQ748" s="1447"/>
      <c r="ER748" s="1447"/>
      <c r="ES748" s="1447"/>
      <c r="ET748" s="1447">
        <f t="shared" si="29"/>
        <v>0</v>
      </c>
      <c r="EU748" s="1447"/>
      <c r="EV748" s="1447"/>
      <c r="EW748" s="1447"/>
      <c r="EX748" s="1447"/>
      <c r="EY748"/>
      <c r="EZ748" s="1466" t="str">
        <f t="shared" si="30"/>
        <v/>
      </c>
      <c r="FA748" s="1468"/>
      <c r="FB748" s="1468"/>
      <c r="FC748" s="1468"/>
      <c r="FD748" s="1467"/>
      <c r="FE748" s="1466" t="str">
        <f t="shared" si="31"/>
        <v/>
      </c>
      <c r="FF748" s="1468"/>
      <c r="FG748" s="1468"/>
      <c r="FH748" s="1468"/>
      <c r="FI748" s="1467"/>
      <c r="FJ748" s="1466" t="str">
        <f t="shared" si="32"/>
        <v/>
      </c>
      <c r="FK748" s="1468"/>
      <c r="FL748" s="1468"/>
      <c r="FM748" s="1468"/>
      <c r="FN748" s="1467"/>
      <c r="FO748" s="1466" t="str">
        <f t="shared" si="33"/>
        <v/>
      </c>
      <c r="FP748" s="1468"/>
      <c r="FQ748" s="1468"/>
      <c r="FR748" s="1468"/>
      <c r="FS748" s="1467"/>
      <c r="FT748" s="1466" t="str">
        <f t="shared" si="34"/>
        <v/>
      </c>
      <c r="FU748" s="1468"/>
      <c r="FV748" s="1468"/>
      <c r="FW748" s="1468"/>
      <c r="FX748" s="1467"/>
      <c r="FY748" s="1466" t="str">
        <f t="shared" si="35"/>
        <v/>
      </c>
      <c r="FZ748" s="1468"/>
      <c r="GA748" s="1468"/>
      <c r="GB748" s="1468"/>
      <c r="GC748" s="1467"/>
    </row>
    <row r="749" spans="1:185" s="3" customFormat="1" ht="12.95" customHeight="1">
      <c r="A749"/>
      <c r="B749" s="1338"/>
      <c r="C749" s="1339"/>
      <c r="D749" s="1339"/>
      <c r="E749" s="1339"/>
      <c r="F749" s="1340"/>
      <c r="G749" s="1351"/>
      <c r="H749" s="1352"/>
      <c r="I749" s="1352"/>
      <c r="J749" s="1353"/>
      <c r="K749" s="1344"/>
      <c r="L749" s="1345"/>
      <c r="M749" s="1345"/>
      <c r="N749" s="1346"/>
      <c r="O749" s="1341"/>
      <c r="P749" s="1342"/>
      <c r="Q749" s="1342"/>
      <c r="R749" s="1342"/>
      <c r="S749" s="1343"/>
      <c r="T749" s="1341"/>
      <c r="U749" s="1342"/>
      <c r="V749" s="1342"/>
      <c r="W749" s="1343"/>
      <c r="X749" s="1354">
        <f t="shared" si="39"/>
        <v>0</v>
      </c>
      <c r="Y749" s="1355"/>
      <c r="Z749" s="1355"/>
      <c r="AA749" s="1355"/>
      <c r="AB749" s="1356"/>
      <c r="AC749" s="1361"/>
      <c r="AD749" s="1362"/>
      <c r="AE749" s="1362"/>
      <c r="AF749" s="1362"/>
      <c r="AG749" s="1363"/>
      <c r="AH749" s="1357" t="str">
        <f t="shared" si="36"/>
        <v/>
      </c>
      <c r="AI749" s="1358"/>
      <c r="AJ749" s="1359"/>
      <c r="AK749" s="1338" t="s">
        <v>591</v>
      </c>
      <c r="AL749" s="1339"/>
      <c r="AM749" s="1339"/>
      <c r="AN749" s="1339"/>
      <c r="AO749" s="1340"/>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6">
        <f t="shared" si="37"/>
        <v>0</v>
      </c>
      <c r="CH749" s="1467"/>
      <c r="CI749" s="1472">
        <f t="shared" si="38"/>
        <v>0</v>
      </c>
      <c r="CJ749" s="1473"/>
      <c r="CK749" s="1466">
        <f t="shared" si="16"/>
        <v>0</v>
      </c>
      <c r="CL749" s="1467"/>
      <c r="CM749" s="1472">
        <f t="shared" si="17"/>
        <v>0</v>
      </c>
      <c r="CN749" s="1473"/>
      <c r="CP749" s="1461">
        <f t="shared" si="18"/>
        <v>0</v>
      </c>
      <c r="CQ749" s="1462"/>
      <c r="CR749" s="1462"/>
      <c r="CS749" s="1462"/>
      <c r="CT749" s="1463"/>
      <c r="CU749" s="1446">
        <f t="shared" si="19"/>
        <v>0</v>
      </c>
      <c r="CV749" s="1446"/>
      <c r="CW749" s="1446"/>
      <c r="CX749" s="1446"/>
      <c r="CY749" s="1446"/>
      <c r="CZ749" s="1446">
        <f t="shared" si="20"/>
        <v>0</v>
      </c>
      <c r="DA749" s="1446"/>
      <c r="DB749" s="1446"/>
      <c r="DC749" s="1446"/>
      <c r="DD749" s="1446"/>
      <c r="DE749" s="1446">
        <f t="shared" si="21"/>
        <v>0</v>
      </c>
      <c r="DF749" s="1446"/>
      <c r="DG749" s="1446"/>
      <c r="DH749" s="1446"/>
      <c r="DI749" s="1446"/>
      <c r="DJ749" s="1446">
        <f t="shared" si="22"/>
        <v>0</v>
      </c>
      <c r="DK749" s="1446"/>
      <c r="DL749" s="1446"/>
      <c r="DM749" s="1446"/>
      <c r="DN749" s="1446"/>
      <c r="DO749" s="1446">
        <f t="shared" si="23"/>
        <v>0</v>
      </c>
      <c r="DP749" s="1446"/>
      <c r="DQ749" s="1446"/>
      <c r="DR749" s="1446"/>
      <c r="DS749" s="1446"/>
      <c r="DT749" s="6"/>
      <c r="DU749" s="1447">
        <f t="shared" si="24"/>
        <v>0</v>
      </c>
      <c r="DV749" s="1447"/>
      <c r="DW749" s="1447"/>
      <c r="DX749" s="1447"/>
      <c r="DY749" s="1447"/>
      <c r="DZ749" s="1447">
        <f t="shared" si="25"/>
        <v>0</v>
      </c>
      <c r="EA749" s="1447"/>
      <c r="EB749" s="1447"/>
      <c r="EC749" s="1447"/>
      <c r="ED749" s="1447"/>
      <c r="EE749" s="1447">
        <f t="shared" si="26"/>
        <v>0</v>
      </c>
      <c r="EF749" s="1447"/>
      <c r="EG749" s="1447"/>
      <c r="EH749" s="1447"/>
      <c r="EI749" s="1447"/>
      <c r="EJ749" s="1447">
        <f t="shared" si="27"/>
        <v>0</v>
      </c>
      <c r="EK749" s="1447"/>
      <c r="EL749" s="1447"/>
      <c r="EM749" s="1447"/>
      <c r="EN749" s="1447"/>
      <c r="EO749" s="1447">
        <f t="shared" si="28"/>
        <v>0</v>
      </c>
      <c r="EP749" s="1447"/>
      <c r="EQ749" s="1447"/>
      <c r="ER749" s="1447"/>
      <c r="ES749" s="1447"/>
      <c r="ET749" s="1447">
        <f t="shared" si="29"/>
        <v>0</v>
      </c>
      <c r="EU749" s="1447"/>
      <c r="EV749" s="1447"/>
      <c r="EW749" s="1447"/>
      <c r="EX749" s="1447"/>
      <c r="EY749"/>
      <c r="EZ749" s="1466" t="str">
        <f t="shared" si="30"/>
        <v/>
      </c>
      <c r="FA749" s="1468"/>
      <c r="FB749" s="1468"/>
      <c r="FC749" s="1468"/>
      <c r="FD749" s="1467"/>
      <c r="FE749" s="1466" t="str">
        <f t="shared" si="31"/>
        <v/>
      </c>
      <c r="FF749" s="1468"/>
      <c r="FG749" s="1468"/>
      <c r="FH749" s="1468"/>
      <c r="FI749" s="1467"/>
      <c r="FJ749" s="1466" t="str">
        <f t="shared" si="32"/>
        <v/>
      </c>
      <c r="FK749" s="1468"/>
      <c r="FL749" s="1468"/>
      <c r="FM749" s="1468"/>
      <c r="FN749" s="1467"/>
      <c r="FO749" s="1466" t="str">
        <f t="shared" si="33"/>
        <v/>
      </c>
      <c r="FP749" s="1468"/>
      <c r="FQ749" s="1468"/>
      <c r="FR749" s="1468"/>
      <c r="FS749" s="1467"/>
      <c r="FT749" s="1466" t="str">
        <f t="shared" si="34"/>
        <v/>
      </c>
      <c r="FU749" s="1468"/>
      <c r="FV749" s="1468"/>
      <c r="FW749" s="1468"/>
      <c r="FX749" s="1467"/>
      <c r="FY749" s="1466" t="str">
        <f t="shared" si="35"/>
        <v/>
      </c>
      <c r="FZ749" s="1468"/>
      <c r="GA749" s="1468"/>
      <c r="GB749" s="1468"/>
      <c r="GC749" s="1467"/>
    </row>
    <row r="750" spans="1:185" s="3" customFormat="1" ht="12.95" customHeight="1">
      <c r="A750"/>
      <c r="B750" s="1338"/>
      <c r="C750" s="1339"/>
      <c r="D750" s="1339"/>
      <c r="E750" s="1339"/>
      <c r="F750" s="1340"/>
      <c r="G750" s="1351"/>
      <c r="H750" s="1352"/>
      <c r="I750" s="1352"/>
      <c r="J750" s="1353"/>
      <c r="K750" s="1344"/>
      <c r="L750" s="1345"/>
      <c r="M750" s="1345"/>
      <c r="N750" s="1346"/>
      <c r="O750" s="1341"/>
      <c r="P750" s="1342"/>
      <c r="Q750" s="1342"/>
      <c r="R750" s="1342"/>
      <c r="S750" s="1343"/>
      <c r="T750" s="1341"/>
      <c r="U750" s="1342"/>
      <c r="V750" s="1342"/>
      <c r="W750" s="1343"/>
      <c r="X750" s="1354">
        <f t="shared" si="39"/>
        <v>0</v>
      </c>
      <c r="Y750" s="1355"/>
      <c r="Z750" s="1355"/>
      <c r="AA750" s="1355"/>
      <c r="AB750" s="1356"/>
      <c r="AC750" s="1361"/>
      <c r="AD750" s="1362"/>
      <c r="AE750" s="1362"/>
      <c r="AF750" s="1362"/>
      <c r="AG750" s="1363"/>
      <c r="AH750" s="1357" t="str">
        <f t="shared" si="36"/>
        <v/>
      </c>
      <c r="AI750" s="1358"/>
      <c r="AJ750" s="1359"/>
      <c r="AK750" s="1338" t="s">
        <v>591</v>
      </c>
      <c r="AL750" s="1339"/>
      <c r="AM750" s="1339"/>
      <c r="AN750" s="1339"/>
      <c r="AO750" s="1340"/>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6">
        <f t="shared" si="37"/>
        <v>0</v>
      </c>
      <c r="CH750" s="1467"/>
      <c r="CI750" s="1472">
        <f t="shared" si="38"/>
        <v>0</v>
      </c>
      <c r="CJ750" s="1473"/>
      <c r="CK750" s="1466">
        <f t="shared" si="16"/>
        <v>0</v>
      </c>
      <c r="CL750" s="1467"/>
      <c r="CM750" s="1472">
        <f t="shared" si="17"/>
        <v>0</v>
      </c>
      <c r="CN750" s="1473"/>
      <c r="CP750" s="1461">
        <f t="shared" si="18"/>
        <v>0</v>
      </c>
      <c r="CQ750" s="1462"/>
      <c r="CR750" s="1462"/>
      <c r="CS750" s="1462"/>
      <c r="CT750" s="1463"/>
      <c r="CU750" s="1446">
        <f t="shared" si="19"/>
        <v>0</v>
      </c>
      <c r="CV750" s="1446"/>
      <c r="CW750" s="1446"/>
      <c r="CX750" s="1446"/>
      <c r="CY750" s="1446"/>
      <c r="CZ750" s="1446">
        <f t="shared" si="20"/>
        <v>0</v>
      </c>
      <c r="DA750" s="1446"/>
      <c r="DB750" s="1446"/>
      <c r="DC750" s="1446"/>
      <c r="DD750" s="1446"/>
      <c r="DE750" s="1446">
        <f t="shared" si="21"/>
        <v>0</v>
      </c>
      <c r="DF750" s="1446"/>
      <c r="DG750" s="1446"/>
      <c r="DH750" s="1446"/>
      <c r="DI750" s="1446"/>
      <c r="DJ750" s="1446">
        <f t="shared" si="22"/>
        <v>0</v>
      </c>
      <c r="DK750" s="1446"/>
      <c r="DL750" s="1446"/>
      <c r="DM750" s="1446"/>
      <c r="DN750" s="1446"/>
      <c r="DO750" s="1446">
        <f t="shared" si="23"/>
        <v>0</v>
      </c>
      <c r="DP750" s="1446"/>
      <c r="DQ750" s="1446"/>
      <c r="DR750" s="1446"/>
      <c r="DS750" s="1446"/>
      <c r="DT750" s="6"/>
      <c r="DU750" s="1447">
        <f t="shared" si="24"/>
        <v>0</v>
      </c>
      <c r="DV750" s="1447"/>
      <c r="DW750" s="1447"/>
      <c r="DX750" s="1447"/>
      <c r="DY750" s="1447"/>
      <c r="DZ750" s="1447">
        <f t="shared" si="25"/>
        <v>0</v>
      </c>
      <c r="EA750" s="1447"/>
      <c r="EB750" s="1447"/>
      <c r="EC750" s="1447"/>
      <c r="ED750" s="1447"/>
      <c r="EE750" s="1447">
        <f t="shared" si="26"/>
        <v>0</v>
      </c>
      <c r="EF750" s="1447"/>
      <c r="EG750" s="1447"/>
      <c r="EH750" s="1447"/>
      <c r="EI750" s="1447"/>
      <c r="EJ750" s="1447">
        <f t="shared" si="27"/>
        <v>0</v>
      </c>
      <c r="EK750" s="1447"/>
      <c r="EL750" s="1447"/>
      <c r="EM750" s="1447"/>
      <c r="EN750" s="1447"/>
      <c r="EO750" s="1447">
        <f t="shared" si="28"/>
        <v>0</v>
      </c>
      <c r="EP750" s="1447"/>
      <c r="EQ750" s="1447"/>
      <c r="ER750" s="1447"/>
      <c r="ES750" s="1447"/>
      <c r="ET750" s="1447">
        <f t="shared" si="29"/>
        <v>0</v>
      </c>
      <c r="EU750" s="1447"/>
      <c r="EV750" s="1447"/>
      <c r="EW750" s="1447"/>
      <c r="EX750" s="1447"/>
      <c r="EY750"/>
      <c r="EZ750" s="1466" t="str">
        <f t="shared" si="30"/>
        <v/>
      </c>
      <c r="FA750" s="1468"/>
      <c r="FB750" s="1468"/>
      <c r="FC750" s="1468"/>
      <c r="FD750" s="1467"/>
      <c r="FE750" s="1466" t="str">
        <f t="shared" si="31"/>
        <v/>
      </c>
      <c r="FF750" s="1468"/>
      <c r="FG750" s="1468"/>
      <c r="FH750" s="1468"/>
      <c r="FI750" s="1467"/>
      <c r="FJ750" s="1466" t="str">
        <f t="shared" si="32"/>
        <v/>
      </c>
      <c r="FK750" s="1468"/>
      <c r="FL750" s="1468"/>
      <c r="FM750" s="1468"/>
      <c r="FN750" s="1467"/>
      <c r="FO750" s="1466" t="str">
        <f t="shared" si="33"/>
        <v/>
      </c>
      <c r="FP750" s="1468"/>
      <c r="FQ750" s="1468"/>
      <c r="FR750" s="1468"/>
      <c r="FS750" s="1467"/>
      <c r="FT750" s="1466" t="str">
        <f t="shared" si="34"/>
        <v/>
      </c>
      <c r="FU750" s="1468"/>
      <c r="FV750" s="1468"/>
      <c r="FW750" s="1468"/>
      <c r="FX750" s="1467"/>
      <c r="FY750" s="1466" t="str">
        <f t="shared" si="35"/>
        <v/>
      </c>
      <c r="FZ750" s="1468"/>
      <c r="GA750" s="1468"/>
      <c r="GB750" s="1468"/>
      <c r="GC750" s="1467"/>
    </row>
    <row r="751" spans="1:185" s="3" customFormat="1" ht="12.95" customHeight="1">
      <c r="A751"/>
      <c r="B751" s="1338"/>
      <c r="C751" s="1339"/>
      <c r="D751" s="1339"/>
      <c r="E751" s="1339"/>
      <c r="F751" s="1340"/>
      <c r="G751" s="1351"/>
      <c r="H751" s="1352"/>
      <c r="I751" s="1352"/>
      <c r="J751" s="1353"/>
      <c r="K751" s="1344"/>
      <c r="L751" s="1345"/>
      <c r="M751" s="1345"/>
      <c r="N751" s="1346"/>
      <c r="O751" s="1341"/>
      <c r="P751" s="1342"/>
      <c r="Q751" s="1342"/>
      <c r="R751" s="1342"/>
      <c r="S751" s="1343"/>
      <c r="T751" s="1341"/>
      <c r="U751" s="1342"/>
      <c r="V751" s="1342"/>
      <c r="W751" s="1343"/>
      <c r="X751" s="1354">
        <f t="shared" si="39"/>
        <v>0</v>
      </c>
      <c r="Y751" s="1355"/>
      <c r="Z751" s="1355"/>
      <c r="AA751" s="1355"/>
      <c r="AB751" s="1356"/>
      <c r="AC751" s="1361"/>
      <c r="AD751" s="1362"/>
      <c r="AE751" s="1362"/>
      <c r="AF751" s="1362"/>
      <c r="AG751" s="1363"/>
      <c r="AH751" s="1357" t="str">
        <f t="shared" si="36"/>
        <v/>
      </c>
      <c r="AI751" s="1358"/>
      <c r="AJ751" s="1359"/>
      <c r="AK751" s="1338" t="s">
        <v>591</v>
      </c>
      <c r="AL751" s="1339"/>
      <c r="AM751" s="1339"/>
      <c r="AN751" s="1339"/>
      <c r="AO751" s="1340"/>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6">
        <f t="shared" si="37"/>
        <v>0</v>
      </c>
      <c r="CH751" s="1467"/>
      <c r="CI751" s="1472">
        <f t="shared" si="38"/>
        <v>0</v>
      </c>
      <c r="CJ751" s="1473"/>
      <c r="CK751" s="1466">
        <f t="shared" si="16"/>
        <v>0</v>
      </c>
      <c r="CL751" s="1467"/>
      <c r="CM751" s="1472">
        <f t="shared" si="17"/>
        <v>0</v>
      </c>
      <c r="CN751" s="1473"/>
      <c r="CP751" s="1461">
        <f t="shared" si="18"/>
        <v>0</v>
      </c>
      <c r="CQ751" s="1462"/>
      <c r="CR751" s="1462"/>
      <c r="CS751" s="1462"/>
      <c r="CT751" s="1463"/>
      <c r="CU751" s="1446">
        <f t="shared" si="19"/>
        <v>0</v>
      </c>
      <c r="CV751" s="1446"/>
      <c r="CW751" s="1446"/>
      <c r="CX751" s="1446"/>
      <c r="CY751" s="1446"/>
      <c r="CZ751" s="1446">
        <f t="shared" si="20"/>
        <v>0</v>
      </c>
      <c r="DA751" s="1446"/>
      <c r="DB751" s="1446"/>
      <c r="DC751" s="1446"/>
      <c r="DD751" s="1446"/>
      <c r="DE751" s="1446">
        <f t="shared" si="21"/>
        <v>0</v>
      </c>
      <c r="DF751" s="1446"/>
      <c r="DG751" s="1446"/>
      <c r="DH751" s="1446"/>
      <c r="DI751" s="1446"/>
      <c r="DJ751" s="1446">
        <f t="shared" si="22"/>
        <v>0</v>
      </c>
      <c r="DK751" s="1446"/>
      <c r="DL751" s="1446"/>
      <c r="DM751" s="1446"/>
      <c r="DN751" s="1446"/>
      <c r="DO751" s="1446">
        <f t="shared" si="23"/>
        <v>0</v>
      </c>
      <c r="DP751" s="1446"/>
      <c r="DQ751" s="1446"/>
      <c r="DR751" s="1446"/>
      <c r="DS751" s="1446"/>
      <c r="DT751" s="6"/>
      <c r="DU751" s="1447">
        <f t="shared" si="24"/>
        <v>0</v>
      </c>
      <c r="DV751" s="1447"/>
      <c r="DW751" s="1447"/>
      <c r="DX751" s="1447"/>
      <c r="DY751" s="1447"/>
      <c r="DZ751" s="1447">
        <f t="shared" si="25"/>
        <v>0</v>
      </c>
      <c r="EA751" s="1447"/>
      <c r="EB751" s="1447"/>
      <c r="EC751" s="1447"/>
      <c r="ED751" s="1447"/>
      <c r="EE751" s="1447">
        <f t="shared" si="26"/>
        <v>0</v>
      </c>
      <c r="EF751" s="1447"/>
      <c r="EG751" s="1447"/>
      <c r="EH751" s="1447"/>
      <c r="EI751" s="1447"/>
      <c r="EJ751" s="1447">
        <f t="shared" si="27"/>
        <v>0</v>
      </c>
      <c r="EK751" s="1447"/>
      <c r="EL751" s="1447"/>
      <c r="EM751" s="1447"/>
      <c r="EN751" s="1447"/>
      <c r="EO751" s="1447">
        <f t="shared" si="28"/>
        <v>0</v>
      </c>
      <c r="EP751" s="1447"/>
      <c r="EQ751" s="1447"/>
      <c r="ER751" s="1447"/>
      <c r="ES751" s="1447"/>
      <c r="ET751" s="1447">
        <f t="shared" si="29"/>
        <v>0</v>
      </c>
      <c r="EU751" s="1447"/>
      <c r="EV751" s="1447"/>
      <c r="EW751" s="1447"/>
      <c r="EX751" s="1447"/>
      <c r="EY751"/>
      <c r="EZ751" s="1466" t="str">
        <f t="shared" si="30"/>
        <v/>
      </c>
      <c r="FA751" s="1468"/>
      <c r="FB751" s="1468"/>
      <c r="FC751" s="1468"/>
      <c r="FD751" s="1467"/>
      <c r="FE751" s="1466" t="str">
        <f t="shared" si="31"/>
        <v/>
      </c>
      <c r="FF751" s="1468"/>
      <c r="FG751" s="1468"/>
      <c r="FH751" s="1468"/>
      <c r="FI751" s="1467"/>
      <c r="FJ751" s="1466" t="str">
        <f t="shared" si="32"/>
        <v/>
      </c>
      <c r="FK751" s="1468"/>
      <c r="FL751" s="1468"/>
      <c r="FM751" s="1468"/>
      <c r="FN751" s="1467"/>
      <c r="FO751" s="1466" t="str">
        <f t="shared" si="33"/>
        <v/>
      </c>
      <c r="FP751" s="1468"/>
      <c r="FQ751" s="1468"/>
      <c r="FR751" s="1468"/>
      <c r="FS751" s="1467"/>
      <c r="FT751" s="1466" t="str">
        <f t="shared" si="34"/>
        <v/>
      </c>
      <c r="FU751" s="1468"/>
      <c r="FV751" s="1468"/>
      <c r="FW751" s="1468"/>
      <c r="FX751" s="1467"/>
      <c r="FY751" s="1466" t="str">
        <f t="shared" si="35"/>
        <v/>
      </c>
      <c r="FZ751" s="1468"/>
      <c r="GA751" s="1468"/>
      <c r="GB751" s="1468"/>
      <c r="GC751" s="1467"/>
    </row>
    <row r="752" spans="1:185" s="3" customFormat="1" ht="12.95" customHeight="1">
      <c r="A752"/>
      <c r="B752" s="1338"/>
      <c r="C752" s="1339"/>
      <c r="D752" s="1339"/>
      <c r="E752" s="1339"/>
      <c r="F752" s="1340"/>
      <c r="G752" s="1351"/>
      <c r="H752" s="1352"/>
      <c r="I752" s="1352"/>
      <c r="J752" s="1353"/>
      <c r="K752" s="1344"/>
      <c r="L752" s="1345"/>
      <c r="M752" s="1345"/>
      <c r="N752" s="1346"/>
      <c r="O752" s="1341"/>
      <c r="P752" s="1342"/>
      <c r="Q752" s="1342"/>
      <c r="R752" s="1342"/>
      <c r="S752" s="1343"/>
      <c r="T752" s="1341"/>
      <c r="U752" s="1342"/>
      <c r="V752" s="1342"/>
      <c r="W752" s="1343"/>
      <c r="X752" s="1354">
        <f>O752+T752</f>
        <v>0</v>
      </c>
      <c r="Y752" s="1355"/>
      <c r="Z752" s="1355"/>
      <c r="AA752" s="1355"/>
      <c r="AB752" s="1356"/>
      <c r="AC752" s="1361"/>
      <c r="AD752" s="1362"/>
      <c r="AE752" s="1362"/>
      <c r="AF752" s="1362"/>
      <c r="AG752" s="1363"/>
      <c r="AH752" s="1357" t="str">
        <f t="shared" si="36"/>
        <v/>
      </c>
      <c r="AI752" s="1358"/>
      <c r="AJ752" s="1359"/>
      <c r="AK752" s="1338" t="s">
        <v>591</v>
      </c>
      <c r="AL752" s="1339"/>
      <c r="AM752" s="1339"/>
      <c r="AN752" s="1339"/>
      <c r="AO752" s="1340"/>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6">
        <f t="shared" si="37"/>
        <v>0</v>
      </c>
      <c r="CH752" s="1467"/>
      <c r="CI752" s="1472">
        <f t="shared" si="38"/>
        <v>0</v>
      </c>
      <c r="CJ752" s="1473"/>
      <c r="CK752" s="1466">
        <f t="shared" si="16"/>
        <v>0</v>
      </c>
      <c r="CL752" s="1467"/>
      <c r="CM752" s="1472">
        <f t="shared" si="17"/>
        <v>0</v>
      </c>
      <c r="CN752" s="1473"/>
      <c r="CP752" s="1461">
        <f t="shared" si="18"/>
        <v>0</v>
      </c>
      <c r="CQ752" s="1462"/>
      <c r="CR752" s="1462"/>
      <c r="CS752" s="1462"/>
      <c r="CT752" s="1463"/>
      <c r="CU752" s="1446">
        <f t="shared" si="19"/>
        <v>0</v>
      </c>
      <c r="CV752" s="1446"/>
      <c r="CW752" s="1446"/>
      <c r="CX752" s="1446"/>
      <c r="CY752" s="1446"/>
      <c r="CZ752" s="1446">
        <f t="shared" si="20"/>
        <v>0</v>
      </c>
      <c r="DA752" s="1446"/>
      <c r="DB752" s="1446"/>
      <c r="DC752" s="1446"/>
      <c r="DD752" s="1446"/>
      <c r="DE752" s="1446">
        <f t="shared" si="21"/>
        <v>0</v>
      </c>
      <c r="DF752" s="1446"/>
      <c r="DG752" s="1446"/>
      <c r="DH752" s="1446"/>
      <c r="DI752" s="1446"/>
      <c r="DJ752" s="1446">
        <f t="shared" si="22"/>
        <v>0</v>
      </c>
      <c r="DK752" s="1446"/>
      <c r="DL752" s="1446"/>
      <c r="DM752" s="1446"/>
      <c r="DN752" s="1446"/>
      <c r="DO752" s="1446">
        <f t="shared" si="23"/>
        <v>0</v>
      </c>
      <c r="DP752" s="1446"/>
      <c r="DQ752" s="1446"/>
      <c r="DR752" s="1446"/>
      <c r="DS752" s="1446"/>
      <c r="DT752" s="6"/>
      <c r="DU752" s="1447">
        <f t="shared" si="24"/>
        <v>0</v>
      </c>
      <c r="DV752" s="1447"/>
      <c r="DW752" s="1447"/>
      <c r="DX752" s="1447"/>
      <c r="DY752" s="1447"/>
      <c r="DZ752" s="1447">
        <f t="shared" si="25"/>
        <v>0</v>
      </c>
      <c r="EA752" s="1447"/>
      <c r="EB752" s="1447"/>
      <c r="EC752" s="1447"/>
      <c r="ED752" s="1447"/>
      <c r="EE752" s="1447">
        <f t="shared" si="26"/>
        <v>0</v>
      </c>
      <c r="EF752" s="1447"/>
      <c r="EG752" s="1447"/>
      <c r="EH752" s="1447"/>
      <c r="EI752" s="1447"/>
      <c r="EJ752" s="1447">
        <f t="shared" si="27"/>
        <v>0</v>
      </c>
      <c r="EK752" s="1447"/>
      <c r="EL752" s="1447"/>
      <c r="EM752" s="1447"/>
      <c r="EN752" s="1447"/>
      <c r="EO752" s="1447">
        <f t="shared" si="28"/>
        <v>0</v>
      </c>
      <c r="EP752" s="1447"/>
      <c r="EQ752" s="1447"/>
      <c r="ER752" s="1447"/>
      <c r="ES752" s="1447"/>
      <c r="ET752" s="1447">
        <f t="shared" si="29"/>
        <v>0</v>
      </c>
      <c r="EU752" s="1447"/>
      <c r="EV752" s="1447"/>
      <c r="EW752" s="1447"/>
      <c r="EX752" s="1447"/>
      <c r="EY752"/>
      <c r="EZ752" s="1466" t="str">
        <f t="shared" si="30"/>
        <v/>
      </c>
      <c r="FA752" s="1468"/>
      <c r="FB752" s="1468"/>
      <c r="FC752" s="1468"/>
      <c r="FD752" s="1467"/>
      <c r="FE752" s="1466" t="str">
        <f t="shared" si="31"/>
        <v/>
      </c>
      <c r="FF752" s="1468"/>
      <c r="FG752" s="1468"/>
      <c r="FH752" s="1468"/>
      <c r="FI752" s="1467"/>
      <c r="FJ752" s="1466" t="str">
        <f t="shared" si="32"/>
        <v/>
      </c>
      <c r="FK752" s="1468"/>
      <c r="FL752" s="1468"/>
      <c r="FM752" s="1468"/>
      <c r="FN752" s="1467"/>
      <c r="FO752" s="1466" t="str">
        <f t="shared" si="33"/>
        <v/>
      </c>
      <c r="FP752" s="1468"/>
      <c r="FQ752" s="1468"/>
      <c r="FR752" s="1468"/>
      <c r="FS752" s="1467"/>
      <c r="FT752" s="1466" t="str">
        <f t="shared" si="34"/>
        <v/>
      </c>
      <c r="FU752" s="1468"/>
      <c r="FV752" s="1468"/>
      <c r="FW752" s="1468"/>
      <c r="FX752" s="1467"/>
      <c r="FY752" s="1466" t="str">
        <f t="shared" si="35"/>
        <v/>
      </c>
      <c r="FZ752" s="1468"/>
      <c r="GA752" s="1468"/>
      <c r="GB752" s="1468"/>
      <c r="GC752" s="1467"/>
    </row>
    <row r="753" spans="1:185" s="3" customFormat="1" ht="12.95" customHeight="1">
      <c r="A753"/>
      <c r="B753" s="1452" t="s">
        <v>125</v>
      </c>
      <c r="C753" s="1453"/>
      <c r="D753" s="1453"/>
      <c r="E753" s="1453"/>
      <c r="F753" s="1454"/>
      <c r="G753" s="1623">
        <f>SUM(G718:G752)</f>
        <v>80</v>
      </c>
      <c r="H753" s="1624"/>
      <c r="I753" s="1624"/>
      <c r="J753" s="1625"/>
      <c r="K753" s="902" t="s">
        <v>124</v>
      </c>
      <c r="L753" s="5"/>
      <c r="M753" s="5"/>
      <c r="N753" s="46"/>
      <c r="O753" s="1354">
        <f>SUMPRODUCT(G718:G752,O718:O752)</f>
        <v>77160</v>
      </c>
      <c r="P753" s="1355"/>
      <c r="Q753" s="1355"/>
      <c r="R753" s="1355"/>
      <c r="S753" s="1356"/>
      <c r="T753"/>
      <c r="U753"/>
      <c r="V753"/>
      <c r="W753"/>
      <c r="X753" s="904" t="s">
        <v>900</v>
      </c>
      <c r="Y753" s="903"/>
      <c r="Z753" s="903"/>
      <c r="AA753" s="903"/>
      <c r="AB753" s="905"/>
      <c r="AC753" s="1606">
        <f>BH753</f>
        <v>0.4</v>
      </c>
      <c r="AD753" s="1607"/>
      <c r="AE753" s="1607"/>
      <c r="AF753" s="1607"/>
      <c r="AG753" s="1608"/>
      <c r="AH753" s="1606">
        <f>IFERROR(BU753,"")</f>
        <v>0.39987562189054726</v>
      </c>
      <c r="AI753" s="1607"/>
      <c r="AJ753" s="1608"/>
      <c r="AK753"/>
      <c r="AL753"/>
      <c r="AM753"/>
      <c r="AN753"/>
      <c r="AO753"/>
      <c r="AP753" s="205"/>
      <c r="AQ753" s="205"/>
      <c r="AR753" s="205"/>
      <c r="AS753" s="205"/>
      <c r="AT753"/>
      <c r="AU753"/>
      <c r="AV753"/>
      <c r="AW753"/>
      <c r="AX753"/>
      <c r="AY753"/>
      <c r="AZ753" s="34"/>
      <c r="BA753" s="34"/>
      <c r="BB753" s="34"/>
      <c r="BC753" s="34"/>
      <c r="BE753" s="290" t="s">
        <v>899</v>
      </c>
      <c r="BF753" s="299">
        <f>SUM(BF718:BF752)</f>
        <v>80</v>
      </c>
      <c r="BG753" s="300">
        <f>SUM(BG718:BG752)</f>
        <v>1</v>
      </c>
      <c r="BH753" s="300">
        <f>SUM(BH718:BH752)</f>
        <v>0.4</v>
      </c>
      <c r="BI753"/>
      <c r="BJ753"/>
      <c r="BK753"/>
      <c r="BL753"/>
      <c r="BO753"/>
      <c r="BP753"/>
      <c r="BQ753"/>
      <c r="BR753"/>
      <c r="BS753" s="859">
        <f>SUM(BS718:BS752)</f>
        <v>80</v>
      </c>
      <c r="BT753" s="300">
        <f>SUM(BT718:BT752)</f>
        <v>1</v>
      </c>
      <c r="BU753" s="300">
        <f>SUM(BU718:BU752)</f>
        <v>0.39987562189054726</v>
      </c>
      <c r="CI753" s="1466">
        <f>SUM(CI718:CJ752)</f>
        <v>40</v>
      </c>
      <c r="CJ753" s="1467"/>
      <c r="CM753" s="1466">
        <f>SUM(CM718:CN752)</f>
        <v>40</v>
      </c>
      <c r="CN753" s="1467"/>
      <c r="CP753" s="1466">
        <f>SUM(CP718:CT752)</f>
        <v>0</v>
      </c>
      <c r="CQ753" s="1468"/>
      <c r="CR753" s="1468"/>
      <c r="CS753" s="1468"/>
      <c r="CT753" s="1467"/>
      <c r="CU753" s="1464">
        <f>SUM(CU718:CY752)</f>
        <v>80</v>
      </c>
      <c r="CV753" s="1464"/>
      <c r="CW753" s="1464"/>
      <c r="CX753" s="1464"/>
      <c r="CY753" s="1464"/>
      <c r="CZ753" s="1464">
        <f>SUM(CZ718:DD752)</f>
        <v>0</v>
      </c>
      <c r="DA753" s="1464"/>
      <c r="DB753" s="1464"/>
      <c r="DC753" s="1464"/>
      <c r="DD753" s="1464"/>
      <c r="DE753" s="1464">
        <f>SUM(DE718:DI752)</f>
        <v>0</v>
      </c>
      <c r="DF753" s="1464"/>
      <c r="DG753" s="1464"/>
      <c r="DH753" s="1464"/>
      <c r="DI753" s="1464"/>
      <c r="DJ753" s="1464">
        <f>SUM(DJ718:DN752)</f>
        <v>0</v>
      </c>
      <c r="DK753" s="1464"/>
      <c r="DL753" s="1464"/>
      <c r="DM753" s="1464"/>
      <c r="DN753" s="1464"/>
      <c r="DO753" s="1464">
        <f>SUM(DO718:DS752)</f>
        <v>0</v>
      </c>
      <c r="DP753" s="1464"/>
      <c r="DQ753" s="1464"/>
      <c r="DR753" s="1464"/>
      <c r="DS753" s="1464"/>
      <c r="DT753" s="354"/>
      <c r="DU753" s="1464">
        <f>SUM(DU718:DY752)</f>
        <v>0</v>
      </c>
      <c r="DV753" s="1464"/>
      <c r="DW753" s="1464"/>
      <c r="DX753" s="1464"/>
      <c r="DY753" s="1464"/>
      <c r="DZ753" s="1464">
        <f>SUM(DZ718:ED752)</f>
        <v>40</v>
      </c>
      <c r="EA753" s="1464"/>
      <c r="EB753" s="1464"/>
      <c r="EC753" s="1464"/>
      <c r="ED753" s="1464"/>
      <c r="EE753" s="1464">
        <f>SUM(EE718:EI752)</f>
        <v>0</v>
      </c>
      <c r="EF753" s="1464"/>
      <c r="EG753" s="1464"/>
      <c r="EH753" s="1464"/>
      <c r="EI753" s="1464"/>
      <c r="EJ753" s="1464">
        <f>SUM(EJ718:EN752)</f>
        <v>0</v>
      </c>
      <c r="EK753" s="1464"/>
      <c r="EL753" s="1464"/>
      <c r="EM753" s="1464"/>
      <c r="EN753" s="1464"/>
      <c r="EO753" s="1464">
        <f>SUM(EO718:ES752)</f>
        <v>0</v>
      </c>
      <c r="EP753" s="1464"/>
      <c r="EQ753" s="1464"/>
      <c r="ER753" s="1464"/>
      <c r="ES753" s="1464"/>
      <c r="ET753" s="1464">
        <f>SUM(ET718:EX752)</f>
        <v>0</v>
      </c>
      <c r="EU753" s="1464"/>
      <c r="EV753" s="1464"/>
      <c r="EW753" s="1464"/>
      <c r="EX753" s="1464"/>
      <c r="EY753"/>
      <c r="EZ753" s="1464">
        <f>SUM(EZ718:FD752)</f>
        <v>0</v>
      </c>
      <c r="FA753" s="1464"/>
      <c r="FB753" s="1464"/>
      <c r="FC753" s="1464"/>
      <c r="FD753" s="1464"/>
      <c r="FE753" s="1464">
        <f>SUM(FE718:FI752)</f>
        <v>1929</v>
      </c>
      <c r="FF753" s="1464"/>
      <c r="FG753" s="1464"/>
      <c r="FH753" s="1464"/>
      <c r="FI753" s="1464"/>
      <c r="FJ753" s="1464">
        <f>SUM(FJ718:FN752)</f>
        <v>0</v>
      </c>
      <c r="FK753" s="1464"/>
      <c r="FL753" s="1464"/>
      <c r="FM753" s="1464"/>
      <c r="FN753" s="1464"/>
      <c r="FO753" s="1464">
        <f>SUM(FO718:FS752)</f>
        <v>0</v>
      </c>
      <c r="FP753" s="1464"/>
      <c r="FQ753" s="1464"/>
      <c r="FR753" s="1464"/>
      <c r="FS753" s="1464"/>
      <c r="FT753" s="1464">
        <f>SUM(FT718:FX752)</f>
        <v>0</v>
      </c>
      <c r="FU753" s="1464"/>
      <c r="FV753" s="1464"/>
      <c r="FW753" s="1464"/>
      <c r="FX753" s="1464"/>
      <c r="FY753" s="1464">
        <f>SUM(FY718:GC752)</f>
        <v>0</v>
      </c>
      <c r="FZ753" s="1464"/>
      <c r="GA753" s="1464"/>
      <c r="GB753" s="1464"/>
      <c r="GC753" s="1464"/>
    </row>
    <row r="754" spans="1:185" s="3" customFormat="1" ht="12.95" customHeight="1">
      <c r="A754"/>
      <c r="B754" s="1622" t="s">
        <v>1894</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N754" s="56" t="s">
        <v>1861</v>
      </c>
      <c r="DO754" s="1466">
        <f>CP753+CU753+CZ753+DE753+DJ753+DO753</f>
        <v>80</v>
      </c>
      <c r="DP754" s="1468"/>
      <c r="DQ754" s="1468"/>
      <c r="DR754" s="1468"/>
      <c r="DS754" s="1467"/>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80</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80</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4">
        <f>DU755</f>
        <v>80</v>
      </c>
      <c r="P756" s="1464"/>
      <c r="Q756" s="1464"/>
      <c r="R756" s="1464"/>
      <c r="S756" s="969"/>
      <c r="T756" s="969"/>
      <c r="U756" s="118" t="s">
        <v>1893</v>
      </c>
      <c r="V756" s="1032"/>
      <c r="W756" s="1032"/>
      <c r="X756" s="1032"/>
      <c r="Y756" s="1033"/>
      <c r="Z756" s="1033"/>
      <c r="AA756" s="1033"/>
      <c r="AB756" s="1033"/>
      <c r="AC756" s="1032"/>
      <c r="AD756" s="1032"/>
      <c r="AE756" s="1032"/>
      <c r="AF756" s="1032"/>
      <c r="AG756" s="1629">
        <v>80</v>
      </c>
      <c r="AH756" s="1629"/>
      <c r="AI756" s="1629"/>
      <c r="AJ756" s="162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6" t="s">
        <v>591</v>
      </c>
      <c r="AE759" s="1626"/>
      <c r="AF759" s="16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8" t="s">
        <v>2090</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8" t="s">
        <v>2091</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4" t="s">
        <v>388</v>
      </c>
      <c r="K769" s="1365"/>
      <c r="L769" s="1365"/>
      <c r="M769" s="1365"/>
      <c r="N769" s="1366"/>
      <c r="O769" s="1621" t="s">
        <v>284</v>
      </c>
      <c r="P769" s="1621"/>
      <c r="Q769" s="1621"/>
      <c r="R769" s="1621"/>
      <c r="S769" s="1621"/>
      <c r="T769" s="1721" t="s">
        <v>1679</v>
      </c>
      <c r="U769" s="1722"/>
      <c r="V769" s="1722"/>
      <c r="W769" s="1723"/>
      <c r="X769" s="1364" t="s">
        <v>447</v>
      </c>
      <c r="Y769" s="1365"/>
      <c r="Z769" s="1365"/>
      <c r="AA769" s="1365"/>
      <c r="AB769" s="1366"/>
      <c r="AC769" s="1364" t="s">
        <v>285</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7"/>
      <c r="K770" s="1368"/>
      <c r="L770" s="1368"/>
      <c r="M770" s="1368"/>
      <c r="N770" s="1369"/>
      <c r="O770" s="1621"/>
      <c r="P770" s="1621"/>
      <c r="Q770" s="1621"/>
      <c r="R770" s="1621"/>
      <c r="S770" s="1621"/>
      <c r="T770" s="1724"/>
      <c r="U770" s="1725"/>
      <c r="V770" s="1725"/>
      <c r="W770" s="1726"/>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7"/>
      <c r="K771" s="1368"/>
      <c r="L771" s="1368"/>
      <c r="M771" s="1368"/>
      <c r="N771" s="1369"/>
      <c r="O771" s="1621"/>
      <c r="P771" s="1621"/>
      <c r="Q771" s="1621"/>
      <c r="R771" s="1621"/>
      <c r="S771" s="1621"/>
      <c r="T771" s="1724"/>
      <c r="U771" s="1725"/>
      <c r="V771" s="1725"/>
      <c r="W771" s="1726"/>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0"/>
      <c r="K772" s="1371"/>
      <c r="L772" s="1371"/>
      <c r="M772" s="1371"/>
      <c r="N772" s="1372"/>
      <c r="O772" s="1621"/>
      <c r="P772" s="1621"/>
      <c r="Q772" s="1621"/>
      <c r="R772" s="1621"/>
      <c r="S772" s="1621"/>
      <c r="T772" s="1727"/>
      <c r="U772" s="1728"/>
      <c r="V772" s="1728"/>
      <c r="W772" s="1729"/>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8" t="s">
        <v>163</v>
      </c>
      <c r="K773" s="1339"/>
      <c r="L773" s="1339"/>
      <c r="M773" s="1339"/>
      <c r="N773" s="1340"/>
      <c r="O773" s="1615">
        <v>1</v>
      </c>
      <c r="P773" s="1615"/>
      <c r="Q773" s="1615"/>
      <c r="R773" s="1615"/>
      <c r="S773" s="1615"/>
      <c r="T773" s="1344">
        <v>1133</v>
      </c>
      <c r="U773" s="1345"/>
      <c r="V773" s="1345"/>
      <c r="W773" s="1346"/>
      <c r="X773" s="1341">
        <v>0</v>
      </c>
      <c r="Y773" s="1342"/>
      <c r="Z773" s="1342"/>
      <c r="AA773" s="1342"/>
      <c r="AB773" s="1343"/>
      <c r="AC773" s="1354">
        <f>X773*O773</f>
        <v>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1">
        <f>IF(J773="SRO/Studio",O773,0)</f>
        <v>0</v>
      </c>
      <c r="CQ773" s="1462"/>
      <c r="CR773" s="1462"/>
      <c r="CS773" s="1462"/>
      <c r="CT773" s="1463"/>
      <c r="CU773" s="1446">
        <f>IF(J773="1 Bedroom",O773,0)</f>
        <v>0</v>
      </c>
      <c r="CV773" s="1446"/>
      <c r="CW773" s="1446"/>
      <c r="CX773" s="1446"/>
      <c r="CY773" s="1446"/>
      <c r="CZ773" s="1446">
        <f>IF(J773="2 Bedrooms",O773,0)</f>
        <v>1</v>
      </c>
      <c r="DA773" s="1446"/>
      <c r="DB773" s="1446"/>
      <c r="DC773" s="1446"/>
      <c r="DD773" s="1446"/>
      <c r="DE773" s="1446">
        <f>IF(J773="3 Bedrooms",O773,0)</f>
        <v>0</v>
      </c>
      <c r="DF773" s="1446"/>
      <c r="DG773" s="1446"/>
      <c r="DH773" s="1446"/>
      <c r="DI773" s="1446"/>
      <c r="DJ773" s="1446">
        <f>IF(J773="4 Bedrooms",O773,0)</f>
        <v>0</v>
      </c>
      <c r="DK773" s="1446"/>
      <c r="DL773" s="1446"/>
      <c r="DM773" s="1446"/>
      <c r="DN773" s="1446"/>
      <c r="DO773" s="1446">
        <f>IF(J773="5 Bedrooms",O773,0)</f>
        <v>0</v>
      </c>
      <c r="DP773" s="1446"/>
      <c r="DQ773" s="1446"/>
      <c r="DR773" s="1446"/>
      <c r="DS773" s="1446"/>
      <c r="DT773" s="6"/>
      <c r="DU773" s="3"/>
      <c r="DV773" s="3"/>
    </row>
    <row r="774" spans="1:126" ht="12.95" customHeight="1">
      <c r="J774" s="1338"/>
      <c r="K774" s="1339"/>
      <c r="L774" s="1339"/>
      <c r="M774" s="1339"/>
      <c r="N774" s="1340"/>
      <c r="O774" s="1615"/>
      <c r="P774" s="1615"/>
      <c r="Q774" s="1615"/>
      <c r="R774" s="1615"/>
      <c r="S774" s="1615"/>
      <c r="T774" s="1344"/>
      <c r="U774" s="1345"/>
      <c r="V774" s="1345"/>
      <c r="W774" s="1346"/>
      <c r="X774" s="1341"/>
      <c r="Y774" s="1342"/>
      <c r="Z774" s="1342"/>
      <c r="AA774" s="1342"/>
      <c r="AB774" s="1343"/>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1">
        <f>IF(J774="SRO/Studio",O774,0)</f>
        <v>0</v>
      </c>
      <c r="CQ774" s="1462"/>
      <c r="CR774" s="1462"/>
      <c r="CS774" s="1462"/>
      <c r="CT774" s="1463"/>
      <c r="CU774" s="1446">
        <f>IF(J774="1 Bedroom",O774,0)</f>
        <v>0</v>
      </c>
      <c r="CV774" s="1446"/>
      <c r="CW774" s="1446"/>
      <c r="CX774" s="1446"/>
      <c r="CY774" s="1446"/>
      <c r="CZ774" s="1446">
        <f>IF(J774="2 Bedrooms",O774,0)</f>
        <v>0</v>
      </c>
      <c r="DA774" s="1446"/>
      <c r="DB774" s="1446"/>
      <c r="DC774" s="1446"/>
      <c r="DD774" s="1446"/>
      <c r="DE774" s="1446">
        <f>IF(J774="3 Bedrooms",O774,0)</f>
        <v>0</v>
      </c>
      <c r="DF774" s="1446"/>
      <c r="DG774" s="1446"/>
      <c r="DH774" s="1446"/>
      <c r="DI774" s="1446"/>
      <c r="DJ774" s="1446">
        <f>IF(J774="4 Bedrooms",O774,0)</f>
        <v>0</v>
      </c>
      <c r="DK774" s="1446"/>
      <c r="DL774" s="1446"/>
      <c r="DM774" s="1446"/>
      <c r="DN774" s="1446"/>
      <c r="DO774" s="1446">
        <f>IF(J774="5 Bedrooms",O774,0)</f>
        <v>0</v>
      </c>
      <c r="DP774" s="1446"/>
      <c r="DQ774" s="1446"/>
      <c r="DR774" s="1446"/>
      <c r="DS774" s="1446"/>
      <c r="DT774" s="6"/>
      <c r="DU774" s="3"/>
      <c r="DV774" s="3"/>
    </row>
    <row r="775" spans="1:126" ht="12.95" customHeight="1">
      <c r="J775" s="1338"/>
      <c r="K775" s="1339"/>
      <c r="L775" s="1339"/>
      <c r="M775" s="1339"/>
      <c r="N775" s="1340"/>
      <c r="O775" s="1615"/>
      <c r="P775" s="1615"/>
      <c r="Q775" s="1615"/>
      <c r="R775" s="1615"/>
      <c r="S775" s="1615"/>
      <c r="T775" s="1344"/>
      <c r="U775" s="1345"/>
      <c r="V775" s="1345"/>
      <c r="W775" s="1346"/>
      <c r="X775" s="1341"/>
      <c r="Y775" s="1342"/>
      <c r="Z775" s="1342"/>
      <c r="AA775" s="1342"/>
      <c r="AB775" s="1343"/>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1">
        <f>IF(J775="SRO/Studio",O775,0)</f>
        <v>0</v>
      </c>
      <c r="CQ775" s="1462"/>
      <c r="CR775" s="1462"/>
      <c r="CS775" s="1462"/>
      <c r="CT775" s="1463"/>
      <c r="CU775" s="1446">
        <f>IF(J775="1 Bedroom",O775,0)</f>
        <v>0</v>
      </c>
      <c r="CV775" s="1446"/>
      <c r="CW775" s="1446"/>
      <c r="CX775" s="1446"/>
      <c r="CY775" s="1446"/>
      <c r="CZ775" s="1446">
        <f>IF(J775="2 Bedrooms",O775,0)</f>
        <v>0</v>
      </c>
      <c r="DA775" s="1446"/>
      <c r="DB775" s="1446"/>
      <c r="DC775" s="1446"/>
      <c r="DD775" s="1446"/>
      <c r="DE775" s="1446">
        <f>IF(J775="3 Bedrooms",O775,0)</f>
        <v>0</v>
      </c>
      <c r="DF775" s="1446"/>
      <c r="DG775" s="1446"/>
      <c r="DH775" s="1446"/>
      <c r="DI775" s="1446"/>
      <c r="DJ775" s="1446">
        <f>IF(J775="4 Bedrooms",O775,0)</f>
        <v>0</v>
      </c>
      <c r="DK775" s="1446"/>
      <c r="DL775" s="1446"/>
      <c r="DM775" s="1446"/>
      <c r="DN775" s="1446"/>
      <c r="DO775" s="1446">
        <f>IF(J775="5 Bedrooms",O775,0)</f>
        <v>0</v>
      </c>
      <c r="DP775" s="1446"/>
      <c r="DQ775" s="1446"/>
      <c r="DR775" s="1446"/>
      <c r="DS775" s="1446"/>
      <c r="DT775" s="1012"/>
    </row>
    <row r="776" spans="1:126" ht="12.95" customHeight="1">
      <c r="J776" s="1338"/>
      <c r="K776" s="1339"/>
      <c r="L776" s="1339"/>
      <c r="M776" s="1339"/>
      <c r="N776" s="1340"/>
      <c r="O776" s="1615"/>
      <c r="P776" s="1615"/>
      <c r="Q776" s="1615"/>
      <c r="R776" s="1615"/>
      <c r="S776" s="1615"/>
      <c r="T776" s="1344"/>
      <c r="U776" s="1345"/>
      <c r="V776" s="1345"/>
      <c r="W776" s="1346"/>
      <c r="X776" s="1341"/>
      <c r="Y776" s="1342"/>
      <c r="Z776" s="1342"/>
      <c r="AA776" s="1342"/>
      <c r="AB776" s="1343"/>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1">
        <f>IF(J776="SRO/Studio",O776,0)</f>
        <v>0</v>
      </c>
      <c r="CQ776" s="1462"/>
      <c r="CR776" s="1462"/>
      <c r="CS776" s="1462"/>
      <c r="CT776" s="1463"/>
      <c r="CU776" s="1446">
        <f>IF(J776="1 Bedroom",O776,0)</f>
        <v>0</v>
      </c>
      <c r="CV776" s="1446"/>
      <c r="CW776" s="1446"/>
      <c r="CX776" s="1446"/>
      <c r="CY776" s="1446"/>
      <c r="CZ776" s="1446">
        <f>IF(J776="2 Bedrooms",O776,0)</f>
        <v>0</v>
      </c>
      <c r="DA776" s="1446"/>
      <c r="DB776" s="1446"/>
      <c r="DC776" s="1446"/>
      <c r="DD776" s="1446"/>
      <c r="DE776" s="1446">
        <f>IF(J776="3 Bedrooms",O776,0)</f>
        <v>0</v>
      </c>
      <c r="DF776" s="1446"/>
      <c r="DG776" s="1446"/>
      <c r="DH776" s="1446"/>
      <c r="DI776" s="1446"/>
      <c r="DJ776" s="1446">
        <f>IF(J776="4 Bedrooms",O776,0)</f>
        <v>0</v>
      </c>
      <c r="DK776" s="1446"/>
      <c r="DL776" s="1446"/>
      <c r="DM776" s="1446"/>
      <c r="DN776" s="1446"/>
      <c r="DO776" s="1446">
        <f>IF(J776="5 Bedrooms",O776,0)</f>
        <v>0</v>
      </c>
      <c r="DP776" s="1446"/>
      <c r="DQ776" s="1446"/>
      <c r="DR776" s="1446"/>
      <c r="DS776" s="1446"/>
    </row>
    <row r="777" spans="1:126" ht="12.95" customHeight="1">
      <c r="J777" s="1452" t="s">
        <v>125</v>
      </c>
      <c r="K777" s="1453"/>
      <c r="L777" s="1453"/>
      <c r="M777" s="1453"/>
      <c r="N777" s="1454"/>
      <c r="O777" s="1472">
        <f>SUM(O773:S776)</f>
        <v>1</v>
      </c>
      <c r="P777" s="1474"/>
      <c r="Q777" s="1474"/>
      <c r="R777" s="1474"/>
      <c r="S777" s="1473"/>
      <c r="X777" s="1452" t="s">
        <v>124</v>
      </c>
      <c r="Y777" s="1453"/>
      <c r="Z777" s="1453"/>
      <c r="AA777" s="1453"/>
      <c r="AB777" s="1454"/>
      <c r="AC777" s="1354">
        <f>SUM(AC773:AG776)</f>
        <v>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2">
        <f>SUM(CP773:CT776)</f>
        <v>0</v>
      </c>
      <c r="CQ777" s="1474"/>
      <c r="CR777" s="1474"/>
      <c r="CS777" s="1474"/>
      <c r="CT777" s="1473"/>
      <c r="CU777" s="1475">
        <f>SUM(CU773:CY776)</f>
        <v>0</v>
      </c>
      <c r="CV777" s="1476"/>
      <c r="CW777" s="1476"/>
      <c r="CX777" s="1476"/>
      <c r="CY777" s="1477"/>
      <c r="CZ777" s="1475">
        <f>SUM(CZ773:DD776)</f>
        <v>1</v>
      </c>
      <c r="DA777" s="1476"/>
      <c r="DB777" s="1476"/>
      <c r="DC777" s="1476"/>
      <c r="DD777" s="1477"/>
      <c r="DE777" s="1475">
        <f>SUM(DE773:DI776)</f>
        <v>0</v>
      </c>
      <c r="DF777" s="1476"/>
      <c r="DG777" s="1476"/>
      <c r="DH777" s="1476"/>
      <c r="DI777" s="1477"/>
      <c r="DJ777" s="1475">
        <f>SUM(DJ773:DN776)</f>
        <v>0</v>
      </c>
      <c r="DK777" s="1476"/>
      <c r="DL777" s="1476"/>
      <c r="DM777" s="1476"/>
      <c r="DN777" s="1477"/>
      <c r="DO777" s="1475">
        <f>SUM(DO773:DS776)</f>
        <v>0</v>
      </c>
      <c r="DP777" s="1476"/>
      <c r="DQ777" s="1476"/>
      <c r="DR777" s="1476"/>
      <c r="DS777" s="1477"/>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5" t="s">
        <v>669</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4" t="s">
        <v>388</v>
      </c>
      <c r="K783" s="1365"/>
      <c r="L783" s="1365"/>
      <c r="M783" s="1365"/>
      <c r="N783" s="1366"/>
      <c r="O783" s="1621" t="s">
        <v>284</v>
      </c>
      <c r="P783" s="1621"/>
      <c r="Q783" s="1621"/>
      <c r="R783" s="1621"/>
      <c r="S783" s="1621"/>
      <c r="T783" s="1721" t="s">
        <v>1679</v>
      </c>
      <c r="U783" s="1722"/>
      <c r="V783" s="1722"/>
      <c r="W783" s="1723"/>
      <c r="X783" s="1364" t="s">
        <v>447</v>
      </c>
      <c r="Y783" s="1365"/>
      <c r="Z783" s="1365"/>
      <c r="AA783" s="1365"/>
      <c r="AB783" s="1366"/>
      <c r="AC783" s="1364" t="s">
        <v>285</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7"/>
      <c r="K784" s="1368"/>
      <c r="L784" s="1368"/>
      <c r="M784" s="1368"/>
      <c r="N784" s="1369"/>
      <c r="O784" s="1621"/>
      <c r="P784" s="1621"/>
      <c r="Q784" s="1621"/>
      <c r="R784" s="1621"/>
      <c r="S784" s="1621"/>
      <c r="T784" s="1724"/>
      <c r="U784" s="1725"/>
      <c r="V784" s="1725"/>
      <c r="W784" s="1726"/>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7"/>
      <c r="K785" s="1368"/>
      <c r="L785" s="1368"/>
      <c r="M785" s="1368"/>
      <c r="N785" s="1369"/>
      <c r="O785" s="1621"/>
      <c r="P785" s="1621"/>
      <c r="Q785" s="1621"/>
      <c r="R785" s="1621"/>
      <c r="S785" s="1621"/>
      <c r="T785" s="1724"/>
      <c r="U785" s="1725"/>
      <c r="V785" s="1725"/>
      <c r="W785" s="1726"/>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0"/>
      <c r="K786" s="1371"/>
      <c r="L786" s="1371"/>
      <c r="M786" s="1371"/>
      <c r="N786" s="1372"/>
      <c r="O786" s="1621"/>
      <c r="P786" s="1621"/>
      <c r="Q786" s="1621"/>
      <c r="R786" s="1621"/>
      <c r="S786" s="1621"/>
      <c r="T786" s="1727"/>
      <c r="U786" s="1728"/>
      <c r="V786" s="1728"/>
      <c r="W786" s="1729"/>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8"/>
      <c r="K787" s="1339"/>
      <c r="L787" s="1339"/>
      <c r="M787" s="1339"/>
      <c r="N787" s="1340"/>
      <c r="O787" s="1615"/>
      <c r="P787" s="1615"/>
      <c r="Q787" s="1615"/>
      <c r="R787" s="1615"/>
      <c r="S787" s="1615"/>
      <c r="T787" s="1344"/>
      <c r="U787" s="1345"/>
      <c r="V787" s="1345"/>
      <c r="W787" s="1346"/>
      <c r="X787" s="1341"/>
      <c r="Y787" s="1342"/>
      <c r="Z787" s="1342"/>
      <c r="AA787" s="1342"/>
      <c r="AB787" s="1343"/>
      <c r="AC787" s="1354">
        <f t="shared" ref="AC787:AC796" si="40">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1">
        <f t="shared" ref="CP787:CP796" si="41">IF(J787="SRO/Studio",O787,0)</f>
        <v>0</v>
      </c>
      <c r="CQ787" s="1462"/>
      <c r="CR787" s="1462"/>
      <c r="CS787" s="1462"/>
      <c r="CT787" s="1463"/>
      <c r="CU787" s="1461">
        <f t="shared" ref="CU787:CU796" si="42">IF(J787="1 Bedroom",O787,0)</f>
        <v>0</v>
      </c>
      <c r="CV787" s="1462"/>
      <c r="CW787" s="1462"/>
      <c r="CX787" s="1462"/>
      <c r="CY787" s="1463"/>
      <c r="CZ787" s="1461">
        <f t="shared" ref="CZ787:CZ796" si="43">IF(J787="2 Bedrooms",O787,0)</f>
        <v>0</v>
      </c>
      <c r="DA787" s="1462"/>
      <c r="DB787" s="1462"/>
      <c r="DC787" s="1462"/>
      <c r="DD787" s="1463"/>
      <c r="DE787" s="1461">
        <f t="shared" ref="DE787:DE796" si="44">IF(J787="3 Bedrooms",O787,0)</f>
        <v>0</v>
      </c>
      <c r="DF787" s="1462"/>
      <c r="DG787" s="1462"/>
      <c r="DH787" s="1462"/>
      <c r="DI787" s="1463"/>
      <c r="DJ787" s="1461">
        <f t="shared" ref="DJ787:DJ796" si="45">IF(J787="4 Bedrooms",O787,0)</f>
        <v>0</v>
      </c>
      <c r="DK787" s="1462"/>
      <c r="DL787" s="1462"/>
      <c r="DM787" s="1462"/>
      <c r="DN787" s="1463"/>
      <c r="DO787" s="1461">
        <f t="shared" ref="DO787:DO796" si="46">IF(J787="5 Bedrooms",O787,0)</f>
        <v>0</v>
      </c>
      <c r="DP787" s="1462"/>
      <c r="DQ787" s="1462"/>
      <c r="DR787" s="1462"/>
      <c r="DS787" s="1463"/>
      <c r="DT787" s="6"/>
      <c r="DU787" s="1461">
        <f t="shared" ref="DU787:DU796" si="47">IF(AND(CP787&gt;=1,AH787&gt;=0.1,AH787&lt;=1),O787,0)</f>
        <v>0</v>
      </c>
      <c r="DV787" s="1462"/>
      <c r="DW787" s="1462"/>
      <c r="DX787" s="1462"/>
      <c r="DY787" s="1463"/>
      <c r="DZ787" s="1461">
        <f t="shared" ref="DZ787:DZ796" si="48">IF(AND(CU787&gt;=1,AH787&gt;=0.1,AH787&lt;=1),O787,0)</f>
        <v>0</v>
      </c>
      <c r="EA787" s="1462"/>
      <c r="EB787" s="1462"/>
      <c r="EC787" s="1462"/>
      <c r="ED787" s="1463"/>
      <c r="EE787" s="1461">
        <f t="shared" ref="EE787:EE796" si="49">IF(AND(CZ787&gt;=1,AH787&gt;=0.1,AH787&lt;=1),O787,0)</f>
        <v>0</v>
      </c>
      <c r="EF787" s="1462"/>
      <c r="EG787" s="1462"/>
      <c r="EH787" s="1462"/>
      <c r="EI787" s="1463"/>
      <c r="EJ787" s="1461">
        <f t="shared" ref="EJ787:EJ796" si="50">IF(AND(DE787&gt;=1,AH787&gt;=0.1,AH787&lt;=1),O787,0)</f>
        <v>0</v>
      </c>
      <c r="EK787" s="1462"/>
      <c r="EL787" s="1462"/>
      <c r="EM787" s="1462"/>
      <c r="EN787" s="1463"/>
      <c r="EO787" s="1461">
        <f t="shared" ref="EO787:EO796" si="51">IF(AND(DJ787&gt;=1,AH787&gt;=0.1,AH787&lt;=1),O787,0)</f>
        <v>0</v>
      </c>
      <c r="EP787" s="1462"/>
      <c r="EQ787" s="1462"/>
      <c r="ER787" s="1462"/>
      <c r="ES787" s="1463"/>
      <c r="ET787" s="1461">
        <f t="shared" ref="ET787:ET796" si="52">IF(AND(DO787&gt;=1,AH787&gt;=0.1,AH787&lt;=1),O787,0)</f>
        <v>0</v>
      </c>
      <c r="EU787" s="1462"/>
      <c r="EV787" s="1462"/>
      <c r="EW787" s="1462"/>
      <c r="EX787" s="1463"/>
    </row>
    <row r="788" spans="1:154" s="14" customFormat="1" ht="12.95" customHeight="1">
      <c r="A788"/>
      <c r="B788"/>
      <c r="C788"/>
      <c r="D788"/>
      <c r="E788"/>
      <c r="F788"/>
      <c r="G788"/>
      <c r="H788"/>
      <c r="I788"/>
      <c r="J788" s="1338"/>
      <c r="K788" s="1339"/>
      <c r="L788" s="1339"/>
      <c r="M788" s="1339"/>
      <c r="N788" s="1340"/>
      <c r="O788" s="1615"/>
      <c r="P788" s="1615"/>
      <c r="Q788" s="1615"/>
      <c r="R788" s="1615"/>
      <c r="S788" s="1615"/>
      <c r="T788" s="1344"/>
      <c r="U788" s="1345"/>
      <c r="V788" s="1345"/>
      <c r="W788" s="1346"/>
      <c r="X788" s="1341"/>
      <c r="Y788" s="1342"/>
      <c r="Z788" s="1342"/>
      <c r="AA788" s="1342"/>
      <c r="AB788" s="1343"/>
      <c r="AC788" s="1354">
        <f t="shared" si="40"/>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1">
        <f t="shared" si="41"/>
        <v>0</v>
      </c>
      <c r="CQ788" s="1462"/>
      <c r="CR788" s="1462"/>
      <c r="CS788" s="1462"/>
      <c r="CT788" s="1463"/>
      <c r="CU788" s="1461">
        <f t="shared" si="42"/>
        <v>0</v>
      </c>
      <c r="CV788" s="1462"/>
      <c r="CW788" s="1462"/>
      <c r="CX788" s="1462"/>
      <c r="CY788" s="1463"/>
      <c r="CZ788" s="1461">
        <f t="shared" si="43"/>
        <v>0</v>
      </c>
      <c r="DA788" s="1462"/>
      <c r="DB788" s="1462"/>
      <c r="DC788" s="1462"/>
      <c r="DD788" s="1463"/>
      <c r="DE788" s="1461">
        <f t="shared" si="44"/>
        <v>0</v>
      </c>
      <c r="DF788" s="1462"/>
      <c r="DG788" s="1462"/>
      <c r="DH788" s="1462"/>
      <c r="DI788" s="1463"/>
      <c r="DJ788" s="1461">
        <f t="shared" si="45"/>
        <v>0</v>
      </c>
      <c r="DK788" s="1462"/>
      <c r="DL788" s="1462"/>
      <c r="DM788" s="1462"/>
      <c r="DN788" s="1463"/>
      <c r="DO788" s="1461">
        <f t="shared" si="46"/>
        <v>0</v>
      </c>
      <c r="DP788" s="1462"/>
      <c r="DQ788" s="1462"/>
      <c r="DR788" s="1462"/>
      <c r="DS788" s="1463"/>
      <c r="DT788" s="6"/>
      <c r="DU788" s="1461">
        <f t="shared" si="47"/>
        <v>0</v>
      </c>
      <c r="DV788" s="1462"/>
      <c r="DW788" s="1462"/>
      <c r="DX788" s="1462"/>
      <c r="DY788" s="1463"/>
      <c r="DZ788" s="1461">
        <f t="shared" si="48"/>
        <v>0</v>
      </c>
      <c r="EA788" s="1462"/>
      <c r="EB788" s="1462"/>
      <c r="EC788" s="1462"/>
      <c r="ED788" s="1463"/>
      <c r="EE788" s="1461">
        <f t="shared" si="49"/>
        <v>0</v>
      </c>
      <c r="EF788" s="1462"/>
      <c r="EG788" s="1462"/>
      <c r="EH788" s="1462"/>
      <c r="EI788" s="1463"/>
      <c r="EJ788" s="1461">
        <f t="shared" si="50"/>
        <v>0</v>
      </c>
      <c r="EK788" s="1462"/>
      <c r="EL788" s="1462"/>
      <c r="EM788" s="1462"/>
      <c r="EN788" s="1463"/>
      <c r="EO788" s="1461">
        <f t="shared" si="51"/>
        <v>0</v>
      </c>
      <c r="EP788" s="1462"/>
      <c r="EQ788" s="1462"/>
      <c r="ER788" s="1462"/>
      <c r="ES788" s="1463"/>
      <c r="ET788" s="1461">
        <f t="shared" si="52"/>
        <v>0</v>
      </c>
      <c r="EU788" s="1462"/>
      <c r="EV788" s="1462"/>
      <c r="EW788" s="1462"/>
      <c r="EX788" s="1463"/>
    </row>
    <row r="789" spans="1:154" s="14" customFormat="1" ht="12.95" customHeight="1">
      <c r="A789"/>
      <c r="B789"/>
      <c r="C789"/>
      <c r="D789"/>
      <c r="E789"/>
      <c r="F789"/>
      <c r="G789"/>
      <c r="H789"/>
      <c r="I789"/>
      <c r="J789" s="1338"/>
      <c r="K789" s="1339"/>
      <c r="L789" s="1339"/>
      <c r="M789" s="1339"/>
      <c r="N789" s="1340"/>
      <c r="O789" s="1615"/>
      <c r="P789" s="1615"/>
      <c r="Q789" s="1615"/>
      <c r="R789" s="1615"/>
      <c r="S789" s="1615"/>
      <c r="T789" s="1344"/>
      <c r="U789" s="1345"/>
      <c r="V789" s="1345"/>
      <c r="W789" s="1346"/>
      <c r="X789" s="1341"/>
      <c r="Y789" s="1342"/>
      <c r="Z789" s="1342"/>
      <c r="AA789" s="1342"/>
      <c r="AB789" s="1343"/>
      <c r="AC789" s="1354">
        <f t="shared" si="40"/>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1">
        <f t="shared" si="41"/>
        <v>0</v>
      </c>
      <c r="CQ789" s="1462"/>
      <c r="CR789" s="1462"/>
      <c r="CS789" s="1462"/>
      <c r="CT789" s="1463"/>
      <c r="CU789" s="1461">
        <f t="shared" si="42"/>
        <v>0</v>
      </c>
      <c r="CV789" s="1462"/>
      <c r="CW789" s="1462"/>
      <c r="CX789" s="1462"/>
      <c r="CY789" s="1463"/>
      <c r="CZ789" s="1461">
        <f t="shared" si="43"/>
        <v>0</v>
      </c>
      <c r="DA789" s="1462"/>
      <c r="DB789" s="1462"/>
      <c r="DC789" s="1462"/>
      <c r="DD789" s="1463"/>
      <c r="DE789" s="1461">
        <f t="shared" si="44"/>
        <v>0</v>
      </c>
      <c r="DF789" s="1462"/>
      <c r="DG789" s="1462"/>
      <c r="DH789" s="1462"/>
      <c r="DI789" s="1463"/>
      <c r="DJ789" s="1461">
        <f t="shared" si="45"/>
        <v>0</v>
      </c>
      <c r="DK789" s="1462"/>
      <c r="DL789" s="1462"/>
      <c r="DM789" s="1462"/>
      <c r="DN789" s="1463"/>
      <c r="DO789" s="1461">
        <f t="shared" si="46"/>
        <v>0</v>
      </c>
      <c r="DP789" s="1462"/>
      <c r="DQ789" s="1462"/>
      <c r="DR789" s="1462"/>
      <c r="DS789" s="1463"/>
      <c r="DT789" s="6"/>
      <c r="DU789" s="1461">
        <f t="shared" si="47"/>
        <v>0</v>
      </c>
      <c r="DV789" s="1462"/>
      <c r="DW789" s="1462"/>
      <c r="DX789" s="1462"/>
      <c r="DY789" s="1463"/>
      <c r="DZ789" s="1461">
        <f t="shared" si="48"/>
        <v>0</v>
      </c>
      <c r="EA789" s="1462"/>
      <c r="EB789" s="1462"/>
      <c r="EC789" s="1462"/>
      <c r="ED789" s="1463"/>
      <c r="EE789" s="1461">
        <f t="shared" si="49"/>
        <v>0</v>
      </c>
      <c r="EF789" s="1462"/>
      <c r="EG789" s="1462"/>
      <c r="EH789" s="1462"/>
      <c r="EI789" s="1463"/>
      <c r="EJ789" s="1461">
        <f t="shared" si="50"/>
        <v>0</v>
      </c>
      <c r="EK789" s="1462"/>
      <c r="EL789" s="1462"/>
      <c r="EM789" s="1462"/>
      <c r="EN789" s="1463"/>
      <c r="EO789" s="1461">
        <f t="shared" si="51"/>
        <v>0</v>
      </c>
      <c r="EP789" s="1462"/>
      <c r="EQ789" s="1462"/>
      <c r="ER789" s="1462"/>
      <c r="ES789" s="1463"/>
      <c r="ET789" s="1461">
        <f t="shared" si="52"/>
        <v>0</v>
      </c>
      <c r="EU789" s="1462"/>
      <c r="EV789" s="1462"/>
      <c r="EW789" s="1462"/>
      <c r="EX789" s="1463"/>
    </row>
    <row r="790" spans="1:154" s="14" customFormat="1" ht="12.95" customHeight="1">
      <c r="A790"/>
      <c r="B790"/>
      <c r="C790"/>
      <c r="D790"/>
      <c r="E790"/>
      <c r="F790"/>
      <c r="G790"/>
      <c r="H790"/>
      <c r="I790"/>
      <c r="J790" s="1338"/>
      <c r="K790" s="1339"/>
      <c r="L790" s="1339"/>
      <c r="M790" s="1339"/>
      <c r="N790" s="1340"/>
      <c r="O790" s="1615"/>
      <c r="P790" s="1615"/>
      <c r="Q790" s="1615"/>
      <c r="R790" s="1615"/>
      <c r="S790" s="1615"/>
      <c r="T790" s="1344"/>
      <c r="U790" s="1345"/>
      <c r="V790" s="1345"/>
      <c r="W790" s="1346"/>
      <c r="X790" s="1341"/>
      <c r="Y790" s="1342"/>
      <c r="Z790" s="1342"/>
      <c r="AA790" s="1342"/>
      <c r="AB790" s="1343"/>
      <c r="AC790" s="1354">
        <f t="shared" si="40"/>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1">
        <f t="shared" si="41"/>
        <v>0</v>
      </c>
      <c r="CQ790" s="1462"/>
      <c r="CR790" s="1462"/>
      <c r="CS790" s="1462"/>
      <c r="CT790" s="1463"/>
      <c r="CU790" s="1461">
        <f t="shared" si="42"/>
        <v>0</v>
      </c>
      <c r="CV790" s="1462"/>
      <c r="CW790" s="1462"/>
      <c r="CX790" s="1462"/>
      <c r="CY790" s="1463"/>
      <c r="CZ790" s="1461">
        <f t="shared" si="43"/>
        <v>0</v>
      </c>
      <c r="DA790" s="1462"/>
      <c r="DB790" s="1462"/>
      <c r="DC790" s="1462"/>
      <c r="DD790" s="1463"/>
      <c r="DE790" s="1461">
        <f t="shared" si="44"/>
        <v>0</v>
      </c>
      <c r="DF790" s="1462"/>
      <c r="DG790" s="1462"/>
      <c r="DH790" s="1462"/>
      <c r="DI790" s="1463"/>
      <c r="DJ790" s="1461">
        <f t="shared" si="45"/>
        <v>0</v>
      </c>
      <c r="DK790" s="1462"/>
      <c r="DL790" s="1462"/>
      <c r="DM790" s="1462"/>
      <c r="DN790" s="1463"/>
      <c r="DO790" s="1461">
        <f t="shared" si="46"/>
        <v>0</v>
      </c>
      <c r="DP790" s="1462"/>
      <c r="DQ790" s="1462"/>
      <c r="DR790" s="1462"/>
      <c r="DS790" s="1463"/>
      <c r="DT790" s="6"/>
      <c r="DU790" s="1461">
        <f t="shared" si="47"/>
        <v>0</v>
      </c>
      <c r="DV790" s="1462"/>
      <c r="DW790" s="1462"/>
      <c r="DX790" s="1462"/>
      <c r="DY790" s="1463"/>
      <c r="DZ790" s="1461">
        <f t="shared" si="48"/>
        <v>0</v>
      </c>
      <c r="EA790" s="1462"/>
      <c r="EB790" s="1462"/>
      <c r="EC790" s="1462"/>
      <c r="ED790" s="1463"/>
      <c r="EE790" s="1461">
        <f t="shared" si="49"/>
        <v>0</v>
      </c>
      <c r="EF790" s="1462"/>
      <c r="EG790" s="1462"/>
      <c r="EH790" s="1462"/>
      <c r="EI790" s="1463"/>
      <c r="EJ790" s="1461">
        <f t="shared" si="50"/>
        <v>0</v>
      </c>
      <c r="EK790" s="1462"/>
      <c r="EL790" s="1462"/>
      <c r="EM790" s="1462"/>
      <c r="EN790" s="1463"/>
      <c r="EO790" s="1461">
        <f t="shared" si="51"/>
        <v>0</v>
      </c>
      <c r="EP790" s="1462"/>
      <c r="EQ790" s="1462"/>
      <c r="ER790" s="1462"/>
      <c r="ES790" s="1463"/>
      <c r="ET790" s="1461">
        <f t="shared" si="52"/>
        <v>0</v>
      </c>
      <c r="EU790" s="1462"/>
      <c r="EV790" s="1462"/>
      <c r="EW790" s="1462"/>
      <c r="EX790" s="1463"/>
    </row>
    <row r="791" spans="1:154" s="14" customFormat="1" ht="12.95" customHeight="1">
      <c r="A791"/>
      <c r="B791"/>
      <c r="C791"/>
      <c r="D791"/>
      <c r="E791"/>
      <c r="F791"/>
      <c r="G791"/>
      <c r="H791"/>
      <c r="I791"/>
      <c r="J791" s="1338"/>
      <c r="K791" s="1339"/>
      <c r="L791" s="1339"/>
      <c r="M791" s="1339"/>
      <c r="N791" s="1340"/>
      <c r="O791" s="1615"/>
      <c r="P791" s="1615"/>
      <c r="Q791" s="1615"/>
      <c r="R791" s="1615"/>
      <c r="S791" s="1615"/>
      <c r="T791" s="1344"/>
      <c r="U791" s="1345"/>
      <c r="V791" s="1345"/>
      <c r="W791" s="1346"/>
      <c r="X791" s="1341"/>
      <c r="Y791" s="1342"/>
      <c r="Z791" s="1342"/>
      <c r="AA791" s="1342"/>
      <c r="AB791" s="1343"/>
      <c r="AC791" s="1354">
        <f t="shared" si="40"/>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1">
        <f t="shared" si="41"/>
        <v>0</v>
      </c>
      <c r="CQ791" s="1462"/>
      <c r="CR791" s="1462"/>
      <c r="CS791" s="1462"/>
      <c r="CT791" s="1463"/>
      <c r="CU791" s="1461">
        <f t="shared" si="42"/>
        <v>0</v>
      </c>
      <c r="CV791" s="1462"/>
      <c r="CW791" s="1462"/>
      <c r="CX791" s="1462"/>
      <c r="CY791" s="1463"/>
      <c r="CZ791" s="1461">
        <f t="shared" si="43"/>
        <v>0</v>
      </c>
      <c r="DA791" s="1462"/>
      <c r="DB791" s="1462"/>
      <c r="DC791" s="1462"/>
      <c r="DD791" s="1463"/>
      <c r="DE791" s="1461">
        <f t="shared" si="44"/>
        <v>0</v>
      </c>
      <c r="DF791" s="1462"/>
      <c r="DG791" s="1462"/>
      <c r="DH791" s="1462"/>
      <c r="DI791" s="1463"/>
      <c r="DJ791" s="1461">
        <f t="shared" si="45"/>
        <v>0</v>
      </c>
      <c r="DK791" s="1462"/>
      <c r="DL791" s="1462"/>
      <c r="DM791" s="1462"/>
      <c r="DN791" s="1463"/>
      <c r="DO791" s="1461">
        <f t="shared" si="46"/>
        <v>0</v>
      </c>
      <c r="DP791" s="1462"/>
      <c r="DQ791" s="1462"/>
      <c r="DR791" s="1462"/>
      <c r="DS791" s="1463"/>
      <c r="DT791" s="6"/>
      <c r="DU791" s="1461">
        <f t="shared" si="47"/>
        <v>0</v>
      </c>
      <c r="DV791" s="1462"/>
      <c r="DW791" s="1462"/>
      <c r="DX791" s="1462"/>
      <c r="DY791" s="1463"/>
      <c r="DZ791" s="1461">
        <f t="shared" si="48"/>
        <v>0</v>
      </c>
      <c r="EA791" s="1462"/>
      <c r="EB791" s="1462"/>
      <c r="EC791" s="1462"/>
      <c r="ED791" s="1463"/>
      <c r="EE791" s="1461">
        <f t="shared" si="49"/>
        <v>0</v>
      </c>
      <c r="EF791" s="1462"/>
      <c r="EG791" s="1462"/>
      <c r="EH791" s="1462"/>
      <c r="EI791" s="1463"/>
      <c r="EJ791" s="1461">
        <f t="shared" si="50"/>
        <v>0</v>
      </c>
      <c r="EK791" s="1462"/>
      <c r="EL791" s="1462"/>
      <c r="EM791" s="1462"/>
      <c r="EN791" s="1463"/>
      <c r="EO791" s="1461">
        <f t="shared" si="51"/>
        <v>0</v>
      </c>
      <c r="EP791" s="1462"/>
      <c r="EQ791" s="1462"/>
      <c r="ER791" s="1462"/>
      <c r="ES791" s="1463"/>
      <c r="ET791" s="1461">
        <f t="shared" si="52"/>
        <v>0</v>
      </c>
      <c r="EU791" s="1462"/>
      <c r="EV791" s="1462"/>
      <c r="EW791" s="1462"/>
      <c r="EX791" s="1463"/>
    </row>
    <row r="792" spans="1:154" s="14" customFormat="1" ht="12.95" customHeight="1">
      <c r="A792"/>
      <c r="B792"/>
      <c r="C792"/>
      <c r="D792"/>
      <c r="E792"/>
      <c r="F792"/>
      <c r="G792"/>
      <c r="H792"/>
      <c r="I792"/>
      <c r="J792" s="1338"/>
      <c r="K792" s="1339"/>
      <c r="L792" s="1339"/>
      <c r="M792" s="1339"/>
      <c r="N792" s="1340"/>
      <c r="O792" s="1615"/>
      <c r="P792" s="1615"/>
      <c r="Q792" s="1615"/>
      <c r="R792" s="1615"/>
      <c r="S792" s="1615"/>
      <c r="T792" s="1344"/>
      <c r="U792" s="1345"/>
      <c r="V792" s="1345"/>
      <c r="W792" s="1346"/>
      <c r="X792" s="1341"/>
      <c r="Y792" s="1342"/>
      <c r="Z792" s="1342"/>
      <c r="AA792" s="1342"/>
      <c r="AB792" s="1343"/>
      <c r="AC792" s="1354">
        <f t="shared" si="40"/>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1">
        <f t="shared" si="41"/>
        <v>0</v>
      </c>
      <c r="CQ792" s="1462"/>
      <c r="CR792" s="1462"/>
      <c r="CS792" s="1462"/>
      <c r="CT792" s="1463"/>
      <c r="CU792" s="1461">
        <f t="shared" si="42"/>
        <v>0</v>
      </c>
      <c r="CV792" s="1462"/>
      <c r="CW792" s="1462"/>
      <c r="CX792" s="1462"/>
      <c r="CY792" s="1463"/>
      <c r="CZ792" s="1461">
        <f t="shared" si="43"/>
        <v>0</v>
      </c>
      <c r="DA792" s="1462"/>
      <c r="DB792" s="1462"/>
      <c r="DC792" s="1462"/>
      <c r="DD792" s="1463"/>
      <c r="DE792" s="1461">
        <f t="shared" si="44"/>
        <v>0</v>
      </c>
      <c r="DF792" s="1462"/>
      <c r="DG792" s="1462"/>
      <c r="DH792" s="1462"/>
      <c r="DI792" s="1463"/>
      <c r="DJ792" s="1461">
        <f t="shared" si="45"/>
        <v>0</v>
      </c>
      <c r="DK792" s="1462"/>
      <c r="DL792" s="1462"/>
      <c r="DM792" s="1462"/>
      <c r="DN792" s="1463"/>
      <c r="DO792" s="1461">
        <f t="shared" si="46"/>
        <v>0</v>
      </c>
      <c r="DP792" s="1462"/>
      <c r="DQ792" s="1462"/>
      <c r="DR792" s="1462"/>
      <c r="DS792" s="1463"/>
      <c r="DT792" s="6"/>
      <c r="DU792" s="1461">
        <f t="shared" si="47"/>
        <v>0</v>
      </c>
      <c r="DV792" s="1462"/>
      <c r="DW792" s="1462"/>
      <c r="DX792" s="1462"/>
      <c r="DY792" s="1463"/>
      <c r="DZ792" s="1461">
        <f t="shared" si="48"/>
        <v>0</v>
      </c>
      <c r="EA792" s="1462"/>
      <c r="EB792" s="1462"/>
      <c r="EC792" s="1462"/>
      <c r="ED792" s="1463"/>
      <c r="EE792" s="1461">
        <f t="shared" si="49"/>
        <v>0</v>
      </c>
      <c r="EF792" s="1462"/>
      <c r="EG792" s="1462"/>
      <c r="EH792" s="1462"/>
      <c r="EI792" s="1463"/>
      <c r="EJ792" s="1461">
        <f t="shared" si="50"/>
        <v>0</v>
      </c>
      <c r="EK792" s="1462"/>
      <c r="EL792" s="1462"/>
      <c r="EM792" s="1462"/>
      <c r="EN792" s="1463"/>
      <c r="EO792" s="1461">
        <f t="shared" si="51"/>
        <v>0</v>
      </c>
      <c r="EP792" s="1462"/>
      <c r="EQ792" s="1462"/>
      <c r="ER792" s="1462"/>
      <c r="ES792" s="1463"/>
      <c r="ET792" s="1461">
        <f t="shared" si="52"/>
        <v>0</v>
      </c>
      <c r="EU792" s="1462"/>
      <c r="EV792" s="1462"/>
      <c r="EW792" s="1462"/>
      <c r="EX792" s="1463"/>
    </row>
    <row r="793" spans="1:154" s="14" customFormat="1" ht="12.95" customHeight="1">
      <c r="A793"/>
      <c r="B793"/>
      <c r="C793"/>
      <c r="D793"/>
      <c r="E793"/>
      <c r="F793"/>
      <c r="G793"/>
      <c r="H793"/>
      <c r="I793"/>
      <c r="J793" s="1338"/>
      <c r="K793" s="1339"/>
      <c r="L793" s="1339"/>
      <c r="M793" s="1339"/>
      <c r="N793" s="1340"/>
      <c r="O793" s="1615"/>
      <c r="P793" s="1615"/>
      <c r="Q793" s="1615"/>
      <c r="R793" s="1615"/>
      <c r="S793" s="1615"/>
      <c r="T793" s="1344"/>
      <c r="U793" s="1345"/>
      <c r="V793" s="1345"/>
      <c r="W793" s="1346"/>
      <c r="X793" s="1341"/>
      <c r="Y793" s="1342"/>
      <c r="Z793" s="1342"/>
      <c r="AA793" s="1342"/>
      <c r="AB793" s="1343"/>
      <c r="AC793" s="1354">
        <f t="shared" si="40"/>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1">
        <f t="shared" si="41"/>
        <v>0</v>
      </c>
      <c r="CQ793" s="1462"/>
      <c r="CR793" s="1462"/>
      <c r="CS793" s="1462"/>
      <c r="CT793" s="1463"/>
      <c r="CU793" s="1461">
        <f t="shared" si="42"/>
        <v>0</v>
      </c>
      <c r="CV793" s="1462"/>
      <c r="CW793" s="1462"/>
      <c r="CX793" s="1462"/>
      <c r="CY793" s="1463"/>
      <c r="CZ793" s="1461">
        <f t="shared" si="43"/>
        <v>0</v>
      </c>
      <c r="DA793" s="1462"/>
      <c r="DB793" s="1462"/>
      <c r="DC793" s="1462"/>
      <c r="DD793" s="1463"/>
      <c r="DE793" s="1461">
        <f t="shared" si="44"/>
        <v>0</v>
      </c>
      <c r="DF793" s="1462"/>
      <c r="DG793" s="1462"/>
      <c r="DH793" s="1462"/>
      <c r="DI793" s="1463"/>
      <c r="DJ793" s="1461">
        <f t="shared" si="45"/>
        <v>0</v>
      </c>
      <c r="DK793" s="1462"/>
      <c r="DL793" s="1462"/>
      <c r="DM793" s="1462"/>
      <c r="DN793" s="1463"/>
      <c r="DO793" s="1461">
        <f t="shared" si="46"/>
        <v>0</v>
      </c>
      <c r="DP793" s="1462"/>
      <c r="DQ793" s="1462"/>
      <c r="DR793" s="1462"/>
      <c r="DS793" s="1463"/>
      <c r="DT793" s="6"/>
      <c r="DU793" s="1461">
        <f t="shared" si="47"/>
        <v>0</v>
      </c>
      <c r="DV793" s="1462"/>
      <c r="DW793" s="1462"/>
      <c r="DX793" s="1462"/>
      <c r="DY793" s="1463"/>
      <c r="DZ793" s="1461">
        <f t="shared" si="48"/>
        <v>0</v>
      </c>
      <c r="EA793" s="1462"/>
      <c r="EB793" s="1462"/>
      <c r="EC793" s="1462"/>
      <c r="ED793" s="1463"/>
      <c r="EE793" s="1461">
        <f t="shared" si="49"/>
        <v>0</v>
      </c>
      <c r="EF793" s="1462"/>
      <c r="EG793" s="1462"/>
      <c r="EH793" s="1462"/>
      <c r="EI793" s="1463"/>
      <c r="EJ793" s="1461">
        <f t="shared" si="50"/>
        <v>0</v>
      </c>
      <c r="EK793" s="1462"/>
      <c r="EL793" s="1462"/>
      <c r="EM793" s="1462"/>
      <c r="EN793" s="1463"/>
      <c r="EO793" s="1461">
        <f t="shared" si="51"/>
        <v>0</v>
      </c>
      <c r="EP793" s="1462"/>
      <c r="EQ793" s="1462"/>
      <c r="ER793" s="1462"/>
      <c r="ES793" s="1463"/>
      <c r="ET793" s="1461">
        <f t="shared" si="52"/>
        <v>0</v>
      </c>
      <c r="EU793" s="1462"/>
      <c r="EV793" s="1462"/>
      <c r="EW793" s="1462"/>
      <c r="EX793" s="1463"/>
    </row>
    <row r="794" spans="1:154" s="14" customFormat="1" ht="12.95" customHeight="1">
      <c r="A794"/>
      <c r="B794"/>
      <c r="C794"/>
      <c r="D794"/>
      <c r="E794"/>
      <c r="F794"/>
      <c r="G794"/>
      <c r="H794"/>
      <c r="I794"/>
      <c r="J794" s="1338"/>
      <c r="K794" s="1339"/>
      <c r="L794" s="1339"/>
      <c r="M794" s="1339"/>
      <c r="N794" s="1340"/>
      <c r="O794" s="1615"/>
      <c r="P794" s="1615"/>
      <c r="Q794" s="1615"/>
      <c r="R794" s="1615"/>
      <c r="S794" s="1615"/>
      <c r="T794" s="1344"/>
      <c r="U794" s="1345"/>
      <c r="V794" s="1345"/>
      <c r="W794" s="1346"/>
      <c r="X794" s="1341"/>
      <c r="Y794" s="1342"/>
      <c r="Z794" s="1342"/>
      <c r="AA794" s="1342"/>
      <c r="AB794" s="1343"/>
      <c r="AC794" s="1354">
        <f t="shared" si="40"/>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1">
        <f t="shared" si="41"/>
        <v>0</v>
      </c>
      <c r="CQ794" s="1462"/>
      <c r="CR794" s="1462"/>
      <c r="CS794" s="1462"/>
      <c r="CT794" s="1463"/>
      <c r="CU794" s="1461">
        <f t="shared" si="42"/>
        <v>0</v>
      </c>
      <c r="CV794" s="1462"/>
      <c r="CW794" s="1462"/>
      <c r="CX794" s="1462"/>
      <c r="CY794" s="1463"/>
      <c r="CZ794" s="1461">
        <f t="shared" si="43"/>
        <v>0</v>
      </c>
      <c r="DA794" s="1462"/>
      <c r="DB794" s="1462"/>
      <c r="DC794" s="1462"/>
      <c r="DD794" s="1463"/>
      <c r="DE794" s="1461">
        <f t="shared" si="44"/>
        <v>0</v>
      </c>
      <c r="DF794" s="1462"/>
      <c r="DG794" s="1462"/>
      <c r="DH794" s="1462"/>
      <c r="DI794" s="1463"/>
      <c r="DJ794" s="1461">
        <f t="shared" si="45"/>
        <v>0</v>
      </c>
      <c r="DK794" s="1462"/>
      <c r="DL794" s="1462"/>
      <c r="DM794" s="1462"/>
      <c r="DN794" s="1463"/>
      <c r="DO794" s="1461">
        <f t="shared" si="46"/>
        <v>0</v>
      </c>
      <c r="DP794" s="1462"/>
      <c r="DQ794" s="1462"/>
      <c r="DR794" s="1462"/>
      <c r="DS794" s="1463"/>
      <c r="DT794" s="6"/>
      <c r="DU794" s="1461">
        <f t="shared" si="47"/>
        <v>0</v>
      </c>
      <c r="DV794" s="1462"/>
      <c r="DW794" s="1462"/>
      <c r="DX794" s="1462"/>
      <c r="DY794" s="1463"/>
      <c r="DZ794" s="1461">
        <f t="shared" si="48"/>
        <v>0</v>
      </c>
      <c r="EA794" s="1462"/>
      <c r="EB794" s="1462"/>
      <c r="EC794" s="1462"/>
      <c r="ED794" s="1463"/>
      <c r="EE794" s="1461">
        <f t="shared" si="49"/>
        <v>0</v>
      </c>
      <c r="EF794" s="1462"/>
      <c r="EG794" s="1462"/>
      <c r="EH794" s="1462"/>
      <c r="EI794" s="1463"/>
      <c r="EJ794" s="1461">
        <f t="shared" si="50"/>
        <v>0</v>
      </c>
      <c r="EK794" s="1462"/>
      <c r="EL794" s="1462"/>
      <c r="EM794" s="1462"/>
      <c r="EN794" s="1463"/>
      <c r="EO794" s="1461">
        <f t="shared" si="51"/>
        <v>0</v>
      </c>
      <c r="EP794" s="1462"/>
      <c r="EQ794" s="1462"/>
      <c r="ER794" s="1462"/>
      <c r="ES794" s="1463"/>
      <c r="ET794" s="1461">
        <f t="shared" si="52"/>
        <v>0</v>
      </c>
      <c r="EU794" s="1462"/>
      <c r="EV794" s="1462"/>
      <c r="EW794" s="1462"/>
      <c r="EX794" s="1463"/>
    </row>
    <row r="795" spans="1:154" s="14" customFormat="1" ht="12.95" customHeight="1">
      <c r="A795"/>
      <c r="B795"/>
      <c r="C795"/>
      <c r="D795"/>
      <c r="E795"/>
      <c r="F795"/>
      <c r="G795"/>
      <c r="H795"/>
      <c r="I795"/>
      <c r="J795" s="1338"/>
      <c r="K795" s="1339"/>
      <c r="L795" s="1339"/>
      <c r="M795" s="1339"/>
      <c r="N795" s="1340"/>
      <c r="O795" s="1615"/>
      <c r="P795" s="1615"/>
      <c r="Q795" s="1615"/>
      <c r="R795" s="1615"/>
      <c r="S795" s="1615"/>
      <c r="T795" s="1344"/>
      <c r="U795" s="1345"/>
      <c r="V795" s="1345"/>
      <c r="W795" s="1346"/>
      <c r="X795" s="1341"/>
      <c r="Y795" s="1342"/>
      <c r="Z795" s="1342"/>
      <c r="AA795" s="1342"/>
      <c r="AB795" s="1343"/>
      <c r="AC795" s="1354">
        <f t="shared" si="40"/>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1">
        <f t="shared" si="41"/>
        <v>0</v>
      </c>
      <c r="CQ795" s="1462"/>
      <c r="CR795" s="1462"/>
      <c r="CS795" s="1462"/>
      <c r="CT795" s="1463"/>
      <c r="CU795" s="1461">
        <f t="shared" si="42"/>
        <v>0</v>
      </c>
      <c r="CV795" s="1462"/>
      <c r="CW795" s="1462"/>
      <c r="CX795" s="1462"/>
      <c r="CY795" s="1463"/>
      <c r="CZ795" s="1461">
        <f t="shared" si="43"/>
        <v>0</v>
      </c>
      <c r="DA795" s="1462"/>
      <c r="DB795" s="1462"/>
      <c r="DC795" s="1462"/>
      <c r="DD795" s="1463"/>
      <c r="DE795" s="1461">
        <f t="shared" si="44"/>
        <v>0</v>
      </c>
      <c r="DF795" s="1462"/>
      <c r="DG795" s="1462"/>
      <c r="DH795" s="1462"/>
      <c r="DI795" s="1463"/>
      <c r="DJ795" s="1461">
        <f t="shared" si="45"/>
        <v>0</v>
      </c>
      <c r="DK795" s="1462"/>
      <c r="DL795" s="1462"/>
      <c r="DM795" s="1462"/>
      <c r="DN795" s="1463"/>
      <c r="DO795" s="1461">
        <f t="shared" si="46"/>
        <v>0</v>
      </c>
      <c r="DP795" s="1462"/>
      <c r="DQ795" s="1462"/>
      <c r="DR795" s="1462"/>
      <c r="DS795" s="1463"/>
      <c r="DT795" s="6"/>
      <c r="DU795" s="1461">
        <f t="shared" si="47"/>
        <v>0</v>
      </c>
      <c r="DV795" s="1462"/>
      <c r="DW795" s="1462"/>
      <c r="DX795" s="1462"/>
      <c r="DY795" s="1463"/>
      <c r="DZ795" s="1461">
        <f t="shared" si="48"/>
        <v>0</v>
      </c>
      <c r="EA795" s="1462"/>
      <c r="EB795" s="1462"/>
      <c r="EC795" s="1462"/>
      <c r="ED795" s="1463"/>
      <c r="EE795" s="1461">
        <f t="shared" si="49"/>
        <v>0</v>
      </c>
      <c r="EF795" s="1462"/>
      <c r="EG795" s="1462"/>
      <c r="EH795" s="1462"/>
      <c r="EI795" s="1463"/>
      <c r="EJ795" s="1461">
        <f t="shared" si="50"/>
        <v>0</v>
      </c>
      <c r="EK795" s="1462"/>
      <c r="EL795" s="1462"/>
      <c r="EM795" s="1462"/>
      <c r="EN795" s="1463"/>
      <c r="EO795" s="1461">
        <f t="shared" si="51"/>
        <v>0</v>
      </c>
      <c r="EP795" s="1462"/>
      <c r="EQ795" s="1462"/>
      <c r="ER795" s="1462"/>
      <c r="ES795" s="1463"/>
      <c r="ET795" s="1461">
        <f t="shared" si="52"/>
        <v>0</v>
      </c>
      <c r="EU795" s="1462"/>
      <c r="EV795" s="1462"/>
      <c r="EW795" s="1462"/>
      <c r="EX795" s="1463"/>
    </row>
    <row r="796" spans="1:154" s="4" customFormat="1" ht="12.95" customHeight="1">
      <c r="A796"/>
      <c r="B796"/>
      <c r="C796"/>
      <c r="D796"/>
      <c r="E796"/>
      <c r="F796"/>
      <c r="G796"/>
      <c r="H796"/>
      <c r="I796"/>
      <c r="J796" s="1338"/>
      <c r="K796" s="1339"/>
      <c r="L796" s="1339"/>
      <c r="M796" s="1339"/>
      <c r="N796" s="1340"/>
      <c r="O796" s="1615"/>
      <c r="P796" s="1615"/>
      <c r="Q796" s="1615"/>
      <c r="R796" s="1615"/>
      <c r="S796" s="1615"/>
      <c r="T796" s="1344"/>
      <c r="U796" s="1345"/>
      <c r="V796" s="1345"/>
      <c r="W796" s="1346"/>
      <c r="X796" s="1341"/>
      <c r="Y796" s="1342"/>
      <c r="Z796" s="1342"/>
      <c r="AA796" s="1342"/>
      <c r="AB796" s="1343"/>
      <c r="AC796" s="1354">
        <f t="shared" si="40"/>
        <v>0</v>
      </c>
      <c r="AD796" s="1355"/>
      <c r="AE796" s="1355"/>
      <c r="AF796" s="1355"/>
      <c r="AG796" s="1356"/>
      <c r="AH796"/>
      <c r="AI796"/>
      <c r="AJ796"/>
      <c r="AK796"/>
      <c r="AL796"/>
      <c r="AM796"/>
      <c r="AN796"/>
      <c r="AO796"/>
      <c r="AP796"/>
      <c r="AQ796"/>
      <c r="AR796"/>
      <c r="AS796"/>
      <c r="AT796"/>
      <c r="AU796"/>
      <c r="AV796"/>
      <c r="AW796"/>
      <c r="AX796"/>
      <c r="AY796"/>
      <c r="AZ796" s="3"/>
      <c r="CP796" s="1461">
        <f t="shared" si="41"/>
        <v>0</v>
      </c>
      <c r="CQ796" s="1462"/>
      <c r="CR796" s="1462"/>
      <c r="CS796" s="1462"/>
      <c r="CT796" s="1463"/>
      <c r="CU796" s="1461">
        <f t="shared" si="42"/>
        <v>0</v>
      </c>
      <c r="CV796" s="1462"/>
      <c r="CW796" s="1462"/>
      <c r="CX796" s="1462"/>
      <c r="CY796" s="1463"/>
      <c r="CZ796" s="1461">
        <f t="shared" si="43"/>
        <v>0</v>
      </c>
      <c r="DA796" s="1462"/>
      <c r="DB796" s="1462"/>
      <c r="DC796" s="1462"/>
      <c r="DD796" s="1463"/>
      <c r="DE796" s="1461">
        <f t="shared" si="44"/>
        <v>0</v>
      </c>
      <c r="DF796" s="1462"/>
      <c r="DG796" s="1462"/>
      <c r="DH796" s="1462"/>
      <c r="DI796" s="1463"/>
      <c r="DJ796" s="1461">
        <f t="shared" si="45"/>
        <v>0</v>
      </c>
      <c r="DK796" s="1462"/>
      <c r="DL796" s="1462"/>
      <c r="DM796" s="1462"/>
      <c r="DN796" s="1463"/>
      <c r="DO796" s="1461">
        <f t="shared" si="46"/>
        <v>0</v>
      </c>
      <c r="DP796" s="1462"/>
      <c r="DQ796" s="1462"/>
      <c r="DR796" s="1462"/>
      <c r="DS796" s="1463"/>
      <c r="DT796" s="6"/>
      <c r="DU796" s="1461">
        <f t="shared" si="47"/>
        <v>0</v>
      </c>
      <c r="DV796" s="1462"/>
      <c r="DW796" s="1462"/>
      <c r="DX796" s="1462"/>
      <c r="DY796" s="1463"/>
      <c r="DZ796" s="1461">
        <f t="shared" si="48"/>
        <v>0</v>
      </c>
      <c r="EA796" s="1462"/>
      <c r="EB796" s="1462"/>
      <c r="EC796" s="1462"/>
      <c r="ED796" s="1463"/>
      <c r="EE796" s="1461">
        <f t="shared" si="49"/>
        <v>0</v>
      </c>
      <c r="EF796" s="1462"/>
      <c r="EG796" s="1462"/>
      <c r="EH796" s="1462"/>
      <c r="EI796" s="1463"/>
      <c r="EJ796" s="1461">
        <f t="shared" si="50"/>
        <v>0</v>
      </c>
      <c r="EK796" s="1462"/>
      <c r="EL796" s="1462"/>
      <c r="EM796" s="1462"/>
      <c r="EN796" s="1463"/>
      <c r="EO796" s="1461">
        <f t="shared" si="51"/>
        <v>0</v>
      </c>
      <c r="EP796" s="1462"/>
      <c r="EQ796" s="1462"/>
      <c r="ER796" s="1462"/>
      <c r="ES796" s="1463"/>
      <c r="ET796" s="1461">
        <f t="shared" si="52"/>
        <v>0</v>
      </c>
      <c r="EU796" s="1462"/>
      <c r="EV796" s="1462"/>
      <c r="EW796" s="1462"/>
      <c r="EX796" s="1463"/>
    </row>
    <row r="797" spans="1:154" s="4" customFormat="1" ht="12.95" customHeight="1">
      <c r="A797"/>
      <c r="B797"/>
      <c r="C797"/>
      <c r="D797"/>
      <c r="E797"/>
      <c r="F797"/>
      <c r="G797"/>
      <c r="H797"/>
      <c r="I797"/>
      <c r="J797" s="1452" t="s">
        <v>125</v>
      </c>
      <c r="K797" s="1453"/>
      <c r="L797" s="1453"/>
      <c r="M797" s="1453"/>
      <c r="N797" s="1454"/>
      <c r="O797" s="1731">
        <f>SUM(O787:S796)</f>
        <v>0</v>
      </c>
      <c r="P797" s="1731"/>
      <c r="Q797" s="1731"/>
      <c r="R797" s="1731"/>
      <c r="S797" s="1731"/>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2">
        <f>SUM(CP787:CT796)</f>
        <v>0</v>
      </c>
      <c r="CQ797" s="1474"/>
      <c r="CR797" s="1474"/>
      <c r="CS797" s="1474"/>
      <c r="CT797" s="1473"/>
      <c r="CU797" s="1475">
        <f>SUM(CU787:CY796)</f>
        <v>0</v>
      </c>
      <c r="CV797" s="1476"/>
      <c r="CW797" s="1476"/>
      <c r="CX797" s="1476"/>
      <c r="CY797" s="1477"/>
      <c r="CZ797" s="1475">
        <f>SUM(CZ787:DD796)</f>
        <v>0</v>
      </c>
      <c r="DA797" s="1476"/>
      <c r="DB797" s="1476"/>
      <c r="DC797" s="1476"/>
      <c r="DD797" s="1477"/>
      <c r="DE797" s="1475">
        <f>SUM(DE787:DI796)</f>
        <v>0</v>
      </c>
      <c r="DF797" s="1476"/>
      <c r="DG797" s="1476"/>
      <c r="DH797" s="1476"/>
      <c r="DI797" s="1477"/>
      <c r="DJ797" s="1475">
        <f>SUM(DJ787:DN796)</f>
        <v>0</v>
      </c>
      <c r="DK797" s="1476"/>
      <c r="DL797" s="1476"/>
      <c r="DM797" s="1476"/>
      <c r="DN797" s="1477"/>
      <c r="DO797" s="1475">
        <f>SUM(DO787:DS796)</f>
        <v>0</v>
      </c>
      <c r="DP797" s="1476"/>
      <c r="DQ797" s="1476"/>
      <c r="DR797" s="1476"/>
      <c r="DS797" s="1477"/>
      <c r="DT797" s="1012"/>
      <c r="DU797" s="1472">
        <f>SUM(DU787:DY796)</f>
        <v>0</v>
      </c>
      <c r="DV797" s="1474"/>
      <c r="DW797" s="1474"/>
      <c r="DX797" s="1474"/>
      <c r="DY797" s="1473"/>
      <c r="DZ797" s="1472">
        <f>SUM(DZ787:ED796)</f>
        <v>0</v>
      </c>
      <c r="EA797" s="1474"/>
      <c r="EB797" s="1474"/>
      <c r="EC797" s="1474"/>
      <c r="ED797" s="1473"/>
      <c r="EE797" s="1472">
        <f>SUM(EE787:EI796)</f>
        <v>0</v>
      </c>
      <c r="EF797" s="1474"/>
      <c r="EG797" s="1474"/>
      <c r="EH797" s="1474"/>
      <c r="EI797" s="1473"/>
      <c r="EJ797" s="1472">
        <f>SUM(EJ787:EN796)</f>
        <v>0</v>
      </c>
      <c r="EK797" s="1474"/>
      <c r="EL797" s="1474"/>
      <c r="EM797" s="1474"/>
      <c r="EN797" s="1473"/>
      <c r="EO797" s="1472">
        <f>SUM(EO787:ES796)</f>
        <v>0</v>
      </c>
      <c r="EP797" s="1474"/>
      <c r="EQ797" s="1474"/>
      <c r="ER797" s="1474"/>
      <c r="ES797" s="1473"/>
      <c r="ET797" s="1472">
        <f>SUM(ET787:EX796)</f>
        <v>0</v>
      </c>
      <c r="EU797" s="1474"/>
      <c r="EV797" s="1474"/>
      <c r="EW797" s="1474"/>
      <c r="EX797" s="1473"/>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7">
        <f>SUM(DU797:EX797)</f>
        <v>0</v>
      </c>
      <c r="EU799" s="1858"/>
      <c r="EV799" s="1858"/>
      <c r="EW799" s="1858"/>
      <c r="EX799" s="1859"/>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77160</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925920</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5">
        <f>CP753+CP777+CP797</f>
        <v>0</v>
      </c>
      <c r="CQ802" s="1476"/>
      <c r="CR802" s="1476"/>
      <c r="CS802" s="1476"/>
      <c r="CT802" s="1477"/>
      <c r="CU802" s="1475">
        <f>CU753+CU777+CU797</f>
        <v>80</v>
      </c>
      <c r="CV802" s="1476"/>
      <c r="CW802" s="1476"/>
      <c r="CX802" s="1476"/>
      <c r="CY802" s="1477"/>
      <c r="CZ802" s="1475">
        <f>CZ753+CZ777+CZ797</f>
        <v>1</v>
      </c>
      <c r="DA802" s="1476"/>
      <c r="DB802" s="1476"/>
      <c r="DC802" s="1476"/>
      <c r="DD802" s="1477"/>
      <c r="DE802" s="1475">
        <f>DE753+DE777+DE797</f>
        <v>0</v>
      </c>
      <c r="DF802" s="1476"/>
      <c r="DG802" s="1476"/>
      <c r="DH802" s="1476"/>
      <c r="DI802" s="1477"/>
      <c r="DJ802" s="1475">
        <f>DJ753+DJ777+DJ797</f>
        <v>0</v>
      </c>
      <c r="DK802" s="1476"/>
      <c r="DL802" s="1476"/>
      <c r="DM802" s="1476"/>
      <c r="DN802" s="1477"/>
      <c r="DO802" s="1466">
        <f>DO797+DO777+DO753</f>
        <v>0</v>
      </c>
      <c r="DP802" s="1468"/>
      <c r="DQ802" s="1468"/>
      <c r="DR802" s="1468"/>
      <c r="DS802" s="1467"/>
      <c r="DT802" s="3"/>
      <c r="DU802" s="861">
        <f>DU755+DU800</f>
        <v>80</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3">
        <v>80</v>
      </c>
      <c r="AA806" s="1564"/>
      <c r="AB806" s="1564"/>
      <c r="AC806" s="1564"/>
      <c r="AD806" s="1564"/>
      <c r="AE806" s="156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3">
        <v>20</v>
      </c>
      <c r="AA807" s="1564"/>
      <c r="AB807" s="1564"/>
      <c r="AC807" s="1564"/>
      <c r="AD807" s="1564"/>
      <c r="AE807" s="156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53936</v>
      </c>
      <c r="AA808" s="1537"/>
      <c r="AB808" s="1537"/>
      <c r="AC808" s="1537"/>
      <c r="AD808" s="1537"/>
      <c r="AE808" s="153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949920</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9">
        <v>3888</v>
      </c>
      <c r="AA813" s="1470"/>
      <c r="AB813" s="1470"/>
      <c r="AC813" s="1470"/>
      <c r="AD813" s="1470"/>
      <c r="AE813" s="147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9"/>
      <c r="AA814" s="1470"/>
      <c r="AB814" s="1470"/>
      <c r="AC814" s="1470"/>
      <c r="AD814" s="1470"/>
      <c r="AE814" s="147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9"/>
      <c r="AA815" s="1470"/>
      <c r="AB815" s="1470"/>
      <c r="AC815" s="1470"/>
      <c r="AD815" s="1470"/>
      <c r="AE815" s="147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39" t="s">
        <v>333</v>
      </c>
      <c r="Q816" s="1596"/>
      <c r="R816" s="1596"/>
      <c r="S816" s="1596"/>
      <c r="T816" s="1596"/>
      <c r="U816" s="1596"/>
      <c r="V816" s="1596"/>
      <c r="W816" s="1596"/>
      <c r="X816" s="1596"/>
      <c r="Y816" s="1597"/>
      <c r="Z816" s="1469"/>
      <c r="AA816" s="1470"/>
      <c r="AB816" s="1470"/>
      <c r="AC816" s="1470"/>
      <c r="AD816" s="1470"/>
      <c r="AE816" s="147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3888</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7">
        <f>Z817+Y801+Z809</f>
        <v>1879728</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8" t="s">
        <v>126</v>
      </c>
      <c r="N823" s="1588"/>
      <c r="O823" s="1588"/>
      <c r="P823" s="1655"/>
      <c r="Q823" s="1616" t="s">
        <v>289</v>
      </c>
      <c r="R823" s="1616"/>
      <c r="S823" s="1616"/>
      <c r="T823" s="1616"/>
      <c r="U823" s="1616" t="s">
        <v>290</v>
      </c>
      <c r="V823" s="1616"/>
      <c r="W823" s="1616"/>
      <c r="X823" s="1616"/>
      <c r="Y823" s="1616" t="s">
        <v>291</v>
      </c>
      <c r="Z823" s="1616"/>
      <c r="AA823" s="1616"/>
      <c r="AB823" s="1616"/>
      <c r="AC823" s="1616" t="s">
        <v>360</v>
      </c>
      <c r="AD823" s="1616"/>
      <c r="AE823" s="1616"/>
      <c r="AF823" s="1616"/>
      <c r="AG823" s="1732" t="s">
        <v>334</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2"/>
      <c r="N824" s="1592"/>
      <c r="O824" s="1592"/>
      <c r="P824" s="1602"/>
      <c r="Q824" s="1616"/>
      <c r="R824" s="1616"/>
      <c r="S824" s="1616"/>
      <c r="T824" s="1616"/>
      <c r="U824" s="1616"/>
      <c r="V824" s="1616"/>
      <c r="W824" s="1616"/>
      <c r="X824" s="1616"/>
      <c r="Y824" s="1616"/>
      <c r="Z824" s="1616"/>
      <c r="AA824" s="1616"/>
      <c r="AB824" s="1616"/>
      <c r="AC824" s="1616"/>
      <c r="AD824" s="1616"/>
      <c r="AE824" s="1616"/>
      <c r="AF824" s="1616"/>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1" t="s">
        <v>40</v>
      </c>
      <c r="D825" s="1360"/>
      <c r="E825" s="1360"/>
      <c r="F825" s="1360"/>
      <c r="G825" s="1360"/>
      <c r="H825" s="1360"/>
      <c r="I825" s="48"/>
      <c r="J825" s="48"/>
      <c r="K825" s="48"/>
      <c r="L825" s="49"/>
      <c r="M825" s="1644"/>
      <c r="N825" s="1644"/>
      <c r="O825" s="1644"/>
      <c r="P825" s="1644"/>
      <c r="Q825" s="1644">
        <v>0</v>
      </c>
      <c r="R825" s="1644"/>
      <c r="S825" s="1644"/>
      <c r="T825" s="1644"/>
      <c r="U825" s="1644"/>
      <c r="V825" s="1644"/>
      <c r="W825" s="1644"/>
      <c r="X825" s="1644"/>
      <c r="Y825" s="1644"/>
      <c r="Z825" s="1644"/>
      <c r="AA825" s="1644"/>
      <c r="AB825" s="1644"/>
      <c r="AC825" s="1478"/>
      <c r="AD825" s="1479"/>
      <c r="AE825" s="1479"/>
      <c r="AF825" s="1480"/>
      <c r="AG825" s="1478"/>
      <c r="AH825" s="1479"/>
      <c r="AI825" s="1479"/>
      <c r="AJ825" s="1480"/>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7" t="s">
        <v>41</v>
      </c>
      <c r="D826" s="1628"/>
      <c r="E826" s="1628"/>
      <c r="F826" s="1628"/>
      <c r="G826" s="1628"/>
      <c r="H826" s="1628"/>
      <c r="I826" s="5"/>
      <c r="J826" s="5"/>
      <c r="K826" s="5"/>
      <c r="L826" s="46"/>
      <c r="M826" s="1644"/>
      <c r="N826" s="1644"/>
      <c r="O826" s="1644"/>
      <c r="P826" s="1644"/>
      <c r="Q826" s="1644">
        <v>0</v>
      </c>
      <c r="R826" s="1644"/>
      <c r="S826" s="1644"/>
      <c r="T826" s="1644"/>
      <c r="U826" s="1644"/>
      <c r="V826" s="1644"/>
      <c r="W826" s="1644"/>
      <c r="X826" s="1644"/>
      <c r="Y826" s="1644"/>
      <c r="Z826" s="1644"/>
      <c r="AA826" s="1644"/>
      <c r="AB826" s="1644"/>
      <c r="AC826" s="1478"/>
      <c r="AD826" s="1479"/>
      <c r="AE826" s="1479"/>
      <c r="AF826" s="1480"/>
      <c r="AG826" s="1478"/>
      <c r="AH826" s="1479"/>
      <c r="AI826" s="1479"/>
      <c r="AJ826" s="1480"/>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7" t="s">
        <v>42</v>
      </c>
      <c r="D827" s="1628"/>
      <c r="E827" s="1628"/>
      <c r="F827" s="1628"/>
      <c r="G827" s="1628"/>
      <c r="H827" s="1628"/>
      <c r="I827" s="60"/>
      <c r="J827" s="60"/>
      <c r="K827" s="60"/>
      <c r="L827" s="61"/>
      <c r="M827" s="1644"/>
      <c r="N827" s="1644"/>
      <c r="O827" s="1644"/>
      <c r="P827" s="1644"/>
      <c r="Q827" s="1644">
        <v>0</v>
      </c>
      <c r="R827" s="1644"/>
      <c r="S827" s="1644"/>
      <c r="T827" s="1644"/>
      <c r="U827" s="1644"/>
      <c r="V827" s="1644"/>
      <c r="W827" s="1644"/>
      <c r="X827" s="1644"/>
      <c r="Y827" s="1644"/>
      <c r="Z827" s="1644"/>
      <c r="AA827" s="1644"/>
      <c r="AB827" s="1644"/>
      <c r="AC827" s="1478"/>
      <c r="AD827" s="1479"/>
      <c r="AE827" s="1479"/>
      <c r="AF827" s="1480"/>
      <c r="AG827" s="1478"/>
      <c r="AH827" s="1479"/>
      <c r="AI827" s="1479"/>
      <c r="AJ827" s="1480"/>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7" t="s">
        <v>762</v>
      </c>
      <c r="D828" s="1628"/>
      <c r="E828" s="1628"/>
      <c r="F828" s="1628"/>
      <c r="G828" s="1628"/>
      <c r="H828" s="1628"/>
      <c r="I828" s="60"/>
      <c r="J828" s="60"/>
      <c r="K828" s="60"/>
      <c r="L828" s="61"/>
      <c r="M828" s="1644"/>
      <c r="N828" s="1644"/>
      <c r="O828" s="1644"/>
      <c r="P828" s="1644"/>
      <c r="Q828" s="1644">
        <v>0</v>
      </c>
      <c r="R828" s="1644"/>
      <c r="S828" s="1644"/>
      <c r="T828" s="1644"/>
      <c r="U828" s="1644"/>
      <c r="V828" s="1644"/>
      <c r="W828" s="1644"/>
      <c r="X828" s="1644"/>
      <c r="Y828" s="1644"/>
      <c r="Z828" s="1644"/>
      <c r="AA828" s="1644"/>
      <c r="AB828" s="1644"/>
      <c r="AC828" s="1478"/>
      <c r="AD828" s="1479"/>
      <c r="AE828" s="1479"/>
      <c r="AF828" s="1480"/>
      <c r="AG828" s="1478"/>
      <c r="AH828" s="1479"/>
      <c r="AI828" s="1479"/>
      <c r="AJ828" s="1480"/>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7" t="s">
        <v>459</v>
      </c>
      <c r="D829" s="1628"/>
      <c r="E829" s="1628"/>
      <c r="F829" s="1628"/>
      <c r="G829" s="1628"/>
      <c r="H829" s="1628"/>
      <c r="I829" s="60"/>
      <c r="J829" s="60"/>
      <c r="K829" s="60"/>
      <c r="L829" s="61"/>
      <c r="M829" s="1644"/>
      <c r="N829" s="1644"/>
      <c r="O829" s="1644"/>
      <c r="P829" s="1644"/>
      <c r="Q829" s="1644">
        <v>0</v>
      </c>
      <c r="R829" s="1644"/>
      <c r="S829" s="1644"/>
      <c r="T829" s="1644"/>
      <c r="U829" s="1644"/>
      <c r="V829" s="1644"/>
      <c r="W829" s="1644"/>
      <c r="X829" s="1644"/>
      <c r="Y829" s="1644"/>
      <c r="Z829" s="1644"/>
      <c r="AA829" s="1644"/>
      <c r="AB829" s="1644"/>
      <c r="AC829" s="1478"/>
      <c r="AD829" s="1479"/>
      <c r="AE829" s="1479"/>
      <c r="AF829" s="1480"/>
      <c r="AG829" s="1478"/>
      <c r="AH829" s="1479"/>
      <c r="AI829" s="1479"/>
      <c r="AJ829" s="1480"/>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4" t="s">
        <v>783</v>
      </c>
      <c r="D830" s="1628"/>
      <c r="E830" s="1628"/>
      <c r="F830" s="1628"/>
      <c r="G830" s="1628"/>
      <c r="H830" s="1628"/>
      <c r="I830" s="60"/>
      <c r="J830" s="60"/>
      <c r="K830" s="60"/>
      <c r="L830" s="61"/>
      <c r="M830" s="1644"/>
      <c r="N830" s="1644"/>
      <c r="O830" s="1644"/>
      <c r="P830" s="1644"/>
      <c r="Q830" s="1644">
        <v>0</v>
      </c>
      <c r="R830" s="1644"/>
      <c r="S830" s="1644"/>
      <c r="T830" s="1644"/>
      <c r="U830" s="1644"/>
      <c r="V830" s="1644"/>
      <c r="W830" s="1644"/>
      <c r="X830" s="1644"/>
      <c r="Y830" s="1644"/>
      <c r="Z830" s="1644"/>
      <c r="AA830" s="1644"/>
      <c r="AB830" s="1644"/>
      <c r="AC830" s="1478"/>
      <c r="AD830" s="1479"/>
      <c r="AE830" s="1479"/>
      <c r="AF830" s="1480"/>
      <c r="AG830" s="1478"/>
      <c r="AH830" s="1479"/>
      <c r="AI830" s="1479"/>
      <c r="AJ830" s="1480"/>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39" t="s">
        <v>333</v>
      </c>
      <c r="G831" s="1596"/>
      <c r="H831" s="1596"/>
      <c r="I831" s="1596"/>
      <c r="J831" s="1596"/>
      <c r="K831" s="1596"/>
      <c r="L831" s="1596"/>
      <c r="M831" s="1644"/>
      <c r="N831" s="1644"/>
      <c r="O831" s="1644"/>
      <c r="P831" s="1644"/>
      <c r="Q831" s="1644">
        <v>0</v>
      </c>
      <c r="R831" s="1644"/>
      <c r="S831" s="1644"/>
      <c r="T831" s="1644"/>
      <c r="U831" s="1644"/>
      <c r="V831" s="1644"/>
      <c r="W831" s="1644"/>
      <c r="X831" s="1644"/>
      <c r="Y831" s="1644"/>
      <c r="Z831" s="1644"/>
      <c r="AA831" s="1644"/>
      <c r="AB831" s="1644"/>
      <c r="AC831" s="1478"/>
      <c r="AD831" s="1479"/>
      <c r="AE831" s="1479"/>
      <c r="AF831" s="1480"/>
      <c r="AG831" s="1478"/>
      <c r="AH831" s="1479"/>
      <c r="AI831" s="1479"/>
      <c r="AJ831" s="1480"/>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2" t="s">
        <v>124</v>
      </c>
      <c r="D832" s="1453"/>
      <c r="E832" s="1453"/>
      <c r="F832" s="1453"/>
      <c r="G832" s="1453"/>
      <c r="H832" s="1453"/>
      <c r="I832" s="1453"/>
      <c r="J832" s="1453"/>
      <c r="K832" s="1453"/>
      <c r="L832" s="1454"/>
      <c r="M832" s="1638">
        <f>SUM(M825:P831)</f>
        <v>0</v>
      </c>
      <c r="N832" s="1638"/>
      <c r="O832" s="1638"/>
      <c r="P832" s="1638"/>
      <c r="Q832" s="1638">
        <f>SUM(Q825:T831)</f>
        <v>0</v>
      </c>
      <c r="R832" s="1638"/>
      <c r="S832" s="1638"/>
      <c r="T832" s="1638"/>
      <c r="U832" s="1638">
        <f>SUM(U825:X831)</f>
        <v>0</v>
      </c>
      <c r="V832" s="1638"/>
      <c r="W832" s="1638"/>
      <c r="X832" s="1638"/>
      <c r="Y832" s="1638">
        <f>SUM(Y825:AB831)</f>
        <v>0</v>
      </c>
      <c r="Z832" s="1638"/>
      <c r="AA832" s="1638"/>
      <c r="AB832" s="1638"/>
      <c r="AC832" s="1638">
        <f>SUM(AC825:AF831)</f>
        <v>0</v>
      </c>
      <c r="AD832" s="1638"/>
      <c r="AE832" s="1638"/>
      <c r="AF832" s="1638"/>
      <c r="AG832" s="1638">
        <f>SUM(AG825:AJ831)</f>
        <v>0</v>
      </c>
      <c r="AH832" s="1638"/>
      <c r="AI832" s="1638"/>
      <c r="AJ832" s="163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8" t="s">
        <v>2697</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4">
        <v>1000</v>
      </c>
      <c r="X842" s="1484"/>
      <c r="Y842" s="1484"/>
      <c r="Z842" s="1484"/>
      <c r="AA842" s="1484"/>
      <c r="AB842" s="1484"/>
      <c r="AC842" s="1484"/>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4">
        <v>5000</v>
      </c>
      <c r="X843" s="1484"/>
      <c r="Y843" s="1484"/>
      <c r="Z843" s="1484"/>
      <c r="AA843" s="1484"/>
      <c r="AB843" s="1484"/>
      <c r="AC843" s="1484"/>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4">
        <v>28040</v>
      </c>
      <c r="X844" s="1484"/>
      <c r="Y844" s="1484"/>
      <c r="Z844" s="1484"/>
      <c r="AA844" s="1484"/>
      <c r="AB844" s="1484"/>
      <c r="AC844" s="1484"/>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4">
        <v>50000</v>
      </c>
      <c r="X845" s="1484"/>
      <c r="Y845" s="1484"/>
      <c r="Z845" s="1484"/>
      <c r="AA845" s="1484"/>
      <c r="AB845" s="1484"/>
      <c r="AC845" s="1484"/>
      <c r="AZ845" s="30"/>
      <c r="BA845" s="30"/>
      <c r="BB845" s="14"/>
      <c r="BC845" s="14"/>
      <c r="BD845" s="14"/>
      <c r="BE845" s="14"/>
      <c r="BF845" s="14"/>
      <c r="BG845" s="14"/>
      <c r="BH845" s="14"/>
      <c r="BI845" s="14"/>
      <c r="BJ845" s="14"/>
      <c r="BK845" s="14"/>
      <c r="BL845" s="14"/>
    </row>
    <row r="846" spans="1:64" ht="12.95" customHeight="1">
      <c r="J846" s="45" t="s">
        <v>169</v>
      </c>
      <c r="K846" s="5"/>
      <c r="L846" s="5"/>
      <c r="M846" s="1539" t="s">
        <v>2717</v>
      </c>
      <c r="N846" s="1596"/>
      <c r="O846" s="1596"/>
      <c r="P846" s="1596"/>
      <c r="Q846" s="1596"/>
      <c r="R846" s="1596"/>
      <c r="S846" s="1596"/>
      <c r="T846" s="1596"/>
      <c r="U846" s="1596"/>
      <c r="V846" s="1597"/>
      <c r="W846" s="1484">
        <v>25000</v>
      </c>
      <c r="X846" s="1484"/>
      <c r="Y846" s="1484"/>
      <c r="Z846" s="1484"/>
      <c r="AA846" s="1484"/>
      <c r="AB846" s="1484"/>
      <c r="AC846" s="1484"/>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7">
        <f>SUM(W842:W846)</f>
        <v>109040</v>
      </c>
      <c r="X847" s="1618"/>
      <c r="Y847" s="1618"/>
      <c r="Z847" s="1618"/>
      <c r="AA847" s="1618"/>
      <c r="AB847" s="1618"/>
      <c r="AC847" s="1619"/>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0"/>
      <c r="BH848" s="1630"/>
      <c r="BI848" s="1630"/>
      <c r="BJ848" s="1630"/>
      <c r="BK848" s="1630"/>
      <c r="BL848" s="1630"/>
    </row>
    <row r="849" spans="3:55" ht="12.95" customHeight="1">
      <c r="C849" s="2" t="s">
        <v>343</v>
      </c>
      <c r="J849" s="1452" t="s">
        <v>344</v>
      </c>
      <c r="K849" s="1453"/>
      <c r="L849" s="1453"/>
      <c r="M849" s="1453"/>
      <c r="N849" s="1453"/>
      <c r="O849" s="1453"/>
      <c r="P849" s="1453"/>
      <c r="Q849" s="1453"/>
      <c r="R849" s="1453"/>
      <c r="S849" s="1453"/>
      <c r="T849" s="1453"/>
      <c r="U849" s="1453"/>
      <c r="V849" s="1454"/>
      <c r="W849" s="1469">
        <v>68040</v>
      </c>
      <c r="X849" s="1470"/>
      <c r="Y849" s="1470"/>
      <c r="Z849" s="1470"/>
      <c r="AA849" s="1470"/>
      <c r="AB849" s="1470"/>
      <c r="AC849" s="1471"/>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3">
        <v>0</v>
      </c>
      <c r="X851" s="1653"/>
      <c r="Y851" s="1653"/>
      <c r="Z851" s="1653"/>
      <c r="AA851" s="1653"/>
      <c r="AB851" s="1653"/>
      <c r="AC851" s="1653"/>
      <c r="AZ851" s="1720"/>
      <c r="BA851" s="1720"/>
      <c r="BB851" s="14"/>
      <c r="BC851" s="14"/>
    </row>
    <row r="852" spans="3:55" ht="12.95" customHeight="1">
      <c r="J852" s="45" t="s">
        <v>350</v>
      </c>
      <c r="K852" s="5"/>
      <c r="L852" s="5"/>
      <c r="M852" s="5"/>
      <c r="N852" s="5"/>
      <c r="O852" s="5"/>
      <c r="P852" s="5"/>
      <c r="Q852" s="5"/>
      <c r="R852" s="5"/>
      <c r="S852" s="5"/>
      <c r="T852" s="5"/>
      <c r="U852" s="5"/>
      <c r="V852" s="46"/>
      <c r="W852" s="1653">
        <v>0</v>
      </c>
      <c r="X852" s="1653"/>
      <c r="Y852" s="1653"/>
      <c r="Z852" s="1653"/>
      <c r="AA852" s="1653"/>
      <c r="AB852" s="1653"/>
      <c r="AC852" s="1653"/>
      <c r="AZ852" s="30"/>
      <c r="BA852" s="30"/>
      <c r="BB852" s="14"/>
      <c r="BC852" s="14"/>
    </row>
    <row r="853" spans="3:55" ht="12.95" customHeight="1">
      <c r="J853" s="45" t="s">
        <v>459</v>
      </c>
      <c r="K853" s="5"/>
      <c r="L853" s="5"/>
      <c r="M853" s="5"/>
      <c r="N853" s="5"/>
      <c r="O853" s="5"/>
      <c r="P853" s="5"/>
      <c r="Q853" s="5"/>
      <c r="R853" s="5"/>
      <c r="S853" s="5"/>
      <c r="T853" s="5"/>
      <c r="U853" s="5"/>
      <c r="V853" s="46"/>
      <c r="W853" s="1653">
        <v>55000</v>
      </c>
      <c r="X853" s="1653"/>
      <c r="Y853" s="1653"/>
      <c r="Z853" s="1653"/>
      <c r="AA853" s="1653"/>
      <c r="AB853" s="1653"/>
      <c r="AC853" s="1653"/>
      <c r="AZ853" s="30"/>
      <c r="BA853" s="30"/>
      <c r="BB853" s="14"/>
      <c r="BC853" s="14"/>
    </row>
    <row r="854" spans="3:55" ht="12.95" customHeight="1">
      <c r="J854" s="62" t="s">
        <v>620</v>
      </c>
      <c r="K854" s="5"/>
      <c r="L854" s="5"/>
      <c r="M854" s="5"/>
      <c r="N854" s="5"/>
      <c r="O854" s="5"/>
      <c r="P854" s="5"/>
      <c r="Q854" s="5"/>
      <c r="R854" s="5"/>
      <c r="S854" s="5"/>
      <c r="T854" s="5"/>
      <c r="U854" s="5"/>
      <c r="V854" s="46"/>
      <c r="W854" s="1653">
        <v>35000</v>
      </c>
      <c r="X854" s="1653"/>
      <c r="Y854" s="1653"/>
      <c r="Z854" s="1653"/>
      <c r="AA854" s="1653"/>
      <c r="AB854" s="1653"/>
      <c r="AC854" s="1653"/>
      <c r="AZ854" s="34"/>
      <c r="BA854" s="34"/>
      <c r="BB854" s="34"/>
      <c r="BC854" s="34"/>
    </row>
    <row r="855" spans="3:55" ht="12.95" customHeight="1">
      <c r="J855" s="63"/>
      <c r="K855" s="48"/>
      <c r="L855" s="48"/>
      <c r="M855" s="48"/>
      <c r="N855" s="48"/>
      <c r="O855" s="48"/>
      <c r="P855" s="48"/>
      <c r="Q855" s="48"/>
      <c r="R855" s="48"/>
      <c r="S855" s="48"/>
      <c r="T855" s="48"/>
      <c r="U855" s="48"/>
      <c r="V855" s="54" t="s">
        <v>271</v>
      </c>
      <c r="W855" s="1707">
        <f>SUM(W851:W854)</f>
        <v>90000</v>
      </c>
      <c r="X855" s="1707"/>
      <c r="Y855" s="1707"/>
      <c r="Z855" s="1707"/>
      <c r="AA855" s="1707"/>
      <c r="AB855" s="1707"/>
      <c r="AC855" s="1707"/>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2">
        <v>65000</v>
      </c>
      <c r="X857" s="1633"/>
      <c r="Y857" s="1633"/>
      <c r="Z857" s="1633"/>
      <c r="AA857" s="1633"/>
      <c r="AB857" s="1633"/>
      <c r="AC857" s="1634"/>
      <c r="AD857" s="528"/>
      <c r="AZ857" s="34"/>
      <c r="BA857" s="34"/>
      <c r="BB857" s="34"/>
      <c r="BC857" s="34"/>
    </row>
    <row r="858" spans="3:55" ht="12.95" customHeight="1">
      <c r="C858" s="2" t="s">
        <v>346</v>
      </c>
      <c r="J858" s="121" t="s">
        <v>1655</v>
      </c>
      <c r="K858" s="5"/>
      <c r="L858" s="5"/>
      <c r="M858" s="5"/>
      <c r="N858" s="5"/>
      <c r="O858" s="5"/>
      <c r="P858" s="5"/>
      <c r="Q858" s="5"/>
      <c r="R858" s="5"/>
      <c r="S858" s="5"/>
      <c r="T858" s="1711">
        <v>1</v>
      </c>
      <c r="U858" s="1698"/>
      <c r="V858" s="1712"/>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2">
        <v>74880</v>
      </c>
      <c r="X859" s="1633"/>
      <c r="Y859" s="1633"/>
      <c r="Z859" s="1633"/>
      <c r="AA859" s="1633"/>
      <c r="AB859" s="1633"/>
      <c r="AC859" s="1634"/>
      <c r="AD859" s="533"/>
      <c r="AZ859" s="34"/>
      <c r="BA859" s="34"/>
      <c r="BB859" s="34"/>
      <c r="BC859" s="34"/>
    </row>
    <row r="860" spans="3:55" ht="12.95" customHeight="1">
      <c r="C860" s="2"/>
      <c r="J860" s="121" t="s">
        <v>1656</v>
      </c>
      <c r="K860" s="5"/>
      <c r="L860" s="5"/>
      <c r="M860" s="5"/>
      <c r="N860" s="5"/>
      <c r="O860" s="5"/>
      <c r="P860" s="5"/>
      <c r="Q860" s="5"/>
      <c r="R860" s="5"/>
      <c r="S860" s="5"/>
      <c r="T860" s="1711">
        <v>1</v>
      </c>
      <c r="U860" s="1698"/>
      <c r="V860" s="1712"/>
      <c r="W860" s="874"/>
      <c r="X860" s="875"/>
      <c r="Y860" s="875"/>
      <c r="Z860" s="875"/>
      <c r="AA860" s="875"/>
      <c r="AB860" s="875"/>
      <c r="AC860" s="876"/>
      <c r="AD860" s="533"/>
      <c r="AZ860" s="34"/>
      <c r="BA860" s="34"/>
      <c r="BB860" s="34"/>
      <c r="BC860" s="34"/>
    </row>
    <row r="861" spans="3:55" ht="12.95" customHeight="1">
      <c r="J861" s="45" t="s">
        <v>169</v>
      </c>
      <c r="K861" s="5"/>
      <c r="L861" s="5"/>
      <c r="M861" s="1539" t="s">
        <v>2718</v>
      </c>
      <c r="N861" s="1596"/>
      <c r="O861" s="1596"/>
      <c r="P861" s="1596"/>
      <c r="Q861" s="1596"/>
      <c r="R861" s="1596"/>
      <c r="S861" s="1596"/>
      <c r="T861" s="1596"/>
      <c r="U861" s="1596"/>
      <c r="V861" s="1597"/>
      <c r="W861" s="1632">
        <v>46160</v>
      </c>
      <c r="X861" s="1633"/>
      <c r="Y861" s="1633"/>
      <c r="Z861" s="1633"/>
      <c r="AA861" s="1633"/>
      <c r="AB861" s="1633"/>
      <c r="AC861" s="1634"/>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3">
        <f>SUM(W857:W861)</f>
        <v>186040</v>
      </c>
      <c r="X862" s="1714"/>
      <c r="Y862" s="1714"/>
      <c r="Z862" s="1714"/>
      <c r="AA862" s="1714"/>
      <c r="AB862" s="1714"/>
      <c r="AC862" s="1715"/>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2">
        <v>46000</v>
      </c>
      <c r="X863" s="1633"/>
      <c r="Y863" s="1633"/>
      <c r="Z863" s="1633"/>
      <c r="AA863" s="1633"/>
      <c r="AB863" s="1633"/>
      <c r="AC863" s="1634"/>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4">
        <v>5000</v>
      </c>
      <c r="X865" s="1484"/>
      <c r="Y865" s="1484"/>
      <c r="Z865" s="1484"/>
      <c r="AA865" s="1484"/>
      <c r="AB865" s="1484"/>
      <c r="AC865" s="1484"/>
      <c r="AU865" s="14"/>
      <c r="AZ865" s="34"/>
      <c r="BA865" s="34"/>
      <c r="BB865" s="34"/>
      <c r="BC865" s="34"/>
    </row>
    <row r="866" spans="3:55" ht="12.95" customHeight="1">
      <c r="J866" s="45" t="s">
        <v>522</v>
      </c>
      <c r="K866" s="5"/>
      <c r="L866" s="5"/>
      <c r="M866" s="5"/>
      <c r="N866" s="5"/>
      <c r="O866" s="5"/>
      <c r="P866" s="5"/>
      <c r="Q866" s="5"/>
      <c r="R866" s="5"/>
      <c r="S866" s="5"/>
      <c r="T866" s="5"/>
      <c r="U866" s="5"/>
      <c r="V866" s="46"/>
      <c r="W866" s="1469">
        <v>44788</v>
      </c>
      <c r="X866" s="1470"/>
      <c r="Y866" s="1470"/>
      <c r="Z866" s="1470"/>
      <c r="AA866" s="1470"/>
      <c r="AB866" s="1470"/>
      <c r="AC866" s="1471"/>
      <c r="AU866" s="4"/>
      <c r="AZ866" s="34"/>
      <c r="BA866" s="34"/>
      <c r="BB866" s="34"/>
      <c r="BC866" s="34"/>
    </row>
    <row r="867" spans="3:55" ht="12.95" customHeight="1">
      <c r="J867" s="45" t="s">
        <v>521</v>
      </c>
      <c r="K867" s="5"/>
      <c r="L867" s="5"/>
      <c r="M867" s="5"/>
      <c r="N867" s="5"/>
      <c r="O867" s="5"/>
      <c r="P867" s="5"/>
      <c r="Q867" s="5"/>
      <c r="R867" s="5"/>
      <c r="S867" s="5"/>
      <c r="T867" s="5"/>
      <c r="U867" s="5"/>
      <c r="V867" s="46"/>
      <c r="W867" s="1484">
        <v>20000</v>
      </c>
      <c r="X867" s="1484"/>
      <c r="Y867" s="1484"/>
      <c r="Z867" s="1484"/>
      <c r="AA867" s="1484"/>
      <c r="AB867" s="1484"/>
      <c r="AC867" s="1484"/>
      <c r="AU867" s="4"/>
      <c r="AZ867" s="34"/>
      <c r="BA867" s="34"/>
      <c r="BB867" s="34"/>
      <c r="BC867" s="34"/>
    </row>
    <row r="868" spans="3:55" ht="12.95" customHeight="1">
      <c r="J868" s="45" t="s">
        <v>520</v>
      </c>
      <c r="K868" s="5"/>
      <c r="L868" s="5"/>
      <c r="M868" s="5"/>
      <c r="N868" s="5"/>
      <c r="O868" s="5"/>
      <c r="P868" s="5"/>
      <c r="Q868" s="5"/>
      <c r="R868" s="5"/>
      <c r="S868" s="5"/>
      <c r="T868" s="5"/>
      <c r="U868" s="5"/>
      <c r="V868" s="46"/>
      <c r="W868" s="1484">
        <v>4000</v>
      </c>
      <c r="X868" s="1484"/>
      <c r="Y868" s="1484"/>
      <c r="Z868" s="1484"/>
      <c r="AA868" s="1484"/>
      <c r="AB868" s="1484"/>
      <c r="AC868" s="1484"/>
      <c r="AU868" s="4"/>
      <c r="AZ868" s="34"/>
      <c r="BA868" s="34"/>
      <c r="BB868" s="34"/>
      <c r="BC868" s="34"/>
    </row>
    <row r="869" spans="3:55" ht="12.95" customHeight="1">
      <c r="J869" s="45" t="s">
        <v>519</v>
      </c>
      <c r="K869" s="5"/>
      <c r="L869" s="5"/>
      <c r="M869" s="5"/>
      <c r="N869" s="5"/>
      <c r="O869" s="5"/>
      <c r="P869" s="5"/>
      <c r="Q869" s="5"/>
      <c r="R869" s="5"/>
      <c r="S869" s="5"/>
      <c r="T869" s="5"/>
      <c r="U869" s="5"/>
      <c r="V869" s="46"/>
      <c r="W869" s="1484">
        <v>6000</v>
      </c>
      <c r="X869" s="1484"/>
      <c r="Y869" s="1484"/>
      <c r="Z869" s="1484"/>
      <c r="AA869" s="1484"/>
      <c r="AB869" s="1484"/>
      <c r="AC869" s="1484"/>
      <c r="AU869" s="4"/>
      <c r="AZ869" s="34"/>
      <c r="BA869" s="34"/>
      <c r="BB869" s="34"/>
      <c r="BC869" s="34"/>
    </row>
    <row r="870" spans="3:55" ht="12.95" customHeight="1">
      <c r="J870" s="45" t="s">
        <v>518</v>
      </c>
      <c r="K870" s="5"/>
      <c r="L870" s="5"/>
      <c r="M870" s="5"/>
      <c r="N870" s="5"/>
      <c r="O870" s="5"/>
      <c r="P870" s="5"/>
      <c r="Q870" s="5"/>
      <c r="R870" s="5"/>
      <c r="S870" s="5"/>
      <c r="T870" s="5"/>
      <c r="U870" s="5"/>
      <c r="V870" s="46"/>
      <c r="W870" s="1484">
        <v>10000</v>
      </c>
      <c r="X870" s="1484"/>
      <c r="Y870" s="1484"/>
      <c r="Z870" s="1484"/>
      <c r="AA870" s="1484"/>
      <c r="AB870" s="1484"/>
      <c r="AC870" s="1484"/>
      <c r="AU870" s="4"/>
      <c r="AZ870" s="34"/>
      <c r="BA870" s="34"/>
      <c r="BB870" s="34"/>
      <c r="BC870" s="34"/>
    </row>
    <row r="871" spans="3:55" ht="12.95" customHeight="1">
      <c r="J871" s="45" t="s">
        <v>169</v>
      </c>
      <c r="K871" s="5"/>
      <c r="L871" s="5"/>
      <c r="M871" s="1539" t="s">
        <v>2719</v>
      </c>
      <c r="N871" s="1596"/>
      <c r="O871" s="1596"/>
      <c r="P871" s="1596"/>
      <c r="Q871" s="1596"/>
      <c r="R871" s="1596"/>
      <c r="S871" s="1596"/>
      <c r="T871" s="1596"/>
      <c r="U871" s="1596"/>
      <c r="V871" s="1597"/>
      <c r="W871" s="1484">
        <v>5000</v>
      </c>
      <c r="X871" s="1484"/>
      <c r="Y871" s="1484"/>
      <c r="Z871" s="1484"/>
      <c r="AA871" s="1484"/>
      <c r="AB871" s="1484"/>
      <c r="AC871" s="1484"/>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5">
        <f>SUM(W865:W871)</f>
        <v>94788</v>
      </c>
      <c r="X872" s="1705"/>
      <c r="Y872" s="1705"/>
      <c r="Z872" s="1705"/>
      <c r="AA872" s="1705"/>
      <c r="AB872" s="1705"/>
      <c r="AC872" s="17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39" t="s">
        <v>2720</v>
      </c>
      <c r="N874" s="1596"/>
      <c r="O874" s="1596"/>
      <c r="P874" s="1596"/>
      <c r="Q874" s="1596"/>
      <c r="R874" s="1596"/>
      <c r="S874" s="1596"/>
      <c r="T874" s="1596"/>
      <c r="U874" s="1596"/>
      <c r="V874" s="1597"/>
      <c r="W874" s="1469">
        <v>1500</v>
      </c>
      <c r="X874" s="1470"/>
      <c r="Y874" s="1470"/>
      <c r="Z874" s="1470"/>
      <c r="AA874" s="1470"/>
      <c r="AB874" s="1470"/>
      <c r="AC874" s="1471"/>
      <c r="AD874" s="533"/>
      <c r="AV874" s="14"/>
      <c r="AW874" s="14"/>
      <c r="AX874" s="14"/>
      <c r="AY874" s="14"/>
      <c r="AZ874" s="34"/>
      <c r="BA874" s="34"/>
      <c r="BB874" s="34"/>
      <c r="BC874" s="34"/>
    </row>
    <row r="875" spans="3:55" ht="12.95" customHeight="1">
      <c r="C875" s="2" t="s">
        <v>1244</v>
      </c>
      <c r="J875" s="45" t="s">
        <v>169</v>
      </c>
      <c r="K875" s="5"/>
      <c r="L875" s="5"/>
      <c r="M875" s="1539" t="s">
        <v>333</v>
      </c>
      <c r="N875" s="1596"/>
      <c r="O875" s="1596"/>
      <c r="P875" s="1596"/>
      <c r="Q875" s="1596"/>
      <c r="R875" s="1596"/>
      <c r="S875" s="1596"/>
      <c r="T875" s="1596"/>
      <c r="U875" s="1596"/>
      <c r="V875" s="1597"/>
      <c r="W875" s="1469"/>
      <c r="X875" s="1470"/>
      <c r="Y875" s="1470"/>
      <c r="Z875" s="1470"/>
      <c r="AA875" s="1470"/>
      <c r="AB875" s="1470"/>
      <c r="AC875" s="1471"/>
      <c r="AD875" s="533"/>
      <c r="AV875" s="14"/>
      <c r="AW875" s="14"/>
      <c r="AX875" s="14"/>
      <c r="AY875" s="14"/>
      <c r="AZ875" s="34"/>
      <c r="BA875" s="34"/>
      <c r="BB875" s="34"/>
      <c r="BC875" s="34"/>
    </row>
    <row r="876" spans="3:55" ht="12.95" customHeight="1">
      <c r="J876" s="45" t="s">
        <v>169</v>
      </c>
      <c r="K876" s="5"/>
      <c r="L876" s="5"/>
      <c r="M876" s="1539" t="s">
        <v>333</v>
      </c>
      <c r="N876" s="1596"/>
      <c r="O876" s="1596"/>
      <c r="P876" s="1596"/>
      <c r="Q876" s="1596"/>
      <c r="R876" s="1596"/>
      <c r="S876" s="1596"/>
      <c r="T876" s="1596"/>
      <c r="U876" s="1596"/>
      <c r="V876" s="1597"/>
      <c r="W876" s="1469"/>
      <c r="X876" s="1470"/>
      <c r="Y876" s="1470"/>
      <c r="Z876" s="1470"/>
      <c r="AA876" s="1470"/>
      <c r="AB876" s="1470"/>
      <c r="AC876" s="1471"/>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39" t="s">
        <v>333</v>
      </c>
      <c r="N877" s="1596"/>
      <c r="O877" s="1596"/>
      <c r="P877" s="1596"/>
      <c r="Q877" s="1596"/>
      <c r="R877" s="1596"/>
      <c r="S877" s="1596"/>
      <c r="T877" s="1596"/>
      <c r="U877" s="1596"/>
      <c r="V877" s="1597"/>
      <c r="W877" s="1469"/>
      <c r="X877" s="1470"/>
      <c r="Y877" s="1470"/>
      <c r="Z877" s="1470"/>
      <c r="AA877" s="1470"/>
      <c r="AB877" s="1470"/>
      <c r="AC877" s="1471"/>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39" t="s">
        <v>333</v>
      </c>
      <c r="N878" s="1596"/>
      <c r="O878" s="1596"/>
      <c r="P878" s="1596"/>
      <c r="Q878" s="1596"/>
      <c r="R878" s="1596"/>
      <c r="S878" s="1596"/>
      <c r="T878" s="1596"/>
      <c r="U878" s="1596"/>
      <c r="V878" s="1597"/>
      <c r="W878" s="1469"/>
      <c r="X878" s="1470"/>
      <c r="Y878" s="1470"/>
      <c r="Z878" s="1470"/>
      <c r="AA878" s="1470"/>
      <c r="AB878" s="1470"/>
      <c r="AC878" s="1471"/>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7">
        <f>SUM(W874:W878)</f>
        <v>1500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8">
        <f>W847+W855+W862+W863+W872+W879+W849</f>
        <v>595408</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6">
        <f>O797+O777+G753</f>
        <v>81</v>
      </c>
      <c r="AD884" s="1716"/>
      <c r="AE884" s="1716"/>
      <c r="AF884" s="1716"/>
      <c r="AG884" s="1716"/>
      <c r="AH884" s="1717"/>
      <c r="AL884" s="4"/>
      <c r="AM884" s="4"/>
      <c r="AN884" s="4"/>
      <c r="AO884" s="4"/>
      <c r="AP884" s="4"/>
      <c r="AQ884" s="4"/>
      <c r="AR884" s="4"/>
      <c r="AS884" s="4"/>
      <c r="AT884" s="4"/>
      <c r="AZ884" s="34"/>
      <c r="BA884" s="34"/>
      <c r="BB884" s="34"/>
      <c r="BC884" s="34"/>
    </row>
    <row r="885" spans="3:55" ht="12.95" customHeight="1">
      <c r="C885" s="41"/>
      <c r="D885" s="42"/>
      <c r="E885" s="1648" t="s">
        <v>32</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705">
        <f>IF(ISERROR((ROUNDDOWN(AC883/AC884,0))),0,(ROUNDDOWN(AC883/AC884,0)))</f>
        <v>7350</v>
      </c>
      <c r="AD885" s="1705"/>
      <c r="AE885" s="1705"/>
      <c r="AF885" s="1705"/>
      <c r="AG885" s="1705"/>
      <c r="AH885" s="17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8">
        <v>807271</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1"/>
      <c r="AD887" s="1484"/>
      <c r="AE887" s="1484"/>
      <c r="AF887" s="1484"/>
      <c r="AG887" s="1484"/>
      <c r="AH887" s="1484"/>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0">
        <v>125000</v>
      </c>
      <c r="AD888" s="1470"/>
      <c r="AE888" s="1470"/>
      <c r="AF888" s="1470"/>
      <c r="AG888" s="1470"/>
      <c r="AH888" s="1471"/>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0">
        <v>24300</v>
      </c>
      <c r="AD889" s="1470"/>
      <c r="AE889" s="1470"/>
      <c r="AF889" s="1470"/>
      <c r="AG889" s="1470"/>
      <c r="AH889" s="1471"/>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0">
        <v>8212</v>
      </c>
      <c r="AD890" s="1470"/>
      <c r="AE890" s="1470"/>
      <c r="AF890" s="1470"/>
      <c r="AG890" s="1470"/>
      <c r="AH890" s="1471"/>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0">
        <v>0</v>
      </c>
      <c r="AD891" s="1470"/>
      <c r="AE891" s="1470"/>
      <c r="AF891" s="1470"/>
      <c r="AG891" s="1470"/>
      <c r="AH891" s="1471"/>
      <c r="AZ891" s="34"/>
      <c r="BA891" s="34"/>
      <c r="BB891" s="34"/>
      <c r="BC891" s="34"/>
    </row>
    <row r="892" spans="3:55" ht="12.95" hidden="1" customHeight="1">
      <c r="C892" s="1452" t="s">
        <v>2234</v>
      </c>
      <c r="D892" s="1453"/>
      <c r="E892" s="1453"/>
      <c r="F892" s="1453"/>
      <c r="G892" s="1453"/>
      <c r="H892" s="1453"/>
      <c r="I892" s="1453"/>
      <c r="J892" s="1453"/>
      <c r="K892" s="1453"/>
      <c r="L892" s="1453"/>
      <c r="M892" s="1453"/>
      <c r="N892" s="1453"/>
      <c r="O892" s="1453"/>
      <c r="P892" s="1453"/>
      <c r="Q892" s="1453"/>
      <c r="R892" s="1453"/>
      <c r="S892" s="1453"/>
      <c r="T892" s="1453"/>
      <c r="U892" s="1453"/>
      <c r="V892" s="1453"/>
      <c r="W892" s="1453"/>
      <c r="X892" s="1453"/>
      <c r="Y892" s="1453"/>
      <c r="Z892" s="1453"/>
      <c r="AA892" s="1453"/>
      <c r="AB892" s="1454"/>
      <c r="AC892" s="1470"/>
      <c r="AD892" s="1470"/>
      <c r="AE892" s="1470"/>
      <c r="AF892" s="1470"/>
      <c r="AG892" s="1470"/>
      <c r="AH892" s="1471"/>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0">
        <v>6000</v>
      </c>
      <c r="AD893" s="1470"/>
      <c r="AE893" s="1470"/>
      <c r="AF893" s="1470"/>
      <c r="AG893" s="1470"/>
      <c r="AH893" s="1471"/>
      <c r="AZ893" s="34"/>
      <c r="BA893" s="34"/>
      <c r="BB893" s="34"/>
      <c r="BC893" s="34"/>
    </row>
    <row r="894" spans="3:55" ht="12.95" customHeight="1">
      <c r="C894" s="1635" t="s">
        <v>956</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484"/>
      <c r="AD894" s="1484"/>
      <c r="AE894" s="1484"/>
      <c r="AF894" s="1484"/>
      <c r="AG894" s="1484"/>
      <c r="AH894" s="1484"/>
      <c r="AZ894" s="34"/>
      <c r="BA894" s="34"/>
      <c r="BB894" s="34"/>
      <c r="BC894" s="34"/>
    </row>
    <row r="895" spans="3:55" ht="12.95" customHeight="1">
      <c r="C895" s="1635" t="s">
        <v>956</v>
      </c>
      <c r="D895" s="1636"/>
      <c r="E895" s="1636"/>
      <c r="F895" s="1636"/>
      <c r="G895" s="1636"/>
      <c r="H895" s="1636"/>
      <c r="I895" s="1636"/>
      <c r="J895" s="1636"/>
      <c r="K895" s="1636"/>
      <c r="L895" s="1636"/>
      <c r="M895" s="1636"/>
      <c r="N895" s="1636"/>
      <c r="O895" s="1636"/>
      <c r="P895" s="1636"/>
      <c r="Q895" s="1636"/>
      <c r="R895" s="1636"/>
      <c r="S895" s="1636"/>
      <c r="T895" s="1636"/>
      <c r="U895" s="1636"/>
      <c r="V895" s="1636"/>
      <c r="W895" s="1636"/>
      <c r="X895" s="1636"/>
      <c r="Y895" s="1636"/>
      <c r="Z895" s="1636"/>
      <c r="AA895" s="1636"/>
      <c r="AB895" s="1637"/>
      <c r="AC895" s="1484"/>
      <c r="AD895" s="1484"/>
      <c r="AE895" s="1484"/>
      <c r="AF895" s="1484"/>
      <c r="AG895" s="1484"/>
      <c r="AH895" s="1484"/>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9"/>
      <c r="AA899" s="1470"/>
      <c r="AB899" s="1470"/>
      <c r="AC899" s="1470"/>
      <c r="AD899" s="1470"/>
      <c r="AE899" s="1471"/>
      <c r="AF899" s="533"/>
      <c r="AZ899" s="34"/>
      <c r="BB899" s="30"/>
      <c r="BC899" s="816"/>
      <c r="BD899" s="1631"/>
      <c r="BE899" s="1631"/>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9"/>
      <c r="AA900" s="1470"/>
      <c r="AB900" s="1470"/>
      <c r="AC900" s="1470"/>
      <c r="AD900" s="1470"/>
      <c r="AE900" s="1471"/>
      <c r="AZ900" s="34"/>
      <c r="BB900" s="30"/>
      <c r="BC900" s="816"/>
      <c r="BD900" s="1631"/>
      <c r="BE900" s="1631"/>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9"/>
      <c r="AA901" s="1470"/>
      <c r="AB901" s="1470"/>
      <c r="AC901" s="1470"/>
      <c r="AD901" s="1470"/>
      <c r="AE901" s="1471"/>
      <c r="AZ901" s="34"/>
      <c r="BB901" s="30"/>
      <c r="BC901" s="816"/>
      <c r="BD901" s="1630"/>
      <c r="BE901" s="1630"/>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7">
        <f>Z899-(Z900+Z901)</f>
        <v>0</v>
      </c>
      <c r="AA902" s="1618"/>
      <c r="AB902" s="1618"/>
      <c r="AC902" s="1618"/>
      <c r="AD902" s="1618"/>
      <c r="AE902" s="1619"/>
      <c r="AZ902" s="34"/>
      <c r="BB902" s="30"/>
      <c r="BC902" s="816"/>
      <c r="BD902" s="1630"/>
      <c r="BE902" s="163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5" customHeight="1">
      <c r="AZ909" s="34"/>
      <c r="BB909" s="30"/>
      <c r="BC909" s="816"/>
    </row>
    <row r="910" spans="1:58" ht="12.95"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1"/>
      <c r="BE910" s="1630"/>
      <c r="BF910" s="911"/>
    </row>
    <row r="911" spans="1:58" ht="12.95"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0" t="s">
        <v>792</v>
      </c>
      <c r="G915" s="1651"/>
      <c r="H915" s="1651"/>
      <c r="I915" s="1651"/>
      <c r="J915" s="1651"/>
      <c r="K915" s="1651"/>
      <c r="L915" s="1651"/>
      <c r="M915" s="1651"/>
      <c r="N915" s="1651"/>
      <c r="O915" s="1651"/>
      <c r="P915" s="1651"/>
      <c r="Q915" s="1651"/>
      <c r="R915" s="1651"/>
      <c r="S915" s="1651"/>
      <c r="T915" s="1652"/>
      <c r="U915" s="1587" t="s">
        <v>31</v>
      </c>
      <c r="V915" s="1588"/>
      <c r="W915" s="1588"/>
      <c r="X915" s="1588"/>
      <c r="Y915" s="1588"/>
      <c r="Z915" s="1588"/>
      <c r="AA915" s="43"/>
      <c r="AB915" s="105"/>
      <c r="AC915" s="105"/>
      <c r="AD915" s="105"/>
      <c r="AE915" s="105"/>
      <c r="AF915" s="106"/>
      <c r="AZ915" s="34"/>
      <c r="BA915" s="34"/>
      <c r="BB915" s="34"/>
      <c r="BC915" s="34"/>
    </row>
    <row r="916" spans="1:58" ht="12.95" customHeight="1">
      <c r="B916" s="2"/>
      <c r="F916" s="1589" t="s">
        <v>818</v>
      </c>
      <c r="G916" s="1590"/>
      <c r="H916" s="1590"/>
      <c r="I916" s="1590"/>
      <c r="J916" s="1590"/>
      <c r="K916" s="1590"/>
      <c r="L916" s="1590"/>
      <c r="M916" s="1590"/>
      <c r="N916" s="1590"/>
      <c r="O916" s="1590"/>
      <c r="P916" s="1590"/>
      <c r="Q916" s="1590"/>
      <c r="R916" s="1590"/>
      <c r="S916" s="1590"/>
      <c r="T916" s="1601"/>
      <c r="U916" s="1589"/>
      <c r="V916" s="1590"/>
      <c r="W916" s="1590"/>
      <c r="X916" s="1590"/>
      <c r="Y916" s="1590"/>
      <c r="Z916" s="1590"/>
      <c r="AA916" s="44"/>
      <c r="AB916" s="4"/>
      <c r="AC916" s="4"/>
      <c r="AD916" s="4"/>
      <c r="AE916" s="4"/>
      <c r="AF916" s="107"/>
      <c r="AZ916" s="34"/>
      <c r="BA916" s="34"/>
      <c r="BB916" s="34"/>
      <c r="BC916" s="34"/>
    </row>
    <row r="917" spans="1:58" ht="12.95" customHeight="1">
      <c r="B917" s="2"/>
      <c r="F917" s="1591"/>
      <c r="G917" s="1592"/>
      <c r="H917" s="1592"/>
      <c r="I917" s="1592"/>
      <c r="J917" s="1592"/>
      <c r="K917" s="1592"/>
      <c r="L917" s="1592"/>
      <c r="M917" s="1592"/>
      <c r="N917" s="1592"/>
      <c r="O917" s="1592"/>
      <c r="P917" s="1592"/>
      <c r="Q917" s="1592"/>
      <c r="R917" s="1592"/>
      <c r="S917" s="1592"/>
      <c r="T917" s="1602"/>
      <c r="U917" s="1591"/>
      <c r="V917" s="1592"/>
      <c r="W917" s="1592"/>
      <c r="X917" s="1592"/>
      <c r="Y917" s="1592"/>
      <c r="Z917" s="1592"/>
      <c r="AA917" s="108"/>
      <c r="AB917" s="1639" t="s">
        <v>390</v>
      </c>
      <c r="AC917" s="1639"/>
      <c r="AD917" s="1639"/>
      <c r="AE917" s="1639"/>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v>23500000</v>
      </c>
      <c r="AB918" s="1410"/>
      <c r="AC918" s="1410"/>
      <c r="AD918" s="1410"/>
      <c r="AE918" s="1410"/>
      <c r="AF918" s="1411"/>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3" t="s">
        <v>591</v>
      </c>
      <c r="V919" s="1404"/>
      <c r="W919" s="1404"/>
      <c r="X919" s="1404"/>
      <c r="Y919" s="1404"/>
      <c r="Z919" s="1405"/>
      <c r="AA919" s="1409"/>
      <c r="AB919" s="1410"/>
      <c r="AC919" s="1410"/>
      <c r="AD919" s="1410"/>
      <c r="AE919" s="1410"/>
      <c r="AF919" s="1411"/>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409"/>
      <c r="AB921" s="1410"/>
      <c r="AC921" s="1410"/>
      <c r="AD921" s="1410"/>
      <c r="AE921" s="1410"/>
      <c r="AF921" s="1411"/>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2.95" customHeight="1">
      <c r="F926" s="1603" t="s">
        <v>2193</v>
      </c>
      <c r="G926" s="1604"/>
      <c r="H926" s="1604"/>
      <c r="I926" s="1604"/>
      <c r="J926" s="1604"/>
      <c r="K926" s="1604"/>
      <c r="L926" s="1604"/>
      <c r="M926" s="1604"/>
      <c r="N926" s="1604"/>
      <c r="O926" s="1604"/>
      <c r="P926" s="1604"/>
      <c r="Q926" s="1604"/>
      <c r="R926" s="1604"/>
      <c r="S926" s="1604"/>
      <c r="T926" s="1605"/>
      <c r="U926" s="1403" t="s">
        <v>591</v>
      </c>
      <c r="V926" s="1404"/>
      <c r="W926" s="1404"/>
      <c r="X926" s="1404"/>
      <c r="Y926" s="1404"/>
      <c r="Z926" s="1405"/>
      <c r="AA926" s="1409"/>
      <c r="AB926" s="1410"/>
      <c r="AC926" s="1410"/>
      <c r="AD926" s="1410"/>
      <c r="AE926" s="1410"/>
      <c r="AF926" s="1411"/>
      <c r="AZ926" s="34"/>
      <c r="BA926" s="34"/>
      <c r="BB926" s="34"/>
      <c r="BC926" s="34"/>
    </row>
    <row r="927" spans="1:58" ht="12.95" customHeight="1">
      <c r="F927" s="1603" t="s">
        <v>679</v>
      </c>
      <c r="G927" s="1604"/>
      <c r="H927" s="1604"/>
      <c r="I927" s="1604"/>
      <c r="J927" s="1604"/>
      <c r="K927" s="1604"/>
      <c r="L927" s="1604"/>
      <c r="M927" s="1604"/>
      <c r="N927" s="1604"/>
      <c r="O927" s="1604"/>
      <c r="P927" s="1604"/>
      <c r="Q927" s="1604"/>
      <c r="R927" s="1604"/>
      <c r="S927" s="1604"/>
      <c r="T927" s="1605"/>
      <c r="U927" s="1403" t="s">
        <v>591</v>
      </c>
      <c r="V927" s="1404"/>
      <c r="W927" s="1404"/>
      <c r="X927" s="1404"/>
      <c r="Y927" s="1404"/>
      <c r="Z927" s="1405"/>
      <c r="AA927" s="1409"/>
      <c r="AB927" s="1410"/>
      <c r="AC927" s="1410"/>
      <c r="AD927" s="1410"/>
      <c r="AE927" s="1410"/>
      <c r="AF927" s="1411"/>
      <c r="AU927" s="2"/>
      <c r="AZ927" s="34"/>
      <c r="BA927" s="34"/>
      <c r="BB927" s="34"/>
      <c r="BC927" s="34"/>
    </row>
    <row r="928" spans="1:58" ht="12.95" customHeight="1">
      <c r="F928" s="1603" t="s">
        <v>2194</v>
      </c>
      <c r="G928" s="1604"/>
      <c r="H928" s="1604"/>
      <c r="I928" s="1604"/>
      <c r="J928" s="1604"/>
      <c r="K928" s="1604"/>
      <c r="L928" s="1604"/>
      <c r="M928" s="1604"/>
      <c r="N928" s="1604"/>
      <c r="O928" s="1604"/>
      <c r="P928" s="1604"/>
      <c r="Q928" s="1604"/>
      <c r="R928" s="1604"/>
      <c r="S928" s="1604"/>
      <c r="T928" s="1605"/>
      <c r="U928" s="1403" t="s">
        <v>591</v>
      </c>
      <c r="V928" s="1404"/>
      <c r="W928" s="1404"/>
      <c r="X928" s="1404"/>
      <c r="Y928" s="1404"/>
      <c r="Z928" s="1405"/>
      <c r="AA928" s="1409"/>
      <c r="AB928" s="1410"/>
      <c r="AC928" s="1410"/>
      <c r="AD928" s="1410"/>
      <c r="AE928" s="1410"/>
      <c r="AF928" s="1411"/>
      <c r="AU928" s="2"/>
      <c r="AZ928" s="34"/>
      <c r="BA928" s="34"/>
      <c r="BB928" s="34"/>
      <c r="BC928" s="34"/>
    </row>
    <row r="929" spans="6:55" ht="12.95" customHeight="1">
      <c r="F929" s="1603" t="s">
        <v>2195</v>
      </c>
      <c r="G929" s="1604"/>
      <c r="H929" s="1604"/>
      <c r="I929" s="1604"/>
      <c r="J929" s="1604"/>
      <c r="K929" s="1604"/>
      <c r="L929" s="1604"/>
      <c r="M929" s="1604"/>
      <c r="N929" s="1604"/>
      <c r="O929" s="1604"/>
      <c r="P929" s="1604"/>
      <c r="Q929" s="1604"/>
      <c r="R929" s="1604"/>
      <c r="S929" s="1604"/>
      <c r="T929" s="1605"/>
      <c r="U929" s="1403" t="s">
        <v>591</v>
      </c>
      <c r="V929" s="1404"/>
      <c r="W929" s="1404"/>
      <c r="X929" s="1404"/>
      <c r="Y929" s="1404"/>
      <c r="Z929" s="1405"/>
      <c r="AA929" s="1409"/>
      <c r="AB929" s="1410"/>
      <c r="AC929" s="1410"/>
      <c r="AD929" s="1410"/>
      <c r="AE929" s="1410"/>
      <c r="AF929" s="1411"/>
      <c r="AU929" s="2"/>
      <c r="AZ929" s="34"/>
      <c r="BA929" s="34"/>
      <c r="BB929" s="34"/>
      <c r="BC929" s="34"/>
    </row>
    <row r="930" spans="6:55" ht="12.95" customHeight="1">
      <c r="F930" s="1603" t="s">
        <v>2196</v>
      </c>
      <c r="G930" s="1604"/>
      <c r="H930" s="1604"/>
      <c r="I930" s="1604"/>
      <c r="J930" s="1604"/>
      <c r="K930" s="1604"/>
      <c r="L930" s="1604"/>
      <c r="M930" s="1604"/>
      <c r="N930" s="1604"/>
      <c r="O930" s="1604"/>
      <c r="P930" s="1604"/>
      <c r="Q930" s="1604"/>
      <c r="R930" s="1604"/>
      <c r="S930" s="1604"/>
      <c r="T930" s="1605"/>
      <c r="U930" s="1403" t="s">
        <v>591</v>
      </c>
      <c r="V930" s="1404"/>
      <c r="W930" s="1404"/>
      <c r="X930" s="1404"/>
      <c r="Y930" s="1404"/>
      <c r="Z930" s="1405"/>
      <c r="AA930" s="1409"/>
      <c r="AB930" s="1410"/>
      <c r="AC930" s="1410"/>
      <c r="AD930" s="1410"/>
      <c r="AE930" s="1410"/>
      <c r="AF930" s="1411"/>
      <c r="AU930" s="2"/>
      <c r="AZ930" s="34"/>
      <c r="BA930" s="34"/>
      <c r="BB930" s="34"/>
      <c r="BC930" s="34"/>
    </row>
    <row r="931" spans="6:55" ht="12.95" customHeight="1">
      <c r="F931" s="1603" t="s">
        <v>2197</v>
      </c>
      <c r="G931" s="1604"/>
      <c r="H931" s="1604"/>
      <c r="I931" s="1604"/>
      <c r="J931" s="1604"/>
      <c r="K931" s="1604"/>
      <c r="L931" s="1604"/>
      <c r="M931" s="1604"/>
      <c r="N931" s="1604"/>
      <c r="O931" s="1604"/>
      <c r="P931" s="1604"/>
      <c r="Q931" s="1604"/>
      <c r="R931" s="1604"/>
      <c r="S931" s="1604"/>
      <c r="T931" s="1605"/>
      <c r="U931" s="1403" t="s">
        <v>591</v>
      </c>
      <c r="V931" s="1404"/>
      <c r="W931" s="1404"/>
      <c r="X931" s="1404"/>
      <c r="Y931" s="1404"/>
      <c r="Z931" s="1405"/>
      <c r="AA931" s="1409"/>
      <c r="AB931" s="1410"/>
      <c r="AC931" s="1410"/>
      <c r="AD931" s="1410"/>
      <c r="AE931" s="1410"/>
      <c r="AF931" s="1411"/>
      <c r="AU931" s="2"/>
      <c r="AZ931" s="34"/>
      <c r="BA931" s="34"/>
      <c r="BB931" s="34"/>
      <c r="BC931" s="34"/>
    </row>
    <row r="932" spans="6:55" ht="12.95" customHeight="1">
      <c r="F932" s="1603" t="s">
        <v>2198</v>
      </c>
      <c r="G932" s="1604"/>
      <c r="H932" s="1604"/>
      <c r="I932" s="1604"/>
      <c r="J932" s="1604"/>
      <c r="K932" s="1604"/>
      <c r="L932" s="1604"/>
      <c r="M932" s="1604"/>
      <c r="N932" s="1604"/>
      <c r="O932" s="1604"/>
      <c r="P932" s="1604"/>
      <c r="Q932" s="1604"/>
      <c r="R932" s="1604"/>
      <c r="S932" s="1604"/>
      <c r="T932" s="1605"/>
      <c r="U932" s="1403" t="s">
        <v>591</v>
      </c>
      <c r="V932" s="1404"/>
      <c r="W932" s="1404"/>
      <c r="X932" s="1404"/>
      <c r="Y932" s="1404"/>
      <c r="Z932" s="1405"/>
      <c r="AA932" s="1409"/>
      <c r="AB932" s="1410"/>
      <c r="AC932" s="1410"/>
      <c r="AD932" s="1410"/>
      <c r="AE932" s="1410"/>
      <c r="AF932" s="1411"/>
      <c r="AZ932" s="30"/>
      <c r="BA932" s="30"/>
    </row>
    <row r="933" spans="6:55" ht="12.95"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2.95"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2.95"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2.95" customHeight="1">
      <c r="F936" s="1641" t="s">
        <v>2202</v>
      </c>
      <c r="G936" s="1642"/>
      <c r="H936" s="1642"/>
      <c r="I936" s="1642"/>
      <c r="J936" s="1642"/>
      <c r="K936" s="1642"/>
      <c r="L936" s="1642"/>
      <c r="M936" s="1642"/>
      <c r="N936" s="1642"/>
      <c r="O936" s="1642"/>
      <c r="P936" s="1642"/>
      <c r="Q936" s="1642"/>
      <c r="R936" s="1642"/>
      <c r="S936" s="1642"/>
      <c r="T936" s="1643"/>
      <c r="U936" s="1403" t="s">
        <v>591</v>
      </c>
      <c r="V936" s="1404"/>
      <c r="W936" s="1404"/>
      <c r="X936" s="1404"/>
      <c r="Y936" s="1404"/>
      <c r="Z936" s="1405"/>
      <c r="AA936" s="1409"/>
      <c r="AB936" s="1410"/>
      <c r="AC936" s="1410"/>
      <c r="AD936" s="1410"/>
      <c r="AE936" s="1410"/>
      <c r="AF936" s="1411"/>
      <c r="AZ936" s="30"/>
      <c r="BA936" s="14"/>
    </row>
    <row r="937" spans="6:55" ht="12.95" customHeight="1">
      <c r="F937" s="1641" t="s">
        <v>2203</v>
      </c>
      <c r="G937" s="1642"/>
      <c r="H937" s="1642"/>
      <c r="I937" s="1642"/>
      <c r="J937" s="1642"/>
      <c r="K937" s="1642"/>
      <c r="L937" s="1642"/>
      <c r="M937" s="1642"/>
      <c r="N937" s="1642"/>
      <c r="O937" s="1642"/>
      <c r="P937" s="1642"/>
      <c r="Q937" s="1642"/>
      <c r="R937" s="1642"/>
      <c r="S937" s="1642"/>
      <c r="T937" s="1643"/>
      <c r="U937" s="1403" t="s">
        <v>591</v>
      </c>
      <c r="V937" s="1404"/>
      <c r="W937" s="1404"/>
      <c r="X937" s="1404"/>
      <c r="Y937" s="1404"/>
      <c r="Z937" s="1405"/>
      <c r="AA937" s="1409"/>
      <c r="AB937" s="1410"/>
      <c r="AC937" s="1410"/>
      <c r="AD937" s="1410"/>
      <c r="AE937" s="1410"/>
      <c r="AF937" s="1411"/>
      <c r="AZ937" s="30"/>
      <c r="BA937" s="30"/>
    </row>
    <row r="938" spans="6:55" ht="12.95" customHeight="1">
      <c r="F938" s="1603" t="s">
        <v>2199</v>
      </c>
      <c r="G938" s="1604"/>
      <c r="H938" s="1604"/>
      <c r="I938" s="1604"/>
      <c r="J938" s="1604"/>
      <c r="K938" s="1604"/>
      <c r="L938" s="1604"/>
      <c r="M938" s="1604"/>
      <c r="N938" s="1604"/>
      <c r="O938" s="1604"/>
      <c r="P938" s="1604"/>
      <c r="Q938" s="1604"/>
      <c r="R938" s="1604"/>
      <c r="S938" s="1604"/>
      <c r="T938" s="1605"/>
      <c r="U938" s="1403" t="s">
        <v>591</v>
      </c>
      <c r="V938" s="1404"/>
      <c r="W938" s="1404"/>
      <c r="X938" s="1404"/>
      <c r="Y938" s="1404"/>
      <c r="Z938" s="1405"/>
      <c r="AA938" s="1409"/>
      <c r="AB938" s="1410"/>
      <c r="AC938" s="1410"/>
      <c r="AD938" s="1410"/>
      <c r="AE938" s="1410"/>
      <c r="AF938" s="1411"/>
      <c r="AZ938" s="30"/>
      <c r="BA938" s="30"/>
    </row>
    <row r="939" spans="6:55" ht="12.95" customHeight="1">
      <c r="F939" s="1603" t="s">
        <v>2200</v>
      </c>
      <c r="G939" s="1604"/>
      <c r="H939" s="1604"/>
      <c r="I939" s="1604"/>
      <c r="J939" s="1604"/>
      <c r="K939" s="1604"/>
      <c r="L939" s="1604"/>
      <c r="M939" s="1604"/>
      <c r="N939" s="1604"/>
      <c r="O939" s="1604"/>
      <c r="P939" s="1604"/>
      <c r="Q939" s="1604"/>
      <c r="R939" s="1604"/>
      <c r="S939" s="1604"/>
      <c r="T939" s="1605"/>
      <c r="U939" s="1403" t="s">
        <v>591</v>
      </c>
      <c r="V939" s="1404"/>
      <c r="W939" s="1404"/>
      <c r="X939" s="1404"/>
      <c r="Y939" s="1404"/>
      <c r="Z939" s="1405"/>
      <c r="AA939" s="1409"/>
      <c r="AB939" s="1410"/>
      <c r="AC939" s="1410"/>
      <c r="AD939" s="1410"/>
      <c r="AE939" s="1410"/>
      <c r="AF939" s="1411"/>
      <c r="AZ939" s="30"/>
      <c r="BA939" s="30"/>
    </row>
    <row r="940" spans="6:55" ht="12.95" customHeight="1">
      <c r="F940" s="1603" t="s">
        <v>2201</v>
      </c>
      <c r="G940" s="1604"/>
      <c r="H940" s="1604"/>
      <c r="I940" s="1604"/>
      <c r="J940" s="1604"/>
      <c r="K940" s="1604"/>
      <c r="L940" s="1604"/>
      <c r="M940" s="1604"/>
      <c r="N940" s="1604"/>
      <c r="O940" s="1604"/>
      <c r="P940" s="1604"/>
      <c r="Q940" s="1604"/>
      <c r="R940" s="1604"/>
      <c r="S940" s="1604"/>
      <c r="T940" s="1605"/>
      <c r="U940" s="1403" t="s">
        <v>591</v>
      </c>
      <c r="V940" s="1404"/>
      <c r="W940" s="1404"/>
      <c r="X940" s="1404"/>
      <c r="Y940" s="1404"/>
      <c r="Z940" s="1405"/>
      <c r="AA940" s="1409"/>
      <c r="AB940" s="1410"/>
      <c r="AC940" s="1410"/>
      <c r="AD940" s="1410"/>
      <c r="AE940" s="1410"/>
      <c r="AF940" s="1411"/>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2.95" customHeight="1">
      <c r="F942" s="1641" t="s">
        <v>2204</v>
      </c>
      <c r="G942" s="1642"/>
      <c r="H942" s="1642"/>
      <c r="I942" s="1642"/>
      <c r="J942" s="1642"/>
      <c r="K942" s="1642"/>
      <c r="L942" s="1642"/>
      <c r="M942" s="1642"/>
      <c r="N942" s="1642"/>
      <c r="O942" s="1642"/>
      <c r="P942" s="1642"/>
      <c r="Q942" s="1642"/>
      <c r="R942" s="1642"/>
      <c r="S942" s="1642"/>
      <c r="T942" s="1643"/>
      <c r="U942" s="1403" t="s">
        <v>545</v>
      </c>
      <c r="V942" s="1404"/>
      <c r="W942" s="1404"/>
      <c r="X942" s="1404"/>
      <c r="Y942" s="1404"/>
      <c r="Z942" s="1405"/>
      <c r="AA942" s="1409">
        <v>2000000</v>
      </c>
      <c r="AB942" s="1410"/>
      <c r="AC942" s="1410"/>
      <c r="AD942" s="1410"/>
      <c r="AE942" s="1410"/>
      <c r="AF942" s="1411"/>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2.95" customHeight="1">
      <c r="F944" s="1641" t="s">
        <v>2205</v>
      </c>
      <c r="G944" s="1642"/>
      <c r="H944" s="1642"/>
      <c r="I944" s="1642"/>
      <c r="J944" s="1642"/>
      <c r="K944" s="1642"/>
      <c r="L944" s="1642"/>
      <c r="M944" s="1642"/>
      <c r="N944" s="1642"/>
      <c r="O944" s="1642"/>
      <c r="P944" s="1642"/>
      <c r="Q944" s="1642"/>
      <c r="R944" s="1642"/>
      <c r="S944" s="1642"/>
      <c r="T944" s="1643"/>
      <c r="U944" s="1403" t="s">
        <v>591</v>
      </c>
      <c r="V944" s="1404"/>
      <c r="W944" s="1404"/>
      <c r="X944" s="1404"/>
      <c r="Y944" s="1404"/>
      <c r="Z944" s="1405"/>
      <c r="AA944" s="1409"/>
      <c r="AB944" s="1410"/>
      <c r="AC944" s="1410"/>
      <c r="AD944" s="1410"/>
      <c r="AE944" s="1410"/>
      <c r="AF944" s="1411"/>
      <c r="AZ944" s="34"/>
      <c r="BA944" s="34"/>
      <c r="BB944" s="34"/>
      <c r="BC944" s="34"/>
    </row>
    <row r="945" spans="1:55" ht="12.95"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2.95" customHeight="1">
      <c r="F946" s="1603" t="s">
        <v>2192</v>
      </c>
      <c r="G946" s="1604"/>
      <c r="H946" s="1605"/>
      <c r="I946" s="1539" t="s">
        <v>333</v>
      </c>
      <c r="J946" s="1596"/>
      <c r="K946" s="1596"/>
      <c r="L946" s="1596"/>
      <c r="M946" s="1596"/>
      <c r="N946" s="1596"/>
      <c r="O946" s="1596"/>
      <c r="P946" s="1596"/>
      <c r="Q946" s="1596"/>
      <c r="R946" s="1596"/>
      <c r="S946" s="1596"/>
      <c r="T946" s="1597"/>
      <c r="U946" s="1403" t="s">
        <v>591</v>
      </c>
      <c r="V946" s="1404"/>
      <c r="W946" s="1404"/>
      <c r="X946" s="1404"/>
      <c r="Y946" s="1404"/>
      <c r="Z946" s="1405"/>
      <c r="AA946" s="1409"/>
      <c r="AB946" s="1410"/>
      <c r="AC946" s="1410"/>
      <c r="AD946" s="1410"/>
      <c r="AE946" s="1410"/>
      <c r="AF946" s="1411"/>
      <c r="AZ946" s="34"/>
      <c r="BA946" s="34"/>
      <c r="BB946" s="34"/>
      <c r="BC946" s="34"/>
    </row>
    <row r="947" spans="1:55" ht="12.95" customHeight="1">
      <c r="F947" s="45" t="s">
        <v>86</v>
      </c>
      <c r="G947" s="48"/>
      <c r="H947" s="48"/>
      <c r="I947" s="1539" t="s">
        <v>333</v>
      </c>
      <c r="J947" s="1596"/>
      <c r="K947" s="1596"/>
      <c r="L947" s="1596"/>
      <c r="M947" s="1596"/>
      <c r="N947" s="1596"/>
      <c r="O947" s="1596"/>
      <c r="P947" s="1596"/>
      <c r="Q947" s="1596"/>
      <c r="R947" s="1596"/>
      <c r="S947" s="1596"/>
      <c r="T947" s="1597"/>
      <c r="U947" s="1403" t="s">
        <v>591</v>
      </c>
      <c r="V947" s="1404"/>
      <c r="W947" s="1404"/>
      <c r="X947" s="1404"/>
      <c r="Y947" s="1404"/>
      <c r="Z947" s="1405"/>
      <c r="AA947" s="1409"/>
      <c r="AB947" s="1410"/>
      <c r="AC947" s="1410"/>
      <c r="AD947" s="1410"/>
      <c r="AE947" s="1410"/>
      <c r="AF947" s="1411"/>
      <c r="AZ947" s="34"/>
      <c r="BA947" s="34"/>
      <c r="BB947" s="34"/>
      <c r="BC947" s="34"/>
    </row>
    <row r="948" spans="1:55" ht="12.95" customHeight="1">
      <c r="F948" s="45" t="s">
        <v>10</v>
      </c>
      <c r="G948" s="48"/>
      <c r="H948" s="48"/>
      <c r="I948" s="1539" t="s">
        <v>2746</v>
      </c>
      <c r="J948" s="1540"/>
      <c r="K948" s="1540"/>
      <c r="L948" s="1540"/>
      <c r="M948" s="1540"/>
      <c r="N948" s="1540"/>
      <c r="O948" s="1540"/>
      <c r="P948" s="1540"/>
      <c r="Q948" s="1540"/>
      <c r="R948" s="1540"/>
      <c r="S948" s="1540"/>
      <c r="T948" s="1541"/>
      <c r="U948" s="1403" t="s">
        <v>545</v>
      </c>
      <c r="V948" s="1404"/>
      <c r="W948" s="1404"/>
      <c r="X948" s="1404"/>
      <c r="Y948" s="1404"/>
      <c r="Z948" s="1405"/>
      <c r="AA948" s="1409">
        <v>5000000</v>
      </c>
      <c r="AB948" s="1410"/>
      <c r="AC948" s="1410"/>
      <c r="AD948" s="1410"/>
      <c r="AE948" s="1410"/>
      <c r="AF948" s="1411"/>
      <c r="AV948" s="2"/>
      <c r="AW948" s="2"/>
      <c r="AX948" s="2"/>
      <c r="AY948" s="2"/>
      <c r="AZ948" s="34"/>
      <c r="BA948" s="34"/>
      <c r="BB948" s="34"/>
      <c r="BC948" s="34"/>
    </row>
    <row r="949" spans="1:55" ht="12.95" customHeight="1">
      <c r="F949" s="47" t="s">
        <v>169</v>
      </c>
      <c r="G949" s="48"/>
      <c r="H949" s="48"/>
      <c r="I949" s="1539" t="s">
        <v>2733</v>
      </c>
      <c r="J949" s="1540"/>
      <c r="K949" s="1540"/>
      <c r="L949" s="1540"/>
      <c r="M949" s="1540"/>
      <c r="N949" s="1540"/>
      <c r="O949" s="1540"/>
      <c r="P949" s="1540"/>
      <c r="Q949" s="1540"/>
      <c r="R949" s="1540"/>
      <c r="S949" s="1540"/>
      <c r="T949" s="1541"/>
      <c r="U949" s="1403" t="s">
        <v>669</v>
      </c>
      <c r="V949" s="1404"/>
      <c r="W949" s="1404"/>
      <c r="X949" s="1404"/>
      <c r="Y949" s="1404"/>
      <c r="Z949" s="1405"/>
      <c r="AA949" s="1409">
        <v>1650000</v>
      </c>
      <c r="AB949" s="1410"/>
      <c r="AC949" s="1410"/>
      <c r="AD949" s="1410"/>
      <c r="AE949" s="1410"/>
      <c r="AF949" s="1411"/>
      <c r="AU949" s="2"/>
      <c r="AZ949" s="34"/>
      <c r="BA949" s="34"/>
      <c r="BB949" s="34"/>
      <c r="BC949" s="34"/>
    </row>
    <row r="950" spans="1:55" ht="12.95" customHeight="1">
      <c r="F950" s="47" t="s">
        <v>169</v>
      </c>
      <c r="G950" s="48"/>
      <c r="H950" s="48"/>
      <c r="I950" s="1539" t="s">
        <v>2755</v>
      </c>
      <c r="J950" s="1540"/>
      <c r="K950" s="1540"/>
      <c r="L950" s="1540"/>
      <c r="M950" s="1540"/>
      <c r="N950" s="1540"/>
      <c r="O950" s="1540"/>
      <c r="P950" s="1540"/>
      <c r="Q950" s="1540"/>
      <c r="R950" s="1540"/>
      <c r="S950" s="1540"/>
      <c r="T950" s="1541"/>
      <c r="U950" s="1403" t="s">
        <v>545</v>
      </c>
      <c r="V950" s="1404"/>
      <c r="W950" s="1404"/>
      <c r="X950" s="1404"/>
      <c r="Y950" s="1404"/>
      <c r="Z950" s="1405"/>
      <c r="AA950" s="1409">
        <v>5000000</v>
      </c>
      <c r="AB950" s="1410"/>
      <c r="AC950" s="1410"/>
      <c r="AD950" s="1410"/>
      <c r="AE950" s="1410"/>
      <c r="AF950" s="1411"/>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6">
        <v>45768</v>
      </c>
      <c r="N955" s="1537"/>
      <c r="O955" s="1537"/>
      <c r="P955" s="1537"/>
      <c r="Q955" s="1537"/>
      <c r="R955" s="1537"/>
      <c r="S955" s="1538"/>
      <c r="U955" s="66" t="s">
        <v>11</v>
      </c>
      <c r="V955" s="5"/>
      <c r="W955" s="5"/>
      <c r="X955" s="5"/>
      <c r="Y955" s="5"/>
      <c r="Z955" s="5"/>
      <c r="AA955" s="5"/>
      <c r="AB955" s="5"/>
      <c r="AC955" s="5"/>
      <c r="AD955" s="46"/>
      <c r="AE955" s="1536"/>
      <c r="AF955" s="1537"/>
      <c r="AG955" s="1537"/>
      <c r="AH955" s="1537"/>
      <c r="AI955" s="1537"/>
      <c r="AJ955" s="1537"/>
      <c r="AK955" s="1538"/>
      <c r="AZ955" s="34"/>
      <c r="BA955" s="34"/>
      <c r="BB955" s="34"/>
      <c r="BC955" s="34"/>
    </row>
    <row r="956" spans="1:55" ht="12.95" customHeight="1">
      <c r="C956" s="66" t="s">
        <v>12</v>
      </c>
      <c r="D956" s="5"/>
      <c r="E956" s="5"/>
      <c r="F956" s="5"/>
      <c r="G956" s="5"/>
      <c r="H956" s="5"/>
      <c r="I956" s="5"/>
      <c r="J956" s="5"/>
      <c r="K956" s="5"/>
      <c r="L956" s="46"/>
      <c r="M956" s="1548" t="s">
        <v>2699</v>
      </c>
      <c r="N956" s="1549"/>
      <c r="O956" s="1549"/>
      <c r="P956" s="1549"/>
      <c r="Q956" s="1549"/>
      <c r="R956" s="1549"/>
      <c r="S956" s="1550"/>
      <c r="U956" s="66" t="s">
        <v>12</v>
      </c>
      <c r="V956" s="5"/>
      <c r="W956" s="5"/>
      <c r="X956" s="5"/>
      <c r="Y956" s="5"/>
      <c r="Z956" s="5"/>
      <c r="AA956" s="5"/>
      <c r="AB956" s="5"/>
      <c r="AC956" s="5"/>
      <c r="AD956" s="46"/>
      <c r="AE956" s="1548"/>
      <c r="AF956" s="1549"/>
      <c r="AG956" s="1549"/>
      <c r="AH956" s="1549"/>
      <c r="AI956" s="1549"/>
      <c r="AJ956" s="1549"/>
      <c r="AK956" s="1550"/>
      <c r="AZ956" s="34"/>
      <c r="BA956" s="34"/>
      <c r="BB956" s="34"/>
      <c r="BC956" s="34"/>
    </row>
    <row r="957" spans="1:55" ht="12.95" customHeight="1">
      <c r="C957" s="66" t="s">
        <v>880</v>
      </c>
      <c r="D957" s="5"/>
      <c r="E957" s="5"/>
      <c r="J957" s="1556" t="s">
        <v>2698</v>
      </c>
      <c r="K957" s="1557"/>
      <c r="L957" s="1557"/>
      <c r="M957" s="1557"/>
      <c r="N957" s="1557"/>
      <c r="O957" s="1557"/>
      <c r="P957" s="1557"/>
      <c r="Q957" s="1557"/>
      <c r="R957" s="1557"/>
      <c r="S957" s="1558"/>
      <c r="U957" s="66" t="s">
        <v>880</v>
      </c>
      <c r="V957" s="5"/>
      <c r="W957" s="5"/>
      <c r="AB957" s="1556" t="s">
        <v>306</v>
      </c>
      <c r="AC957" s="1557"/>
      <c r="AD957" s="1557"/>
      <c r="AE957" s="1557"/>
      <c r="AF957" s="1557"/>
      <c r="AG957" s="1557"/>
      <c r="AH957" s="1557"/>
      <c r="AI957" s="1557"/>
      <c r="AJ957" s="1557"/>
      <c r="AK957" s="1558"/>
      <c r="AZ957" s="34"/>
      <c r="BA957" s="34"/>
      <c r="BB957" s="34"/>
      <c r="BC957" s="34"/>
    </row>
    <row r="958" spans="1:55" ht="12.95" customHeight="1">
      <c r="C958" s="66" t="s">
        <v>13</v>
      </c>
      <c r="D958" s="5"/>
      <c r="E958" s="5"/>
      <c r="F958" s="5"/>
      <c r="G958" s="5"/>
      <c r="H958" s="5"/>
      <c r="I958" s="5"/>
      <c r="J958" s="5"/>
      <c r="K958" s="5"/>
      <c r="L958" s="46"/>
      <c r="M958" s="1640">
        <v>1</v>
      </c>
      <c r="N958" s="1599"/>
      <c r="O958" s="1599"/>
      <c r="P958" s="1599"/>
      <c r="Q958" s="1599"/>
      <c r="R958" s="1599"/>
      <c r="S958" s="1600"/>
      <c r="U958" s="66" t="s">
        <v>13</v>
      </c>
      <c r="V958" s="5"/>
      <c r="W958" s="5"/>
      <c r="X958" s="5"/>
      <c r="Y958" s="5"/>
      <c r="Z958" s="5"/>
      <c r="AA958" s="5"/>
      <c r="AB958" s="5"/>
      <c r="AC958" s="5"/>
      <c r="AD958" s="46"/>
      <c r="AE958" s="1598"/>
      <c r="AF958" s="1599"/>
      <c r="AG958" s="1599"/>
      <c r="AH958" s="1599"/>
      <c r="AI958" s="1599"/>
      <c r="AJ958" s="1599"/>
      <c r="AK958" s="1600"/>
      <c r="AZ958" s="34"/>
      <c r="BA958" s="34"/>
      <c r="BB958" s="34"/>
      <c r="BC958" s="34"/>
    </row>
    <row r="959" spans="1:55" ht="12.95" customHeight="1">
      <c r="C959" s="66" t="s">
        <v>14</v>
      </c>
      <c r="D959" s="5"/>
      <c r="E959" s="5"/>
      <c r="F959" s="5"/>
      <c r="G959" s="5"/>
      <c r="H959" s="5"/>
      <c r="I959" s="5"/>
      <c r="J959" s="5"/>
      <c r="K959" s="5"/>
      <c r="L959" s="46"/>
      <c r="M959" s="1563">
        <v>80</v>
      </c>
      <c r="N959" s="1564"/>
      <c r="O959" s="1564"/>
      <c r="P959" s="1564"/>
      <c r="Q959" s="1564"/>
      <c r="R959" s="1564"/>
      <c r="S959" s="1565"/>
      <c r="U959" s="66" t="s">
        <v>14</v>
      </c>
      <c r="V959" s="5"/>
      <c r="W959" s="5"/>
      <c r="X959" s="5"/>
      <c r="Y959" s="5"/>
      <c r="Z959" s="5"/>
      <c r="AA959" s="5"/>
      <c r="AB959" s="5"/>
      <c r="AC959" s="5"/>
      <c r="AD959" s="46"/>
      <c r="AE959" s="1563"/>
      <c r="AF959" s="1564"/>
      <c r="AG959" s="1564"/>
      <c r="AH959" s="1564"/>
      <c r="AI959" s="1564"/>
      <c r="AJ959" s="1564"/>
      <c r="AK959" s="1565"/>
      <c r="AV959" s="2"/>
      <c r="AW959" s="2"/>
      <c r="AX959" s="2"/>
      <c r="AY959" s="2"/>
      <c r="AZ959" s="34"/>
      <c r="BA959" s="34"/>
      <c r="BB959" s="34"/>
      <c r="BC959" s="34"/>
    </row>
    <row r="960" spans="1:55" ht="12.95" customHeight="1">
      <c r="C960" s="66" t="s">
        <v>15</v>
      </c>
      <c r="D960" s="5"/>
      <c r="E960" s="5"/>
      <c r="F960" s="5"/>
      <c r="G960" s="5"/>
      <c r="H960" s="5"/>
      <c r="I960" s="5"/>
      <c r="J960" s="5"/>
      <c r="K960" s="5"/>
      <c r="L960" s="46"/>
      <c r="M960" s="1409">
        <f>1954*12*80</f>
        <v>1875840</v>
      </c>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5" customHeight="1">
      <c r="C961" s="66" t="s">
        <v>16</v>
      </c>
      <c r="D961" s="5"/>
      <c r="E961" s="5"/>
      <c r="F961" s="5"/>
      <c r="G961" s="5"/>
      <c r="H961" s="5"/>
      <c r="I961" s="5"/>
      <c r="J961" s="5"/>
      <c r="K961" s="5"/>
      <c r="L961" s="46"/>
      <c r="M961" s="1409">
        <f>M960*20</f>
        <v>37516800</v>
      </c>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5" customHeight="1">
      <c r="C962" s="121" t="s">
        <v>1661</v>
      </c>
      <c r="D962" s="5"/>
      <c r="E962" s="5"/>
      <c r="F962" s="5"/>
      <c r="G962" s="5"/>
      <c r="H962" s="5"/>
      <c r="I962" s="5"/>
      <c r="J962" s="5"/>
      <c r="K962" s="5"/>
      <c r="L962" s="46"/>
      <c r="M962" s="1406">
        <v>20</v>
      </c>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3"/>
      <c r="N967" s="1534"/>
      <c r="O967" s="1534"/>
      <c r="P967" s="1534"/>
      <c r="Q967" s="1534"/>
      <c r="R967" s="1534"/>
      <c r="S967" s="1535"/>
      <c r="T967" s="66" t="s">
        <v>790</v>
      </c>
      <c r="U967" s="5"/>
      <c r="V967" s="5"/>
      <c r="W967" s="5"/>
      <c r="X967" s="5"/>
      <c r="Y967" s="5"/>
      <c r="Z967" s="46"/>
      <c r="AA967" s="1533"/>
      <c r="AB967" s="1534"/>
      <c r="AC967" s="1534"/>
      <c r="AD967" s="1534"/>
      <c r="AE967" s="1534"/>
      <c r="AF967" s="1534"/>
      <c r="AG967" s="153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3"/>
      <c r="N968" s="1534"/>
      <c r="O968" s="1534"/>
      <c r="P968" s="1534"/>
      <c r="Q968" s="1534"/>
      <c r="R968" s="1534"/>
      <c r="S968" s="1535"/>
      <c r="T968" s="66" t="s">
        <v>789</v>
      </c>
      <c r="U968" s="5"/>
      <c r="V968" s="5"/>
      <c r="W968" s="5"/>
      <c r="X968" s="5"/>
      <c r="Y968" s="5"/>
      <c r="Z968" s="46"/>
      <c r="AA968" s="1533"/>
      <c r="AB968" s="1534"/>
      <c r="AC968" s="1534"/>
      <c r="AD968" s="1534"/>
      <c r="AE968" s="1534"/>
      <c r="AF968" s="1534"/>
      <c r="AG968" s="153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5" t="s">
        <v>591</v>
      </c>
      <c r="N969" s="1646"/>
      <c r="O969" s="1646"/>
      <c r="P969" s="1646"/>
      <c r="Q969" s="1646"/>
      <c r="R969" s="1646"/>
      <c r="S969" s="1647"/>
      <c r="T969" s="45" t="s">
        <v>336</v>
      </c>
      <c r="U969" s="5"/>
      <c r="V969" s="5"/>
      <c r="W969" s="5"/>
      <c r="X969" s="5"/>
      <c r="Y969" s="5"/>
      <c r="Z969" s="46"/>
      <c r="AA969" s="1533"/>
      <c r="AB969" s="1534"/>
      <c r="AC969" s="1534"/>
      <c r="AD969" s="1534"/>
      <c r="AE969" s="1534"/>
      <c r="AF969" s="1534"/>
      <c r="AG969" s="153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3"/>
      <c r="N970" s="1534"/>
      <c r="O970" s="1534"/>
      <c r="P970" s="1534"/>
      <c r="Q970" s="1534"/>
      <c r="R970" s="1534"/>
      <c r="S970" s="1535"/>
      <c r="T970" s="45" t="s">
        <v>337</v>
      </c>
      <c r="U970" s="5"/>
      <c r="V970" s="5"/>
      <c r="W970" s="5"/>
      <c r="X970" s="5"/>
      <c r="Y970" s="5"/>
      <c r="Z970" s="46"/>
      <c r="AA970" s="1533"/>
      <c r="AB970" s="1534"/>
      <c r="AC970" s="1534"/>
      <c r="AD970" s="1534"/>
      <c r="AE970" s="1534"/>
      <c r="AF970" s="1534"/>
      <c r="AG970" s="153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3"/>
      <c r="N971" s="1534"/>
      <c r="O971" s="1534"/>
      <c r="P971" s="1534"/>
      <c r="Q971" s="1534"/>
      <c r="R971" s="1534"/>
      <c r="S971" s="1535"/>
      <c r="T971" s="45" t="s">
        <v>375</v>
      </c>
      <c r="U971" s="5"/>
      <c r="V971" s="5"/>
      <c r="W971" s="5"/>
      <c r="X971" s="5"/>
      <c r="Y971" s="5"/>
      <c r="Z971" s="46"/>
      <c r="AA971" s="1533"/>
      <c r="AB971" s="1534"/>
      <c r="AC971" s="1534"/>
      <c r="AD971" s="1534"/>
      <c r="AE971" s="1534"/>
      <c r="AF971" s="1534"/>
      <c r="AG971" s="153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6" t="s">
        <v>306</v>
      </c>
      <c r="N972" s="1557"/>
      <c r="O972" s="1557"/>
      <c r="P972" s="1557"/>
      <c r="Q972" s="1557"/>
      <c r="R972" s="1557"/>
      <c r="S972" s="1558"/>
      <c r="T972" s="1560"/>
      <c r="U972" s="1561"/>
      <c r="V972" s="1561"/>
      <c r="W972" s="1561"/>
      <c r="X972" s="1561"/>
      <c r="Y972" s="1561"/>
      <c r="Z972" s="1562"/>
      <c r="AA972" s="1533"/>
      <c r="AB972" s="1534"/>
      <c r="AC972" s="1534"/>
      <c r="AD972" s="1534"/>
      <c r="AE972" s="1534"/>
      <c r="AF972" s="1534"/>
      <c r="AG972" s="153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3"/>
      <c r="N973" s="1534"/>
      <c r="O973" s="1534"/>
      <c r="P973" s="1534"/>
      <c r="Q973" s="1534"/>
      <c r="R973" s="1534"/>
      <c r="S973" s="1535"/>
      <c r="T973" s="1560"/>
      <c r="U973" s="1561"/>
      <c r="V973" s="1561"/>
      <c r="W973" s="1561"/>
      <c r="X973" s="1561"/>
      <c r="Y973" s="1561"/>
      <c r="Z973" s="1562"/>
      <c r="AA973" s="1533"/>
      <c r="AB973" s="1534"/>
      <c r="AC973" s="1534"/>
      <c r="AD973" s="1534"/>
      <c r="AE973" s="1534"/>
      <c r="AF973" s="1534"/>
      <c r="AG973" s="153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80" t="s">
        <v>669</v>
      </c>
      <c r="P974" s="1581"/>
      <c r="Q974" s="92"/>
      <c r="R974" s="92"/>
      <c r="S974" s="93"/>
      <c r="T974" s="41" t="s">
        <v>169</v>
      </c>
      <c r="U974" s="42"/>
      <c r="V974" s="42"/>
      <c r="W974" s="1566" t="s">
        <v>333</v>
      </c>
      <c r="X974" s="1567"/>
      <c r="Y974" s="1567"/>
      <c r="Z974" s="1567"/>
      <c r="AA974" s="1567"/>
      <c r="AB974" s="1567"/>
      <c r="AC974" s="1567"/>
      <c r="AD974" s="1567"/>
      <c r="AE974" s="1567"/>
      <c r="AF974" s="1567"/>
      <c r="AG974" s="1568"/>
      <c r="AU974" s="68"/>
      <c r="AV974" s="95"/>
      <c r="AW974" s="95"/>
      <c r="AX974" s="95"/>
      <c r="AY974" s="95"/>
      <c r="AZ974" s="34"/>
      <c r="BB974" s="34"/>
      <c r="BC974" s="34"/>
      <c r="BD974" s="34"/>
      <c r="BE974" s="34"/>
      <c r="BF974" s="34"/>
      <c r="BG974" s="34"/>
      <c r="BH974" s="34"/>
      <c r="BI974" s="34"/>
      <c r="BJ974" s="34"/>
      <c r="BK974" s="34"/>
      <c r="BL974" s="34"/>
    </row>
    <row r="975" spans="1:64" ht="12.95" customHeight="1">
      <c r="F975" s="1551" t="s">
        <v>33</v>
      </c>
      <c r="G975" s="1360"/>
      <c r="H975" s="1360"/>
      <c r="I975" s="1360"/>
      <c r="J975" s="1360"/>
      <c r="K975" s="1360"/>
      <c r="L975" s="1360"/>
      <c r="M975" s="1533"/>
      <c r="N975" s="1534"/>
      <c r="O975" s="1534"/>
      <c r="P975" s="1534"/>
      <c r="Q975" s="1534"/>
      <c r="R975" s="1534"/>
      <c r="S975" s="1535"/>
      <c r="T975" s="47"/>
      <c r="U975" s="48"/>
      <c r="V975" s="48"/>
      <c r="W975" s="48"/>
      <c r="X975" s="48"/>
      <c r="Y975" s="48"/>
      <c r="Z975" s="124" t="s">
        <v>134</v>
      </c>
      <c r="AA975" s="1593"/>
      <c r="AB975" s="1594"/>
      <c r="AC975" s="1594"/>
      <c r="AD975" s="1594"/>
      <c r="AE975" s="1594"/>
      <c r="AF975" s="1594"/>
      <c r="AG975" s="1595"/>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2.95"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2.95"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2" t="s">
        <v>638</v>
      </c>
      <c r="E985" s="1553"/>
      <c r="F985" s="1553"/>
      <c r="G985" s="1553"/>
      <c r="H985" s="1553"/>
      <c r="I985" s="1553"/>
      <c r="J985" s="1553"/>
      <c r="K985" s="1553"/>
      <c r="L985" s="1553"/>
      <c r="M985" s="1553"/>
      <c r="N985" s="1553"/>
      <c r="O985" s="1553"/>
      <c r="P985" s="1553"/>
      <c r="Q985" s="1554"/>
      <c r="R985" s="1552" t="s">
        <v>639</v>
      </c>
      <c r="S985" s="1553"/>
      <c r="T985" s="1553"/>
      <c r="U985" s="1553"/>
      <c r="V985" s="1553"/>
      <c r="W985" s="1553"/>
      <c r="X985" s="1553"/>
      <c r="Y985" s="1553"/>
      <c r="Z985" s="1553"/>
      <c r="AA985" s="1554"/>
      <c r="AB985" s="1552" t="s">
        <v>640</v>
      </c>
      <c r="AC985" s="1553"/>
      <c r="AD985" s="1553"/>
      <c r="AE985" s="1553"/>
      <c r="AF985" s="1553"/>
      <c r="AG985" s="1553"/>
      <c r="AH985" s="1553"/>
      <c r="AI985" s="1554"/>
      <c r="AJ985" s="1552" t="s">
        <v>641</v>
      </c>
      <c r="AK985" s="1553"/>
      <c r="AL985" s="1553"/>
      <c r="AM985" s="1553"/>
      <c r="AN985" s="1553"/>
      <c r="AO985" s="1553"/>
      <c r="AP985" s="1553"/>
      <c r="AQ985" s="1554"/>
      <c r="AR985" s="68"/>
      <c r="AS985" s="68"/>
      <c r="AT985" s="68"/>
      <c r="AU985" s="68"/>
      <c r="AV985" s="68"/>
      <c r="AW985" s="68"/>
      <c r="AX985" s="68"/>
      <c r="AY985" s="68"/>
      <c r="AZ985" s="30"/>
      <c r="BB985" s="14"/>
      <c r="BC985" s="14"/>
    </row>
    <row r="986" spans="1:64" ht="12.95" customHeight="1">
      <c r="A986" s="14"/>
      <c r="B986" s="73"/>
      <c r="C986" s="929"/>
      <c r="D986" s="1388" t="s">
        <v>633</v>
      </c>
      <c r="E986" s="1389"/>
      <c r="F986" s="1389"/>
      <c r="G986" s="1389"/>
      <c r="H986" s="1389"/>
      <c r="I986" s="1389"/>
      <c r="J986" s="1389"/>
      <c r="K986" s="1389"/>
      <c r="L986" s="1389"/>
      <c r="M986" s="1389"/>
      <c r="N986" s="1389"/>
      <c r="O986" s="1389"/>
      <c r="P986" s="1389"/>
      <c r="Q986" s="1390"/>
      <c r="R986" s="1555">
        <f>IF(ISNA(IF($CU$122="4%",(INDEX($CS$160:$CW$217,MATCH($DG$122,$CR$160:$CR$217,0),MATCH(D986,$CS$159:$CW$159,0))),(INDEX($CZ$160:$DD$217,MATCH($DG$122,$CY$160:$CY$217,0),MATCH(D986,$CZ$159:$DD$159,0))))),0,IF($CU$122="4%",(INDEX($CS$160:$CW$217,MATCH($DG$122,$CR$160:$CR$217,0),MATCH(D986,$CS$159:$CW$159,0))),(INDEX($CZ$160:$DD$217,MATCH($DG$122,$CY$160:$CY$217,0),MATCH(D986,$CZ$159:$DD$159,0)))))</f>
        <v>331890</v>
      </c>
      <c r="S986" s="1555"/>
      <c r="T986" s="1555"/>
      <c r="U986" s="1555"/>
      <c r="V986" s="1555"/>
      <c r="W986" s="1555"/>
      <c r="X986" s="1555"/>
      <c r="Y986" s="1555"/>
      <c r="Z986" s="1555"/>
      <c r="AA986" s="1555"/>
      <c r="AB986" s="1391">
        <f>CP802</f>
        <v>0</v>
      </c>
      <c r="AC986" s="1392"/>
      <c r="AD986" s="1392"/>
      <c r="AE986" s="1392"/>
      <c r="AF986" s="1392"/>
      <c r="AG986" s="1392"/>
      <c r="AH986" s="1392"/>
      <c r="AI986" s="1393"/>
      <c r="AJ986" s="1491">
        <f>IF(ISERROR((R986*AB986)),0,(R986*AB986))</f>
        <v>0</v>
      </c>
      <c r="AK986" s="1492"/>
      <c r="AL986" s="1492"/>
      <c r="AM986" s="1492"/>
      <c r="AN986" s="1492"/>
      <c r="AO986" s="1492"/>
      <c r="AP986" s="1492"/>
      <c r="AQ986" s="1493"/>
      <c r="AR986" s="68"/>
      <c r="AS986" s="68"/>
      <c r="AT986" s="68"/>
      <c r="AU986" s="68"/>
      <c r="AV986" s="68"/>
      <c r="AW986" s="68"/>
      <c r="AX986" s="68"/>
      <c r="AY986" s="68"/>
      <c r="AZ986" s="30"/>
      <c r="BB986" s="14"/>
      <c r="BC986" s="14"/>
    </row>
    <row r="987" spans="1:64" ht="12.95" customHeight="1">
      <c r="A987" s="14"/>
      <c r="B987" s="73"/>
      <c r="C987" s="83"/>
      <c r="D987" s="1388" t="s">
        <v>324</v>
      </c>
      <c r="E987" s="1389"/>
      <c r="F987" s="1389"/>
      <c r="G987" s="1389"/>
      <c r="H987" s="1389"/>
      <c r="I987" s="1389"/>
      <c r="J987" s="1389"/>
      <c r="K987" s="1389"/>
      <c r="L987" s="1389"/>
      <c r="M987" s="1389"/>
      <c r="N987" s="1389"/>
      <c r="O987" s="1389"/>
      <c r="P987" s="1389"/>
      <c r="Q987" s="1390"/>
      <c r="R987" s="1555">
        <f>IF(ISNA(IF($CU$122="4%",(INDEX($CS$160:$CW$217,MATCH($DG$122,$CR$160:$CR$217,0),MATCH(D987,$CS$159:$CW$159,0))),(INDEX($CZ$160:$DD$217,MATCH($DG$122,$CY$160:$CY$217,0),MATCH(D987,$CZ$159:$DD$159,0))))),0,IF($CU$122="4%",(INDEX($CS$160:$CW$217,MATCH($DG$122,$CR$160:$CR$217,0),MATCH(D987,$CS$159:$CW$159,0))),(INDEX($CZ$160:$DD$217,MATCH($DG$122,$CY$160:$CY$217,0),MATCH(D987,$CZ$159:$DD$159,0)))))</f>
        <v>382666</v>
      </c>
      <c r="S987" s="1555"/>
      <c r="T987" s="1555"/>
      <c r="U987" s="1555"/>
      <c r="V987" s="1555"/>
      <c r="W987" s="1555"/>
      <c r="X987" s="1555"/>
      <c r="Y987" s="1555"/>
      <c r="Z987" s="1555"/>
      <c r="AA987" s="1555"/>
      <c r="AB987" s="1391">
        <f>CU802</f>
        <v>80</v>
      </c>
      <c r="AC987" s="1392"/>
      <c r="AD987" s="1392"/>
      <c r="AE987" s="1392"/>
      <c r="AF987" s="1392"/>
      <c r="AG987" s="1392"/>
      <c r="AH987" s="1392"/>
      <c r="AI987" s="1393"/>
      <c r="AJ987" s="1491">
        <f>IF(ISERROR((R987*AB987)),0,(R987*AB987))</f>
        <v>30613280</v>
      </c>
      <c r="AK987" s="1492"/>
      <c r="AL987" s="1492"/>
      <c r="AM987" s="1492"/>
      <c r="AN987" s="1492"/>
      <c r="AO987" s="1492"/>
      <c r="AP987" s="1492"/>
      <c r="AQ987" s="1493"/>
      <c r="AR987" s="68"/>
      <c r="AS987" s="68"/>
      <c r="AT987" s="68"/>
      <c r="AU987" s="68"/>
      <c r="AV987" s="68"/>
      <c r="AW987" s="68"/>
      <c r="AX987" s="68"/>
      <c r="AY987" s="68"/>
      <c r="AZ987" s="30"/>
      <c r="BB987" s="14"/>
      <c r="BC987" s="14"/>
    </row>
    <row r="988" spans="1:64" ht="12.95" customHeight="1">
      <c r="A988" s="14"/>
      <c r="B988" s="73"/>
      <c r="C988" s="83"/>
      <c r="D988" s="1388" t="s">
        <v>163</v>
      </c>
      <c r="E988" s="1389"/>
      <c r="F988" s="1389"/>
      <c r="G988" s="1389"/>
      <c r="H988" s="1389"/>
      <c r="I988" s="1389"/>
      <c r="J988" s="1389"/>
      <c r="K988" s="1389"/>
      <c r="L988" s="1389"/>
      <c r="M988" s="1389"/>
      <c r="N988" s="1389"/>
      <c r="O988" s="1389"/>
      <c r="P988" s="1389"/>
      <c r="Q988" s="1390"/>
      <c r="R988" s="1555">
        <f>IF(ISNA(IF($CU$122="4%",(INDEX($CS$160:$CW$217,MATCH($DG$122,$CR$160:$CR$217,0),MATCH(D988,$CS$159:$CW$159,0))),(INDEX($CZ$160:$DD$217,MATCH($DG$122,$CY$160:$CY$217,0),MATCH(D988,$CZ$159:$DD$159,0))))),0,IF($CU$122="4%",(INDEX($CS$160:$CW$217,MATCH($DG$122,$CR$160:$CR$217,0),MATCH(D988,$CS$159:$CW$159,0))),(INDEX($CZ$160:$DD$217,MATCH($DG$122,$CY$160:$CY$217,0),MATCH(D988,$CZ$159:$DD$159,0)))))</f>
        <v>461600</v>
      </c>
      <c r="S988" s="1555"/>
      <c r="T988" s="1555"/>
      <c r="U988" s="1555"/>
      <c r="V988" s="1555"/>
      <c r="W988" s="1555"/>
      <c r="X988" s="1555"/>
      <c r="Y988" s="1555"/>
      <c r="Z988" s="1555"/>
      <c r="AA988" s="1555"/>
      <c r="AB988" s="1391">
        <f>CZ802</f>
        <v>1</v>
      </c>
      <c r="AC988" s="1392"/>
      <c r="AD988" s="1392"/>
      <c r="AE988" s="1392"/>
      <c r="AF988" s="1392"/>
      <c r="AG988" s="1392"/>
      <c r="AH988" s="1392"/>
      <c r="AI988" s="1393"/>
      <c r="AJ988" s="1491">
        <f>IF(ISERROR((R988*AB988)),0,(R988*AB988))</f>
        <v>461600</v>
      </c>
      <c r="AK988" s="1492"/>
      <c r="AL988" s="1492"/>
      <c r="AM988" s="1492"/>
      <c r="AN988" s="1492"/>
      <c r="AO988" s="1492"/>
      <c r="AP988" s="1492"/>
      <c r="AQ988" s="1493"/>
      <c r="AR988" s="68"/>
      <c r="AS988" s="68"/>
      <c r="AT988" s="68"/>
      <c r="AU988" s="68"/>
      <c r="AV988" s="68"/>
      <c r="AW988" s="68"/>
      <c r="AX988" s="68"/>
      <c r="AY988" s="68"/>
      <c r="AZ988" s="30"/>
      <c r="BB988" s="14"/>
      <c r="BC988" s="14"/>
    </row>
    <row r="989" spans="1:64" ht="12.95" customHeight="1">
      <c r="A989" s="14"/>
      <c r="B989" s="73"/>
      <c r="C989" s="83"/>
      <c r="D989" s="1388" t="s">
        <v>164</v>
      </c>
      <c r="E989" s="1389"/>
      <c r="F989" s="1389"/>
      <c r="G989" s="1389"/>
      <c r="H989" s="1389"/>
      <c r="I989" s="1389"/>
      <c r="J989" s="1389"/>
      <c r="K989" s="1389"/>
      <c r="L989" s="1389"/>
      <c r="M989" s="1389"/>
      <c r="N989" s="1389"/>
      <c r="O989" s="1389"/>
      <c r="P989" s="1389"/>
      <c r="Q989" s="1390"/>
      <c r="R989" s="1555">
        <f>IF(ISNA(IF($CU$122="4%",(INDEX($CS$160:$CW$217,MATCH($DG$122,$CR$160:$CR$217,0),MATCH(D989,$CS$159:$CW$159,0))),(INDEX($CZ$160:$DD$217,MATCH($DG$122,$CY$160:$CY$217,0),MATCH(D989,$CZ$159:$DD$159,0))))),0,IF($CU$122="4%",(INDEX($CS$160:$CW$217,MATCH($DG$122,$CR$160:$CR$217,0),MATCH(D989,$CS$159:$CW$159,0))),(INDEX($CZ$160:$DD$217,MATCH($DG$122,$CY$160:$CY$217,0),MATCH(D989,$CZ$159:$DD$159,0)))))</f>
        <v>590848</v>
      </c>
      <c r="S989" s="1555"/>
      <c r="T989" s="1555"/>
      <c r="U989" s="1555"/>
      <c r="V989" s="1555"/>
      <c r="W989" s="1555"/>
      <c r="X989" s="1555"/>
      <c r="Y989" s="1555"/>
      <c r="Z989" s="1555"/>
      <c r="AA989" s="1555"/>
      <c r="AB989" s="1391">
        <f>DE802</f>
        <v>0</v>
      </c>
      <c r="AC989" s="1392"/>
      <c r="AD989" s="1392"/>
      <c r="AE989" s="1392"/>
      <c r="AF989" s="1392"/>
      <c r="AG989" s="1392"/>
      <c r="AH989" s="1392"/>
      <c r="AI989" s="1393"/>
      <c r="AJ989" s="1491">
        <f>IF(ISERROR((R989*AB989)),0,(R989*AB989))</f>
        <v>0</v>
      </c>
      <c r="AK989" s="1492"/>
      <c r="AL989" s="1492"/>
      <c r="AM989" s="1492"/>
      <c r="AN989" s="1492"/>
      <c r="AO989" s="1492"/>
      <c r="AP989" s="1492"/>
      <c r="AQ989" s="1493"/>
      <c r="AR989" s="68"/>
      <c r="AS989" s="68"/>
      <c r="AT989" s="68"/>
      <c r="AU989" s="68"/>
      <c r="AV989" s="68"/>
      <c r="AW989" s="68"/>
      <c r="AX989" s="68"/>
      <c r="AY989" s="68"/>
      <c r="AZ989" s="30"/>
      <c r="BA989" s="34"/>
      <c r="BB989" s="14"/>
      <c r="BC989" s="14"/>
    </row>
    <row r="990" spans="1:64" ht="12.95" customHeight="1">
      <c r="A990" s="14"/>
      <c r="B990" s="47"/>
      <c r="C990" s="78"/>
      <c r="D990" s="1388" t="s">
        <v>460</v>
      </c>
      <c r="E990" s="1389"/>
      <c r="F990" s="1389"/>
      <c r="G990" s="1389"/>
      <c r="H990" s="1389"/>
      <c r="I990" s="1389"/>
      <c r="J990" s="1389"/>
      <c r="K990" s="1389"/>
      <c r="L990" s="1389"/>
      <c r="M990" s="1389"/>
      <c r="N990" s="1389"/>
      <c r="O990" s="1389"/>
      <c r="P990" s="1389"/>
      <c r="Q990" s="1390"/>
      <c r="R990" s="1555">
        <f>IF(ISNA(IF($CU$122="4%",(INDEX($CS$160:$CW$217,MATCH($DG$122,$CR$160:$CR$217,0),MATCH(D990,$CS$159:$CW$159,0))),(INDEX($CZ$160:$DD$217,MATCH($DG$122,$CY$160:$CY$217,0),MATCH(D990,$CZ$159:$DD$159,0))))),0,IF($CU$122="4%",(INDEX($CS$160:$CW$217,MATCH($DG$122,$CR$160:$CR$217,0),MATCH(D990,$CS$159:$CW$159,0))),(INDEX($CZ$160:$DD$217,MATCH($DG$122,$CY$160:$CY$217,0),MATCH(D990,$CZ$159:$DD$159,0)))))</f>
        <v>658242</v>
      </c>
      <c r="S990" s="1555"/>
      <c r="T990" s="1555"/>
      <c r="U990" s="1555"/>
      <c r="V990" s="1555"/>
      <c r="W990" s="1555"/>
      <c r="X990" s="1555"/>
      <c r="Y990" s="1555"/>
      <c r="Z990" s="1555"/>
      <c r="AA990" s="1555"/>
      <c r="AB990" s="1391">
        <f>DO802+DJ802</f>
        <v>0</v>
      </c>
      <c r="AC990" s="1392"/>
      <c r="AD990" s="1392"/>
      <c r="AE990" s="1392"/>
      <c r="AF990" s="1392"/>
      <c r="AG990" s="1392"/>
      <c r="AH990" s="1392"/>
      <c r="AI990" s="1393"/>
      <c r="AJ990" s="1491">
        <f>IF(ISERROR((R990*AB990)),0,(R990*AB990))</f>
        <v>0</v>
      </c>
      <c r="AK990" s="1492"/>
      <c r="AL990" s="1492"/>
      <c r="AM990" s="1492"/>
      <c r="AN990" s="1492"/>
      <c r="AO990" s="1492"/>
      <c r="AP990" s="1492"/>
      <c r="AQ990" s="1493"/>
      <c r="AR990" s="68"/>
      <c r="AS990" s="68"/>
      <c r="AT990" s="68"/>
      <c r="AU990" s="68"/>
      <c r="AV990" s="68"/>
      <c r="AW990" s="68"/>
      <c r="AX990" s="68"/>
      <c r="AY990" s="68"/>
      <c r="AZ990" s="30"/>
      <c r="BB990" s="14"/>
      <c r="BC990" s="14"/>
    </row>
    <row r="991" spans="1:64" ht="12.95" customHeight="1">
      <c r="A991" s="14"/>
      <c r="B991" s="1609" t="s">
        <v>791</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1"/>
      <c r="AB991" s="1391">
        <f>SUM(AB986:AI990)</f>
        <v>81</v>
      </c>
      <c r="AC991" s="1392"/>
      <c r="AD991" s="1392"/>
      <c r="AE991" s="1392"/>
      <c r="AF991" s="1392"/>
      <c r="AG991" s="1392"/>
      <c r="AH991" s="1392"/>
      <c r="AI991" s="1393"/>
      <c r="AJ991" s="1491"/>
      <c r="AK991" s="1492"/>
      <c r="AL991" s="1492"/>
      <c r="AM991" s="1492"/>
      <c r="AN991" s="1492"/>
      <c r="AO991" s="1492"/>
      <c r="AP991" s="1492"/>
      <c r="AQ991" s="1493"/>
      <c r="AR991" s="68"/>
      <c r="AS991" s="68"/>
      <c r="AT991" s="68"/>
      <c r="AU991" s="68"/>
      <c r="AV991" s="68"/>
      <c r="AW991" s="68"/>
      <c r="AX991" s="68"/>
      <c r="AY991" s="68"/>
      <c r="AZ991" s="34"/>
      <c r="BA991" s="34"/>
      <c r="BB991" s="14"/>
      <c r="BC991" s="14"/>
    </row>
    <row r="992" spans="1:64" ht="12.95" customHeight="1">
      <c r="A992" s="14"/>
      <c r="B992" s="1577" t="s">
        <v>512</v>
      </c>
      <c r="C992" s="1578"/>
      <c r="D992" s="1578"/>
      <c r="E992" s="1578"/>
      <c r="F992" s="1578"/>
      <c r="G992" s="1578"/>
      <c r="H992" s="1578"/>
      <c r="I992" s="1578"/>
      <c r="J992" s="1578"/>
      <c r="K992" s="1578"/>
      <c r="L992" s="1578"/>
      <c r="M992" s="1578"/>
      <c r="N992" s="1578"/>
      <c r="O992" s="1578"/>
      <c r="P992" s="1578"/>
      <c r="Q992" s="1578"/>
      <c r="R992" s="1578"/>
      <c r="S992" s="1578"/>
      <c r="T992" s="1578"/>
      <c r="U992" s="1578"/>
      <c r="V992" s="1578"/>
      <c r="W992" s="1578"/>
      <c r="X992" s="1578"/>
      <c r="Y992" s="1578"/>
      <c r="Z992" s="1578"/>
      <c r="AA992" s="1578"/>
      <c r="AB992" s="1578"/>
      <c r="AC992" s="1578"/>
      <c r="AD992" s="1578"/>
      <c r="AE992" s="1578"/>
      <c r="AF992" s="1578"/>
      <c r="AG992" s="1578"/>
      <c r="AH992" s="1578"/>
      <c r="AI992" s="1579"/>
      <c r="AJ992" s="1491">
        <f>SUM(AJ986:AQ990)</f>
        <v>31074880</v>
      </c>
      <c r="AK992" s="1492"/>
      <c r="AL992" s="1492"/>
      <c r="AM992" s="1492"/>
      <c r="AN992" s="1492"/>
      <c r="AO992" s="1492"/>
      <c r="AP992" s="1492"/>
      <c r="AQ992" s="1493"/>
      <c r="AR992" s="68"/>
      <c r="AS992" s="68"/>
      <c r="AT992" s="68"/>
      <c r="AU992" s="68"/>
      <c r="AV992" s="68"/>
      <c r="AW992" s="68"/>
      <c r="AX992" s="68"/>
      <c r="AY992" s="68"/>
      <c r="AZ992" s="34"/>
      <c r="BB992" s="34"/>
      <c r="BC992" s="34"/>
    </row>
    <row r="993" spans="1:55" ht="12.95" customHeight="1">
      <c r="A993" s="14"/>
      <c r="B993" s="1494"/>
      <c r="C993" s="1495"/>
      <c r="D993" s="1495"/>
      <c r="E993" s="1495"/>
      <c r="F993" s="1495"/>
      <c r="G993" s="1495"/>
      <c r="H993" s="1495"/>
      <c r="I993" s="1495"/>
      <c r="J993" s="1495"/>
      <c r="K993" s="1495"/>
      <c r="L993" s="1495"/>
      <c r="M993" s="1495"/>
      <c r="N993" s="1495"/>
      <c r="O993" s="1495"/>
      <c r="P993" s="1495"/>
      <c r="Q993" s="1495"/>
      <c r="R993" s="1495"/>
      <c r="S993" s="1495"/>
      <c r="T993" s="1495"/>
      <c r="U993" s="1495"/>
      <c r="V993" s="1495"/>
      <c r="W993" s="1495"/>
      <c r="X993" s="1495"/>
      <c r="Y993" s="1495"/>
      <c r="Z993" s="1495"/>
      <c r="AA993" s="1495"/>
      <c r="AB993" s="1495"/>
      <c r="AC993" s="1495"/>
      <c r="AD993" s="1495"/>
      <c r="AE993" s="1496"/>
      <c r="AF993" s="1500" t="s">
        <v>666</v>
      </c>
      <c r="AG993" s="1501"/>
      <c r="AH993" s="1501"/>
      <c r="AI993" s="1502"/>
      <c r="AJ993" s="1494"/>
      <c r="AK993" s="1495"/>
      <c r="AL993" s="1495"/>
      <c r="AM993" s="1495"/>
      <c r="AN993" s="1495"/>
      <c r="AO993" s="1495"/>
      <c r="AP993" s="1495"/>
      <c r="AQ993" s="1496"/>
      <c r="AR993" s="68"/>
      <c r="AS993" s="68"/>
      <c r="AT993" s="68"/>
      <c r="AU993" s="68"/>
      <c r="AV993" s="68"/>
      <c r="AW993" s="68"/>
      <c r="AX993" s="68"/>
      <c r="AY993" s="68"/>
      <c r="AZ993" s="34"/>
      <c r="BA993" s="34"/>
      <c r="BB993" s="34"/>
      <c r="BC993" s="34"/>
    </row>
    <row r="994" spans="1:55" ht="12.95" customHeight="1">
      <c r="A994" s="14"/>
      <c r="B994" s="73"/>
      <c r="C994" s="927" t="s">
        <v>668</v>
      </c>
      <c r="D994" s="1507" t="s">
        <v>1220</v>
      </c>
      <c r="E994" s="1508"/>
      <c r="F994" s="1508"/>
      <c r="G994" s="1508"/>
      <c r="H994" s="1508"/>
      <c r="I994" s="1508"/>
      <c r="J994" s="1508"/>
      <c r="K994" s="1508"/>
      <c r="L994" s="1508"/>
      <c r="M994" s="1508"/>
      <c r="N994" s="1508"/>
      <c r="O994" s="1508"/>
      <c r="P994" s="1508"/>
      <c r="Q994" s="1508"/>
      <c r="R994" s="1508"/>
      <c r="S994" s="1508"/>
      <c r="T994" s="1508"/>
      <c r="U994" s="1508"/>
      <c r="V994" s="1508"/>
      <c r="W994" s="1508"/>
      <c r="X994" s="1508"/>
      <c r="Y994" s="1508"/>
      <c r="Z994" s="1508"/>
      <c r="AA994" s="1508"/>
      <c r="AB994" s="1508"/>
      <c r="AC994" s="1508"/>
      <c r="AD994" s="1508"/>
      <c r="AE994" s="1509"/>
      <c r="AF994" s="79"/>
      <c r="AG994" s="1503" t="s">
        <v>545</v>
      </c>
      <c r="AH994" s="1504"/>
      <c r="AI994" s="87"/>
      <c r="AJ994" s="1394">
        <f>ROUND(IF(AND(AG994="yes",D1000&gt;0),AJ992*0.2,0),0)</f>
        <v>6214976</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5" customHeight="1">
      <c r="A995" s="14"/>
      <c r="B995" s="257"/>
      <c r="C995" s="256"/>
      <c r="D995" s="1542" t="s">
        <v>2236</v>
      </c>
      <c r="E995" s="1543"/>
      <c r="F995" s="1543"/>
      <c r="G995" s="1543"/>
      <c r="H995" s="1543"/>
      <c r="I995" s="1543"/>
      <c r="J995" s="1543"/>
      <c r="K995" s="1543"/>
      <c r="L995" s="1543"/>
      <c r="M995" s="1543"/>
      <c r="N995" s="1543"/>
      <c r="O995" s="1543"/>
      <c r="P995" s="1543"/>
      <c r="Q995" s="1543"/>
      <c r="R995" s="1543"/>
      <c r="S995" s="1543"/>
      <c r="T995" s="1543"/>
      <c r="U995" s="1543"/>
      <c r="V995" s="1543"/>
      <c r="W995" s="1543"/>
      <c r="X995" s="1543"/>
      <c r="Y995" s="1543"/>
      <c r="Z995" s="1543"/>
      <c r="AA995" s="1543"/>
      <c r="AB995" s="1543"/>
      <c r="AC995" s="1543"/>
      <c r="AD995" s="1543"/>
      <c r="AE995" s="1544"/>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5" customHeight="1">
      <c r="A996" s="14"/>
      <c r="B996" s="257"/>
      <c r="C996" s="256"/>
      <c r="D996" s="1542"/>
      <c r="E996" s="1543"/>
      <c r="F996" s="1543"/>
      <c r="G996" s="1543"/>
      <c r="H996" s="1543"/>
      <c r="I996" s="1543"/>
      <c r="J996" s="1543"/>
      <c r="K996" s="1543"/>
      <c r="L996" s="1543"/>
      <c r="M996" s="1543"/>
      <c r="N996" s="1543"/>
      <c r="O996" s="1543"/>
      <c r="P996" s="1543"/>
      <c r="Q996" s="1543"/>
      <c r="R996" s="1543"/>
      <c r="S996" s="1543"/>
      <c r="T996" s="1543"/>
      <c r="U996" s="1543"/>
      <c r="V996" s="1543"/>
      <c r="W996" s="1543"/>
      <c r="X996" s="1543"/>
      <c r="Y996" s="1543"/>
      <c r="Z996" s="1543"/>
      <c r="AA996" s="1543"/>
      <c r="AB996" s="1543"/>
      <c r="AC996" s="1543"/>
      <c r="AD996" s="1543"/>
      <c r="AE996" s="1544"/>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5" customHeight="1">
      <c r="A997" s="14"/>
      <c r="B997" s="257"/>
      <c r="C997" s="256"/>
      <c r="D997" s="1542"/>
      <c r="E997" s="1543"/>
      <c r="F997" s="1543"/>
      <c r="G997" s="1543"/>
      <c r="H997" s="1543"/>
      <c r="I997" s="1543"/>
      <c r="J997" s="1543"/>
      <c r="K997" s="1543"/>
      <c r="L997" s="1543"/>
      <c r="M997" s="1543"/>
      <c r="N997" s="1543"/>
      <c r="O997" s="1543"/>
      <c r="P997" s="1543"/>
      <c r="Q997" s="1543"/>
      <c r="R997" s="1543"/>
      <c r="S997" s="1543"/>
      <c r="T997" s="1543"/>
      <c r="U997" s="1543"/>
      <c r="V997" s="1543"/>
      <c r="W997" s="1543"/>
      <c r="X997" s="1543"/>
      <c r="Y997" s="1543"/>
      <c r="Z997" s="1543"/>
      <c r="AA997" s="1543"/>
      <c r="AB997" s="1543"/>
      <c r="AC997" s="1543"/>
      <c r="AD997" s="1543"/>
      <c r="AE997" s="1544"/>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5" customHeight="1">
      <c r="A998" s="14"/>
      <c r="B998" s="257"/>
      <c r="C998" s="256"/>
      <c r="D998" s="1542"/>
      <c r="E998" s="1543"/>
      <c r="F998" s="1543"/>
      <c r="G998" s="1543"/>
      <c r="H998" s="1543"/>
      <c r="I998" s="1543"/>
      <c r="J998" s="1543"/>
      <c r="K998" s="1543"/>
      <c r="L998" s="1543"/>
      <c r="M998" s="1543"/>
      <c r="N998" s="1543"/>
      <c r="O998" s="1543"/>
      <c r="P998" s="1543"/>
      <c r="Q998" s="1543"/>
      <c r="R998" s="1543"/>
      <c r="S998" s="1543"/>
      <c r="T998" s="1543"/>
      <c r="U998" s="1543"/>
      <c r="V998" s="1543"/>
      <c r="W998" s="1543"/>
      <c r="X998" s="1543"/>
      <c r="Y998" s="1543"/>
      <c r="Z998" s="1543"/>
      <c r="AA998" s="1543"/>
      <c r="AB998" s="1543"/>
      <c r="AC998" s="1543"/>
      <c r="AD998" s="1543"/>
      <c r="AE998" s="1544"/>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5" customHeight="1">
      <c r="A999" s="14"/>
      <c r="B999" s="257"/>
      <c r="C999" s="256"/>
      <c r="D999" s="1545" t="s">
        <v>2206</v>
      </c>
      <c r="E999" s="1546"/>
      <c r="F999" s="1546"/>
      <c r="G999" s="1546"/>
      <c r="H999" s="1546"/>
      <c r="I999" s="1546"/>
      <c r="J999" s="1546"/>
      <c r="K999" s="1546"/>
      <c r="L999" s="1546"/>
      <c r="M999" s="1546"/>
      <c r="N999" s="1546"/>
      <c r="O999" s="1546"/>
      <c r="P999" s="1546"/>
      <c r="Q999" s="1546"/>
      <c r="R999" s="1546"/>
      <c r="S999" s="1546"/>
      <c r="T999" s="1546"/>
      <c r="U999" s="1546"/>
      <c r="V999" s="1546"/>
      <c r="W999" s="1546"/>
      <c r="X999" s="1546"/>
      <c r="Y999" s="1546"/>
      <c r="Z999" s="1546"/>
      <c r="AA999" s="1546"/>
      <c r="AB999" s="1546"/>
      <c r="AC999" s="1546"/>
      <c r="AD999" s="1546"/>
      <c r="AE999" s="1547"/>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5" customHeight="1">
      <c r="A1000" s="14"/>
      <c r="B1000" s="257"/>
      <c r="C1000" s="256"/>
      <c r="D1000" s="1612" t="s">
        <v>2618</v>
      </c>
      <c r="E1000" s="1613"/>
      <c r="F1000" s="1613"/>
      <c r="G1000" s="1613"/>
      <c r="H1000" s="1613"/>
      <c r="I1000" s="1613"/>
      <c r="J1000" s="1613"/>
      <c r="K1000" s="1613"/>
      <c r="L1000" s="1613"/>
      <c r="M1000" s="1613"/>
      <c r="N1000" s="1613"/>
      <c r="O1000" s="1613"/>
      <c r="P1000" s="1613"/>
      <c r="Q1000" s="1613"/>
      <c r="R1000" s="1613"/>
      <c r="S1000" s="1613"/>
      <c r="T1000" s="1613"/>
      <c r="U1000" s="1613"/>
      <c r="V1000" s="1613"/>
      <c r="W1000" s="1613"/>
      <c r="X1000" s="1613"/>
      <c r="Y1000" s="1613"/>
      <c r="Z1000" s="1613"/>
      <c r="AA1000" s="1613"/>
      <c r="AB1000" s="1613"/>
      <c r="AC1000" s="1613"/>
      <c r="AD1000" s="1613"/>
      <c r="AE1000" s="1614"/>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5" customHeight="1">
      <c r="A1001" s="14"/>
      <c r="B1001" s="255"/>
      <c r="C1001" s="318"/>
      <c r="D1001" s="1497" t="s">
        <v>1286</v>
      </c>
      <c r="E1001" s="1498"/>
      <c r="F1001" s="1498"/>
      <c r="G1001" s="1498"/>
      <c r="H1001" s="1498"/>
      <c r="I1001" s="1498"/>
      <c r="J1001" s="1498"/>
      <c r="K1001" s="1498"/>
      <c r="L1001" s="1498"/>
      <c r="M1001" s="1498"/>
      <c r="N1001" s="1498"/>
      <c r="O1001" s="1498"/>
      <c r="P1001" s="1498"/>
      <c r="Q1001" s="1498"/>
      <c r="R1001" s="1498"/>
      <c r="S1001" s="1498"/>
      <c r="T1001" s="1498"/>
      <c r="U1001" s="1498"/>
      <c r="V1001" s="1498"/>
      <c r="W1001" s="1498"/>
      <c r="X1001" s="1498"/>
      <c r="Y1001" s="1498"/>
      <c r="Z1001" s="1498"/>
      <c r="AA1001" s="1498"/>
      <c r="AB1001" s="1498"/>
      <c r="AC1001" s="1498"/>
      <c r="AD1001" s="1498"/>
      <c r="AE1001" s="1499"/>
      <c r="AF1001" s="79"/>
      <c r="AG1001" s="1505" t="s">
        <v>669</v>
      </c>
      <c r="AH1001" s="1506"/>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5" customHeight="1">
      <c r="A1002" s="14"/>
      <c r="B1002" s="257"/>
      <c r="C1002" s="82"/>
      <c r="D1002" s="1542" t="s">
        <v>1284</v>
      </c>
      <c r="E1002" s="1543"/>
      <c r="F1002" s="1543"/>
      <c r="G1002" s="1543"/>
      <c r="H1002" s="1543"/>
      <c r="I1002" s="1543"/>
      <c r="J1002" s="1543"/>
      <c r="K1002" s="1543"/>
      <c r="L1002" s="1543"/>
      <c r="M1002" s="1543"/>
      <c r="N1002" s="1543"/>
      <c r="O1002" s="1543"/>
      <c r="P1002" s="1543"/>
      <c r="Q1002" s="1543"/>
      <c r="R1002" s="1543"/>
      <c r="S1002" s="1543"/>
      <c r="T1002" s="1543"/>
      <c r="U1002" s="1543"/>
      <c r="V1002" s="1543"/>
      <c r="W1002" s="1543"/>
      <c r="X1002" s="1543"/>
      <c r="Y1002" s="1543"/>
      <c r="Z1002" s="1543"/>
      <c r="AA1002" s="1543"/>
      <c r="AB1002" s="1543"/>
      <c r="AC1002" s="1543"/>
      <c r="AD1002" s="1543"/>
      <c r="AE1002" s="1544"/>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5" customHeight="1">
      <c r="A1003" s="14"/>
      <c r="B1003" s="257"/>
      <c r="C1003" s="82"/>
      <c r="D1003" s="1542"/>
      <c r="E1003" s="1543"/>
      <c r="F1003" s="1543"/>
      <c r="G1003" s="1543"/>
      <c r="H1003" s="1543"/>
      <c r="I1003" s="1543"/>
      <c r="J1003" s="1543"/>
      <c r="K1003" s="1543"/>
      <c r="L1003" s="1543"/>
      <c r="M1003" s="1543"/>
      <c r="N1003" s="1543"/>
      <c r="O1003" s="1543"/>
      <c r="P1003" s="1543"/>
      <c r="Q1003" s="1543"/>
      <c r="R1003" s="1543"/>
      <c r="S1003" s="1543"/>
      <c r="T1003" s="1543"/>
      <c r="U1003" s="1543"/>
      <c r="V1003" s="1543"/>
      <c r="W1003" s="1543"/>
      <c r="X1003" s="1543"/>
      <c r="Y1003" s="1543"/>
      <c r="Z1003" s="1543"/>
      <c r="AA1003" s="1543"/>
      <c r="AB1003" s="1543"/>
      <c r="AC1003" s="1543"/>
      <c r="AD1003" s="1543"/>
      <c r="AE1003" s="1544"/>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80</v>
      </c>
      <c r="AZ1003" s="34"/>
      <c r="BB1003" s="34"/>
    </row>
    <row r="1004" spans="1:55" ht="12.95" customHeight="1">
      <c r="A1004" s="14"/>
      <c r="B1004" s="257"/>
      <c r="C1004" s="82"/>
      <c r="D1004" s="1542"/>
      <c r="E1004" s="1543"/>
      <c r="F1004" s="1543"/>
      <c r="G1004" s="1543"/>
      <c r="H1004" s="1543"/>
      <c r="I1004" s="1543"/>
      <c r="J1004" s="1543"/>
      <c r="K1004" s="1543"/>
      <c r="L1004" s="1543"/>
      <c r="M1004" s="1543"/>
      <c r="N1004" s="1543"/>
      <c r="O1004" s="1543"/>
      <c r="P1004" s="1543"/>
      <c r="Q1004" s="1543"/>
      <c r="R1004" s="1543"/>
      <c r="S1004" s="1543"/>
      <c r="T1004" s="1543"/>
      <c r="U1004" s="1543"/>
      <c r="V1004" s="1543"/>
      <c r="W1004" s="1543"/>
      <c r="X1004" s="1543"/>
      <c r="Y1004" s="1543"/>
      <c r="Z1004" s="1543"/>
      <c r="AA1004" s="1543"/>
      <c r="AB1004" s="1543"/>
      <c r="AC1004" s="1543"/>
      <c r="AD1004" s="1543"/>
      <c r="AE1004" s="1544"/>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5" customHeight="1">
      <c r="A1005" s="14"/>
      <c r="B1005" s="257"/>
      <c r="C1005" s="82"/>
      <c r="D1005" s="1542"/>
      <c r="E1005" s="1543"/>
      <c r="F1005" s="1543"/>
      <c r="G1005" s="1543"/>
      <c r="H1005" s="1543"/>
      <c r="I1005" s="1543"/>
      <c r="J1005" s="1543"/>
      <c r="K1005" s="1543"/>
      <c r="L1005" s="1543"/>
      <c r="M1005" s="1543"/>
      <c r="N1005" s="1543"/>
      <c r="O1005" s="1543"/>
      <c r="P1005" s="1543"/>
      <c r="Q1005" s="1543"/>
      <c r="R1005" s="1543"/>
      <c r="S1005" s="1543"/>
      <c r="T1005" s="1543"/>
      <c r="U1005" s="1543"/>
      <c r="V1005" s="1543"/>
      <c r="W1005" s="1543"/>
      <c r="X1005" s="1543"/>
      <c r="Y1005" s="1543"/>
      <c r="Z1005" s="1543"/>
      <c r="AA1005" s="1543"/>
      <c r="AB1005" s="1543"/>
      <c r="AC1005" s="1543"/>
      <c r="AD1005" s="1543"/>
      <c r="AE1005" s="1544"/>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0.5</v>
      </c>
      <c r="AZ1005" s="34"/>
      <c r="BB1005" s="34"/>
    </row>
    <row r="1006" spans="1:55" ht="12.95" customHeight="1">
      <c r="A1006" s="14"/>
      <c r="B1006" s="75"/>
      <c r="C1006" s="76"/>
      <c r="D1006" s="1545"/>
      <c r="E1006" s="1546"/>
      <c r="F1006" s="1546"/>
      <c r="G1006" s="1546"/>
      <c r="H1006" s="1546"/>
      <c r="I1006" s="1546"/>
      <c r="J1006" s="1546"/>
      <c r="K1006" s="1546"/>
      <c r="L1006" s="1546"/>
      <c r="M1006" s="1546"/>
      <c r="N1006" s="1546"/>
      <c r="O1006" s="1546"/>
      <c r="P1006" s="1546"/>
      <c r="Q1006" s="1546"/>
      <c r="R1006" s="1546"/>
      <c r="S1006" s="1546"/>
      <c r="T1006" s="1546"/>
      <c r="U1006" s="1546"/>
      <c r="V1006" s="1546"/>
      <c r="W1006" s="1546"/>
      <c r="X1006" s="1546"/>
      <c r="Y1006" s="1546"/>
      <c r="Z1006" s="1546"/>
      <c r="AA1006" s="1546"/>
      <c r="AB1006" s="1546"/>
      <c r="AC1006" s="1546"/>
      <c r="AD1006" s="1546"/>
      <c r="AE1006" s="1547"/>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0.5</v>
      </c>
      <c r="AZ1006" s="34"/>
      <c r="BB1006" s="34"/>
    </row>
    <row r="1007" spans="1:55" ht="12.95" customHeight="1">
      <c r="A1007" s="14"/>
      <c r="B1007" s="255"/>
      <c r="C1007" s="80" t="s">
        <v>672</v>
      </c>
      <c r="D1007" s="1497" t="s">
        <v>1683</v>
      </c>
      <c r="E1007" s="1498"/>
      <c r="F1007" s="1498"/>
      <c r="G1007" s="1498"/>
      <c r="H1007" s="1498"/>
      <c r="I1007" s="1498"/>
      <c r="J1007" s="1498"/>
      <c r="K1007" s="1498"/>
      <c r="L1007" s="1498"/>
      <c r="M1007" s="1498"/>
      <c r="N1007" s="1498"/>
      <c r="O1007" s="1498"/>
      <c r="P1007" s="1498"/>
      <c r="Q1007" s="1498"/>
      <c r="R1007" s="1498"/>
      <c r="S1007" s="1498"/>
      <c r="T1007" s="1498"/>
      <c r="U1007" s="1498"/>
      <c r="V1007" s="1498"/>
      <c r="W1007" s="1498"/>
      <c r="X1007" s="1498"/>
      <c r="Y1007" s="1498"/>
      <c r="Z1007" s="1498"/>
      <c r="AA1007" s="1498"/>
      <c r="AB1007" s="1498"/>
      <c r="AC1007" s="1498"/>
      <c r="AD1007" s="1498"/>
      <c r="AE1007" s="1499"/>
      <c r="AF1007" s="86"/>
      <c r="AG1007" s="1505" t="s">
        <v>669</v>
      </c>
      <c r="AH1007" s="1506"/>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5" customHeight="1">
      <c r="A1008" s="14"/>
      <c r="B1008" s="73"/>
      <c r="C1008" s="74"/>
      <c r="D1008" s="1510" t="s">
        <v>1285</v>
      </c>
      <c r="E1008" s="1511"/>
      <c r="F1008" s="1511"/>
      <c r="G1008" s="1511"/>
      <c r="H1008" s="1511"/>
      <c r="I1008" s="1511"/>
      <c r="J1008" s="1511"/>
      <c r="K1008" s="1511"/>
      <c r="L1008" s="1511"/>
      <c r="M1008" s="1511"/>
      <c r="N1008" s="1511"/>
      <c r="O1008" s="1511"/>
      <c r="P1008" s="1511"/>
      <c r="Q1008" s="1511"/>
      <c r="R1008" s="1511"/>
      <c r="S1008" s="1511"/>
      <c r="T1008" s="1511"/>
      <c r="U1008" s="1511"/>
      <c r="V1008" s="1511"/>
      <c r="W1008" s="1511"/>
      <c r="X1008" s="1511"/>
      <c r="Y1008" s="1511"/>
      <c r="Z1008" s="1511"/>
      <c r="AA1008" s="1511"/>
      <c r="AB1008" s="1511"/>
      <c r="AC1008" s="1511"/>
      <c r="AD1008" s="1511"/>
      <c r="AE1008" s="1512"/>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2.95" customHeight="1">
      <c r="A1009" s="14"/>
      <c r="B1009" s="73"/>
      <c r="C1009" s="74"/>
      <c r="D1009" s="1510"/>
      <c r="E1009" s="1511"/>
      <c r="F1009" s="1511"/>
      <c r="G1009" s="1511"/>
      <c r="H1009" s="1511"/>
      <c r="I1009" s="1511"/>
      <c r="J1009" s="1511"/>
      <c r="K1009" s="1511"/>
      <c r="L1009" s="1511"/>
      <c r="M1009" s="1511"/>
      <c r="N1009" s="1511"/>
      <c r="O1009" s="1511"/>
      <c r="P1009" s="1511"/>
      <c r="Q1009" s="1511"/>
      <c r="R1009" s="1511"/>
      <c r="S1009" s="1511"/>
      <c r="T1009" s="1511"/>
      <c r="U1009" s="1511"/>
      <c r="V1009" s="1511"/>
      <c r="W1009" s="1511"/>
      <c r="X1009" s="1511"/>
      <c r="Y1009" s="1511"/>
      <c r="Z1009" s="1511"/>
      <c r="AA1009" s="1511"/>
      <c r="AB1009" s="1511"/>
      <c r="AC1009" s="1511"/>
      <c r="AD1009" s="1511"/>
      <c r="AE1009" s="1512"/>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2.95" customHeight="1">
      <c r="A1010" s="14"/>
      <c r="B1010" s="85"/>
      <c r="C1010" s="76"/>
      <c r="D1010" s="1513"/>
      <c r="E1010" s="1514"/>
      <c r="F1010" s="1514"/>
      <c r="G1010" s="1514"/>
      <c r="H1010" s="1514"/>
      <c r="I1010" s="1514"/>
      <c r="J1010" s="1514"/>
      <c r="K1010" s="1514"/>
      <c r="L1010" s="1514"/>
      <c r="M1010" s="1514"/>
      <c r="N1010" s="1514"/>
      <c r="O1010" s="1514"/>
      <c r="P1010" s="1514"/>
      <c r="Q1010" s="1514"/>
      <c r="R1010" s="1514"/>
      <c r="S1010" s="1514"/>
      <c r="T1010" s="1514"/>
      <c r="U1010" s="1514"/>
      <c r="V1010" s="1514"/>
      <c r="W1010" s="1514"/>
      <c r="X1010" s="1514"/>
      <c r="Y1010" s="1514"/>
      <c r="Z1010" s="1514"/>
      <c r="AA1010" s="1514"/>
      <c r="AB1010" s="1514"/>
      <c r="AC1010" s="1514"/>
      <c r="AD1010" s="1514"/>
      <c r="AE1010" s="1515"/>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2.95" customHeight="1">
      <c r="A1011" s="14"/>
      <c r="B1011" s="79"/>
      <c r="C1011" s="80" t="s">
        <v>211</v>
      </c>
      <c r="D1011" s="1497" t="s">
        <v>1287</v>
      </c>
      <c r="E1011" s="1498"/>
      <c r="F1011" s="1498"/>
      <c r="G1011" s="1498"/>
      <c r="H1011" s="1498"/>
      <c r="I1011" s="1498"/>
      <c r="J1011" s="1498"/>
      <c r="K1011" s="1498"/>
      <c r="L1011" s="1498"/>
      <c r="M1011" s="1498"/>
      <c r="N1011" s="1498"/>
      <c r="O1011" s="1498"/>
      <c r="P1011" s="1498"/>
      <c r="Q1011" s="1498"/>
      <c r="R1011" s="1498"/>
      <c r="S1011" s="1498"/>
      <c r="T1011" s="1498"/>
      <c r="U1011" s="1498"/>
      <c r="V1011" s="1498"/>
      <c r="W1011" s="1498"/>
      <c r="X1011" s="1498"/>
      <c r="Y1011" s="1498"/>
      <c r="Z1011" s="1498"/>
      <c r="AA1011" s="1498"/>
      <c r="AB1011" s="1498"/>
      <c r="AC1011" s="1498"/>
      <c r="AD1011" s="1498"/>
      <c r="AE1011" s="1499"/>
      <c r="AF1011" s="79"/>
      <c r="AG1011" s="1505" t="s">
        <v>669</v>
      </c>
      <c r="AH1011" s="1506"/>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3" t="s">
        <v>1288</v>
      </c>
      <c r="E1012" s="1514"/>
      <c r="F1012" s="1514"/>
      <c r="G1012" s="1514"/>
      <c r="H1012" s="1514"/>
      <c r="I1012" s="1514"/>
      <c r="J1012" s="1514"/>
      <c r="K1012" s="1514"/>
      <c r="L1012" s="1514"/>
      <c r="M1012" s="1514"/>
      <c r="N1012" s="1514"/>
      <c r="O1012" s="1514"/>
      <c r="P1012" s="1514"/>
      <c r="Q1012" s="1514"/>
      <c r="R1012" s="1514"/>
      <c r="S1012" s="1514"/>
      <c r="T1012" s="1514"/>
      <c r="U1012" s="1514"/>
      <c r="V1012" s="1514"/>
      <c r="W1012" s="1514"/>
      <c r="X1012" s="1514"/>
      <c r="Y1012" s="1514"/>
      <c r="Z1012" s="1514"/>
      <c r="AA1012" s="1514"/>
      <c r="AB1012" s="1514"/>
      <c r="AC1012" s="1514"/>
      <c r="AD1012" s="1514"/>
      <c r="AE1012" s="1515"/>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2.95" customHeight="1">
      <c r="A1013" s="14"/>
      <c r="B1013" s="79"/>
      <c r="C1013" s="80" t="s">
        <v>214</v>
      </c>
      <c r="D1013" s="1497" t="s">
        <v>1289</v>
      </c>
      <c r="E1013" s="1498"/>
      <c r="F1013" s="1498"/>
      <c r="G1013" s="1498"/>
      <c r="H1013" s="1498"/>
      <c r="I1013" s="1498"/>
      <c r="J1013" s="1498"/>
      <c r="K1013" s="1498"/>
      <c r="L1013" s="1498"/>
      <c r="M1013" s="1498"/>
      <c r="N1013" s="1498"/>
      <c r="O1013" s="1498"/>
      <c r="P1013" s="1498"/>
      <c r="Q1013" s="1498"/>
      <c r="R1013" s="1498"/>
      <c r="S1013" s="1498"/>
      <c r="T1013" s="1498"/>
      <c r="U1013" s="1498"/>
      <c r="V1013" s="1498"/>
      <c r="W1013" s="1498"/>
      <c r="X1013" s="1498"/>
      <c r="Y1013" s="1498"/>
      <c r="Z1013" s="1498"/>
      <c r="AA1013" s="1498"/>
      <c r="AB1013" s="1498"/>
      <c r="AC1013" s="1498"/>
      <c r="AD1013" s="1498"/>
      <c r="AE1013" s="1499"/>
      <c r="AF1013" s="79"/>
      <c r="AG1013" s="1505" t="s">
        <v>545</v>
      </c>
      <c r="AH1013" s="1506"/>
      <c r="AI1013" s="79"/>
      <c r="AJ1013" s="1394">
        <f>ROUND(IF(AG1013="yes",AJ992*0.02,0),0)</f>
        <v>621498</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10" t="s">
        <v>1290</v>
      </c>
      <c r="E1014" s="1511"/>
      <c r="F1014" s="1511"/>
      <c r="G1014" s="1511"/>
      <c r="H1014" s="1511"/>
      <c r="I1014" s="1511"/>
      <c r="J1014" s="1511"/>
      <c r="K1014" s="1511"/>
      <c r="L1014" s="1511"/>
      <c r="M1014" s="1511"/>
      <c r="N1014" s="1511"/>
      <c r="O1014" s="1511"/>
      <c r="P1014" s="1511"/>
      <c r="Q1014" s="1511"/>
      <c r="R1014" s="1511"/>
      <c r="S1014" s="1511"/>
      <c r="T1014" s="1511"/>
      <c r="U1014" s="1511"/>
      <c r="V1014" s="1511"/>
      <c r="W1014" s="1511"/>
      <c r="X1014" s="1511"/>
      <c r="Y1014" s="1511"/>
      <c r="Z1014" s="1511"/>
      <c r="AA1014" s="1511"/>
      <c r="AB1014" s="1511"/>
      <c r="AC1014" s="1511"/>
      <c r="AD1014" s="1511"/>
      <c r="AE1014" s="1512"/>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3"/>
      <c r="E1015" s="1514"/>
      <c r="F1015" s="1514"/>
      <c r="G1015" s="1514"/>
      <c r="H1015" s="1514"/>
      <c r="I1015" s="1514"/>
      <c r="J1015" s="1514"/>
      <c r="K1015" s="1514"/>
      <c r="L1015" s="1514"/>
      <c r="M1015" s="1514"/>
      <c r="N1015" s="1514"/>
      <c r="O1015" s="1514"/>
      <c r="P1015" s="1514"/>
      <c r="Q1015" s="1514"/>
      <c r="R1015" s="1514"/>
      <c r="S1015" s="1514"/>
      <c r="T1015" s="1514"/>
      <c r="U1015" s="1514"/>
      <c r="V1015" s="1514"/>
      <c r="W1015" s="1514"/>
      <c r="X1015" s="1514"/>
      <c r="Y1015" s="1514"/>
      <c r="Z1015" s="1514"/>
      <c r="AA1015" s="1514"/>
      <c r="AB1015" s="1514"/>
      <c r="AC1015" s="1514"/>
      <c r="AD1015" s="1514"/>
      <c r="AE1015" s="1515"/>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3"/>
        <v>0</v>
      </c>
      <c r="AZ1015" s="1255">
        <v>0.05</v>
      </c>
    </row>
    <row r="1016" spans="1:52" ht="12.95" customHeight="1">
      <c r="A1016" s="14"/>
      <c r="B1016" s="79"/>
      <c r="C1016" s="80" t="s">
        <v>217</v>
      </c>
      <c r="D1016" s="1507" t="s">
        <v>2237</v>
      </c>
      <c r="E1016" s="1508"/>
      <c r="F1016" s="1508"/>
      <c r="G1016" s="1508"/>
      <c r="H1016" s="1508"/>
      <c r="I1016" s="1508"/>
      <c r="J1016" s="1508"/>
      <c r="K1016" s="1508"/>
      <c r="L1016" s="1508"/>
      <c r="M1016" s="1508"/>
      <c r="N1016" s="1508"/>
      <c r="O1016" s="1508"/>
      <c r="P1016" s="1508"/>
      <c r="Q1016" s="1508"/>
      <c r="R1016" s="1508"/>
      <c r="S1016" s="1508"/>
      <c r="T1016" s="1508"/>
      <c r="U1016" s="1508"/>
      <c r="V1016" s="1508"/>
      <c r="W1016" s="1508"/>
      <c r="X1016" s="1508"/>
      <c r="Y1016" s="1508"/>
      <c r="Z1016" s="1508"/>
      <c r="AA1016" s="1508"/>
      <c r="AB1016" s="1508"/>
      <c r="AC1016" s="1508"/>
      <c r="AD1016" s="1508"/>
      <c r="AE1016" s="1509"/>
      <c r="AF1016" s="79"/>
      <c r="AG1016" s="1505" t="s">
        <v>545</v>
      </c>
      <c r="AH1016" s="1506"/>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3"/>
        <v>0</v>
      </c>
      <c r="AZ1016" s="1255">
        <v>0.02</v>
      </c>
    </row>
    <row r="1017" spans="1:52" ht="12.95" customHeight="1">
      <c r="A1017" s="14"/>
      <c r="B1017" s="73"/>
      <c r="C1017" s="74"/>
      <c r="D1017" s="1510" t="s">
        <v>1291</v>
      </c>
      <c r="E1017" s="1511"/>
      <c r="F1017" s="1511"/>
      <c r="G1017" s="1511"/>
      <c r="H1017" s="1511"/>
      <c r="I1017" s="1511"/>
      <c r="J1017" s="1511"/>
      <c r="K1017" s="1511"/>
      <c r="L1017" s="1511"/>
      <c r="M1017" s="1511"/>
      <c r="N1017" s="1511"/>
      <c r="O1017" s="1511"/>
      <c r="P1017" s="1511"/>
      <c r="Q1017" s="1511"/>
      <c r="R1017" s="1511"/>
      <c r="S1017" s="1511"/>
      <c r="T1017" s="1511"/>
      <c r="U1017" s="1511"/>
      <c r="V1017" s="1511"/>
      <c r="W1017" s="1511"/>
      <c r="X1017" s="1511"/>
      <c r="Y1017" s="1511"/>
      <c r="Z1017" s="1511"/>
      <c r="AA1017" s="1511"/>
      <c r="AB1017" s="1511"/>
      <c r="AC1017" s="1511"/>
      <c r="AD1017" s="1511"/>
      <c r="AE1017" s="1512"/>
      <c r="AF1017" s="1375" t="str">
        <f>IF(AND(AG1016="Yes",AY1024=0),AY1027,"")</f>
        <v>Select items beginning on row #1061 to claim this boost</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3"/>
        <v>0</v>
      </c>
      <c r="AZ1017" s="1255">
        <v>0.04</v>
      </c>
    </row>
    <row r="1018" spans="1:52" ht="12.95" customHeight="1">
      <c r="A1018" s="14"/>
      <c r="B1018" s="73"/>
      <c r="C1018" s="74"/>
      <c r="D1018" s="1510"/>
      <c r="E1018" s="1511"/>
      <c r="F1018" s="1511"/>
      <c r="G1018" s="1511"/>
      <c r="H1018" s="1511"/>
      <c r="I1018" s="1511"/>
      <c r="J1018" s="1511"/>
      <c r="K1018" s="1511"/>
      <c r="L1018" s="1511"/>
      <c r="M1018" s="1511"/>
      <c r="N1018" s="1511"/>
      <c r="O1018" s="1511"/>
      <c r="P1018" s="1511"/>
      <c r="Q1018" s="1511"/>
      <c r="R1018" s="1511"/>
      <c r="S1018" s="1511"/>
      <c r="T1018" s="1511"/>
      <c r="U1018" s="1511"/>
      <c r="V1018" s="1511"/>
      <c r="W1018" s="1511"/>
      <c r="X1018" s="1511"/>
      <c r="Y1018" s="1511"/>
      <c r="Z1018" s="1511"/>
      <c r="AA1018" s="1511"/>
      <c r="AB1018" s="1511"/>
      <c r="AC1018" s="1511"/>
      <c r="AD1018" s="1511"/>
      <c r="AE1018" s="1512"/>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3"/>
        <v>0</v>
      </c>
      <c r="AZ1018" s="1255">
        <v>0.04</v>
      </c>
    </row>
    <row r="1019" spans="1:52" ht="12.95" customHeight="1">
      <c r="A1019" s="14"/>
      <c r="B1019" s="81"/>
      <c r="C1019" s="82"/>
      <c r="D1019" s="1513"/>
      <c r="E1019" s="1514"/>
      <c r="F1019" s="1514"/>
      <c r="G1019" s="1514"/>
      <c r="H1019" s="1514"/>
      <c r="I1019" s="1514"/>
      <c r="J1019" s="1514"/>
      <c r="K1019" s="1514"/>
      <c r="L1019" s="1514"/>
      <c r="M1019" s="1514"/>
      <c r="N1019" s="1514"/>
      <c r="O1019" s="1514"/>
      <c r="P1019" s="1514"/>
      <c r="Q1019" s="1514"/>
      <c r="R1019" s="1514"/>
      <c r="S1019" s="1514"/>
      <c r="T1019" s="1514"/>
      <c r="U1019" s="1514"/>
      <c r="V1019" s="1514"/>
      <c r="W1019" s="1514"/>
      <c r="X1019" s="1514"/>
      <c r="Y1019" s="1514"/>
      <c r="Z1019" s="1514"/>
      <c r="AA1019" s="1514"/>
      <c r="AB1019" s="1514"/>
      <c r="AC1019" s="1514"/>
      <c r="AD1019" s="1514"/>
      <c r="AE1019" s="1515"/>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3"/>
        <v>0</v>
      </c>
      <c r="AZ1019" s="1255">
        <v>0.01</v>
      </c>
    </row>
    <row r="1020" spans="1:52" ht="12.95" customHeight="1">
      <c r="A1020" s="14"/>
      <c r="B1020" s="79"/>
      <c r="C1020" s="80" t="s">
        <v>222</v>
      </c>
      <c r="D1020" s="1524" t="s">
        <v>1292</v>
      </c>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6"/>
      <c r="AF1020" s="79"/>
      <c r="AG1020" s="1505" t="s">
        <v>669</v>
      </c>
      <c r="AH1020" s="1506"/>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3"/>
        <v>0</v>
      </c>
      <c r="AZ1020" s="1255">
        <v>0.01</v>
      </c>
    </row>
    <row r="1021" spans="1:52" ht="12.95" customHeight="1">
      <c r="A1021" s="14"/>
      <c r="B1021" s="81"/>
      <c r="C1021" s="84"/>
      <c r="D1021" s="1527"/>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16" t="str">
        <f>IF(AG1020="yes","Please Select Type and Enter Amount:","")</f>
        <v/>
      </c>
      <c r="AG1021" s="1517"/>
      <c r="AH1021" s="1517"/>
      <c r="AI1021" s="1518"/>
      <c r="AJ1021" s="1397"/>
      <c r="AK1021" s="1398"/>
      <c r="AL1021" s="1398"/>
      <c r="AM1021" s="1398"/>
      <c r="AN1021" s="1398"/>
      <c r="AO1021" s="1398"/>
      <c r="AP1021" s="1398"/>
      <c r="AQ1021" s="1399"/>
      <c r="AR1021" s="68"/>
      <c r="AS1021" s="68"/>
      <c r="AT1021" s="68"/>
      <c r="AU1021" s="68"/>
      <c r="AV1021" s="68"/>
      <c r="AW1021" s="68"/>
      <c r="AX1021" s="3">
        <v>9</v>
      </c>
      <c r="AY1021" s="200">
        <f t="shared" si="53"/>
        <v>0</v>
      </c>
      <c r="AZ1021" s="1255">
        <v>0.01</v>
      </c>
    </row>
    <row r="1022" spans="1:52" ht="12.95" customHeight="1">
      <c r="A1022" s="14"/>
      <c r="B1022" s="81"/>
      <c r="C1022" s="84"/>
      <c r="D1022" s="1510" t="s">
        <v>1293</v>
      </c>
      <c r="E1022" s="1511"/>
      <c r="F1022" s="1511"/>
      <c r="G1022" s="1511"/>
      <c r="H1022" s="1511"/>
      <c r="I1022" s="1511"/>
      <c r="J1022" s="1511"/>
      <c r="K1022" s="1511"/>
      <c r="L1022" s="1511"/>
      <c r="M1022" s="1511"/>
      <c r="N1022" s="1511"/>
      <c r="O1022" s="1511"/>
      <c r="P1022" s="1511"/>
      <c r="Q1022" s="1511"/>
      <c r="R1022" s="1511"/>
      <c r="S1022" s="1511"/>
      <c r="T1022" s="1511"/>
      <c r="U1022" s="1511"/>
      <c r="V1022" s="1511"/>
      <c r="W1022" s="1511"/>
      <c r="X1022" s="1511"/>
      <c r="Y1022" s="1511"/>
      <c r="Z1022" s="1511"/>
      <c r="AA1022" s="1511"/>
      <c r="AB1022" s="1511"/>
      <c r="AC1022" s="1511"/>
      <c r="AD1022" s="1511"/>
      <c r="AE1022" s="1512"/>
      <c r="AF1022" s="1516"/>
      <c r="AG1022" s="1517"/>
      <c r="AH1022" s="1517"/>
      <c r="AI1022" s="1518"/>
      <c r="AJ1022" s="1397"/>
      <c r="AK1022" s="1398"/>
      <c r="AL1022" s="1398"/>
      <c r="AM1022" s="1398"/>
      <c r="AN1022" s="1398"/>
      <c r="AO1022" s="1398"/>
      <c r="AP1022" s="1398"/>
      <c r="AQ1022" s="1399"/>
      <c r="AR1022" s="68"/>
      <c r="AS1022" s="68"/>
      <c r="AT1022" s="68"/>
      <c r="AU1022" s="68"/>
      <c r="AV1022" s="68"/>
      <c r="AW1022" s="68"/>
      <c r="AX1022" s="3">
        <v>10</v>
      </c>
      <c r="AY1022" s="200">
        <f t="shared" si="53"/>
        <v>0</v>
      </c>
      <c r="AZ1022" s="1255">
        <v>0.02</v>
      </c>
    </row>
    <row r="1023" spans="1:52" ht="12.95" customHeight="1">
      <c r="A1023" s="14"/>
      <c r="B1023" s="81"/>
      <c r="C1023" s="84"/>
      <c r="D1023" s="1510"/>
      <c r="E1023" s="1511"/>
      <c r="F1023" s="1511"/>
      <c r="G1023" s="1511"/>
      <c r="H1023" s="1511"/>
      <c r="I1023" s="1511"/>
      <c r="J1023" s="1511"/>
      <c r="K1023" s="1511"/>
      <c r="L1023" s="1511"/>
      <c r="M1023" s="1511"/>
      <c r="N1023" s="1511"/>
      <c r="O1023" s="1511"/>
      <c r="P1023" s="1511"/>
      <c r="Q1023" s="1511"/>
      <c r="R1023" s="1511"/>
      <c r="S1023" s="1511"/>
      <c r="T1023" s="1511"/>
      <c r="U1023" s="1511"/>
      <c r="V1023" s="1511"/>
      <c r="W1023" s="1511"/>
      <c r="X1023" s="1511"/>
      <c r="Y1023" s="1511"/>
      <c r="Z1023" s="1511"/>
      <c r="AA1023" s="1511"/>
      <c r="AB1023" s="1511"/>
      <c r="AC1023" s="1511"/>
      <c r="AD1023" s="1511"/>
      <c r="AE1023" s="1512"/>
      <c r="AF1023" s="1559"/>
      <c r="AG1023" s="1559"/>
      <c r="AH1023" s="1559"/>
      <c r="AI1023" s="1559"/>
      <c r="AJ1023" s="1397"/>
      <c r="AK1023" s="1398"/>
      <c r="AL1023" s="1398"/>
      <c r="AM1023" s="1398"/>
      <c r="AN1023" s="1398"/>
      <c r="AO1023" s="1398"/>
      <c r="AP1023" s="1398"/>
      <c r="AQ1023" s="1399"/>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488" t="s">
        <v>591</v>
      </c>
      <c r="K1024" s="1489"/>
      <c r="L1024" s="1489"/>
      <c r="M1024" s="1489"/>
      <c r="N1024" s="1489"/>
      <c r="O1024" s="1489"/>
      <c r="P1024" s="1489"/>
      <c r="Q1024" s="1489"/>
      <c r="R1024" s="1489"/>
      <c r="S1024" s="1489"/>
      <c r="T1024" s="1489"/>
      <c r="U1024" s="1489"/>
      <c r="V1024" s="1489"/>
      <c r="W1024" s="1489"/>
      <c r="X1024" s="1489"/>
      <c r="Y1024" s="1489"/>
      <c r="Z1024" s="1489"/>
      <c r="AA1024" s="1489"/>
      <c r="AB1024" s="1489"/>
      <c r="AC1024" s="1489"/>
      <c r="AD1024" s="1489"/>
      <c r="AE1024" s="1490"/>
      <c r="AF1024" s="1559"/>
      <c r="AG1024" s="1559"/>
      <c r="AH1024" s="1559"/>
      <c r="AI1024" s="1559"/>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2.95" customHeight="1">
      <c r="A1025" s="14"/>
      <c r="B1025" s="79"/>
      <c r="C1025" s="80" t="s">
        <v>228</v>
      </c>
      <c r="D1025" s="1497" t="s">
        <v>1294</v>
      </c>
      <c r="E1025" s="1498"/>
      <c r="F1025" s="1498"/>
      <c r="G1025" s="1498"/>
      <c r="H1025" s="1498"/>
      <c r="I1025" s="1498"/>
      <c r="J1025" s="1498"/>
      <c r="K1025" s="1498"/>
      <c r="L1025" s="1498"/>
      <c r="M1025" s="1498"/>
      <c r="N1025" s="1498"/>
      <c r="O1025" s="1498"/>
      <c r="P1025" s="1498"/>
      <c r="Q1025" s="1498"/>
      <c r="R1025" s="1498"/>
      <c r="S1025" s="1498"/>
      <c r="T1025" s="1498"/>
      <c r="U1025" s="1498"/>
      <c r="V1025" s="1498"/>
      <c r="W1025" s="1498"/>
      <c r="X1025" s="1498"/>
      <c r="Y1025" s="1498"/>
      <c r="Z1025" s="1498"/>
      <c r="AA1025" s="1498"/>
      <c r="AB1025" s="1498"/>
      <c r="AC1025" s="1498"/>
      <c r="AD1025" s="1498"/>
      <c r="AE1025" s="1499"/>
      <c r="AF1025" s="79"/>
      <c r="AG1025" s="1505" t="s">
        <v>669</v>
      </c>
      <c r="AH1025" s="1506"/>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2.95" customHeight="1">
      <c r="A1026" s="14"/>
      <c r="B1026" s="73"/>
      <c r="C1026" s="74"/>
      <c r="D1026" s="1510" t="s">
        <v>1690</v>
      </c>
      <c r="E1026" s="1511"/>
      <c r="F1026" s="1511"/>
      <c r="G1026" s="1511"/>
      <c r="H1026" s="1511"/>
      <c r="I1026" s="1511"/>
      <c r="J1026" s="1511"/>
      <c r="K1026" s="1511"/>
      <c r="L1026" s="1511"/>
      <c r="M1026" s="1511"/>
      <c r="N1026" s="1511"/>
      <c r="O1026" s="1511"/>
      <c r="P1026" s="1511"/>
      <c r="Q1026" s="1511"/>
      <c r="R1026" s="1511"/>
      <c r="S1026" s="1511"/>
      <c r="T1026" s="1511"/>
      <c r="U1026" s="1511"/>
      <c r="V1026" s="1511"/>
      <c r="W1026" s="1511"/>
      <c r="X1026" s="1511"/>
      <c r="Y1026" s="1511"/>
      <c r="Z1026" s="1511"/>
      <c r="AA1026" s="1511"/>
      <c r="AB1026" s="1511"/>
      <c r="AC1026" s="1511"/>
      <c r="AD1026" s="1511"/>
      <c r="AE1026" s="1512"/>
      <c r="AF1026" s="1530" t="str">
        <f>IF(AG1025="yes","Enter Amount:","")</f>
        <v/>
      </c>
      <c r="AG1026" s="1531"/>
      <c r="AH1026" s="1531"/>
      <c r="AI1026" s="1532"/>
      <c r="AJ1026" s="1397"/>
      <c r="AK1026" s="1398"/>
      <c r="AL1026" s="1398"/>
      <c r="AM1026" s="1398"/>
      <c r="AN1026" s="1398"/>
      <c r="AO1026" s="1398"/>
      <c r="AP1026" s="1398"/>
      <c r="AQ1026" s="1399"/>
      <c r="AR1026" s="68"/>
      <c r="AS1026" s="68"/>
      <c r="AT1026" s="68"/>
      <c r="AU1026" s="68"/>
      <c r="AV1026" s="68"/>
      <c r="AW1026" s="68"/>
      <c r="AX1026" s="68"/>
      <c r="AY1026" s="68"/>
    </row>
    <row r="1027" spans="1:57" ht="12.95" customHeight="1">
      <c r="A1027" s="14"/>
      <c r="B1027" s="73"/>
      <c r="C1027" s="74"/>
      <c r="D1027" s="1510"/>
      <c r="E1027" s="1511"/>
      <c r="F1027" s="1511"/>
      <c r="G1027" s="1511"/>
      <c r="H1027" s="1511"/>
      <c r="I1027" s="1511"/>
      <c r="J1027" s="1511"/>
      <c r="K1027" s="1511"/>
      <c r="L1027" s="1511"/>
      <c r="M1027" s="1511"/>
      <c r="N1027" s="1511"/>
      <c r="O1027" s="1511"/>
      <c r="P1027" s="1511"/>
      <c r="Q1027" s="1511"/>
      <c r="R1027" s="1511"/>
      <c r="S1027" s="1511"/>
      <c r="T1027" s="1511"/>
      <c r="U1027" s="1511"/>
      <c r="V1027" s="1511"/>
      <c r="W1027" s="1511"/>
      <c r="X1027" s="1511"/>
      <c r="Y1027" s="1511"/>
      <c r="Z1027" s="1511"/>
      <c r="AA1027" s="1511"/>
      <c r="AB1027" s="1511"/>
      <c r="AC1027" s="1511"/>
      <c r="AD1027" s="1511"/>
      <c r="AE1027" s="1512"/>
      <c r="AF1027" s="1559"/>
      <c r="AG1027" s="1559"/>
      <c r="AH1027" s="1559"/>
      <c r="AI1027" s="1559"/>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3"/>
      <c r="E1028" s="1514"/>
      <c r="F1028" s="1514"/>
      <c r="G1028" s="1514"/>
      <c r="H1028" s="1514"/>
      <c r="I1028" s="1514"/>
      <c r="J1028" s="1514"/>
      <c r="K1028" s="1514"/>
      <c r="L1028" s="1514"/>
      <c r="M1028" s="1514"/>
      <c r="N1028" s="1514"/>
      <c r="O1028" s="1514"/>
      <c r="P1028" s="1514"/>
      <c r="Q1028" s="1514"/>
      <c r="R1028" s="1514"/>
      <c r="S1028" s="1514"/>
      <c r="T1028" s="1514"/>
      <c r="U1028" s="1514"/>
      <c r="V1028" s="1514"/>
      <c r="W1028" s="1514"/>
      <c r="X1028" s="1514"/>
      <c r="Y1028" s="1514"/>
      <c r="Z1028" s="1514"/>
      <c r="AA1028" s="1514"/>
      <c r="AB1028" s="1514"/>
      <c r="AC1028" s="1514"/>
      <c r="AD1028" s="1514"/>
      <c r="AE1028" s="1515"/>
      <c r="AF1028" s="1559"/>
      <c r="AG1028" s="1559"/>
      <c r="AH1028" s="1559"/>
      <c r="AI1028" s="1559"/>
      <c r="AJ1028" s="1400"/>
      <c r="AK1028" s="1401"/>
      <c r="AL1028" s="1401"/>
      <c r="AM1028" s="1401"/>
      <c r="AN1028" s="1401"/>
      <c r="AO1028" s="1401"/>
      <c r="AP1028" s="1401"/>
      <c r="AQ1028" s="1402"/>
      <c r="AR1028" s="68"/>
      <c r="AS1028" s="68"/>
      <c r="AT1028" s="68"/>
      <c r="AU1028" s="68"/>
      <c r="AV1028" s="68"/>
      <c r="AW1028" s="68"/>
      <c r="AX1028" s="68"/>
      <c r="AY1028" s="68"/>
    </row>
    <row r="1029" spans="1:57" ht="12.95" customHeight="1">
      <c r="A1029" s="14"/>
      <c r="B1029" s="79"/>
      <c r="C1029" s="80" t="s">
        <v>233</v>
      </c>
      <c r="D1029" s="1507" t="s">
        <v>1295</v>
      </c>
      <c r="E1029" s="1508"/>
      <c r="F1029" s="1508"/>
      <c r="G1029" s="1508"/>
      <c r="H1029" s="1508"/>
      <c r="I1029" s="1508"/>
      <c r="J1029" s="1508"/>
      <c r="K1029" s="1508"/>
      <c r="L1029" s="1508"/>
      <c r="M1029" s="1508"/>
      <c r="N1029" s="1508"/>
      <c r="O1029" s="1508"/>
      <c r="P1029" s="1508"/>
      <c r="Q1029" s="1508"/>
      <c r="R1029" s="1508"/>
      <c r="S1029" s="1508"/>
      <c r="T1029" s="1508"/>
      <c r="U1029" s="1508"/>
      <c r="V1029" s="1508"/>
      <c r="W1029" s="1508"/>
      <c r="X1029" s="1508"/>
      <c r="Y1029" s="1508"/>
      <c r="Z1029" s="1508"/>
      <c r="AA1029" s="1508"/>
      <c r="AB1029" s="1508"/>
      <c r="AC1029" s="1508"/>
      <c r="AD1029" s="1508"/>
      <c r="AE1029" s="1509"/>
      <c r="AF1029" s="79"/>
      <c r="AG1029" s="1505" t="s">
        <v>545</v>
      </c>
      <c r="AH1029" s="1506"/>
      <c r="AI1029" s="87"/>
      <c r="AJ1029" s="1394">
        <f>ROUND(IF(AG1029="yes",(AJ992*0.1),0),0)</f>
        <v>3107488</v>
      </c>
      <c r="AK1029" s="1395"/>
      <c r="AL1029" s="1395"/>
      <c r="AM1029" s="1395"/>
      <c r="AN1029" s="1395"/>
      <c r="AO1029" s="1395"/>
      <c r="AP1029" s="1395"/>
      <c r="AQ1029" s="1396"/>
      <c r="AR1029" s="68"/>
      <c r="AS1029" s="68"/>
      <c r="AT1029" s="68"/>
      <c r="AU1029" s="68"/>
      <c r="AV1029" s="68"/>
      <c r="AW1029" s="68"/>
      <c r="AX1029" s="68"/>
      <c r="AY1029" s="68"/>
    </row>
    <row r="1030" spans="1:57" ht="12.95" customHeight="1">
      <c r="A1030" s="14"/>
      <c r="B1030" s="73"/>
      <c r="C1030" s="74"/>
      <c r="D1030" s="1510" t="s">
        <v>1296</v>
      </c>
      <c r="E1030" s="1511"/>
      <c r="F1030" s="1511"/>
      <c r="G1030" s="1511"/>
      <c r="H1030" s="1511"/>
      <c r="I1030" s="1511"/>
      <c r="J1030" s="1511"/>
      <c r="K1030" s="1511"/>
      <c r="L1030" s="1511"/>
      <c r="M1030" s="1511"/>
      <c r="N1030" s="1511"/>
      <c r="O1030" s="1511"/>
      <c r="P1030" s="1511"/>
      <c r="Q1030" s="1511"/>
      <c r="R1030" s="1511"/>
      <c r="S1030" s="1511"/>
      <c r="T1030" s="1511"/>
      <c r="U1030" s="1511"/>
      <c r="V1030" s="1511"/>
      <c r="W1030" s="1511"/>
      <c r="X1030" s="1511"/>
      <c r="Y1030" s="1511"/>
      <c r="Z1030" s="1511"/>
      <c r="AA1030" s="1511"/>
      <c r="AB1030" s="1511"/>
      <c r="AC1030" s="1511"/>
      <c r="AD1030" s="1511"/>
      <c r="AE1030" s="1512"/>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5" customHeight="1">
      <c r="A1031" s="14"/>
      <c r="B1031" s="77"/>
      <c r="C1031" s="74"/>
      <c r="D1031" s="1513"/>
      <c r="E1031" s="1514"/>
      <c r="F1031" s="1514"/>
      <c r="G1031" s="1514"/>
      <c r="H1031" s="1514"/>
      <c r="I1031" s="1514"/>
      <c r="J1031" s="1514"/>
      <c r="K1031" s="1514"/>
      <c r="L1031" s="1514"/>
      <c r="M1031" s="1514"/>
      <c r="N1031" s="1514"/>
      <c r="O1031" s="1514"/>
      <c r="P1031" s="1514"/>
      <c r="Q1031" s="1514"/>
      <c r="R1031" s="1514"/>
      <c r="S1031" s="1514"/>
      <c r="T1031" s="1514"/>
      <c r="U1031" s="1514"/>
      <c r="V1031" s="1514"/>
      <c r="W1031" s="1514"/>
      <c r="X1031" s="1514"/>
      <c r="Y1031" s="1514"/>
      <c r="Z1031" s="1514"/>
      <c r="AA1031" s="1514"/>
      <c r="AB1031" s="1514"/>
      <c r="AC1031" s="1514"/>
      <c r="AD1031" s="1514"/>
      <c r="AE1031" s="1515"/>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5" customHeight="1">
      <c r="A1032" s="14"/>
      <c r="B1032" s="73"/>
      <c r="C1032" s="339" t="s">
        <v>687</v>
      </c>
      <c r="D1032" s="1497" t="s">
        <v>1686</v>
      </c>
      <c r="E1032" s="1498"/>
      <c r="F1032" s="1498"/>
      <c r="G1032" s="1498"/>
      <c r="H1032" s="1498"/>
      <c r="I1032" s="1498"/>
      <c r="J1032" s="1498"/>
      <c r="K1032" s="1498"/>
      <c r="L1032" s="1498"/>
      <c r="M1032" s="1498"/>
      <c r="N1032" s="1498"/>
      <c r="O1032" s="1498"/>
      <c r="P1032" s="1498"/>
      <c r="Q1032" s="1498"/>
      <c r="R1032" s="1498"/>
      <c r="S1032" s="1498"/>
      <c r="T1032" s="1498"/>
      <c r="U1032" s="1498"/>
      <c r="V1032" s="1498"/>
      <c r="W1032" s="1498"/>
      <c r="X1032" s="1498"/>
      <c r="Y1032" s="1498"/>
      <c r="Z1032" s="1498"/>
      <c r="AA1032" s="1498"/>
      <c r="AB1032" s="1498"/>
      <c r="AC1032" s="1498"/>
      <c r="AD1032" s="1498"/>
      <c r="AE1032" s="1499"/>
      <c r="AF1032" s="79"/>
      <c r="AG1032" s="1505" t="s">
        <v>669</v>
      </c>
      <c r="AH1032" s="1506"/>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5" customHeight="1">
      <c r="A1033" s="14"/>
      <c r="B1033" s="73"/>
      <c r="C1033" s="74"/>
      <c r="D1033" s="1519" t="s">
        <v>1687</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520"/>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2.95" customHeight="1">
      <c r="A1034" s="14"/>
      <c r="B1034" s="73"/>
      <c r="C1034" s="74"/>
      <c r="D1034" s="1519"/>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520"/>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2.95" customHeight="1">
      <c r="A1035" s="14"/>
      <c r="B1035" s="73"/>
      <c r="C1035" s="74"/>
      <c r="D1035" s="1521"/>
      <c r="E1035" s="1522"/>
      <c r="F1035" s="1522"/>
      <c r="G1035" s="1522"/>
      <c r="H1035" s="1522"/>
      <c r="I1035" s="1522"/>
      <c r="J1035" s="1522"/>
      <c r="K1035" s="1522"/>
      <c r="L1035" s="1522"/>
      <c r="M1035" s="1522"/>
      <c r="N1035" s="1522"/>
      <c r="O1035" s="1522"/>
      <c r="P1035" s="1522"/>
      <c r="Q1035" s="1522"/>
      <c r="R1035" s="1522"/>
      <c r="S1035" s="1522"/>
      <c r="T1035" s="1522"/>
      <c r="U1035" s="1522"/>
      <c r="V1035" s="1522"/>
      <c r="W1035" s="1522"/>
      <c r="X1035" s="1522"/>
      <c r="Y1035" s="1522"/>
      <c r="Z1035" s="1522"/>
      <c r="AA1035" s="1522"/>
      <c r="AB1035" s="1522"/>
      <c r="AC1035" s="1522"/>
      <c r="AD1035" s="1522"/>
      <c r="AE1035" s="1523"/>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2.95" customHeight="1">
      <c r="A1036" s="14"/>
      <c r="B1036" s="73"/>
      <c r="C1036" s="339" t="s">
        <v>687</v>
      </c>
      <c r="D1036" s="1507" t="s">
        <v>1688</v>
      </c>
      <c r="E1036" s="1508"/>
      <c r="F1036" s="1508"/>
      <c r="G1036" s="1508"/>
      <c r="H1036" s="1508"/>
      <c r="I1036" s="1508"/>
      <c r="J1036" s="1508"/>
      <c r="K1036" s="1508"/>
      <c r="L1036" s="1508"/>
      <c r="M1036" s="1508"/>
      <c r="N1036" s="1508"/>
      <c r="O1036" s="1508"/>
      <c r="P1036" s="1508"/>
      <c r="Q1036" s="1508"/>
      <c r="R1036" s="1508"/>
      <c r="S1036" s="1508"/>
      <c r="T1036" s="1508"/>
      <c r="U1036" s="1508"/>
      <c r="V1036" s="1508"/>
      <c r="W1036" s="1508"/>
      <c r="X1036" s="1508"/>
      <c r="Y1036" s="1508"/>
      <c r="Z1036" s="1508"/>
      <c r="AA1036" s="1508"/>
      <c r="AB1036" s="1508"/>
      <c r="AC1036" s="1508"/>
      <c r="AD1036" s="1508"/>
      <c r="AE1036" s="1509"/>
      <c r="AF1036" s="73"/>
      <c r="AG1036" s="1585" t="s">
        <v>669</v>
      </c>
      <c r="AH1036" s="1586"/>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5" customHeight="1">
      <c r="A1037" s="14"/>
      <c r="B1037" s="73"/>
      <c r="C1037" s="74"/>
      <c r="D1037" s="1519" t="s">
        <v>1689</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520"/>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5" customHeight="1">
      <c r="A1038" s="14"/>
      <c r="B1038" s="73"/>
      <c r="C1038" s="74"/>
      <c r="D1038" s="1519"/>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520"/>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519"/>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520"/>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1</v>
      </c>
      <c r="BB1039" s="3" t="s">
        <v>2494</v>
      </c>
    </row>
    <row r="1040" spans="1:57" ht="12.95" customHeight="1">
      <c r="A1040" s="14"/>
      <c r="B1040" s="73"/>
      <c r="C1040" s="74"/>
      <c r="D1040" s="1521"/>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7" t="s">
        <v>1297</v>
      </c>
      <c r="E1041" s="1498"/>
      <c r="F1041" s="1498"/>
      <c r="G1041" s="1498"/>
      <c r="H1041" s="1498"/>
      <c r="I1041" s="1498"/>
      <c r="J1041" s="1498"/>
      <c r="K1041" s="1498"/>
      <c r="L1041" s="1498"/>
      <c r="M1041" s="1498"/>
      <c r="N1041" s="1498"/>
      <c r="O1041" s="1498"/>
      <c r="P1041" s="1498"/>
      <c r="Q1041" s="1498"/>
      <c r="R1041" s="1498"/>
      <c r="S1041" s="1498"/>
      <c r="T1041" s="1498"/>
      <c r="U1041" s="1498"/>
      <c r="V1041" s="1498"/>
      <c r="W1041" s="1498"/>
      <c r="X1041" s="1498"/>
      <c r="Y1041" s="1498"/>
      <c r="Z1041" s="1498"/>
      <c r="AA1041" s="1498"/>
      <c r="AB1041" s="1498"/>
      <c r="AC1041" s="1498"/>
      <c r="AD1041" s="1498"/>
      <c r="AE1041" s="1499"/>
      <c r="AF1041" s="79"/>
      <c r="AG1041" s="1505" t="s">
        <v>545</v>
      </c>
      <c r="AH1041" s="1506"/>
      <c r="AI1041" s="87"/>
      <c r="AJ1041" s="1394">
        <f>ROUND(IF(AG1041="yes",(AJ992*0.1),0),0)</f>
        <v>3107488</v>
      </c>
      <c r="AK1041" s="1395"/>
      <c r="AL1041" s="1395"/>
      <c r="AM1041" s="1395"/>
      <c r="AN1041" s="1395"/>
      <c r="AO1041" s="1395"/>
      <c r="AP1041" s="1395"/>
      <c r="AQ1041" s="1396"/>
      <c r="AR1041" s="68"/>
      <c r="AS1041" s="68"/>
      <c r="AT1041" s="68"/>
      <c r="AU1041" s="68"/>
      <c r="AV1041" s="68"/>
      <c r="AW1041" s="68"/>
      <c r="AX1041" s="68"/>
      <c r="AY1041" s="68"/>
      <c r="BA1041">
        <f>Q212</f>
        <v>80</v>
      </c>
      <c r="BB1041" s="3" t="s">
        <v>2492</v>
      </c>
    </row>
    <row r="1042" spans="1:56" ht="12.95" customHeight="1">
      <c r="A1042" s="14"/>
      <c r="B1042" s="73"/>
      <c r="C1042" s="74"/>
      <c r="D1042" s="1510" t="s">
        <v>2145</v>
      </c>
      <c r="E1042" s="1511"/>
      <c r="F1042" s="1511"/>
      <c r="G1042" s="1511"/>
      <c r="H1042" s="1511"/>
      <c r="I1042" s="1511"/>
      <c r="J1042" s="1511"/>
      <c r="K1042" s="1511"/>
      <c r="L1042" s="1511"/>
      <c r="M1042" s="1511"/>
      <c r="N1042" s="1511"/>
      <c r="O1042" s="1511"/>
      <c r="P1042" s="1511"/>
      <c r="Q1042" s="1511"/>
      <c r="R1042" s="1511"/>
      <c r="S1042" s="1511"/>
      <c r="T1042" s="1511"/>
      <c r="U1042" s="1511"/>
      <c r="V1042" s="1511"/>
      <c r="W1042" s="1511"/>
      <c r="X1042" s="1511"/>
      <c r="Y1042" s="1511"/>
      <c r="Z1042" s="1511"/>
      <c r="AA1042" s="1511"/>
      <c r="AB1042" s="1511"/>
      <c r="AC1042" s="1511"/>
      <c r="AD1042" s="1511"/>
      <c r="AE1042" s="1512"/>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1</v>
      </c>
      <c r="BB1042" s="3" t="s">
        <v>2493</v>
      </c>
    </row>
    <row r="1043" spans="1:56" ht="12.95" customHeight="1">
      <c r="A1043" s="14"/>
      <c r="B1043" s="73"/>
      <c r="C1043" s="74"/>
      <c r="D1043" s="1510"/>
      <c r="E1043" s="1511"/>
      <c r="F1043" s="1511"/>
      <c r="G1043" s="1511"/>
      <c r="H1043" s="1511"/>
      <c r="I1043" s="1511"/>
      <c r="J1043" s="1511"/>
      <c r="K1043" s="1511"/>
      <c r="L1043" s="1511"/>
      <c r="M1043" s="1511"/>
      <c r="N1043" s="1511"/>
      <c r="O1043" s="1511"/>
      <c r="P1043" s="1511"/>
      <c r="Q1043" s="1511"/>
      <c r="R1043" s="1511"/>
      <c r="S1043" s="1511"/>
      <c r="T1043" s="1511"/>
      <c r="U1043" s="1511"/>
      <c r="V1043" s="1511"/>
      <c r="W1043" s="1511"/>
      <c r="X1043" s="1511"/>
      <c r="Y1043" s="1511"/>
      <c r="Z1043" s="1511"/>
      <c r="AA1043" s="1511"/>
      <c r="AB1043" s="1511"/>
      <c r="AC1043" s="1511"/>
      <c r="AD1043" s="1511"/>
      <c r="AE1043" s="1512"/>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5" customHeight="1">
      <c r="A1044" s="14"/>
      <c r="B1044" s="73"/>
      <c r="C1044" s="74"/>
      <c r="D1044" s="1513"/>
      <c r="E1044" s="1514"/>
      <c r="F1044" s="1514"/>
      <c r="G1044" s="1514"/>
      <c r="H1044" s="1514"/>
      <c r="I1044" s="1514"/>
      <c r="J1044" s="1514"/>
      <c r="K1044" s="1514"/>
      <c r="L1044" s="1514"/>
      <c r="M1044" s="1514"/>
      <c r="N1044" s="1514"/>
      <c r="O1044" s="1514"/>
      <c r="P1044" s="1514"/>
      <c r="Q1044" s="1514"/>
      <c r="R1044" s="1514"/>
      <c r="S1044" s="1514"/>
      <c r="T1044" s="1514"/>
      <c r="U1044" s="1514"/>
      <c r="V1044" s="1514"/>
      <c r="W1044" s="1514"/>
      <c r="X1044" s="1514"/>
      <c r="Y1044" s="1514"/>
      <c r="Z1044" s="1514"/>
      <c r="AA1044" s="1514"/>
      <c r="AB1044" s="1514"/>
      <c r="AC1044" s="1514"/>
      <c r="AD1044" s="1514"/>
      <c r="AE1044" s="1515"/>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5" customHeight="1">
      <c r="A1045" s="14"/>
      <c r="B1045" s="79"/>
      <c r="C1045" s="131" t="s">
        <v>1684</v>
      </c>
      <c r="D1045" s="1507" t="s">
        <v>1865</v>
      </c>
      <c r="E1045" s="1508"/>
      <c r="F1045" s="1508"/>
      <c r="G1045" s="1508"/>
      <c r="H1045" s="1508"/>
      <c r="I1045" s="1508"/>
      <c r="J1045" s="1508"/>
      <c r="K1045" s="1508"/>
      <c r="L1045" s="1508"/>
      <c r="M1045" s="1508"/>
      <c r="N1045" s="1508"/>
      <c r="O1045" s="1508"/>
      <c r="P1045" s="1508"/>
      <c r="Q1045" s="1508"/>
      <c r="R1045" s="1508"/>
      <c r="S1045" s="1508"/>
      <c r="T1045" s="1508"/>
      <c r="U1045" s="1508"/>
      <c r="V1045" s="1508"/>
      <c r="W1045" s="1508"/>
      <c r="X1045" s="1508"/>
      <c r="Y1045" s="1508"/>
      <c r="Z1045" s="1508"/>
      <c r="AA1045" s="1508"/>
      <c r="AB1045" s="1508"/>
      <c r="AC1045" s="1508"/>
      <c r="AD1045" s="1508"/>
      <c r="AE1045" s="1509"/>
      <c r="AF1045" s="79"/>
      <c r="AG1045" s="1575" t="str">
        <f>IF(X1048&gt;0,"Yes","No")</f>
        <v>Yes</v>
      </c>
      <c r="AH1045" s="1576"/>
      <c r="AI1045" s="87"/>
      <c r="AJ1045" s="1394">
        <f>IF((X1048=0),0,AY1005*AJ992)</f>
        <v>15537440</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10" t="s">
        <v>1299</v>
      </c>
      <c r="E1046" s="1511"/>
      <c r="F1046" s="1511"/>
      <c r="G1046" s="1511"/>
      <c r="H1046" s="1511"/>
      <c r="I1046" s="1511"/>
      <c r="J1046" s="1511"/>
      <c r="K1046" s="1511"/>
      <c r="L1046" s="1511"/>
      <c r="M1046" s="1511"/>
      <c r="N1046" s="1511"/>
      <c r="O1046" s="1511"/>
      <c r="P1046" s="1511"/>
      <c r="Q1046" s="1511"/>
      <c r="R1046" s="1511"/>
      <c r="S1046" s="1511"/>
      <c r="T1046" s="1511"/>
      <c r="U1046" s="1511"/>
      <c r="V1046" s="1511"/>
      <c r="W1046" s="1511"/>
      <c r="X1046" s="1511"/>
      <c r="Y1046" s="1511"/>
      <c r="Z1046" s="1511"/>
      <c r="AA1046" s="1511"/>
      <c r="AB1046" s="1511"/>
      <c r="AC1046" s="1511"/>
      <c r="AD1046" s="1511"/>
      <c r="AE1046" s="1512"/>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5807589.5999999996</v>
      </c>
      <c r="BA1046" s="1182">
        <f>IF(BA1040,20%,15%)</f>
        <v>0.15</v>
      </c>
      <c r="BB1046" s="3" t="s">
        <v>2480</v>
      </c>
      <c r="BC1046" s="3" t="s">
        <v>2481</v>
      </c>
      <c r="BD1046" s="3"/>
    </row>
    <row r="1047" spans="1:56" ht="12.95" customHeight="1">
      <c r="A1047" s="14"/>
      <c r="B1047" s="73"/>
      <c r="C1047" s="442"/>
      <c r="D1047" s="1510"/>
      <c r="E1047" s="1511"/>
      <c r="F1047" s="1511"/>
      <c r="G1047" s="1511"/>
      <c r="H1047" s="1511"/>
      <c r="I1047" s="1511"/>
      <c r="J1047" s="1511"/>
      <c r="K1047" s="1511"/>
      <c r="L1047" s="1511"/>
      <c r="M1047" s="1511"/>
      <c r="N1047" s="1511"/>
      <c r="O1047" s="1511"/>
      <c r="P1047" s="1511"/>
      <c r="Q1047" s="1511"/>
      <c r="R1047" s="1511"/>
      <c r="S1047" s="1511"/>
      <c r="T1047" s="1511"/>
      <c r="U1047" s="1511"/>
      <c r="V1047" s="1511"/>
      <c r="W1047" s="1511"/>
      <c r="X1047" s="1511"/>
      <c r="Y1047" s="1511"/>
      <c r="Z1047" s="1511"/>
      <c r="AA1047" s="1511"/>
      <c r="AB1047" s="1511"/>
      <c r="AC1047" s="1511"/>
      <c r="AD1047" s="1511"/>
      <c r="AE1047" s="1512"/>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3">
        <f>AY1003</f>
        <v>80</v>
      </c>
      <c r="J1048" s="1574"/>
      <c r="K1048" s="7"/>
      <c r="L1048" s="133"/>
      <c r="M1048" s="133"/>
      <c r="N1048" s="133"/>
      <c r="O1048" s="133"/>
      <c r="P1048" s="133"/>
      <c r="Q1048" s="133"/>
      <c r="R1048" s="133"/>
      <c r="S1048" s="133"/>
      <c r="T1048" s="133"/>
      <c r="U1048" s="133"/>
      <c r="V1048" s="134" t="s">
        <v>973</v>
      </c>
      <c r="W1048" s="48"/>
      <c r="X1048" s="1571">
        <f>CI753</f>
        <v>40</v>
      </c>
      <c r="Y1048" s="1572"/>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497" t="s">
        <v>2171</v>
      </c>
      <c r="E1049" s="1498"/>
      <c r="F1049" s="1498"/>
      <c r="G1049" s="1498"/>
      <c r="H1049" s="1498"/>
      <c r="I1049" s="1498"/>
      <c r="J1049" s="1498"/>
      <c r="K1049" s="1498"/>
      <c r="L1049" s="1498"/>
      <c r="M1049" s="1498"/>
      <c r="N1049" s="1498"/>
      <c r="O1049" s="1498"/>
      <c r="P1049" s="1498"/>
      <c r="Q1049" s="1498"/>
      <c r="R1049" s="1498"/>
      <c r="S1049" s="1498"/>
      <c r="T1049" s="1498"/>
      <c r="U1049" s="1498"/>
      <c r="V1049" s="1498"/>
      <c r="W1049" s="1498"/>
      <c r="X1049" s="1498"/>
      <c r="Y1049" s="1498"/>
      <c r="Z1049" s="1498"/>
      <c r="AA1049" s="1498"/>
      <c r="AB1049" s="1498"/>
      <c r="AC1049" s="1498"/>
      <c r="AD1049" s="1498"/>
      <c r="AE1049" s="1499"/>
      <c r="AF1049" s="73"/>
      <c r="AG1049" s="1575" t="str">
        <f>IF(X1052&gt;0,"Yes","No")</f>
        <v>Yes</v>
      </c>
      <c r="AH1049" s="1576"/>
      <c r="AI1049" s="83"/>
      <c r="AJ1049" s="1394">
        <f>IF((X1052=0),0,(2*AY1006)*AJ992)</f>
        <v>31074880</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10" t="s">
        <v>1298</v>
      </c>
      <c r="E1050" s="1511"/>
      <c r="F1050" s="1511"/>
      <c r="G1050" s="1511"/>
      <c r="H1050" s="1511"/>
      <c r="I1050" s="1511"/>
      <c r="J1050" s="1511"/>
      <c r="K1050" s="1511"/>
      <c r="L1050" s="1511"/>
      <c r="M1050" s="1511"/>
      <c r="N1050" s="1511"/>
      <c r="O1050" s="1511"/>
      <c r="P1050" s="1511"/>
      <c r="Q1050" s="1511"/>
      <c r="R1050" s="1511"/>
      <c r="S1050" s="1511"/>
      <c r="T1050" s="1511"/>
      <c r="U1050" s="1511"/>
      <c r="V1050" s="1511"/>
      <c r="W1050" s="1511"/>
      <c r="X1050" s="1511"/>
      <c r="Y1050" s="1511"/>
      <c r="Z1050" s="1511"/>
      <c r="AA1050" s="1511"/>
      <c r="AB1050" s="1511"/>
      <c r="AC1050" s="1511"/>
      <c r="AD1050" s="1511"/>
      <c r="AE1050" s="1512"/>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2.95" customHeight="1">
      <c r="A1051" s="14"/>
      <c r="B1051" s="73"/>
      <c r="C1051" s="83"/>
      <c r="D1051" s="1510"/>
      <c r="E1051" s="1511"/>
      <c r="F1051" s="1511"/>
      <c r="G1051" s="1511"/>
      <c r="H1051" s="1511"/>
      <c r="I1051" s="1511"/>
      <c r="J1051" s="1511"/>
      <c r="K1051" s="1511"/>
      <c r="L1051" s="1511"/>
      <c r="M1051" s="1511"/>
      <c r="N1051" s="1511"/>
      <c r="O1051" s="1511"/>
      <c r="P1051" s="1511"/>
      <c r="Q1051" s="1511"/>
      <c r="R1051" s="1511"/>
      <c r="S1051" s="1511"/>
      <c r="T1051" s="1511"/>
      <c r="U1051" s="1511"/>
      <c r="V1051" s="1511"/>
      <c r="W1051" s="1511"/>
      <c r="X1051" s="1511"/>
      <c r="Y1051" s="1511"/>
      <c r="Z1051" s="1511"/>
      <c r="AA1051" s="1511"/>
      <c r="AB1051" s="1511"/>
      <c r="AC1051" s="1511"/>
      <c r="AD1051" s="1511"/>
      <c r="AE1051" s="1512"/>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3">
        <f>AY1003</f>
        <v>80</v>
      </c>
      <c r="J1052" s="1574"/>
      <c r="K1052" s="14"/>
      <c r="L1052" s="133"/>
      <c r="M1052" s="133"/>
      <c r="N1052" s="133"/>
      <c r="O1052" s="133"/>
      <c r="P1052" s="133"/>
      <c r="Q1052" s="133"/>
      <c r="R1052" s="133"/>
      <c r="S1052" s="133"/>
      <c r="T1052" s="133"/>
      <c r="U1052" s="133"/>
      <c r="V1052" s="134" t="s">
        <v>974</v>
      </c>
      <c r="X1052" s="1571">
        <f>CM753</f>
        <v>40</v>
      </c>
      <c r="Y1052" s="1572"/>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9" t="s">
        <v>513</v>
      </c>
      <c r="E1053" s="1569"/>
      <c r="F1053" s="1569"/>
      <c r="G1053" s="1569"/>
      <c r="H1053" s="1569"/>
      <c r="I1053" s="1569"/>
      <c r="J1053" s="1569"/>
      <c r="K1053" s="1569"/>
      <c r="L1053" s="1569"/>
      <c r="M1053" s="1569"/>
      <c r="N1053" s="1569"/>
      <c r="O1053" s="1569"/>
      <c r="P1053" s="1569"/>
      <c r="Q1053" s="1569"/>
      <c r="R1053" s="1569"/>
      <c r="S1053" s="1569"/>
      <c r="T1053" s="1569"/>
      <c r="U1053" s="1569"/>
      <c r="V1053" s="1569"/>
      <c r="W1053" s="1569"/>
      <c r="X1053" s="1569"/>
      <c r="Y1053" s="1569"/>
      <c r="Z1053" s="1569"/>
      <c r="AA1053" s="1569"/>
      <c r="AB1053" s="1569"/>
      <c r="AC1053" s="1569"/>
      <c r="AD1053" s="1569"/>
      <c r="AE1053" s="1569"/>
      <c r="AF1053" s="1569"/>
      <c r="AG1053" s="1569"/>
      <c r="AH1053" s="1569"/>
      <c r="AI1053" s="1570"/>
      <c r="AJ1053" s="1582">
        <f>SUM(AJ992:AQ1052)</f>
        <v>90738650</v>
      </c>
      <c r="AK1053" s="1583"/>
      <c r="AL1053" s="1583"/>
      <c r="AM1053" s="1583"/>
      <c r="AN1053" s="1583"/>
      <c r="AO1053" s="1583"/>
      <c r="AP1053" s="1583"/>
      <c r="AQ1053" s="1584"/>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2">
        <f>'Sources and Uses Budget'!S107+'Sources and Uses Budget'!T107</f>
        <v>42617264</v>
      </c>
      <c r="AB1056" s="1852"/>
      <c r="AC1056" s="1852"/>
      <c r="AD1056" s="1852"/>
      <c r="AE1056" s="1852"/>
      <c r="AF1056" s="185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5807589.5999999996</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3">
        <f>IFERROR((AA1056-BA1059)/(AJ1053-AJ1045-AJ1049),"")</f>
        <v>0.93407414575379366</v>
      </c>
      <c r="AB1057" s="1854"/>
      <c r="AC1057" s="1854"/>
      <c r="AD1057" s="1854"/>
      <c r="AE1057" s="1854"/>
      <c r="AF1057" s="185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6"/>
      <c r="I1058" s="1856"/>
      <c r="J1058" s="1856"/>
      <c r="K1058" s="1856"/>
      <c r="L1058" s="1856"/>
      <c r="M1058" s="1856"/>
      <c r="N1058" s="1856"/>
      <c r="O1058" s="1856"/>
      <c r="P1058" s="1856"/>
      <c r="Q1058" s="1856"/>
      <c r="R1058" s="1856"/>
      <c r="S1058" s="1856"/>
      <c r="T1058" s="1856"/>
      <c r="U1058" s="1856"/>
      <c r="V1058" s="1856"/>
      <c r="W1058" s="1856"/>
      <c r="X1058" s="1856"/>
      <c r="Y1058" s="1856"/>
      <c r="Z1058" s="1856"/>
      <c r="AA1058" s="1856"/>
      <c r="AB1058" s="1856"/>
      <c r="AC1058" s="1856"/>
      <c r="AD1058" s="1856"/>
      <c r="AE1058" s="1856"/>
      <c r="AF1058" s="1856"/>
      <c r="AG1058" s="1856"/>
      <c r="AH1058" s="1856"/>
      <c r="AI1058" s="1856"/>
      <c r="AJ1058" s="1856"/>
      <c r="AK1058" s="1856"/>
      <c r="AL1058" s="1856"/>
      <c r="AM1058" s="1856"/>
      <c r="AN1058" s="1856"/>
      <c r="AO1058" s="68"/>
      <c r="AP1058" s="68"/>
      <c r="AQ1058" s="68"/>
      <c r="AR1058" s="68"/>
      <c r="AS1058" s="68"/>
      <c r="AT1058" s="68"/>
      <c r="AU1058" s="68"/>
      <c r="AV1058" s="14"/>
      <c r="AW1058" s="14"/>
      <c r="AX1058" s="14"/>
      <c r="AY1058" s="14"/>
      <c r="BA1058" s="1185">
        <f>'Sources and Uses Budget'!$S$104+'Sources and Uses Budget'!$T$104</f>
        <v>3900000</v>
      </c>
      <c r="BB1058" s="3" t="s">
        <v>2495</v>
      </c>
    </row>
    <row r="1059" spans="1:54" ht="12.95" customHeight="1">
      <c r="A1059" s="14"/>
      <c r="B1059" s="14"/>
      <c r="C1059" s="208"/>
      <c r="D1059" s="858"/>
      <c r="E1059" s="858"/>
      <c r="F1059" s="858"/>
      <c r="G1059" s="1856"/>
      <c r="H1059" s="1856"/>
      <c r="I1059" s="1856"/>
      <c r="J1059" s="1856"/>
      <c r="K1059" s="1856"/>
      <c r="L1059" s="1856"/>
      <c r="M1059" s="1856"/>
      <c r="N1059" s="1856"/>
      <c r="O1059" s="1856"/>
      <c r="P1059" s="1856"/>
      <c r="Q1059" s="1856"/>
      <c r="R1059" s="1856"/>
      <c r="S1059" s="1856"/>
      <c r="T1059" s="1856"/>
      <c r="U1059" s="1856"/>
      <c r="V1059" s="1856"/>
      <c r="W1059" s="1856"/>
      <c r="X1059" s="1856"/>
      <c r="Y1059" s="1856"/>
      <c r="Z1059" s="1856"/>
      <c r="AA1059" s="1856"/>
      <c r="AB1059" s="1856"/>
      <c r="AC1059" s="1856"/>
      <c r="AD1059" s="1856"/>
      <c r="AE1059" s="1856"/>
      <c r="AF1059" s="1856"/>
      <c r="AG1059" s="1856"/>
      <c r="AH1059" s="1856"/>
      <c r="AI1059" s="1856"/>
      <c r="AJ1059" s="1856"/>
      <c r="AK1059" s="1856"/>
      <c r="AL1059" s="1856"/>
      <c r="AM1059" s="1856"/>
      <c r="AN1059" s="1856"/>
      <c r="AO1059" s="68"/>
      <c r="AP1059" s="68"/>
      <c r="AQ1059" s="68"/>
      <c r="AR1059" s="68"/>
      <c r="AS1059" s="68"/>
      <c r="AT1059" s="68"/>
      <c r="AU1059" s="68"/>
      <c r="AV1059" s="14"/>
      <c r="AW1059" s="14"/>
      <c r="AX1059" s="14"/>
      <c r="AY1059" s="14"/>
      <c r="BA1059" s="1186">
        <f>MAX($BA$1058-$BA$1055,0)</f>
        <v>1400000</v>
      </c>
      <c r="BB1059" s="3" t="s">
        <v>2496</v>
      </c>
    </row>
    <row r="1060" spans="1:54" ht="12.95" customHeight="1">
      <c r="A1060" s="88"/>
      <c r="B1060" s="1172"/>
      <c r="C1060" s="1172"/>
      <c r="D1060" s="1172"/>
      <c r="E1060" s="1172"/>
      <c r="F1060" s="1172"/>
      <c r="G1060" s="1856"/>
      <c r="H1060" s="1856"/>
      <c r="I1060" s="1856"/>
      <c r="J1060" s="1856"/>
      <c r="K1060" s="1856"/>
      <c r="L1060" s="1856"/>
      <c r="M1060" s="1856"/>
      <c r="N1060" s="1856"/>
      <c r="O1060" s="1856"/>
      <c r="P1060" s="1856"/>
      <c r="Q1060" s="1856"/>
      <c r="R1060" s="1856"/>
      <c r="S1060" s="1856"/>
      <c r="T1060" s="1856"/>
      <c r="U1060" s="1856"/>
      <c r="V1060" s="1856"/>
      <c r="W1060" s="1856"/>
      <c r="X1060" s="1856"/>
      <c r="Y1060" s="1856"/>
      <c r="Z1060" s="1856"/>
      <c r="AA1060" s="1856"/>
      <c r="AB1060" s="1856"/>
      <c r="AC1060" s="1856"/>
      <c r="AD1060" s="1856"/>
      <c r="AE1060" s="1856"/>
      <c r="AF1060" s="1856"/>
      <c r="AG1060" s="1856"/>
      <c r="AH1060" s="1856"/>
      <c r="AI1060" s="1856"/>
      <c r="AJ1060" s="1856"/>
      <c r="AK1060" s="1856"/>
      <c r="AL1060" s="1856"/>
      <c r="AM1060" s="1856"/>
      <c r="AN1060" s="1856"/>
      <c r="AO1060" s="1172"/>
      <c r="AP1060" s="1172"/>
      <c r="AQ1060" s="68"/>
      <c r="AR1060" s="68"/>
      <c r="AS1060" s="68"/>
      <c r="AT1060" s="68"/>
      <c r="AU1060" s="68"/>
      <c r="AV1060" s="68"/>
      <c r="AW1060" s="68"/>
      <c r="AX1060" s="68"/>
      <c r="AY1060" s="68"/>
    </row>
    <row r="1061" spans="1:54" ht="12.95"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3" t="s">
        <v>545</v>
      </c>
      <c r="B1065" s="1333"/>
      <c r="C1065" s="1334">
        <v>1</v>
      </c>
      <c r="D1065" s="1334"/>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4"/>
      <c r="D1066" s="133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3" t="s">
        <v>591</v>
      </c>
      <c r="B1067" s="1333"/>
      <c r="C1067" s="1334">
        <v>2</v>
      </c>
      <c r="D1067" s="1334"/>
      <c r="E1067" s="1337" t="s">
        <v>2239</v>
      </c>
      <c r="F1067" s="1337"/>
      <c r="G1067" s="1337"/>
      <c r="H1067" s="1337"/>
      <c r="I1067" s="1337"/>
      <c r="J1067" s="1337"/>
      <c r="K1067" s="1337"/>
      <c r="L1067" s="1337"/>
      <c r="M1067" s="1337"/>
      <c r="N1067" s="1337"/>
      <c r="O1067" s="1337"/>
      <c r="P1067" s="1337"/>
      <c r="Q1067" s="1337"/>
      <c r="R1067" s="1337"/>
      <c r="S1067" s="1337"/>
      <c r="T1067" s="1337"/>
      <c r="U1067" s="1337"/>
      <c r="V1067" s="1337"/>
      <c r="W1067" s="1337"/>
      <c r="X1067" s="1337"/>
      <c r="Y1067" s="1337"/>
      <c r="Z1067" s="1337"/>
      <c r="AA1067" s="1337"/>
      <c r="AB1067" s="1337"/>
      <c r="AC1067" s="1337"/>
      <c r="AD1067" s="1337"/>
      <c r="AE1067" s="1337"/>
      <c r="AF1067" s="1337"/>
      <c r="AG1067" s="1337"/>
      <c r="AH1067" s="1337"/>
      <c r="AI1067" s="1337"/>
      <c r="AJ1067" s="1337"/>
      <c r="AK1067" s="1337"/>
      <c r="AL1067" s="1337"/>
      <c r="AM1067" s="1337"/>
      <c r="AN1067" s="1337"/>
      <c r="AO1067" s="1337"/>
      <c r="AP1067" s="1337"/>
      <c r="AQ1067" s="1337"/>
      <c r="AR1067" s="1337"/>
      <c r="AS1067" s="14"/>
      <c r="AT1067" s="14"/>
      <c r="AV1067" s="68"/>
      <c r="AW1067" s="68"/>
      <c r="AX1067" s="68"/>
      <c r="AY1067" s="68"/>
    </row>
    <row r="1068" spans="1:54" ht="12.95" customHeight="1">
      <c r="A1068" s="198"/>
      <c r="B1068" s="67"/>
      <c r="C1068" s="1334"/>
      <c r="D1068" s="1334"/>
      <c r="E1068" s="1337"/>
      <c r="F1068" s="1337"/>
      <c r="G1068" s="1337"/>
      <c r="H1068" s="1337"/>
      <c r="I1068" s="1337"/>
      <c r="J1068" s="1337"/>
      <c r="K1068" s="1337"/>
      <c r="L1068" s="1337"/>
      <c r="M1068" s="1337"/>
      <c r="N1068" s="1337"/>
      <c r="O1068" s="1337"/>
      <c r="P1068" s="1337"/>
      <c r="Q1068" s="1337"/>
      <c r="R1068" s="1337"/>
      <c r="S1068" s="1337"/>
      <c r="T1068" s="1337"/>
      <c r="U1068" s="1337"/>
      <c r="V1068" s="1337"/>
      <c r="W1068" s="1337"/>
      <c r="X1068" s="1337"/>
      <c r="Y1068" s="1337"/>
      <c r="Z1068" s="1337"/>
      <c r="AA1068" s="1337"/>
      <c r="AB1068" s="1337"/>
      <c r="AC1068" s="1337"/>
      <c r="AD1068" s="1337"/>
      <c r="AE1068" s="1337"/>
      <c r="AF1068" s="1337"/>
      <c r="AG1068" s="1337"/>
      <c r="AH1068" s="1337"/>
      <c r="AI1068" s="1337"/>
      <c r="AJ1068" s="1337"/>
      <c r="AK1068" s="1337"/>
      <c r="AL1068" s="1337"/>
      <c r="AM1068" s="1337"/>
      <c r="AN1068" s="1337"/>
      <c r="AO1068" s="1337"/>
      <c r="AP1068" s="1337"/>
      <c r="AQ1068" s="1337"/>
      <c r="AR1068" s="1337"/>
      <c r="AS1068" s="14"/>
      <c r="AT1068" s="14"/>
      <c r="AV1068" s="68"/>
      <c r="AW1068" s="68"/>
      <c r="AX1068" s="68"/>
      <c r="AY1068" s="68"/>
    </row>
    <row r="1069" spans="1:54" ht="12.95" customHeight="1">
      <c r="A1069" s="198"/>
      <c r="B1069" s="67"/>
      <c r="C1069" s="1334"/>
      <c r="D1069" s="133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3" t="s">
        <v>591</v>
      </c>
      <c r="B1070" s="1333"/>
      <c r="C1070" s="1336">
        <v>3</v>
      </c>
      <c r="D1070" s="1336"/>
      <c r="E1070" s="1293" t="s">
        <v>1080</v>
      </c>
      <c r="F1070" s="1293"/>
      <c r="G1070" s="1293"/>
      <c r="H1070" s="1293"/>
      <c r="I1070" s="1293"/>
      <c r="J1070" s="1293"/>
      <c r="K1070" s="1293"/>
      <c r="L1070" s="1293"/>
      <c r="M1070" s="1293"/>
      <c r="N1070" s="1293"/>
      <c r="O1070" s="1293"/>
      <c r="P1070" s="1293"/>
      <c r="Q1070" s="1293"/>
      <c r="R1070" s="1293"/>
      <c r="S1070" s="1293"/>
      <c r="T1070" s="1293"/>
      <c r="U1070" s="1293"/>
      <c r="V1070" s="1293"/>
      <c r="W1070" s="1293"/>
      <c r="X1070" s="1293"/>
      <c r="Y1070" s="1293"/>
      <c r="Z1070" s="1293"/>
      <c r="AA1070" s="1293"/>
      <c r="AB1070" s="1293"/>
      <c r="AC1070" s="1293"/>
      <c r="AD1070" s="1293"/>
      <c r="AE1070" s="1293"/>
      <c r="AF1070" s="1293"/>
      <c r="AG1070" s="1293"/>
      <c r="AH1070" s="1293"/>
      <c r="AI1070" s="1293"/>
      <c r="AJ1070" s="1293"/>
      <c r="AK1070" s="1293"/>
      <c r="AL1070" s="1293"/>
      <c r="AM1070" s="1293"/>
      <c r="AN1070" s="1293"/>
      <c r="AO1070" s="1293"/>
      <c r="AP1070" s="1293"/>
      <c r="AQ1070" s="1293"/>
      <c r="AR1070" s="1293"/>
      <c r="AS1070" s="14"/>
      <c r="AT1070" s="68"/>
      <c r="AV1070" s="68"/>
      <c r="AW1070" s="68"/>
      <c r="AX1070" s="68"/>
      <c r="AY1070" s="68"/>
    </row>
    <row r="1071" spans="1:54" ht="12.95" customHeight="1">
      <c r="A1071" s="1"/>
      <c r="B1071" s="1"/>
      <c r="C1071" s="1336"/>
      <c r="D1071" s="1336"/>
      <c r="E1071" s="1293"/>
      <c r="F1071" s="1293"/>
      <c r="G1071" s="1293"/>
      <c r="H1071" s="1293"/>
      <c r="I1071" s="1293"/>
      <c r="J1071" s="1293"/>
      <c r="K1071" s="1293"/>
      <c r="L1071" s="1293"/>
      <c r="M1071" s="1293"/>
      <c r="N1071" s="1293"/>
      <c r="O1071" s="1293"/>
      <c r="P1071" s="1293"/>
      <c r="Q1071" s="1293"/>
      <c r="R1071" s="1293"/>
      <c r="S1071" s="1293"/>
      <c r="T1071" s="1293"/>
      <c r="U1071" s="1293"/>
      <c r="V1071" s="1293"/>
      <c r="W1071" s="1293"/>
      <c r="X1071" s="1293"/>
      <c r="Y1071" s="1293"/>
      <c r="Z1071" s="1293"/>
      <c r="AA1071" s="1293"/>
      <c r="AB1071" s="1293"/>
      <c r="AC1071" s="1293"/>
      <c r="AD1071" s="1293"/>
      <c r="AE1071" s="1293"/>
      <c r="AF1071" s="1293"/>
      <c r="AG1071" s="1293"/>
      <c r="AH1071" s="1293"/>
      <c r="AI1071" s="1293"/>
      <c r="AJ1071" s="1293"/>
      <c r="AK1071" s="1293"/>
      <c r="AL1071" s="1293"/>
      <c r="AM1071" s="1293"/>
      <c r="AN1071" s="1293"/>
      <c r="AO1071" s="1293"/>
      <c r="AP1071" s="1293"/>
      <c r="AQ1071" s="1293"/>
      <c r="AR1071" s="1293"/>
      <c r="AS1071" s="14"/>
      <c r="AT1071" s="68"/>
      <c r="AV1071" s="68"/>
      <c r="AW1071" s="68"/>
      <c r="AX1071" s="68"/>
      <c r="AY1071" s="68"/>
    </row>
    <row r="1072" spans="1:54" ht="12.95" customHeight="1">
      <c r="A1072" s="1"/>
      <c r="B1072" s="1"/>
      <c r="C1072" s="1336"/>
      <c r="D1072" s="1336"/>
      <c r="E1072" s="1293"/>
      <c r="F1072" s="1293"/>
      <c r="G1072" s="1293"/>
      <c r="H1072" s="1293"/>
      <c r="I1072" s="1293"/>
      <c r="J1072" s="1293"/>
      <c r="K1072" s="1293"/>
      <c r="L1072" s="1293"/>
      <c r="M1072" s="1293"/>
      <c r="N1072" s="1293"/>
      <c r="O1072" s="1293"/>
      <c r="P1072" s="1293"/>
      <c r="Q1072" s="1293"/>
      <c r="R1072" s="1293"/>
      <c r="S1072" s="1293"/>
      <c r="T1072" s="1293"/>
      <c r="U1072" s="1293"/>
      <c r="V1072" s="1293"/>
      <c r="W1072" s="1293"/>
      <c r="X1072" s="1293"/>
      <c r="Y1072" s="1293"/>
      <c r="Z1072" s="1293"/>
      <c r="AA1072" s="1293"/>
      <c r="AB1072" s="1293"/>
      <c r="AC1072" s="1293"/>
      <c r="AD1072" s="1293"/>
      <c r="AE1072" s="1293"/>
      <c r="AF1072" s="1293"/>
      <c r="AG1072" s="1293"/>
      <c r="AH1072" s="1293"/>
      <c r="AI1072" s="1293"/>
      <c r="AJ1072" s="1293"/>
      <c r="AK1072" s="1293"/>
      <c r="AL1072" s="1293"/>
      <c r="AM1072" s="1293"/>
      <c r="AN1072" s="1293"/>
      <c r="AO1072" s="1293"/>
      <c r="AP1072" s="1293"/>
      <c r="AQ1072" s="1293"/>
      <c r="AR1072" s="1293"/>
      <c r="AS1072" s="14"/>
      <c r="AT1072" s="68"/>
      <c r="AV1072" s="68"/>
      <c r="AW1072" s="68"/>
      <c r="AX1072" s="68"/>
      <c r="AY1072" s="68"/>
    </row>
    <row r="1073" spans="1:51" ht="12.95" customHeight="1">
      <c r="A1073" s="1"/>
      <c r="B1073" s="1"/>
      <c r="C1073" s="1336"/>
      <c r="D1073" s="1336"/>
      <c r="E1073" s="1293"/>
      <c r="F1073" s="1293"/>
      <c r="G1073" s="1293"/>
      <c r="H1073" s="1293"/>
      <c r="I1073" s="1293"/>
      <c r="J1073" s="1293"/>
      <c r="K1073" s="1293"/>
      <c r="L1073" s="1293"/>
      <c r="M1073" s="1293"/>
      <c r="N1073" s="1293"/>
      <c r="O1073" s="1293"/>
      <c r="P1073" s="1293"/>
      <c r="Q1073" s="1293"/>
      <c r="R1073" s="1293"/>
      <c r="S1073" s="1293"/>
      <c r="T1073" s="1293"/>
      <c r="U1073" s="1293"/>
      <c r="V1073" s="1293"/>
      <c r="W1073" s="1293"/>
      <c r="X1073" s="1293"/>
      <c r="Y1073" s="1293"/>
      <c r="Z1073" s="1293"/>
      <c r="AA1073" s="1293"/>
      <c r="AB1073" s="1293"/>
      <c r="AC1073" s="1293"/>
      <c r="AD1073" s="1293"/>
      <c r="AE1073" s="1293"/>
      <c r="AF1073" s="1293"/>
      <c r="AG1073" s="1293"/>
      <c r="AH1073" s="1293"/>
      <c r="AI1073" s="1293"/>
      <c r="AJ1073" s="1293"/>
      <c r="AK1073" s="1293"/>
      <c r="AL1073" s="1293"/>
      <c r="AM1073" s="1293"/>
      <c r="AN1073" s="1293"/>
      <c r="AO1073" s="1293"/>
      <c r="AP1073" s="1293"/>
      <c r="AQ1073" s="1293"/>
      <c r="AR1073" s="1293"/>
      <c r="AS1073" s="14"/>
      <c r="AT1073" s="68"/>
      <c r="AV1073" s="68"/>
      <c r="AW1073" s="68"/>
      <c r="AX1073" s="68"/>
      <c r="AY1073" s="68"/>
    </row>
    <row r="1074" spans="1:51" ht="12.95" customHeight="1">
      <c r="A1074" s="2"/>
      <c r="B1074" s="25"/>
      <c r="C1074" s="1336"/>
      <c r="D1074" s="133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3" t="s">
        <v>591</v>
      </c>
      <c r="B1075" s="1333"/>
      <c r="C1075" s="1336">
        <v>4</v>
      </c>
      <c r="D1075" s="1336"/>
      <c r="E1075" s="1293" t="s">
        <v>1079</v>
      </c>
      <c r="F1075" s="1293"/>
      <c r="G1075" s="1293"/>
      <c r="H1075" s="1293"/>
      <c r="I1075" s="1293"/>
      <c r="J1075" s="1293"/>
      <c r="K1075" s="1293"/>
      <c r="L1075" s="1293"/>
      <c r="M1075" s="1293"/>
      <c r="N1075" s="1293"/>
      <c r="O1075" s="1293"/>
      <c r="P1075" s="1293"/>
      <c r="Q1075" s="1293"/>
      <c r="R1075" s="1293"/>
      <c r="S1075" s="1293"/>
      <c r="T1075" s="1293"/>
      <c r="U1075" s="1293"/>
      <c r="V1075" s="1293"/>
      <c r="W1075" s="1293"/>
      <c r="X1075" s="1293"/>
      <c r="Y1075" s="1293"/>
      <c r="Z1075" s="1293"/>
      <c r="AA1075" s="1293"/>
      <c r="AB1075" s="1293"/>
      <c r="AC1075" s="1293"/>
      <c r="AD1075" s="1293"/>
      <c r="AE1075" s="1293"/>
      <c r="AF1075" s="1293"/>
      <c r="AG1075" s="1293"/>
      <c r="AH1075" s="1293"/>
      <c r="AI1075" s="1293"/>
      <c r="AJ1075" s="1293"/>
      <c r="AK1075" s="1293"/>
      <c r="AL1075" s="1293"/>
      <c r="AM1075" s="1293"/>
      <c r="AN1075" s="1293"/>
      <c r="AO1075" s="1293"/>
      <c r="AP1075" s="1293"/>
      <c r="AQ1075" s="1293"/>
      <c r="AR1075" s="1293"/>
      <c r="AS1075" s="14"/>
      <c r="AT1075" s="68"/>
    </row>
    <row r="1076" spans="1:51" ht="12.95" customHeight="1">
      <c r="A1076" s="1"/>
      <c r="B1076" s="1"/>
      <c r="C1076" s="1336"/>
      <c r="D1076" s="1336"/>
      <c r="E1076" s="1293"/>
      <c r="F1076" s="1293"/>
      <c r="G1076" s="1293"/>
      <c r="H1076" s="1293"/>
      <c r="I1076" s="1293"/>
      <c r="J1076" s="1293"/>
      <c r="K1076" s="1293"/>
      <c r="L1076" s="1293"/>
      <c r="M1076" s="1293"/>
      <c r="N1076" s="1293"/>
      <c r="O1076" s="1293"/>
      <c r="P1076" s="1293"/>
      <c r="Q1076" s="1293"/>
      <c r="R1076" s="1293"/>
      <c r="S1076" s="1293"/>
      <c r="T1076" s="1293"/>
      <c r="U1076" s="1293"/>
      <c r="V1076" s="1293"/>
      <c r="W1076" s="1293"/>
      <c r="X1076" s="1293"/>
      <c r="Y1076" s="1293"/>
      <c r="Z1076" s="1293"/>
      <c r="AA1076" s="1293"/>
      <c r="AB1076" s="1293"/>
      <c r="AC1076" s="1293"/>
      <c r="AD1076" s="1293"/>
      <c r="AE1076" s="1293"/>
      <c r="AF1076" s="1293"/>
      <c r="AG1076" s="1293"/>
      <c r="AH1076" s="1293"/>
      <c r="AI1076" s="1293"/>
      <c r="AJ1076" s="1293"/>
      <c r="AK1076" s="1293"/>
      <c r="AL1076" s="1293"/>
      <c r="AM1076" s="1293"/>
      <c r="AN1076" s="1293"/>
      <c r="AO1076" s="1293"/>
      <c r="AP1076" s="1293"/>
      <c r="AQ1076" s="1293"/>
      <c r="AR1076" s="1293"/>
      <c r="AS1076" s="14"/>
      <c r="AT1076" s="68"/>
    </row>
    <row r="1077" spans="1:51" ht="12.95" customHeight="1">
      <c r="A1077" s="1"/>
      <c r="B1077" s="1"/>
      <c r="C1077" s="1336"/>
      <c r="D1077" s="1336"/>
      <c r="E1077" s="1293"/>
      <c r="F1077" s="1293"/>
      <c r="G1077" s="1293"/>
      <c r="H1077" s="1293"/>
      <c r="I1077" s="1293"/>
      <c r="J1077" s="1293"/>
      <c r="K1077" s="1293"/>
      <c r="L1077" s="1293"/>
      <c r="M1077" s="1293"/>
      <c r="N1077" s="1293"/>
      <c r="O1077" s="1293"/>
      <c r="P1077" s="1293"/>
      <c r="Q1077" s="1293"/>
      <c r="R1077" s="1293"/>
      <c r="S1077" s="1293"/>
      <c r="T1077" s="1293"/>
      <c r="U1077" s="1293"/>
      <c r="V1077" s="1293"/>
      <c r="W1077" s="1293"/>
      <c r="X1077" s="1293"/>
      <c r="Y1077" s="1293"/>
      <c r="Z1077" s="1293"/>
      <c r="AA1077" s="1293"/>
      <c r="AB1077" s="1293"/>
      <c r="AC1077" s="1293"/>
      <c r="AD1077" s="1293"/>
      <c r="AE1077" s="1293"/>
      <c r="AF1077" s="1293"/>
      <c r="AG1077" s="1293"/>
      <c r="AH1077" s="1293"/>
      <c r="AI1077" s="1293"/>
      <c r="AJ1077" s="1293"/>
      <c r="AK1077" s="1293"/>
      <c r="AL1077" s="1293"/>
      <c r="AM1077" s="1293"/>
      <c r="AN1077" s="1293"/>
      <c r="AO1077" s="1293"/>
      <c r="AP1077" s="1293"/>
      <c r="AQ1077" s="1293"/>
      <c r="AR1077" s="1293"/>
      <c r="AS1077" s="14"/>
      <c r="AT1077" s="68"/>
    </row>
    <row r="1078" spans="1:51" ht="12.95" customHeight="1">
      <c r="A1078" s="1"/>
      <c r="B1078" s="1"/>
      <c r="C1078" s="1336"/>
      <c r="D1078" s="1336"/>
      <c r="E1078" s="1293"/>
      <c r="F1078" s="1293"/>
      <c r="G1078" s="1293"/>
      <c r="H1078" s="1293"/>
      <c r="I1078" s="1293"/>
      <c r="J1078" s="1293"/>
      <c r="K1078" s="1293"/>
      <c r="L1078" s="1293"/>
      <c r="M1078" s="1293"/>
      <c r="N1078" s="1293"/>
      <c r="O1078" s="1293"/>
      <c r="P1078" s="1293"/>
      <c r="Q1078" s="1293"/>
      <c r="R1078" s="1293"/>
      <c r="S1078" s="1293"/>
      <c r="T1078" s="1293"/>
      <c r="U1078" s="1293"/>
      <c r="V1078" s="1293"/>
      <c r="W1078" s="1293"/>
      <c r="X1078" s="1293"/>
      <c r="Y1078" s="1293"/>
      <c r="Z1078" s="1293"/>
      <c r="AA1078" s="1293"/>
      <c r="AB1078" s="1293"/>
      <c r="AC1078" s="1293"/>
      <c r="AD1078" s="1293"/>
      <c r="AE1078" s="1293"/>
      <c r="AF1078" s="1293"/>
      <c r="AG1078" s="1293"/>
      <c r="AH1078" s="1293"/>
      <c r="AI1078" s="1293"/>
      <c r="AJ1078" s="1293"/>
      <c r="AK1078" s="1293"/>
      <c r="AL1078" s="1293"/>
      <c r="AM1078" s="1293"/>
      <c r="AN1078" s="1293"/>
      <c r="AO1078" s="1293"/>
      <c r="AP1078" s="1293"/>
      <c r="AQ1078" s="1293"/>
      <c r="AR1078" s="1293"/>
      <c r="AS1078" s="14"/>
      <c r="AT1078" s="68"/>
    </row>
    <row r="1079" spans="1:51" ht="12.95" customHeight="1">
      <c r="A1079" s="1"/>
      <c r="B1079" s="1"/>
      <c r="C1079" s="1336"/>
      <c r="D1079" s="1336"/>
      <c r="E1079" s="1293"/>
      <c r="F1079" s="1293"/>
      <c r="G1079" s="1293"/>
      <c r="H1079" s="1293"/>
      <c r="I1079" s="1293"/>
      <c r="J1079" s="1293"/>
      <c r="K1079" s="1293"/>
      <c r="L1079" s="1293"/>
      <c r="M1079" s="1293"/>
      <c r="N1079" s="1293"/>
      <c r="O1079" s="1293"/>
      <c r="P1079" s="1293"/>
      <c r="Q1079" s="1293"/>
      <c r="R1079" s="1293"/>
      <c r="S1079" s="1293"/>
      <c r="T1079" s="1293"/>
      <c r="U1079" s="1293"/>
      <c r="V1079" s="1293"/>
      <c r="W1079" s="1293"/>
      <c r="X1079" s="1293"/>
      <c r="Y1079" s="1293"/>
      <c r="Z1079" s="1293"/>
      <c r="AA1079" s="1293"/>
      <c r="AB1079" s="1293"/>
      <c r="AC1079" s="1293"/>
      <c r="AD1079" s="1293"/>
      <c r="AE1079" s="1293"/>
      <c r="AF1079" s="1293"/>
      <c r="AG1079" s="1293"/>
      <c r="AH1079" s="1293"/>
      <c r="AI1079" s="1293"/>
      <c r="AJ1079" s="1293"/>
      <c r="AK1079" s="1293"/>
      <c r="AL1079" s="1293"/>
      <c r="AM1079" s="1293"/>
      <c r="AN1079" s="1293"/>
      <c r="AO1079" s="1293"/>
      <c r="AP1079" s="1293"/>
      <c r="AQ1079" s="1293"/>
      <c r="AR1079" s="1293"/>
      <c r="AS1079" s="14"/>
      <c r="AT1079" s="68"/>
    </row>
    <row r="1080" spans="1:51" ht="12.95" customHeight="1">
      <c r="A1080" s="1"/>
      <c r="B1080" s="1"/>
      <c r="C1080" s="1336"/>
      <c r="D1080" s="133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3" t="s">
        <v>591</v>
      </c>
      <c r="B1081" s="1333"/>
      <c r="C1081" s="1336">
        <v>5</v>
      </c>
      <c r="D1081" s="1336"/>
      <c r="E1081" s="1293" t="s">
        <v>2243</v>
      </c>
      <c r="F1081" s="1293"/>
      <c r="G1081" s="1293"/>
      <c r="H1081" s="1293"/>
      <c r="I1081" s="1293"/>
      <c r="J1081" s="1293"/>
      <c r="K1081" s="1293"/>
      <c r="L1081" s="1293"/>
      <c r="M1081" s="1293"/>
      <c r="N1081" s="1293"/>
      <c r="O1081" s="1293"/>
      <c r="P1081" s="1293"/>
      <c r="Q1081" s="1293"/>
      <c r="R1081" s="1293"/>
      <c r="S1081" s="1293"/>
      <c r="T1081" s="1293"/>
      <c r="U1081" s="1293"/>
      <c r="V1081" s="1293"/>
      <c r="W1081" s="1293"/>
      <c r="X1081" s="1293"/>
      <c r="Y1081" s="1293"/>
      <c r="Z1081" s="1293"/>
      <c r="AA1081" s="1293"/>
      <c r="AB1081" s="1293"/>
      <c r="AC1081" s="1293"/>
      <c r="AD1081" s="1293"/>
      <c r="AE1081" s="1293"/>
      <c r="AF1081" s="1293"/>
      <c r="AG1081" s="1293"/>
      <c r="AH1081" s="1293"/>
      <c r="AI1081" s="1293"/>
      <c r="AJ1081" s="1293"/>
      <c r="AK1081" s="1293"/>
      <c r="AL1081" s="1293"/>
      <c r="AM1081" s="1293"/>
      <c r="AN1081" s="1293"/>
      <c r="AO1081" s="1293"/>
      <c r="AP1081" s="1293"/>
      <c r="AQ1081" s="1293"/>
      <c r="AR1081" s="1293"/>
      <c r="AS1081" s="14"/>
    </row>
    <row r="1082" spans="1:51" ht="12.95" customHeight="1">
      <c r="A1082" s="4"/>
      <c r="B1082" s="4"/>
      <c r="C1082" s="1336"/>
      <c r="D1082" s="1336"/>
      <c r="E1082" s="1293"/>
      <c r="F1082" s="1293"/>
      <c r="G1082" s="1293"/>
      <c r="H1082" s="1293"/>
      <c r="I1082" s="1293"/>
      <c r="J1082" s="1293"/>
      <c r="K1082" s="1293"/>
      <c r="L1082" s="1293"/>
      <c r="M1082" s="1293"/>
      <c r="N1082" s="1293"/>
      <c r="O1082" s="1293"/>
      <c r="P1082" s="1293"/>
      <c r="Q1082" s="1293"/>
      <c r="R1082" s="1293"/>
      <c r="S1082" s="1293"/>
      <c r="T1082" s="1293"/>
      <c r="U1082" s="1293"/>
      <c r="V1082" s="1293"/>
      <c r="W1082" s="1293"/>
      <c r="X1082" s="1293"/>
      <c r="Y1082" s="1293"/>
      <c r="Z1082" s="1293"/>
      <c r="AA1082" s="1293"/>
      <c r="AB1082" s="1293"/>
      <c r="AC1082" s="1293"/>
      <c r="AD1082" s="1293"/>
      <c r="AE1082" s="1293"/>
      <c r="AF1082" s="1293"/>
      <c r="AG1082" s="1293"/>
      <c r="AH1082" s="1293"/>
      <c r="AI1082" s="1293"/>
      <c r="AJ1082" s="1293"/>
      <c r="AK1082" s="1293"/>
      <c r="AL1082" s="1293"/>
      <c r="AM1082" s="1293"/>
      <c r="AN1082" s="1293"/>
      <c r="AO1082" s="1293"/>
      <c r="AP1082" s="1293"/>
      <c r="AQ1082" s="1293"/>
      <c r="AR1082" s="1293"/>
      <c r="AS1082" s="14"/>
    </row>
    <row r="1083" spans="1:51" ht="12.95" customHeight="1">
      <c r="A1083" s="4"/>
      <c r="B1083" s="4"/>
      <c r="C1083" s="1336"/>
      <c r="D1083" s="1336"/>
      <c r="E1083" s="1293"/>
      <c r="F1083" s="1293"/>
      <c r="G1083" s="1293"/>
      <c r="H1083" s="1293"/>
      <c r="I1083" s="1293"/>
      <c r="J1083" s="1293"/>
      <c r="K1083" s="1293"/>
      <c r="L1083" s="1293"/>
      <c r="M1083" s="1293"/>
      <c r="N1083" s="1293"/>
      <c r="O1083" s="1293"/>
      <c r="P1083" s="1293"/>
      <c r="Q1083" s="1293"/>
      <c r="R1083" s="1293"/>
      <c r="S1083" s="1293"/>
      <c r="T1083" s="1293"/>
      <c r="U1083" s="1293"/>
      <c r="V1083" s="1293"/>
      <c r="W1083" s="1293"/>
      <c r="X1083" s="1293"/>
      <c r="Y1083" s="1293"/>
      <c r="Z1083" s="1293"/>
      <c r="AA1083" s="1293"/>
      <c r="AB1083" s="1293"/>
      <c r="AC1083" s="1293"/>
      <c r="AD1083" s="1293"/>
      <c r="AE1083" s="1293"/>
      <c r="AF1083" s="1293"/>
      <c r="AG1083" s="1293"/>
      <c r="AH1083" s="1293"/>
      <c r="AI1083" s="1293"/>
      <c r="AJ1083" s="1293"/>
      <c r="AK1083" s="1293"/>
      <c r="AL1083" s="1293"/>
      <c r="AM1083" s="1293"/>
      <c r="AN1083" s="1293"/>
      <c r="AO1083" s="1293"/>
      <c r="AP1083" s="1293"/>
      <c r="AQ1083" s="1293"/>
      <c r="AR1083" s="1293"/>
      <c r="AS1083" s="14"/>
    </row>
    <row r="1084" spans="1:51" ht="12.95" customHeight="1">
      <c r="A1084" s="35"/>
      <c r="B1084" s="25"/>
      <c r="C1084" s="1336"/>
      <c r="D1084" s="133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3" t="s">
        <v>591</v>
      </c>
      <c r="B1085" s="1333"/>
      <c r="C1085" s="1336">
        <v>6</v>
      </c>
      <c r="D1085" s="1336"/>
      <c r="E1085" s="1293" t="s">
        <v>2244</v>
      </c>
      <c r="F1085" s="1293"/>
      <c r="G1085" s="1293"/>
      <c r="H1085" s="1293"/>
      <c r="I1085" s="1293"/>
      <c r="J1085" s="1293"/>
      <c r="K1085" s="1293"/>
      <c r="L1085" s="1293"/>
      <c r="M1085" s="1293"/>
      <c r="N1085" s="1293"/>
      <c r="O1085" s="1293"/>
      <c r="P1085" s="1293"/>
      <c r="Q1085" s="1293"/>
      <c r="R1085" s="1293"/>
      <c r="S1085" s="1293"/>
      <c r="T1085" s="1293"/>
      <c r="U1085" s="1293"/>
      <c r="V1085" s="1293"/>
      <c r="W1085" s="1293"/>
      <c r="X1085" s="1293"/>
      <c r="Y1085" s="1293"/>
      <c r="Z1085" s="1293"/>
      <c r="AA1085" s="1293"/>
      <c r="AB1085" s="1293"/>
      <c r="AC1085" s="1293"/>
      <c r="AD1085" s="1293"/>
      <c r="AE1085" s="1293"/>
      <c r="AF1085" s="1293"/>
      <c r="AG1085" s="1293"/>
      <c r="AH1085" s="1293"/>
      <c r="AI1085" s="1293"/>
      <c r="AJ1085" s="1293"/>
      <c r="AK1085" s="1293"/>
      <c r="AL1085" s="1293"/>
      <c r="AM1085" s="1293"/>
      <c r="AN1085" s="1293"/>
      <c r="AO1085" s="1293"/>
      <c r="AP1085" s="1293"/>
      <c r="AQ1085" s="1293"/>
      <c r="AR1085" s="1293"/>
      <c r="AS1085" s="14"/>
    </row>
    <row r="1086" spans="1:51" ht="12.95" customHeight="1">
      <c r="A1086" s="1"/>
      <c r="B1086" s="1"/>
      <c r="C1086" s="1"/>
      <c r="D1086" s="1"/>
      <c r="E1086" s="1293"/>
      <c r="F1086" s="1293"/>
      <c r="G1086" s="1293"/>
      <c r="H1086" s="1293"/>
      <c r="I1086" s="1293"/>
      <c r="J1086" s="1293"/>
      <c r="K1086" s="1293"/>
      <c r="L1086" s="1293"/>
      <c r="M1086" s="1293"/>
      <c r="N1086" s="1293"/>
      <c r="O1086" s="1293"/>
      <c r="P1086" s="1293"/>
      <c r="Q1086" s="1293"/>
      <c r="R1086" s="1293"/>
      <c r="S1086" s="1293"/>
      <c r="T1086" s="1293"/>
      <c r="U1086" s="1293"/>
      <c r="V1086" s="1293"/>
      <c r="W1086" s="1293"/>
      <c r="X1086" s="1293"/>
      <c r="Y1086" s="1293"/>
      <c r="Z1086" s="1293"/>
      <c r="AA1086" s="1293"/>
      <c r="AB1086" s="1293"/>
      <c r="AC1086" s="1293"/>
      <c r="AD1086" s="1293"/>
      <c r="AE1086" s="1293"/>
      <c r="AF1086" s="1293"/>
      <c r="AG1086" s="1293"/>
      <c r="AH1086" s="1293"/>
      <c r="AI1086" s="1293"/>
      <c r="AJ1086" s="1293"/>
      <c r="AK1086" s="1293"/>
      <c r="AL1086" s="1293"/>
      <c r="AM1086" s="1293"/>
      <c r="AN1086" s="1293"/>
      <c r="AO1086" s="1293"/>
      <c r="AP1086" s="1293"/>
      <c r="AQ1086" s="1293"/>
      <c r="AR1086" s="1293"/>
      <c r="AS1086" s="14"/>
    </row>
    <row r="1087" spans="1:51" ht="12.95" customHeight="1">
      <c r="A1087" s="1"/>
      <c r="B1087" s="1"/>
      <c r="C1087" s="1336"/>
      <c r="D1087" s="1336"/>
      <c r="E1087" s="1293"/>
      <c r="F1087" s="1293"/>
      <c r="G1087" s="1293"/>
      <c r="H1087" s="1293"/>
      <c r="I1087" s="1293"/>
      <c r="J1087" s="1293"/>
      <c r="K1087" s="1293"/>
      <c r="L1087" s="1293"/>
      <c r="M1087" s="1293"/>
      <c r="N1087" s="1293"/>
      <c r="O1087" s="1293"/>
      <c r="P1087" s="1293"/>
      <c r="Q1087" s="1293"/>
      <c r="R1087" s="1293"/>
      <c r="S1087" s="1293"/>
      <c r="T1087" s="1293"/>
      <c r="U1087" s="1293"/>
      <c r="V1087" s="1293"/>
      <c r="W1087" s="1293"/>
      <c r="X1087" s="1293"/>
      <c r="Y1087" s="1293"/>
      <c r="Z1087" s="1293"/>
      <c r="AA1087" s="1293"/>
      <c r="AB1087" s="1293"/>
      <c r="AC1087" s="1293"/>
      <c r="AD1087" s="1293"/>
      <c r="AE1087" s="1293"/>
      <c r="AF1087" s="1293"/>
      <c r="AG1087" s="1293"/>
      <c r="AH1087" s="1293"/>
      <c r="AI1087" s="1293"/>
      <c r="AJ1087" s="1293"/>
      <c r="AK1087" s="1293"/>
      <c r="AL1087" s="1293"/>
      <c r="AM1087" s="1293"/>
      <c r="AN1087" s="1293"/>
      <c r="AO1087" s="1293"/>
      <c r="AP1087" s="1293"/>
      <c r="AQ1087" s="1293"/>
      <c r="AR1087" s="1293"/>
      <c r="AS1087" s="14"/>
    </row>
    <row r="1088" spans="1:51" ht="12.95" customHeight="1">
      <c r="A1088" s="35"/>
      <c r="B1088" s="25"/>
      <c r="C1088" s="1336"/>
      <c r="D1088" s="133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3" t="s">
        <v>591</v>
      </c>
      <c r="B1089" s="1333"/>
      <c r="C1089" s="1336">
        <v>7</v>
      </c>
      <c r="D1089" s="1336"/>
      <c r="E1089" s="1293" t="s">
        <v>2139</v>
      </c>
      <c r="F1089" s="1293"/>
      <c r="G1089" s="1293"/>
      <c r="H1089" s="1293"/>
      <c r="I1089" s="1293"/>
      <c r="J1089" s="1293"/>
      <c r="K1089" s="1293"/>
      <c r="L1089" s="1293"/>
      <c r="M1089" s="1293"/>
      <c r="N1089" s="1293"/>
      <c r="O1089" s="1293"/>
      <c r="P1089" s="1293"/>
      <c r="Q1089" s="1293"/>
      <c r="R1089" s="1293"/>
      <c r="S1089" s="1293"/>
      <c r="T1089" s="1293"/>
      <c r="U1089" s="1293"/>
      <c r="V1089" s="1293"/>
      <c r="W1089" s="1293"/>
      <c r="X1089" s="1293"/>
      <c r="Y1089" s="1293"/>
      <c r="Z1089" s="1293"/>
      <c r="AA1089" s="1293"/>
      <c r="AB1089" s="1293"/>
      <c r="AC1089" s="1293"/>
      <c r="AD1089" s="1293"/>
      <c r="AE1089" s="1293"/>
      <c r="AF1089" s="1293"/>
      <c r="AG1089" s="1293"/>
      <c r="AH1089" s="1293"/>
      <c r="AI1089" s="1293"/>
      <c r="AJ1089" s="1293"/>
      <c r="AK1089" s="1293"/>
      <c r="AL1089" s="1293"/>
      <c r="AM1089" s="1293"/>
      <c r="AN1089" s="1293"/>
      <c r="AO1089" s="1293"/>
      <c r="AP1089" s="1293"/>
      <c r="AQ1089" s="1293"/>
      <c r="AR1089" s="1293"/>
      <c r="AS1089" s="14"/>
    </row>
    <row r="1090" spans="1:45" ht="12.95" customHeight="1">
      <c r="A1090" s="1"/>
      <c r="B1090" s="1"/>
      <c r="C1090" s="1336"/>
      <c r="D1090" s="1336"/>
      <c r="E1090" s="1293"/>
      <c r="F1090" s="1293"/>
      <c r="G1090" s="1293"/>
      <c r="H1090" s="1293"/>
      <c r="I1090" s="1293"/>
      <c r="J1090" s="1293"/>
      <c r="K1090" s="1293"/>
      <c r="L1090" s="1293"/>
      <c r="M1090" s="1293"/>
      <c r="N1090" s="1293"/>
      <c r="O1090" s="1293"/>
      <c r="P1090" s="1293"/>
      <c r="Q1090" s="1293"/>
      <c r="R1090" s="1293"/>
      <c r="S1090" s="1293"/>
      <c r="T1090" s="1293"/>
      <c r="U1090" s="1293"/>
      <c r="V1090" s="1293"/>
      <c r="W1090" s="1293"/>
      <c r="X1090" s="1293"/>
      <c r="Y1090" s="1293"/>
      <c r="Z1090" s="1293"/>
      <c r="AA1090" s="1293"/>
      <c r="AB1090" s="1293"/>
      <c r="AC1090" s="1293"/>
      <c r="AD1090" s="1293"/>
      <c r="AE1090" s="1293"/>
      <c r="AF1090" s="1293"/>
      <c r="AG1090" s="1293"/>
      <c r="AH1090" s="1293"/>
      <c r="AI1090" s="1293"/>
      <c r="AJ1090" s="1293"/>
      <c r="AK1090" s="1293"/>
      <c r="AL1090" s="1293"/>
      <c r="AM1090" s="1293"/>
      <c r="AN1090" s="1293"/>
      <c r="AO1090" s="1293"/>
      <c r="AP1090" s="1293"/>
      <c r="AQ1090" s="1293"/>
      <c r="AR1090" s="1293"/>
      <c r="AS1090" s="14"/>
    </row>
    <row r="1091" spans="1:45" ht="12.95" customHeight="1">
      <c r="A1091" s="1"/>
      <c r="B1091" s="1"/>
      <c r="C1091" s="1336"/>
      <c r="D1091" s="1336"/>
      <c r="E1091" s="1293"/>
      <c r="F1091" s="1293"/>
      <c r="G1091" s="1293"/>
      <c r="H1091" s="1293"/>
      <c r="I1091" s="1293"/>
      <c r="J1091" s="1293"/>
      <c r="K1091" s="1293"/>
      <c r="L1091" s="1293"/>
      <c r="M1091" s="1293"/>
      <c r="N1091" s="1293"/>
      <c r="O1091" s="1293"/>
      <c r="P1091" s="1293"/>
      <c r="Q1091" s="1293"/>
      <c r="R1091" s="1293"/>
      <c r="S1091" s="1293"/>
      <c r="T1091" s="1293"/>
      <c r="U1091" s="1293"/>
      <c r="V1091" s="1293"/>
      <c r="W1091" s="1293"/>
      <c r="X1091" s="1293"/>
      <c r="Y1091" s="1293"/>
      <c r="Z1091" s="1293"/>
      <c r="AA1091" s="1293"/>
      <c r="AB1091" s="1293"/>
      <c r="AC1091" s="1293"/>
      <c r="AD1091" s="1293"/>
      <c r="AE1091" s="1293"/>
      <c r="AF1091" s="1293"/>
      <c r="AG1091" s="1293"/>
      <c r="AH1091" s="1293"/>
      <c r="AI1091" s="1293"/>
      <c r="AJ1091" s="1293"/>
      <c r="AK1091" s="1293"/>
      <c r="AL1091" s="1293"/>
      <c r="AM1091" s="1293"/>
      <c r="AN1091" s="1293"/>
      <c r="AO1091" s="1293"/>
      <c r="AP1091" s="1293"/>
      <c r="AQ1091" s="1293"/>
      <c r="AR1091" s="1293"/>
      <c r="AS1091" s="14"/>
    </row>
    <row r="1092" spans="1:45" ht="12.95" customHeight="1">
      <c r="A1092" s="1"/>
      <c r="B1092" s="1"/>
      <c r="C1092" s="1336"/>
      <c r="D1092" s="133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6"/>
      <c r="D1093" s="133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3" t="s">
        <v>591</v>
      </c>
      <c r="B1094" s="1333"/>
      <c r="C1094" s="1336">
        <v>8</v>
      </c>
      <c r="D1094" s="1336"/>
      <c r="E1094" s="1293" t="s">
        <v>1073</v>
      </c>
      <c r="F1094" s="1293"/>
      <c r="G1094" s="1293"/>
      <c r="H1094" s="1293"/>
      <c r="I1094" s="1293"/>
      <c r="J1094" s="1293"/>
      <c r="K1094" s="1293"/>
      <c r="L1094" s="1293"/>
      <c r="M1094" s="1293"/>
      <c r="N1094" s="1293"/>
      <c r="O1094" s="1293"/>
      <c r="P1094" s="1293"/>
      <c r="Q1094" s="1293"/>
      <c r="R1094" s="1293"/>
      <c r="S1094" s="1293"/>
      <c r="T1094" s="1293"/>
      <c r="U1094" s="1293"/>
      <c r="V1094" s="1293"/>
      <c r="W1094" s="1293"/>
      <c r="X1094" s="1293"/>
      <c r="Y1094" s="1293"/>
      <c r="Z1094" s="1293"/>
      <c r="AA1094" s="1293"/>
      <c r="AB1094" s="1293"/>
      <c r="AC1094" s="1293"/>
      <c r="AD1094" s="1293"/>
      <c r="AE1094" s="1293"/>
      <c r="AF1094" s="1293"/>
      <c r="AG1094" s="1293"/>
      <c r="AH1094" s="1293"/>
      <c r="AI1094" s="1293"/>
      <c r="AJ1094" s="1293"/>
      <c r="AK1094" s="1293"/>
      <c r="AL1094" s="1293"/>
      <c r="AM1094" s="1293"/>
      <c r="AN1094" s="1293"/>
      <c r="AO1094" s="1293"/>
      <c r="AP1094" s="1293"/>
      <c r="AQ1094" s="1293"/>
      <c r="AR1094" s="1293"/>
    </row>
    <row r="1095" spans="1:45" ht="12.95" customHeight="1">
      <c r="A1095" s="35"/>
      <c r="B1095" s="25"/>
      <c r="C1095" s="1336"/>
      <c r="D1095" s="1336"/>
      <c r="E1095" s="1293"/>
      <c r="F1095" s="1293"/>
      <c r="G1095" s="1293"/>
      <c r="H1095" s="1293"/>
      <c r="I1095" s="1293"/>
      <c r="J1095" s="1293"/>
      <c r="K1095" s="1293"/>
      <c r="L1095" s="1293"/>
      <c r="M1095" s="1293"/>
      <c r="N1095" s="1293"/>
      <c r="O1095" s="1293"/>
      <c r="P1095" s="1293"/>
      <c r="Q1095" s="1293"/>
      <c r="R1095" s="1293"/>
      <c r="S1095" s="1293"/>
      <c r="T1095" s="1293"/>
      <c r="U1095" s="1293"/>
      <c r="V1095" s="1293"/>
      <c r="W1095" s="1293"/>
      <c r="X1095" s="1293"/>
      <c r="Y1095" s="1293"/>
      <c r="Z1095" s="1293"/>
      <c r="AA1095" s="1293"/>
      <c r="AB1095" s="1293"/>
      <c r="AC1095" s="1293"/>
      <c r="AD1095" s="1293"/>
      <c r="AE1095" s="1293"/>
      <c r="AF1095" s="1293"/>
      <c r="AG1095" s="1293"/>
      <c r="AH1095" s="1293"/>
      <c r="AI1095" s="1293"/>
      <c r="AJ1095" s="1293"/>
      <c r="AK1095" s="1293"/>
      <c r="AL1095" s="1293"/>
      <c r="AM1095" s="1293"/>
      <c r="AN1095" s="1293"/>
      <c r="AO1095" s="1293"/>
      <c r="AP1095" s="1293"/>
      <c r="AQ1095" s="1293"/>
      <c r="AR1095" s="1293"/>
    </row>
    <row r="1096" spans="1:45" ht="12.95" customHeight="1">
      <c r="A1096" s="35"/>
      <c r="B1096" s="25"/>
      <c r="C1096" s="1336"/>
      <c r="D1096" s="133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3" t="s">
        <v>591</v>
      </c>
      <c r="B1097" s="1333"/>
      <c r="C1097" s="1334">
        <v>9</v>
      </c>
      <c r="D1097" s="1334"/>
      <c r="E1097" s="1293" t="s">
        <v>1075</v>
      </c>
      <c r="F1097" s="1293"/>
      <c r="G1097" s="1293"/>
      <c r="H1097" s="1293"/>
      <c r="I1097" s="1293"/>
      <c r="J1097" s="1293"/>
      <c r="K1097" s="1293"/>
      <c r="L1097" s="1293"/>
      <c r="M1097" s="1293"/>
      <c r="N1097" s="1293"/>
      <c r="O1097" s="1293"/>
      <c r="P1097" s="1293"/>
      <c r="Q1097" s="1293"/>
      <c r="R1097" s="1293"/>
      <c r="S1097" s="1293"/>
      <c r="T1097" s="1293"/>
      <c r="U1097" s="1293"/>
      <c r="V1097" s="1293"/>
      <c r="W1097" s="1293"/>
      <c r="X1097" s="1293"/>
      <c r="Y1097" s="1293"/>
      <c r="Z1097" s="1293"/>
      <c r="AA1097" s="1293"/>
      <c r="AB1097" s="1293"/>
      <c r="AC1097" s="1293"/>
      <c r="AD1097" s="1293"/>
      <c r="AE1097" s="1293"/>
      <c r="AF1097" s="1293"/>
      <c r="AG1097" s="1293"/>
      <c r="AH1097" s="1293"/>
      <c r="AI1097" s="1293"/>
      <c r="AJ1097" s="1293"/>
      <c r="AK1097" s="1293"/>
      <c r="AL1097" s="1293"/>
      <c r="AM1097" s="1293"/>
      <c r="AN1097" s="1293"/>
      <c r="AO1097" s="1293"/>
      <c r="AP1097" s="1293"/>
      <c r="AQ1097" s="1293"/>
      <c r="AR1097" s="1293"/>
    </row>
    <row r="1098" spans="1:45" ht="12.95" customHeight="1">
      <c r="A1098" s="1"/>
      <c r="B1098" s="1"/>
      <c r="C1098" s="1334"/>
      <c r="D1098" s="1334"/>
      <c r="E1098" s="1293"/>
      <c r="F1098" s="1293"/>
      <c r="G1098" s="1293"/>
      <c r="H1098" s="1293"/>
      <c r="I1098" s="1293"/>
      <c r="J1098" s="1293"/>
      <c r="K1098" s="1293"/>
      <c r="L1098" s="1293"/>
      <c r="M1098" s="1293"/>
      <c r="N1098" s="1293"/>
      <c r="O1098" s="1293"/>
      <c r="P1098" s="1293"/>
      <c r="Q1098" s="1293"/>
      <c r="R1098" s="1293"/>
      <c r="S1098" s="1293"/>
      <c r="T1098" s="1293"/>
      <c r="U1098" s="1293"/>
      <c r="V1098" s="1293"/>
      <c r="W1098" s="1293"/>
      <c r="X1098" s="1293"/>
      <c r="Y1098" s="1293"/>
      <c r="Z1098" s="1293"/>
      <c r="AA1098" s="1293"/>
      <c r="AB1098" s="1293"/>
      <c r="AC1098" s="1293"/>
      <c r="AD1098" s="1293"/>
      <c r="AE1098" s="1293"/>
      <c r="AF1098" s="1293"/>
      <c r="AG1098" s="1293"/>
      <c r="AH1098" s="1293"/>
      <c r="AI1098" s="1293"/>
      <c r="AJ1098" s="1293"/>
      <c r="AK1098" s="1293"/>
      <c r="AL1098" s="1293"/>
      <c r="AM1098" s="1293"/>
      <c r="AN1098" s="1293"/>
      <c r="AO1098" s="1293"/>
      <c r="AP1098" s="1293"/>
      <c r="AQ1098" s="1293"/>
      <c r="AR1098" s="1293"/>
    </row>
    <row r="1099" spans="1:45" ht="12.95" customHeight="1">
      <c r="A1099" s="35"/>
      <c r="B1099" s="25"/>
      <c r="C1099" s="1334"/>
      <c r="D1099" s="133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3" t="s">
        <v>591</v>
      </c>
      <c r="B1100" s="1333"/>
      <c r="C1100" s="1334">
        <v>10</v>
      </c>
      <c r="D1100" s="1334"/>
      <c r="E1100" s="1335" t="s">
        <v>2240</v>
      </c>
      <c r="F1100" s="1335"/>
      <c r="G1100" s="1335"/>
      <c r="H1100" s="1335"/>
      <c r="I1100" s="1335"/>
      <c r="J1100" s="1335"/>
      <c r="K1100" s="1335"/>
      <c r="L1100" s="1335"/>
      <c r="M1100" s="1335"/>
      <c r="N1100" s="1335"/>
      <c r="O1100" s="1335"/>
      <c r="P1100" s="1335"/>
      <c r="Q1100" s="1335"/>
      <c r="R1100" s="1335"/>
      <c r="S1100" s="1335"/>
      <c r="T1100" s="1335"/>
      <c r="U1100" s="1335"/>
      <c r="V1100" s="1335"/>
      <c r="W1100" s="1335"/>
      <c r="X1100" s="1335"/>
      <c r="Y1100" s="1335"/>
      <c r="Z1100" s="1335"/>
      <c r="AA1100" s="1335"/>
      <c r="AB1100" s="1335"/>
      <c r="AC1100" s="1335"/>
      <c r="AD1100" s="1335"/>
      <c r="AE1100" s="1335"/>
      <c r="AF1100" s="1335"/>
      <c r="AG1100" s="1335"/>
      <c r="AH1100" s="1335"/>
      <c r="AI1100" s="1335"/>
      <c r="AJ1100" s="1335"/>
      <c r="AK1100" s="1335"/>
      <c r="AL1100" s="1335"/>
      <c r="AM1100" s="1335"/>
      <c r="AN1100" s="1335"/>
      <c r="AO1100" s="1335"/>
      <c r="AP1100" s="1335"/>
      <c r="AQ1100" s="1335"/>
      <c r="AR1100" s="1335"/>
    </row>
    <row r="1101" spans="1:45" ht="12.95" customHeight="1">
      <c r="A1101" s="1"/>
      <c r="B1101" s="1"/>
      <c r="C1101" s="199"/>
      <c r="D1101" s="1161"/>
      <c r="E1101" s="1335"/>
      <c r="F1101" s="1335"/>
      <c r="G1101" s="1335"/>
      <c r="H1101" s="1335"/>
      <c r="I1101" s="1335"/>
      <c r="J1101" s="1335"/>
      <c r="K1101" s="1335"/>
      <c r="L1101" s="1335"/>
      <c r="M1101" s="1335"/>
      <c r="N1101" s="1335"/>
      <c r="O1101" s="1335"/>
      <c r="P1101" s="1335"/>
      <c r="Q1101" s="1335"/>
      <c r="R1101" s="1335"/>
      <c r="S1101" s="1335"/>
      <c r="T1101" s="1335"/>
      <c r="U1101" s="1335"/>
      <c r="V1101" s="1335"/>
      <c r="W1101" s="1335"/>
      <c r="X1101" s="1335"/>
      <c r="Y1101" s="1335"/>
      <c r="Z1101" s="1335"/>
      <c r="AA1101" s="1335"/>
      <c r="AB1101" s="1335"/>
      <c r="AC1101" s="1335"/>
      <c r="AD1101" s="1335"/>
      <c r="AE1101" s="1335"/>
      <c r="AF1101" s="1335"/>
      <c r="AG1101" s="1335"/>
      <c r="AH1101" s="1335"/>
      <c r="AI1101" s="1335"/>
      <c r="AJ1101" s="1335"/>
      <c r="AK1101" s="1335"/>
      <c r="AL1101" s="1335"/>
      <c r="AM1101" s="1335"/>
      <c r="AN1101" s="1335"/>
      <c r="AO1101" s="1335"/>
      <c r="AP1101" s="1335"/>
      <c r="AQ1101" s="1335"/>
      <c r="AR1101" s="1335"/>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3" t="s">
        <v>591</v>
      </c>
      <c r="B1103" s="1333"/>
      <c r="C1103" s="1334">
        <v>11</v>
      </c>
      <c r="D1103" s="1334"/>
      <c r="E1103" s="1335" t="s">
        <v>2242</v>
      </c>
      <c r="F1103" s="1335"/>
      <c r="G1103" s="1335"/>
      <c r="H1103" s="1335"/>
      <c r="I1103" s="1335"/>
      <c r="J1103" s="1335"/>
      <c r="K1103" s="1335"/>
      <c r="L1103" s="1335"/>
      <c r="M1103" s="1335"/>
      <c r="N1103" s="1335"/>
      <c r="O1103" s="1335"/>
      <c r="P1103" s="1335"/>
      <c r="Q1103" s="1335"/>
      <c r="R1103" s="1335"/>
      <c r="S1103" s="1335"/>
      <c r="T1103" s="1335"/>
      <c r="U1103" s="1335"/>
      <c r="V1103" s="1335"/>
      <c r="W1103" s="1335"/>
      <c r="X1103" s="1335"/>
      <c r="Y1103" s="1335"/>
      <c r="Z1103" s="1335"/>
      <c r="AA1103" s="1335"/>
      <c r="AB1103" s="1335"/>
      <c r="AC1103" s="1335"/>
      <c r="AD1103" s="1335"/>
      <c r="AE1103" s="1335"/>
      <c r="AF1103" s="1335"/>
      <c r="AG1103" s="1335"/>
      <c r="AH1103" s="1335"/>
      <c r="AI1103" s="1335"/>
      <c r="AJ1103" s="1335"/>
      <c r="AK1103" s="1335"/>
      <c r="AL1103" s="1335"/>
      <c r="AM1103" s="1335"/>
      <c r="AN1103" s="1335"/>
      <c r="AO1103" s="1335"/>
      <c r="AP1103" s="1335"/>
      <c r="AQ1103" s="1335"/>
      <c r="AR1103" s="1335"/>
    </row>
    <row r="1104" spans="1:45" ht="12.95" customHeight="1">
      <c r="A1104" s="1"/>
      <c r="B1104" s="1"/>
      <c r="C1104" s="199"/>
      <c r="D1104" s="1161"/>
      <c r="E1104" s="1335"/>
      <c r="F1104" s="1335"/>
      <c r="G1104" s="1335"/>
      <c r="H1104" s="1335"/>
      <c r="I1104" s="1335"/>
      <c r="J1104" s="1335"/>
      <c r="K1104" s="1335"/>
      <c r="L1104" s="1335"/>
      <c r="M1104" s="1335"/>
      <c r="N1104" s="1335"/>
      <c r="O1104" s="1335"/>
      <c r="P1104" s="1335"/>
      <c r="Q1104" s="1335"/>
      <c r="R1104" s="1335"/>
      <c r="S1104" s="1335"/>
      <c r="T1104" s="1335"/>
      <c r="U1104" s="1335"/>
      <c r="V1104" s="1335"/>
      <c r="W1104" s="1335"/>
      <c r="X1104" s="1335"/>
      <c r="Y1104" s="1335"/>
      <c r="Z1104" s="1335"/>
      <c r="AA1104" s="1335"/>
      <c r="AB1104" s="1335"/>
      <c r="AC1104" s="1335"/>
      <c r="AD1104" s="1335"/>
      <c r="AE1104" s="1335"/>
      <c r="AF1104" s="1335"/>
      <c r="AG1104" s="1335"/>
      <c r="AH1104" s="1335"/>
      <c r="AI1104" s="1335"/>
      <c r="AJ1104" s="1335"/>
      <c r="AK1104" s="1335"/>
      <c r="AL1104" s="1335"/>
      <c r="AM1104" s="1335"/>
      <c r="AN1104" s="1335"/>
      <c r="AO1104" s="1335"/>
      <c r="AP1104" s="1335"/>
      <c r="AQ1104" s="1335"/>
      <c r="AR1104" s="1335"/>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3" t="s">
        <v>591</v>
      </c>
      <c r="B1125" s="1333"/>
      <c r="C1125" s="199">
        <v>9</v>
      </c>
      <c r="D1125" s="1263" t="s">
        <v>1074</v>
      </c>
      <c r="E1125" s="1263"/>
      <c r="F1125" s="1263"/>
      <c r="G1125" s="1263"/>
      <c r="H1125" s="1263"/>
      <c r="I1125" s="1263"/>
      <c r="J1125" s="1263"/>
      <c r="K1125" s="1263"/>
      <c r="L1125" s="1263"/>
      <c r="M1125" s="1263"/>
      <c r="N1125" s="1263"/>
      <c r="O1125" s="1263"/>
      <c r="P1125" s="1263"/>
      <c r="Q1125" s="1263"/>
      <c r="R1125" s="1263"/>
      <c r="S1125" s="1263"/>
      <c r="T1125" s="1263"/>
      <c r="U1125" s="1263"/>
      <c r="V1125" s="1263"/>
      <c r="W1125" s="1263"/>
      <c r="X1125" s="1263"/>
      <c r="Y1125" s="1263"/>
      <c r="Z1125" s="1263"/>
      <c r="AA1125" s="1263"/>
      <c r="AB1125" s="1263"/>
      <c r="AC1125" s="1263"/>
      <c r="AD1125" s="1263"/>
      <c r="AE1125" s="1263"/>
      <c r="AF1125" s="1263"/>
      <c r="AG1125" s="1263"/>
      <c r="AH1125" s="1263"/>
      <c r="AI1125" s="1263"/>
      <c r="AJ1125" s="1263"/>
      <c r="AK1125" s="1263"/>
    </row>
    <row r="1126" spans="1:37" ht="0" hidden="1" customHeight="1">
      <c r="A1126" s="35"/>
      <c r="B1126" s="25"/>
      <c r="C1126" s="199"/>
      <c r="D1126" s="1263"/>
      <c r="E1126" s="1263"/>
      <c r="F1126" s="1263"/>
      <c r="G1126" s="1263"/>
      <c r="H1126" s="1263"/>
      <c r="I1126" s="1263"/>
      <c r="J1126" s="1263"/>
      <c r="K1126" s="1263"/>
      <c r="L1126" s="1263"/>
      <c r="M1126" s="1263"/>
      <c r="N1126" s="1263"/>
      <c r="O1126" s="1263"/>
      <c r="P1126" s="1263"/>
      <c r="Q1126" s="1263"/>
      <c r="R1126" s="1263"/>
      <c r="S1126" s="1263"/>
      <c r="T1126" s="1263"/>
      <c r="U1126" s="1263"/>
      <c r="V1126" s="1263"/>
      <c r="W1126" s="1263"/>
      <c r="X1126" s="1263"/>
      <c r="Y1126" s="1263"/>
      <c r="Z1126" s="1263"/>
      <c r="AA1126" s="1263"/>
      <c r="AB1126" s="1263"/>
      <c r="AC1126" s="1263"/>
      <c r="AD1126" s="1263"/>
      <c r="AE1126" s="1263"/>
      <c r="AF1126" s="1263"/>
      <c r="AG1126" s="1263"/>
      <c r="AH1126" s="1263"/>
      <c r="AI1126" s="1263"/>
      <c r="AJ1126" s="1263"/>
      <c r="AK1126" s="1263"/>
    </row>
    <row r="1127" spans="1:37" ht="0" hidden="1" customHeight="1">
      <c r="D1127" s="1263"/>
      <c r="E1127" s="1263"/>
      <c r="F1127" s="1263"/>
      <c r="G1127" s="1263"/>
      <c r="H1127" s="1263"/>
      <c r="I1127" s="1263"/>
      <c r="J1127" s="1263"/>
      <c r="K1127" s="1263"/>
      <c r="L1127" s="1263"/>
      <c r="M1127" s="1263"/>
      <c r="N1127" s="1263"/>
      <c r="O1127" s="1263"/>
      <c r="P1127" s="1263"/>
      <c r="Q1127" s="1263"/>
      <c r="R1127" s="1263"/>
      <c r="S1127" s="1263"/>
      <c r="T1127" s="1263"/>
      <c r="U1127" s="1263"/>
      <c r="V1127" s="1263"/>
      <c r="W1127" s="1263"/>
      <c r="X1127" s="1263"/>
      <c r="Y1127" s="1263"/>
      <c r="Z1127" s="1263"/>
      <c r="AA1127" s="1263"/>
      <c r="AB1127" s="1263"/>
      <c r="AC1127" s="1263"/>
      <c r="AD1127" s="1263"/>
      <c r="AE1127" s="1263"/>
      <c r="AF1127" s="1263"/>
      <c r="AG1127" s="1263"/>
      <c r="AH1127" s="1263"/>
      <c r="AI1127" s="1263"/>
      <c r="AJ1127" s="1263"/>
      <c r="AK1127" s="1263"/>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39" priority="5">
      <formula>0=$B$1060</formula>
    </cfRule>
  </conditionalFormatting>
  <conditionalFormatting sqref="C555:C565 Q628:Z638 AC628:AS638 Q555:AS565">
    <cfRule type="expression" dxfId="138" priority="22">
      <formula>$AT555="!"</formula>
    </cfRule>
  </conditionalFormatting>
  <conditionalFormatting sqref="C628:C638">
    <cfRule type="expression" dxfId="137" priority="21">
      <formula>$AT628="!"</formula>
    </cfRule>
  </conditionalFormatting>
  <conditionalFormatting sqref="C894:T895">
    <cfRule type="expression" dxfId="136" priority="7">
      <formula>AND(AC894&lt;&gt;"",OR(C894="Other (Specify):",C894=""))</formula>
    </cfRule>
  </conditionalFormatting>
  <conditionalFormatting sqref="D213">
    <cfRule type="expression" dxfId="135" priority="263">
      <formula>AND($Q$212&gt;0,$T$212&lt;75%)</formula>
    </cfRule>
  </conditionalFormatting>
  <conditionalFormatting sqref="D216">
    <cfRule type="expression" dxfId="134" priority="30">
      <formula>NOT($D$211="At-Risk")</formula>
    </cfRule>
  </conditionalFormatting>
  <conditionalFormatting sqref="D215:U215">
    <cfRule type="expression" dxfId="133" priority="34">
      <formula>NOT(OR($D$214="Seniors",$D$211="Seniors"))</formula>
    </cfRule>
  </conditionalFormatting>
  <conditionalFormatting sqref="D214:Z214">
    <cfRule type="expression" dxfId="132" priority="264">
      <formula>AND($Q$212&gt;0,$T$212&lt;75%)</formula>
    </cfRule>
  </conditionalFormatting>
  <conditionalFormatting sqref="E707:AK707">
    <cfRule type="expression" dxfId="131" priority="20">
      <formula>AND($W$706="Other",OR($E$707="(specify here)",$E$707=""))</formula>
    </cfRule>
  </conditionalFormatting>
  <conditionalFormatting sqref="F831:L831">
    <cfRule type="expression" dxfId="130" priority="15">
      <formula>AND(OR(M831&lt;&gt;"",$Q$811&lt;&gt;"",$U$811&lt;&gt;"",$Y$811&lt;&gt;"",$AC$811&lt;&gt;"",$AG$811&lt;&gt;"",SUM($M$831:$AJ$831)&gt;0),OR(F831="(specify here)",F831=""))</formula>
    </cfRule>
  </conditionalFormatting>
  <conditionalFormatting sqref="F457:AB458">
    <cfRule type="expression" dxfId="129" priority="4">
      <formula>$AC$454=""</formula>
    </cfRule>
  </conditionalFormatting>
  <conditionalFormatting sqref="G1055:AN1060">
    <cfRule type="expression" dxfId="128" priority="1">
      <formula>OR($Z$205="15% set-aside",$Z$205="15% set-aside with qualifying low value rehab")</formula>
    </cfRule>
  </conditionalFormatting>
  <conditionalFormatting sqref="L508:X508">
    <cfRule type="expression" dxfId="127" priority="29">
      <formula>AND(NOT(AC508="N/A"),AH508&lt;&gt;"",OR(L508="(specify here)",L508=""))</formula>
    </cfRule>
  </conditionalFormatting>
  <conditionalFormatting sqref="M846:V846">
    <cfRule type="expression" dxfId="126" priority="14">
      <formula>AND(W846&lt;&gt;"",OR(M846="(specify here)",M846=""))</formula>
    </cfRule>
  </conditionalFormatting>
  <conditionalFormatting sqref="M861:V861">
    <cfRule type="expression" dxfId="125" priority="13">
      <formula>AND(W861&lt;&gt;"",OR(M861="(specify here)",M861=""))</formula>
    </cfRule>
  </conditionalFormatting>
  <conditionalFormatting sqref="M871:V871">
    <cfRule type="expression" dxfId="124" priority="12">
      <formula>AND(W871&lt;&gt;"",OR(M871="(specify here)",M871=""))</formula>
    </cfRule>
  </conditionalFormatting>
  <conditionalFormatting sqref="M874:V878">
    <cfRule type="expression" dxfId="123" priority="11">
      <formula>AND(W874&lt;&gt;"",OR(M874="(specify here)",M874=""))</formula>
    </cfRule>
  </conditionalFormatting>
  <conditionalFormatting sqref="O520:AA520">
    <cfRule type="expression" dxfId="122" priority="28">
      <formula>AND(OR(AND(NOT(AC520="N/A"),AH520&lt;&gt;""),AND(NOT(AC521="N/A"),AH521&lt;&gt;""),AND(NOT(AC522="N/A"),AH522&lt;&gt;"")),OR(O520="(specify here)",O520=""))</formula>
    </cfRule>
  </conditionalFormatting>
  <conditionalFormatting sqref="O523:AA523">
    <cfRule type="expression" dxfId="121" priority="27">
      <formula>AND(OR(AND(NOT(AC523="N/A"),AH523&lt;&gt;""),AND(NOT(AC524="N/A"),AH524&lt;&gt;""),AND(NOT(AC525="N/A"),AH525&lt;&gt;"")),OR(O523="(specify here)",O523=""))</formula>
    </cfRule>
  </conditionalFormatting>
  <conditionalFormatting sqref="O526:AA526">
    <cfRule type="expression" dxfId="120" priority="26">
      <formula>AND(OR(AND(NOT(AC526="N/A"),AH526&lt;&gt;""),AND(NOT(AC527="N/A"),AH527&lt;&gt;""),AND(NOT(AC528="N/A"),AH528&lt;&gt;"")),OR(O526="(specify here)",O526=""))</formula>
    </cfRule>
  </conditionalFormatting>
  <conditionalFormatting sqref="O529:AA529">
    <cfRule type="expression" dxfId="119" priority="25">
      <formula>AND(OR(AND(NOT(AC529="N/A"),AH529&lt;&gt;""),AND(NOT(AC530="N/A"),AH530&lt;&gt;""),AND(NOT(AC531="N/A"),AH531&lt;&gt;"")),OR(O529="(specify here)",O529=""))</formula>
    </cfRule>
  </conditionalFormatting>
  <conditionalFormatting sqref="O532:AA532">
    <cfRule type="expression" dxfId="118" priority="24">
      <formula>AND(OR(AND(NOT(AC532="N/A"),AH532&lt;&gt;""),AND(NOT(AC533="N/A"),AH533&lt;&gt;""),AND(NOT(AC534="N/A"),AH534&lt;&gt;"")),OR(O532="(specify here)",O532=""))</formula>
    </cfRule>
  </conditionalFormatting>
  <conditionalFormatting sqref="O535:AA535">
    <cfRule type="expression" dxfId="117" priority="23">
      <formula>AND(OR(AND(NOT(AC535="N/A"),AH535&lt;&gt;""),AND(NOT(AC536="N/A"),AH536&lt;&gt;""),AND(NOT(AC537="N/A"),AH537&lt;&gt;"")),OR(O535="(specify here)",O535=""))</formula>
    </cfRule>
  </conditionalFormatting>
  <conditionalFormatting sqref="P816:Y816">
    <cfRule type="expression" dxfId="116" priority="16">
      <formula>AND(Z816&lt;&gt;"",OR(P816="(specify here)",P816=""))</formula>
    </cfRule>
  </conditionalFormatting>
  <conditionalFormatting sqref="T212:U212">
    <cfRule type="expression" dxfId="115" priority="3">
      <formula>AND($T$212=0,$Q$212="")</formula>
    </cfRule>
  </conditionalFormatting>
  <conditionalFormatting sqref="U894:U895">
    <cfRule type="expression" dxfId="114" priority="260">
      <formula>AND(AU878&lt;&gt;"",OR(U894="Other (Specify):",U894=""))</formula>
    </cfRule>
  </conditionalFormatting>
  <conditionalFormatting sqref="V894:AB895">
    <cfRule type="expression" dxfId="113" priority="261">
      <formula>AND(AV888&lt;&gt;"",OR(V894="Other (Specify):",V894=""))</formula>
    </cfRule>
  </conditionalFormatting>
  <conditionalFormatting sqref="W974:AG974">
    <cfRule type="expression" dxfId="112" priority="6">
      <formula>AND($AA$953&lt;&gt;"",OR($W$952="",$W$952="(specify here)"))</formula>
    </cfRule>
  </conditionalFormatting>
  <conditionalFormatting sqref="Y508:AB508">
    <cfRule type="expression" dxfId="111" priority="262">
      <formula>AND(NOT(AP508="N/A"),AU507&lt;&gt;"",OR(Y508="(specify here)",Y508=""))</formula>
    </cfRule>
  </conditionalFormatting>
  <conditionalFormatting sqref="AA1057:AF1057">
    <cfRule type="expression" dxfId="110" priority="2">
      <formula>OR($Z$205="15% set-aside",$Z$205="15% set-aside with qualifying low value rehab")</formula>
    </cfRule>
  </conditionalFormatting>
  <conditionalFormatting sqref="AA215:AO215">
    <cfRule type="expression" dxfId="109" priority="35">
      <formula>NOT(OR($D$214="Seniors",$D$211="Seniors"))</formula>
    </cfRule>
  </conditionalFormatting>
  <conditionalFormatting sqref="AB216:AM216">
    <cfRule type="expression" dxfId="108" priority="31">
      <formula>NOT($D$211="At-Risk")</formula>
    </cfRule>
  </conditionalFormatting>
  <conditionalFormatting sqref="AF1021">
    <cfRule type="cellIs" dxfId="107" priority="41" stopIfTrue="1" operator="equal">
      <formula>"Please Enter Amount:"</formula>
    </cfRule>
  </conditionalFormatting>
  <conditionalFormatting sqref="AF1026">
    <cfRule type="cellIs" dxfId="106" priority="38" stopIfTrue="1" operator="equal">
      <formula>"Please Enter Amount:"</formula>
    </cfRule>
  </conditionalFormatting>
  <conditionalFormatting sqref="AF1033">
    <cfRule type="cellIs" dxfId="105" priority="39" stopIfTrue="1" operator="equal">
      <formula>"Please Enter Amount:"</formula>
    </cfRule>
  </conditionalFormatting>
  <conditionalFormatting sqref="AG441:AJ441">
    <cfRule type="expression" dxfId="104" priority="45" stopIfTrue="1">
      <formula>"iserror(d31)"</formula>
    </cfRule>
  </conditionalFormatting>
  <conditionalFormatting sqref="AJ1045">
    <cfRule type="cellIs" dxfId="103"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XFC155"/>
  <sheetViews>
    <sheetView showGridLines="0" topLeftCell="I95" zoomScale="145" zoomScaleNormal="145" workbookViewId="0">
      <selection activeCell="S93" sqref="S93"/>
    </sheetView>
  </sheetViews>
  <sheetFormatPr defaultColWidth="0" defaultRowHeight="11.65" zeroHeight="1"/>
  <cols>
    <col min="1" max="1" width="35.73046875" style="187" customWidth="1"/>
    <col min="2" max="12" width="12.1328125" style="158" customWidth="1"/>
    <col min="13" max="17" width="11.265625" style="158" customWidth="1"/>
    <col min="18" max="18" width="12.73046875" style="158" customWidth="1"/>
    <col min="19" max="20" width="12.1328125" style="158" customWidth="1"/>
    <col min="21" max="21" width="0.265625" style="161" customWidth="1"/>
    <col min="22" max="16383" width="8.86328125" style="158" hidden="1"/>
    <col min="16384" max="16384" width="0.1328125" style="158" customWidth="1"/>
  </cols>
  <sheetData>
    <row r="1" spans="1:21" s="110" customFormat="1" ht="13.15">
      <c r="A1" s="168" t="s">
        <v>549</v>
      </c>
      <c r="B1" s="125"/>
      <c r="C1" s="125"/>
      <c r="D1" s="125"/>
      <c r="E1" s="126"/>
      <c r="F1" s="1860" t="s">
        <v>621</v>
      </c>
      <c r="G1" s="1861"/>
      <c r="H1" s="1861"/>
      <c r="I1" s="1861"/>
      <c r="J1" s="1861"/>
      <c r="K1" s="1861"/>
      <c r="L1" s="1861"/>
      <c r="M1" s="1861"/>
      <c r="N1" s="1861"/>
      <c r="O1" s="1861"/>
      <c r="P1" s="1861"/>
      <c r="Q1" s="1861"/>
      <c r="R1" s="1862"/>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2)Bonneville Multifamily Capital</v>
      </c>
      <c r="H2" s="139" t="str">
        <f>Application!B629&amp;Application!C629</f>
        <v>3)FHLB AHP</v>
      </c>
      <c r="I2" s="139" t="str">
        <f>Application!B630&amp;Application!C630</f>
        <v>4)City of Elk Grove - Land</v>
      </c>
      <c r="J2" s="139" t="str">
        <f>Application!B631&amp;Application!C631</f>
        <v>5)City of Elk Grove</v>
      </c>
      <c r="K2" s="139" t="str">
        <f>Application!B632&amp;Application!C632</f>
        <v>6)Excelerate Housing Group - GP Equity</v>
      </c>
      <c r="L2" s="139" t="str">
        <f>Application!B633&amp;Application!C633</f>
        <v>7)Excelerate Housing Group - 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1650000</v>
      </c>
      <c r="C4" s="147">
        <v>1650000</v>
      </c>
      <c r="D4" s="147"/>
      <c r="E4" s="147"/>
      <c r="F4" s="147"/>
      <c r="G4" s="147"/>
      <c r="H4" s="147"/>
      <c r="I4" s="147">
        <v>1650000</v>
      </c>
      <c r="J4" s="147"/>
      <c r="K4" s="147"/>
      <c r="L4" s="147"/>
      <c r="M4" s="147"/>
      <c r="N4" s="147"/>
      <c r="O4" s="147"/>
      <c r="P4" s="147"/>
      <c r="Q4" s="147"/>
      <c r="R4" s="516">
        <f>SUM(E4:Q4)</f>
        <v>1650000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1650000</v>
      </c>
      <c r="C8" s="146">
        <f t="shared" ref="C8:Q8" si="0">SUM(C4:C7)</f>
        <v>1650000</v>
      </c>
      <c r="D8" s="146">
        <f t="shared" si="0"/>
        <v>0</v>
      </c>
      <c r="E8" s="146">
        <f t="shared" si="0"/>
        <v>0</v>
      </c>
      <c r="F8" s="146">
        <f t="shared" si="0"/>
        <v>0</v>
      </c>
      <c r="G8" s="146">
        <f t="shared" si="0"/>
        <v>0</v>
      </c>
      <c r="H8" s="146">
        <f t="shared" si="0"/>
        <v>0</v>
      </c>
      <c r="I8" s="146">
        <f t="shared" si="0"/>
        <v>1650000</v>
      </c>
      <c r="J8" s="146">
        <f t="shared" si="0"/>
        <v>0</v>
      </c>
      <c r="K8" s="146">
        <f t="shared" si="0"/>
        <v>0</v>
      </c>
      <c r="L8" s="146">
        <f t="shared" si="0"/>
        <v>0</v>
      </c>
      <c r="M8" s="146">
        <f t="shared" si="0"/>
        <v>0</v>
      </c>
      <c r="N8" s="146">
        <f t="shared" si="0"/>
        <v>0</v>
      </c>
      <c r="O8" s="146">
        <f t="shared" si="0"/>
        <v>0</v>
      </c>
      <c r="P8" s="146"/>
      <c r="Q8" s="146">
        <f t="shared" si="0"/>
        <v>0</v>
      </c>
      <c r="R8" s="342">
        <f>SUM(R4:R7)</f>
        <v>1650000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130000</v>
      </c>
      <c r="C10" s="147">
        <v>130000</v>
      </c>
      <c r="D10" s="147"/>
      <c r="E10" s="147">
        <f>C10</f>
        <v>130000</v>
      </c>
      <c r="F10" s="147"/>
      <c r="G10" s="147"/>
      <c r="H10" s="147"/>
      <c r="I10" s="147"/>
      <c r="J10" s="147"/>
      <c r="K10" s="147"/>
      <c r="L10" s="147"/>
      <c r="M10" s="147"/>
      <c r="N10" s="147"/>
      <c r="O10" s="147"/>
      <c r="P10" s="147"/>
      <c r="Q10" s="147"/>
      <c r="R10" s="516">
        <f>SUM(E10:Q10)</f>
        <v>130000</v>
      </c>
      <c r="S10" s="147">
        <v>130000</v>
      </c>
      <c r="T10" s="147"/>
      <c r="U10" s="143"/>
    </row>
    <row r="11" spans="1:21" s="144" customFormat="1">
      <c r="A11" s="149" t="s">
        <v>596</v>
      </c>
      <c r="B11" s="146">
        <f>SUM(C11:D11)</f>
        <v>130000</v>
      </c>
      <c r="C11" s="146">
        <f t="shared" ref="C11:Q11" si="1">SUM(C9:C10)</f>
        <v>130000</v>
      </c>
      <c r="D11" s="146">
        <f t="shared" si="1"/>
        <v>0</v>
      </c>
      <c r="E11" s="146">
        <f t="shared" si="1"/>
        <v>130000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130000</v>
      </c>
      <c r="S11" s="148"/>
      <c r="T11" s="150">
        <f>SUM(T9:T10)</f>
        <v>0</v>
      </c>
      <c r="U11" s="143"/>
    </row>
    <row r="12" spans="1:21" s="144" customFormat="1">
      <c r="A12" s="149" t="s">
        <v>84</v>
      </c>
      <c r="B12" s="146">
        <f t="shared" ref="B12:Q12" si="2">SUM(B8+B11)</f>
        <v>1780000</v>
      </c>
      <c r="C12" s="146">
        <f t="shared" si="2"/>
        <v>1780000</v>
      </c>
      <c r="D12" s="146">
        <f t="shared" si="2"/>
        <v>0</v>
      </c>
      <c r="E12" s="146">
        <f t="shared" si="2"/>
        <v>130000</v>
      </c>
      <c r="F12" s="146">
        <f t="shared" si="2"/>
        <v>0</v>
      </c>
      <c r="G12" s="146">
        <f t="shared" si="2"/>
        <v>0</v>
      </c>
      <c r="H12" s="146">
        <f t="shared" si="2"/>
        <v>0</v>
      </c>
      <c r="I12" s="146">
        <f t="shared" si="2"/>
        <v>1650000</v>
      </c>
      <c r="J12" s="146">
        <f t="shared" si="2"/>
        <v>0</v>
      </c>
      <c r="K12" s="146">
        <f t="shared" si="2"/>
        <v>0</v>
      </c>
      <c r="L12" s="146">
        <f t="shared" si="2"/>
        <v>0</v>
      </c>
      <c r="M12" s="146">
        <f t="shared" si="2"/>
        <v>0</v>
      </c>
      <c r="N12" s="146">
        <f t="shared" si="2"/>
        <v>0</v>
      </c>
      <c r="O12" s="146">
        <f t="shared" si="2"/>
        <v>0</v>
      </c>
      <c r="P12" s="146"/>
      <c r="Q12" s="146">
        <f t="shared" si="2"/>
        <v>0</v>
      </c>
      <c r="R12" s="342">
        <f>SUM(R8+R11)</f>
        <v>1780000</v>
      </c>
      <c r="S12" s="148"/>
      <c r="T12" s="148"/>
      <c r="U12" s="143"/>
    </row>
    <row r="13" spans="1:21" s="144" customFormat="1">
      <c r="A13" s="287" t="s">
        <v>902</v>
      </c>
      <c r="B13" s="146">
        <f>SUM(C13+D13)</f>
        <v>29000</v>
      </c>
      <c r="C13" s="147">
        <v>29000</v>
      </c>
      <c r="D13" s="147"/>
      <c r="E13" s="147">
        <f>C13</f>
        <v>29000</v>
      </c>
      <c r="F13" s="147"/>
      <c r="G13" s="147"/>
      <c r="H13" s="147"/>
      <c r="I13" s="147"/>
      <c r="J13" s="147"/>
      <c r="K13" s="147"/>
      <c r="L13" s="147"/>
      <c r="M13" s="147"/>
      <c r="N13" s="147"/>
      <c r="O13" s="147"/>
      <c r="P13" s="147"/>
      <c r="Q13" s="147"/>
      <c r="R13" s="516">
        <f>SUM(E13:Q13)</f>
        <v>29000</v>
      </c>
      <c r="S13" s="147">
        <v>0</v>
      </c>
      <c r="T13" s="147"/>
      <c r="U13" s="143"/>
    </row>
    <row r="14" spans="1:21" s="144" customFormat="1" ht="23.25">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1400000</v>
      </c>
      <c r="C29" s="147">
        <v>1400000</v>
      </c>
      <c r="D29" s="147"/>
      <c r="E29" s="147">
        <f>C29</f>
        <v>1400000</v>
      </c>
      <c r="F29" s="147"/>
      <c r="G29" s="147"/>
      <c r="H29" s="147"/>
      <c r="I29" s="147"/>
      <c r="J29" s="147"/>
      <c r="K29" s="147"/>
      <c r="L29" s="147"/>
      <c r="M29" s="147"/>
      <c r="N29" s="147"/>
      <c r="O29" s="147"/>
      <c r="P29" s="147"/>
      <c r="Q29" s="147"/>
      <c r="R29" s="516">
        <f t="shared" ref="R29:R37" si="7">SUM(E29:Q29)</f>
        <v>1400000</v>
      </c>
      <c r="S29" s="147">
        <f>R29</f>
        <v>1400000</v>
      </c>
      <c r="T29" s="147"/>
      <c r="U29" s="143"/>
    </row>
    <row r="30" spans="1:21" s="144" customFormat="1">
      <c r="A30" s="145" t="s">
        <v>599</v>
      </c>
      <c r="B30" s="146">
        <f t="shared" si="6"/>
        <v>23684587</v>
      </c>
      <c r="C30" s="147">
        <v>23684587</v>
      </c>
      <c r="D30" s="147"/>
      <c r="E30" s="147">
        <v>261487</v>
      </c>
      <c r="F30" s="147">
        <v>11423000</v>
      </c>
      <c r="G30" s="147">
        <v>5000000</v>
      </c>
      <c r="H30" s="147">
        <v>2000000</v>
      </c>
      <c r="I30" s="147"/>
      <c r="J30" s="147">
        <v>5000000</v>
      </c>
      <c r="K30" s="147">
        <v>100</v>
      </c>
      <c r="L30" s="147"/>
      <c r="M30" s="147"/>
      <c r="N30" s="147"/>
      <c r="O30" s="147"/>
      <c r="P30" s="147"/>
      <c r="Q30" s="147"/>
      <c r="R30" s="516">
        <f t="shared" si="7"/>
        <v>23684587</v>
      </c>
      <c r="S30" s="147">
        <f>R30</f>
        <v>23684587</v>
      </c>
      <c r="T30" s="147"/>
      <c r="U30" s="143"/>
    </row>
    <row r="31" spans="1:21" s="144" customFormat="1">
      <c r="A31" s="145" t="s">
        <v>600</v>
      </c>
      <c r="B31" s="146">
        <f t="shared" si="6"/>
        <v>1958415</v>
      </c>
      <c r="C31" s="147">
        <v>1958415</v>
      </c>
      <c r="D31" s="147"/>
      <c r="E31" s="147">
        <f>C31</f>
        <v>1958415</v>
      </c>
      <c r="F31" s="147"/>
      <c r="G31" s="147"/>
      <c r="H31" s="147"/>
      <c r="I31" s="147"/>
      <c r="J31" s="147"/>
      <c r="K31" s="147"/>
      <c r="L31" s="147"/>
      <c r="M31" s="147"/>
      <c r="N31" s="147"/>
      <c r="O31" s="147"/>
      <c r="P31" s="147"/>
      <c r="Q31" s="147"/>
      <c r="R31" s="516">
        <f t="shared" si="7"/>
        <v>1958415</v>
      </c>
      <c r="S31" s="147">
        <f>R31</f>
        <v>1958415</v>
      </c>
      <c r="T31" s="147"/>
      <c r="U31" s="143"/>
    </row>
    <row r="32" spans="1:21" s="144" customFormat="1">
      <c r="A32" s="145" t="s">
        <v>137</v>
      </c>
      <c r="B32" s="146">
        <f t="shared" si="6"/>
        <v>734405</v>
      </c>
      <c r="C32" s="147">
        <v>734405</v>
      </c>
      <c r="D32" s="147"/>
      <c r="E32" s="147">
        <f>C32</f>
        <v>734405</v>
      </c>
      <c r="F32" s="147"/>
      <c r="G32" s="147"/>
      <c r="H32" s="147"/>
      <c r="I32" s="147"/>
      <c r="J32" s="147"/>
      <c r="K32" s="147"/>
      <c r="L32" s="147"/>
      <c r="M32" s="147"/>
      <c r="N32" s="147"/>
      <c r="O32" s="147"/>
      <c r="P32" s="147"/>
      <c r="Q32" s="147"/>
      <c r="R32" s="516">
        <f t="shared" si="7"/>
        <v>734405</v>
      </c>
      <c r="S32" s="147">
        <f>R32</f>
        <v>734405</v>
      </c>
      <c r="T32" s="147"/>
      <c r="U32" s="143"/>
    </row>
    <row r="33" spans="1:21" s="144" customFormat="1">
      <c r="A33" s="145" t="s">
        <v>138</v>
      </c>
      <c r="B33" s="146">
        <f t="shared" si="6"/>
        <v>734405</v>
      </c>
      <c r="C33" s="147">
        <v>734405</v>
      </c>
      <c r="D33" s="147"/>
      <c r="E33" s="147">
        <f>C33</f>
        <v>734405</v>
      </c>
      <c r="F33" s="147"/>
      <c r="G33" s="147"/>
      <c r="H33" s="147"/>
      <c r="I33" s="147"/>
      <c r="J33" s="147"/>
      <c r="K33" s="147"/>
      <c r="L33" s="147"/>
      <c r="M33" s="147"/>
      <c r="N33" s="147"/>
      <c r="O33" s="147"/>
      <c r="P33" s="147"/>
      <c r="Q33" s="147"/>
      <c r="R33" s="516">
        <f t="shared" si="7"/>
        <v>734405</v>
      </c>
      <c r="S33" s="147">
        <f>R33</f>
        <v>734405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269282</v>
      </c>
      <c r="C35" s="147">
        <v>269282</v>
      </c>
      <c r="D35" s="147"/>
      <c r="E35" s="147">
        <f>C35</f>
        <v>269282</v>
      </c>
      <c r="F35" s="147"/>
      <c r="G35" s="147"/>
      <c r="H35" s="147"/>
      <c r="I35" s="147"/>
      <c r="J35" s="147"/>
      <c r="K35" s="147"/>
      <c r="L35" s="147"/>
      <c r="M35" s="147"/>
      <c r="N35" s="147"/>
      <c r="O35" s="147"/>
      <c r="P35" s="147"/>
      <c r="Q35" s="147"/>
      <c r="R35" s="516">
        <f t="shared" si="7"/>
        <v>269282</v>
      </c>
      <c r="S35" s="147">
        <f>R35</f>
        <v>269282</v>
      </c>
      <c r="T35" s="147"/>
      <c r="U35" s="143"/>
    </row>
    <row r="36" spans="1:21" s="144" customFormat="1">
      <c r="A36" s="283" t="s">
        <v>1640</v>
      </c>
      <c r="B36" s="146">
        <f t="shared" si="6"/>
        <v>200000</v>
      </c>
      <c r="C36" s="147">
        <v>200000</v>
      </c>
      <c r="D36" s="147"/>
      <c r="E36" s="147">
        <f>C36</f>
        <v>200000</v>
      </c>
      <c r="F36" s="147"/>
      <c r="G36" s="147"/>
      <c r="H36" s="147"/>
      <c r="I36" s="147"/>
      <c r="J36" s="147"/>
      <c r="K36" s="147"/>
      <c r="L36" s="147"/>
      <c r="M36" s="147"/>
      <c r="N36" s="147"/>
      <c r="O36" s="147"/>
      <c r="P36" s="147"/>
      <c r="Q36" s="147"/>
      <c r="R36" s="516">
        <f t="shared" si="7"/>
        <v>200000</v>
      </c>
      <c r="S36" s="147">
        <f>R36</f>
        <v>200000</v>
      </c>
      <c r="T36" s="147"/>
      <c r="U36" s="143"/>
    </row>
    <row r="37" spans="1:21" s="144" customFormat="1">
      <c r="A37" s="1149" t="s">
        <v>2700</v>
      </c>
      <c r="B37" s="146">
        <f t="shared" si="6"/>
        <v>269282</v>
      </c>
      <c r="C37" s="147">
        <v>269282</v>
      </c>
      <c r="D37" s="147"/>
      <c r="E37" s="147">
        <f>C37</f>
        <v>269282</v>
      </c>
      <c r="F37" s="147"/>
      <c r="G37" s="147"/>
      <c r="H37" s="147"/>
      <c r="I37" s="147"/>
      <c r="J37" s="147"/>
      <c r="K37" s="147"/>
      <c r="L37" s="147"/>
      <c r="M37" s="147"/>
      <c r="N37" s="147"/>
      <c r="O37" s="147"/>
      <c r="P37" s="147"/>
      <c r="Q37" s="147"/>
      <c r="R37" s="516">
        <f t="shared" si="7"/>
        <v>269282</v>
      </c>
      <c r="S37" s="147">
        <f>R37</f>
        <v>269282</v>
      </c>
      <c r="T37" s="147"/>
      <c r="U37" s="143"/>
    </row>
    <row r="38" spans="1:21" s="144" customFormat="1">
      <c r="A38" s="149" t="s">
        <v>143</v>
      </c>
      <c r="B38" s="146">
        <f t="shared" si="6"/>
        <v>29250376</v>
      </c>
      <c r="C38" s="146">
        <f>SUM(C29:C37)</f>
        <v>29250376</v>
      </c>
      <c r="D38" s="146">
        <f t="shared" ref="D38:Q38" si="8">SUM(D29:D37)</f>
        <v>0</v>
      </c>
      <c r="E38" s="146">
        <f t="shared" si="8"/>
        <v>5827276</v>
      </c>
      <c r="F38" s="146">
        <f t="shared" si="8"/>
        <v>11423000</v>
      </c>
      <c r="G38" s="146">
        <f t="shared" si="8"/>
        <v>5000000</v>
      </c>
      <c r="H38" s="146">
        <f t="shared" si="8"/>
        <v>2000000</v>
      </c>
      <c r="I38" s="146">
        <f t="shared" si="8"/>
        <v>0</v>
      </c>
      <c r="J38" s="146">
        <f t="shared" si="8"/>
        <v>5000000</v>
      </c>
      <c r="K38" s="146">
        <f t="shared" si="8"/>
        <v>100</v>
      </c>
      <c r="L38" s="146">
        <f t="shared" si="8"/>
        <v>0</v>
      </c>
      <c r="M38" s="146">
        <f t="shared" si="8"/>
        <v>0</v>
      </c>
      <c r="N38" s="146">
        <f t="shared" si="8"/>
        <v>0</v>
      </c>
      <c r="O38" s="146">
        <f t="shared" si="8"/>
        <v>0</v>
      </c>
      <c r="P38" s="146">
        <f t="shared" si="8"/>
        <v>0</v>
      </c>
      <c r="Q38" s="146">
        <f t="shared" si="8"/>
        <v>0</v>
      </c>
      <c r="R38" s="342">
        <f>SUM(R29:R37)</f>
        <v>29250376</v>
      </c>
      <c r="S38" s="150">
        <f>SUM(S29:S37)</f>
        <v>29250376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1389980</v>
      </c>
      <c r="C40" s="147">
        <v>1389980</v>
      </c>
      <c r="D40" s="147"/>
      <c r="E40" s="147">
        <f>C40</f>
        <v>1389980</v>
      </c>
      <c r="F40" s="147"/>
      <c r="G40" s="147"/>
      <c r="H40" s="147"/>
      <c r="I40" s="147"/>
      <c r="J40" s="147"/>
      <c r="K40" s="147"/>
      <c r="L40" s="147"/>
      <c r="M40" s="147"/>
      <c r="N40" s="147"/>
      <c r="O40" s="147"/>
      <c r="P40" s="147"/>
      <c r="Q40" s="147"/>
      <c r="R40" s="516">
        <f>SUM(E40:Q40)</f>
        <v>1389980</v>
      </c>
      <c r="S40" s="147">
        <f>R40</f>
        <v>1389980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1389980</v>
      </c>
      <c r="C42" s="146">
        <f>SUM(C39:C41)</f>
        <v>1389980</v>
      </c>
      <c r="D42" s="146">
        <f>SUM(D39:D41)</f>
        <v>0</v>
      </c>
      <c r="E42" s="146">
        <f t="shared" ref="E42:T42" si="9">SUM(E40:E41)</f>
        <v>1389980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1389980</v>
      </c>
      <c r="S42" s="150">
        <f t="shared" si="9"/>
        <v>1389980</v>
      </c>
      <c r="T42" s="150">
        <f t="shared" si="9"/>
        <v>0</v>
      </c>
      <c r="U42" s="143"/>
    </row>
    <row r="43" spans="1:21" s="144" customFormat="1">
      <c r="A43" s="149" t="s">
        <v>148</v>
      </c>
      <c r="B43" s="146">
        <f>SUM(C43:D43)</f>
        <v>209500</v>
      </c>
      <c r="C43" s="147">
        <v>209500</v>
      </c>
      <c r="D43" s="147"/>
      <c r="E43" s="147">
        <f>C43</f>
        <v>209500</v>
      </c>
      <c r="F43" s="147"/>
      <c r="G43" s="147"/>
      <c r="H43" s="147"/>
      <c r="I43" s="147"/>
      <c r="J43" s="147"/>
      <c r="K43" s="147"/>
      <c r="L43" s="147"/>
      <c r="M43" s="147"/>
      <c r="N43" s="147"/>
      <c r="O43" s="147"/>
      <c r="P43" s="147"/>
      <c r="Q43" s="147"/>
      <c r="R43" s="516">
        <f>SUM(E43:Q43)</f>
        <v>209500</v>
      </c>
      <c r="S43" s="147">
        <f>R43</f>
        <v>209500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2800000</v>
      </c>
      <c r="C45" s="147">
        <v>2800000</v>
      </c>
      <c r="D45" s="147"/>
      <c r="E45" s="147">
        <f>C45</f>
        <v>2800000</v>
      </c>
      <c r="F45" s="147"/>
      <c r="G45" s="147"/>
      <c r="H45" s="147"/>
      <c r="I45" s="147"/>
      <c r="J45" s="147"/>
      <c r="K45" s="147"/>
      <c r="L45" s="147"/>
      <c r="M45" s="147"/>
      <c r="N45" s="147"/>
      <c r="O45" s="147"/>
      <c r="P45" s="147"/>
      <c r="Q45" s="147"/>
      <c r="R45" s="516">
        <f t="shared" ref="R45:R53" si="11">SUM(E45:Q45)</f>
        <v>2800000</v>
      </c>
      <c r="S45" s="147">
        <v>923141</v>
      </c>
      <c r="T45" s="147"/>
      <c r="U45" s="143"/>
    </row>
    <row r="46" spans="1:21" s="144" customFormat="1">
      <c r="A46" s="145" t="s">
        <v>151</v>
      </c>
      <c r="B46" s="146">
        <f t="shared" si="10"/>
        <v>320000</v>
      </c>
      <c r="C46" s="147">
        <v>320000</v>
      </c>
      <c r="D46" s="147"/>
      <c r="E46" s="147">
        <f t="shared" ref="E46:E52" si="12">C46</f>
        <v>320000</v>
      </c>
      <c r="F46" s="147"/>
      <c r="G46" s="147"/>
      <c r="H46" s="147"/>
      <c r="I46" s="147"/>
      <c r="J46" s="147"/>
      <c r="K46" s="147"/>
      <c r="L46" s="147"/>
      <c r="M46" s="147"/>
      <c r="N46" s="147"/>
      <c r="O46" s="147"/>
      <c r="P46" s="147"/>
      <c r="Q46" s="147"/>
      <c r="R46" s="516">
        <f t="shared" si="11"/>
        <v>320000</v>
      </c>
      <c r="S46" s="147">
        <f>R46</f>
        <v>320000</v>
      </c>
      <c r="T46" s="147"/>
      <c r="U46" s="143"/>
    </row>
    <row r="47" spans="1:21" s="144" customFormat="1">
      <c r="A47" s="186" t="s">
        <v>152</v>
      </c>
      <c r="B47" s="146">
        <f t="shared" si="10"/>
        <v>60500</v>
      </c>
      <c r="C47" s="147">
        <v>60500</v>
      </c>
      <c r="D47" s="147"/>
      <c r="E47" s="147">
        <f t="shared" si="12"/>
        <v>60500</v>
      </c>
      <c r="F47" s="147"/>
      <c r="G47" s="147"/>
      <c r="H47" s="147"/>
      <c r="I47" s="147"/>
      <c r="J47" s="147"/>
      <c r="K47" s="147"/>
      <c r="L47" s="147"/>
      <c r="M47" s="147"/>
      <c r="N47" s="147"/>
      <c r="O47" s="147"/>
      <c r="P47" s="147"/>
      <c r="Q47" s="147"/>
      <c r="R47" s="516">
        <f t="shared" si="11"/>
        <v>60500</v>
      </c>
      <c r="S47" s="147">
        <f>R47</f>
        <v>60500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f>R48</f>
        <v>0</v>
      </c>
      <c r="T48" s="147"/>
      <c r="U48" s="143"/>
    </row>
    <row r="49" spans="1:21" s="144" customFormat="1">
      <c r="A49" s="145" t="s">
        <v>57</v>
      </c>
      <c r="B49" s="146">
        <f t="shared" si="10"/>
        <v>156590</v>
      </c>
      <c r="C49" s="147">
        <v>156590</v>
      </c>
      <c r="D49" s="147"/>
      <c r="E49" s="147">
        <f t="shared" si="12"/>
        <v>156590</v>
      </c>
      <c r="F49" s="147"/>
      <c r="G49" s="147"/>
      <c r="H49" s="147"/>
      <c r="I49" s="147"/>
      <c r="J49" s="147"/>
      <c r="K49" s="147"/>
      <c r="L49" s="147"/>
      <c r="M49" s="147"/>
      <c r="N49" s="147"/>
      <c r="O49" s="147"/>
      <c r="P49" s="147"/>
      <c r="Q49" s="147"/>
      <c r="R49" s="516">
        <f t="shared" si="11"/>
        <v>156590</v>
      </c>
      <c r="S49" s="147">
        <v>0</v>
      </c>
      <c r="T49" s="147"/>
      <c r="U49" s="143"/>
    </row>
    <row r="50" spans="1:21" s="144" customFormat="1">
      <c r="A50" s="145" t="s">
        <v>156</v>
      </c>
      <c r="B50" s="146">
        <f t="shared" si="10"/>
        <v>65000</v>
      </c>
      <c r="C50" s="147">
        <v>65000</v>
      </c>
      <c r="D50" s="147"/>
      <c r="E50" s="147">
        <f t="shared" si="12"/>
        <v>65000</v>
      </c>
      <c r="F50" s="147"/>
      <c r="G50" s="147"/>
      <c r="H50" s="147"/>
      <c r="I50" s="147"/>
      <c r="J50" s="147"/>
      <c r="K50" s="147"/>
      <c r="L50" s="147"/>
      <c r="M50" s="147"/>
      <c r="N50" s="147"/>
      <c r="O50" s="147"/>
      <c r="P50" s="147"/>
      <c r="Q50" s="147"/>
      <c r="R50" s="516">
        <f t="shared" si="11"/>
        <v>65000</v>
      </c>
      <c r="S50" s="147">
        <f>R50</f>
        <v>65000</v>
      </c>
      <c r="T50" s="147"/>
      <c r="U50" s="143"/>
    </row>
    <row r="51" spans="1:21" s="144" customFormat="1">
      <c r="A51" s="283" t="s">
        <v>154</v>
      </c>
      <c r="B51" s="146">
        <f t="shared" si="10"/>
        <v>40000</v>
      </c>
      <c r="C51" s="147">
        <v>40000</v>
      </c>
      <c r="D51" s="147"/>
      <c r="E51" s="147">
        <f t="shared" si="12"/>
        <v>40000</v>
      </c>
      <c r="F51" s="147"/>
      <c r="G51" s="147"/>
      <c r="H51" s="147"/>
      <c r="I51" s="147"/>
      <c r="J51" s="147"/>
      <c r="K51" s="147"/>
      <c r="L51" s="147"/>
      <c r="M51" s="147"/>
      <c r="N51" s="147"/>
      <c r="O51" s="147"/>
      <c r="P51" s="147"/>
      <c r="Q51" s="147"/>
      <c r="R51" s="516">
        <f t="shared" si="11"/>
        <v>40000</v>
      </c>
      <c r="S51" s="147">
        <v>20000</v>
      </c>
      <c r="T51" s="147"/>
      <c r="U51" s="143"/>
    </row>
    <row r="52" spans="1:21" s="144" customFormat="1">
      <c r="A52" s="145" t="s">
        <v>155</v>
      </c>
      <c r="B52" s="146">
        <f t="shared" si="10"/>
        <v>422000</v>
      </c>
      <c r="C52" s="147">
        <v>422000</v>
      </c>
      <c r="D52" s="147"/>
      <c r="E52" s="147">
        <f t="shared" si="12"/>
        <v>422000</v>
      </c>
      <c r="F52" s="147"/>
      <c r="G52" s="147"/>
      <c r="H52" s="147"/>
      <c r="I52" s="147"/>
      <c r="J52" s="147"/>
      <c r="K52" s="147"/>
      <c r="L52" s="147"/>
      <c r="M52" s="147"/>
      <c r="N52" s="147"/>
      <c r="O52" s="147"/>
      <c r="P52" s="147"/>
      <c r="Q52" s="147"/>
      <c r="R52" s="516">
        <f t="shared" si="11"/>
        <v>422000</v>
      </c>
      <c r="S52" s="147">
        <f>30000+300000</f>
        <v>330000</v>
      </c>
      <c r="T52" s="147"/>
      <c r="U52" s="143"/>
    </row>
    <row r="53" spans="1:21" s="144" customFormat="1">
      <c r="A53" s="1149" t="s">
        <v>34</v>
      </c>
      <c r="B53" s="146">
        <f t="shared" si="10"/>
        <v>0</v>
      </c>
      <c r="C53" s="147"/>
      <c r="D53" s="147"/>
      <c r="E53" s="147"/>
      <c r="F53" s="147"/>
      <c r="G53" s="147"/>
      <c r="H53" s="147"/>
      <c r="I53" s="147"/>
      <c r="J53" s="147"/>
      <c r="K53" s="147"/>
      <c r="L53" s="147"/>
      <c r="M53" s="147"/>
      <c r="N53" s="147"/>
      <c r="O53" s="147"/>
      <c r="P53" s="147"/>
      <c r="Q53" s="147"/>
      <c r="R53" s="516">
        <f t="shared" si="11"/>
        <v>0</v>
      </c>
      <c r="S53" s="147"/>
      <c r="T53" s="147"/>
      <c r="U53" s="143"/>
    </row>
    <row r="54" spans="1:21" s="153" customFormat="1">
      <c r="A54" s="149" t="s">
        <v>157</v>
      </c>
      <c r="B54" s="150">
        <f>SUM(C54:D54)</f>
        <v>3864090</v>
      </c>
      <c r="C54" s="150">
        <f t="shared" ref="C54:T54" si="13">SUM(C45:C53)</f>
        <v>3864090</v>
      </c>
      <c r="D54" s="150">
        <f t="shared" si="13"/>
        <v>0</v>
      </c>
      <c r="E54" s="150">
        <f t="shared" si="13"/>
        <v>3864090</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42">
        <f t="shared" si="13"/>
        <v>3864090</v>
      </c>
      <c r="S54" s="150">
        <f t="shared" si="13"/>
        <v>1718641</v>
      </c>
      <c r="T54" s="150">
        <f t="shared" si="13"/>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16">
        <f t="shared" ref="R56:R61" si="15">SUM(E56:Q56)</f>
        <v>0</v>
      </c>
      <c r="S56" s="148"/>
      <c r="T56" s="148"/>
      <c r="U56" s="143"/>
    </row>
    <row r="57" spans="1:21" s="192" customFormat="1">
      <c r="A57" s="186" t="s">
        <v>152</v>
      </c>
      <c r="B57" s="193">
        <f t="shared" si="14"/>
        <v>12500</v>
      </c>
      <c r="C57" s="190">
        <v>12500</v>
      </c>
      <c r="D57" s="190"/>
      <c r="E57" s="147">
        <f t="shared" ref="E57:E58" si="16">C57</f>
        <v>12500</v>
      </c>
      <c r="F57" s="190"/>
      <c r="G57" s="190"/>
      <c r="H57" s="190"/>
      <c r="I57" s="190"/>
      <c r="J57" s="190"/>
      <c r="K57" s="190"/>
      <c r="L57" s="190"/>
      <c r="M57" s="190"/>
      <c r="N57" s="190"/>
      <c r="O57" s="190"/>
      <c r="P57" s="190"/>
      <c r="Q57" s="190"/>
      <c r="R57" s="516">
        <f t="shared" si="15"/>
        <v>12500</v>
      </c>
      <c r="S57" s="194"/>
      <c r="T57" s="194"/>
      <c r="U57" s="191"/>
    </row>
    <row r="58" spans="1:21" s="144" customFormat="1">
      <c r="A58" s="145" t="s">
        <v>156</v>
      </c>
      <c r="B58" s="146">
        <f t="shared" si="14"/>
        <v>30000</v>
      </c>
      <c r="C58" s="147">
        <v>30000</v>
      </c>
      <c r="D58" s="147"/>
      <c r="E58" s="147">
        <f t="shared" si="16"/>
        <v>30000</v>
      </c>
      <c r="F58" s="147"/>
      <c r="G58" s="147"/>
      <c r="H58" s="147"/>
      <c r="I58" s="147"/>
      <c r="J58" s="147"/>
      <c r="K58" s="147"/>
      <c r="L58" s="147"/>
      <c r="M58" s="147"/>
      <c r="N58" s="147"/>
      <c r="O58" s="147"/>
      <c r="P58" s="147"/>
      <c r="Q58" s="147"/>
      <c r="R58" s="516">
        <f t="shared" si="15"/>
        <v>30000</v>
      </c>
      <c r="S58" s="148"/>
      <c r="T58" s="148"/>
      <c r="U58" s="143"/>
    </row>
    <row r="59" spans="1:21" s="144" customFormat="1">
      <c r="A59" s="283" t="s">
        <v>154</v>
      </c>
      <c r="B59" s="146">
        <f t="shared" si="14"/>
        <v>0</v>
      </c>
      <c r="C59" s="147"/>
      <c r="D59" s="147"/>
      <c r="E59" s="147"/>
      <c r="F59" s="147"/>
      <c r="G59" s="147"/>
      <c r="H59" s="147"/>
      <c r="I59" s="147"/>
      <c r="J59" s="147"/>
      <c r="K59" s="147"/>
      <c r="L59" s="147"/>
      <c r="M59" s="147"/>
      <c r="N59" s="147"/>
      <c r="O59" s="147"/>
      <c r="P59" s="147"/>
      <c r="Q59" s="147"/>
      <c r="R59" s="516">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16">
        <f t="shared" si="15"/>
        <v>0</v>
      </c>
      <c r="S60" s="148"/>
      <c r="T60" s="148"/>
      <c r="U60" s="143"/>
    </row>
    <row r="61" spans="1:21" s="144" customFormat="1">
      <c r="A61" s="1149" t="s">
        <v>34</v>
      </c>
      <c r="B61" s="146">
        <f t="shared" si="14"/>
        <v>0</v>
      </c>
      <c r="C61" s="147"/>
      <c r="D61" s="147"/>
      <c r="E61" s="147"/>
      <c r="F61" s="147"/>
      <c r="G61" s="147"/>
      <c r="H61" s="147"/>
      <c r="I61" s="147"/>
      <c r="J61" s="147"/>
      <c r="K61" s="147"/>
      <c r="L61" s="147"/>
      <c r="M61" s="147"/>
      <c r="N61" s="147"/>
      <c r="O61" s="147"/>
      <c r="P61" s="147"/>
      <c r="Q61" s="147"/>
      <c r="R61" s="516">
        <f t="shared" si="15"/>
        <v>0</v>
      </c>
      <c r="S61" s="148"/>
      <c r="T61" s="148"/>
      <c r="U61" s="143"/>
    </row>
    <row r="62" spans="1:21" s="144" customFormat="1" ht="13.7" customHeight="1">
      <c r="A62" s="149" t="s">
        <v>300</v>
      </c>
      <c r="B62" s="146">
        <f>SUM(C62:D62)</f>
        <v>42500</v>
      </c>
      <c r="C62" s="146">
        <f t="shared" ref="C62:R62" si="17">SUM(C56:C61)</f>
        <v>42500</v>
      </c>
      <c r="D62" s="146">
        <f t="shared" si="17"/>
        <v>0</v>
      </c>
      <c r="E62" s="146">
        <f t="shared" si="17"/>
        <v>42500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42500</v>
      </c>
      <c r="S62" s="148"/>
      <c r="T62" s="148"/>
      <c r="U62" s="143"/>
    </row>
    <row r="63" spans="1:21" s="144" customFormat="1">
      <c r="A63" s="154" t="s">
        <v>301</v>
      </c>
      <c r="B63" s="146">
        <f t="shared" ref="B63:R63" si="18">SUM(B8+B11+B13+B14+B15+B26+B27+B38+B42+B43+B54+B62)</f>
        <v>36565446</v>
      </c>
      <c r="C63" s="146">
        <f t="shared" si="18"/>
        <v>36565446</v>
      </c>
      <c r="D63" s="146">
        <f t="shared" si="18"/>
        <v>0</v>
      </c>
      <c r="E63" s="146">
        <f t="shared" si="18"/>
        <v>11492346</v>
      </c>
      <c r="F63" s="146">
        <f t="shared" si="18"/>
        <v>11423000</v>
      </c>
      <c r="G63" s="146">
        <f t="shared" si="18"/>
        <v>5000000</v>
      </c>
      <c r="H63" s="146">
        <f t="shared" si="18"/>
        <v>2000000</v>
      </c>
      <c r="I63" s="146">
        <f t="shared" si="18"/>
        <v>1650000</v>
      </c>
      <c r="J63" s="146">
        <f t="shared" si="18"/>
        <v>5000000</v>
      </c>
      <c r="K63" s="146">
        <f t="shared" si="18"/>
        <v>100</v>
      </c>
      <c r="L63" s="146">
        <f t="shared" si="18"/>
        <v>0</v>
      </c>
      <c r="M63" s="146">
        <f t="shared" si="18"/>
        <v>0</v>
      </c>
      <c r="N63" s="146">
        <f t="shared" si="18"/>
        <v>0</v>
      </c>
      <c r="O63" s="146">
        <f t="shared" si="18"/>
        <v>0</v>
      </c>
      <c r="P63" s="146">
        <f t="shared" si="18"/>
        <v>0</v>
      </c>
      <c r="Q63" s="146">
        <f t="shared" si="18"/>
        <v>0</v>
      </c>
      <c r="R63" s="342">
        <f t="shared" si="18"/>
        <v>36565446</v>
      </c>
      <c r="S63" s="146">
        <f>SUM(S10+S13+S14+S15+S26+S27+S38+S42+S43+S54)</f>
        <v>32698497</v>
      </c>
      <c r="T63" s="146">
        <f>SUM(T11+T13+T14+T15+T26+T27+T38+T42+T43+T54)</f>
        <v>0</v>
      </c>
      <c r="U63" s="143"/>
    </row>
    <row r="64" spans="1:21" s="144" customFormat="1" ht="23.25">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95000</v>
      </c>
      <c r="C65" s="147">
        <v>95000</v>
      </c>
      <c r="D65" s="147"/>
      <c r="E65" s="147">
        <f t="shared" ref="E65" si="19">C65</f>
        <v>95000</v>
      </c>
      <c r="F65" s="147"/>
      <c r="G65" s="147"/>
      <c r="H65" s="147"/>
      <c r="I65" s="147"/>
      <c r="J65" s="147"/>
      <c r="K65" s="147"/>
      <c r="L65" s="147"/>
      <c r="M65" s="147"/>
      <c r="N65" s="147"/>
      <c r="O65" s="147"/>
      <c r="P65" s="147"/>
      <c r="Q65" s="147"/>
      <c r="R65" s="516">
        <f>SUM(E65:Q65)</f>
        <v>95000</v>
      </c>
      <c r="S65" s="147">
        <v>90000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2703</v>
      </c>
      <c r="B69" s="146">
        <f>SUM(C69+D69)</f>
        <v>109100</v>
      </c>
      <c r="C69" s="147">
        <v>109100</v>
      </c>
      <c r="D69" s="147"/>
      <c r="E69" s="147">
        <f t="shared" ref="E69" si="20">C69</f>
        <v>109100</v>
      </c>
      <c r="F69" s="147"/>
      <c r="G69" s="147"/>
      <c r="H69" s="147"/>
      <c r="I69" s="147"/>
      <c r="J69" s="147"/>
      <c r="K69" s="147"/>
      <c r="L69" s="147"/>
      <c r="M69" s="147"/>
      <c r="N69" s="147"/>
      <c r="O69" s="147"/>
      <c r="P69" s="147"/>
      <c r="Q69" s="147"/>
      <c r="R69" s="516">
        <f>SUM(E69:Q69)</f>
        <v>109100</v>
      </c>
      <c r="S69" s="147">
        <f>13000+65000</f>
        <v>78000</v>
      </c>
      <c r="T69" s="147"/>
      <c r="U69" s="143"/>
    </row>
    <row r="70" spans="1:21" s="144" customFormat="1">
      <c r="A70" s="149" t="s">
        <v>1645</v>
      </c>
      <c r="B70" s="146">
        <f>SUM(C70:D70)</f>
        <v>204100</v>
      </c>
      <c r="C70" s="146">
        <f>SUM(C65:C69)</f>
        <v>204100</v>
      </c>
      <c r="D70" s="146">
        <f>SUM(D65:D69)</f>
        <v>0</v>
      </c>
      <c r="E70" s="146">
        <f t="shared" ref="E70:T70" si="21">SUM(E65:E69)</f>
        <v>204100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42">
        <f t="shared" si="21"/>
        <v>204100</v>
      </c>
      <c r="S70" s="150">
        <f t="shared" si="21"/>
        <v>168000</v>
      </c>
      <c r="T70" s="150">
        <f t="shared" si="21"/>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807271</v>
      </c>
      <c r="C75" s="147">
        <v>807271</v>
      </c>
      <c r="D75" s="147"/>
      <c r="E75" s="147">
        <f t="shared" ref="E75:E76" si="22">C75</f>
        <v>807271</v>
      </c>
      <c r="F75" s="147"/>
      <c r="G75" s="147"/>
      <c r="H75" s="147"/>
      <c r="I75" s="147"/>
      <c r="J75" s="147"/>
      <c r="K75" s="147"/>
      <c r="L75" s="147"/>
      <c r="M75" s="147"/>
      <c r="N75" s="147"/>
      <c r="O75" s="147"/>
      <c r="P75" s="147"/>
      <c r="Q75" s="147"/>
      <c r="R75" s="516">
        <f>SUM(E75:Q75)</f>
        <v>807271</v>
      </c>
      <c r="S75" s="148"/>
      <c r="T75" s="148"/>
      <c r="U75" s="143"/>
    </row>
    <row r="76" spans="1:21" s="144" customFormat="1">
      <c r="A76" s="1149" t="s">
        <v>2704</v>
      </c>
      <c r="B76" s="146">
        <f>SUM(C76+D76)</f>
        <v>24300</v>
      </c>
      <c r="C76" s="147">
        <v>24300</v>
      </c>
      <c r="D76" s="147"/>
      <c r="E76" s="147">
        <f t="shared" si="22"/>
        <v>24300</v>
      </c>
      <c r="F76" s="147"/>
      <c r="G76" s="147"/>
      <c r="H76" s="147"/>
      <c r="I76" s="147"/>
      <c r="J76" s="147"/>
      <c r="K76" s="147"/>
      <c r="L76" s="147"/>
      <c r="M76" s="147"/>
      <c r="N76" s="147"/>
      <c r="O76" s="147"/>
      <c r="P76" s="147"/>
      <c r="Q76" s="147"/>
      <c r="R76" s="516">
        <f>SUM(E76:Q76)</f>
        <v>24300</v>
      </c>
      <c r="S76" s="148"/>
      <c r="T76" s="148"/>
      <c r="U76" s="143"/>
    </row>
    <row r="77" spans="1:21" s="144" customFormat="1">
      <c r="A77" s="149" t="s">
        <v>606</v>
      </c>
      <c r="B77" s="146">
        <f>SUM(C77:D77)</f>
        <v>831571</v>
      </c>
      <c r="C77" s="146">
        <f>SUM(C72:C76)</f>
        <v>831571</v>
      </c>
      <c r="D77" s="146">
        <f>SUM(D72:D76)</f>
        <v>0</v>
      </c>
      <c r="E77" s="146">
        <f t="shared" ref="E77:Q77" si="23">SUM(E72:E76)</f>
        <v>831571</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42">
        <f>SUM(R72:R76)</f>
        <v>831571</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1459019</v>
      </c>
      <c r="C79" s="147">
        <v>1459019</v>
      </c>
      <c r="D79" s="147"/>
      <c r="E79" s="147">
        <f t="shared" ref="E79:E80" si="24">C79</f>
        <v>1459019</v>
      </c>
      <c r="F79" s="147"/>
      <c r="G79" s="147"/>
      <c r="H79" s="147"/>
      <c r="I79" s="147"/>
      <c r="J79" s="147"/>
      <c r="K79" s="147"/>
      <c r="L79" s="147"/>
      <c r="M79" s="147"/>
      <c r="N79" s="147"/>
      <c r="O79" s="147"/>
      <c r="P79" s="147"/>
      <c r="Q79" s="147"/>
      <c r="R79" s="516">
        <f>SUM(E79:Q79)</f>
        <v>1459019</v>
      </c>
      <c r="S79" s="147">
        <f>R79</f>
        <v>1459019</v>
      </c>
      <c r="T79" s="147"/>
      <c r="U79" s="143"/>
    </row>
    <row r="80" spans="1:21" s="144" customFormat="1">
      <c r="A80" s="283" t="s">
        <v>58</v>
      </c>
      <c r="B80" s="146">
        <f>SUM(C80:D80)</f>
        <v>356578</v>
      </c>
      <c r="C80" s="147">
        <v>356578</v>
      </c>
      <c r="D80" s="147"/>
      <c r="E80" s="147">
        <f t="shared" si="24"/>
        <v>356578</v>
      </c>
      <c r="F80" s="147"/>
      <c r="G80" s="147"/>
      <c r="H80" s="147"/>
      <c r="I80" s="147"/>
      <c r="J80" s="147"/>
      <c r="K80" s="147"/>
      <c r="L80" s="147"/>
      <c r="M80" s="147"/>
      <c r="N80" s="147"/>
      <c r="O80" s="147"/>
      <c r="P80" s="147"/>
      <c r="Q80" s="147"/>
      <c r="R80" s="516">
        <f>SUM(E80:Q80)</f>
        <v>356578</v>
      </c>
      <c r="S80" s="147">
        <v>249605</v>
      </c>
      <c r="T80" s="147"/>
      <c r="U80" s="143"/>
    </row>
    <row r="81" spans="1:21" s="144" customFormat="1">
      <c r="A81" s="149" t="s">
        <v>1209</v>
      </c>
      <c r="B81" s="146">
        <f>SUM(C81:D81)</f>
        <v>1815597</v>
      </c>
      <c r="C81" s="509">
        <f>SUM(C79:C80)</f>
        <v>1815597</v>
      </c>
      <c r="D81" s="509">
        <f t="shared" ref="D81:T81" si="25">SUM(D79:D80)</f>
        <v>0</v>
      </c>
      <c r="E81" s="509">
        <f t="shared" si="25"/>
        <v>1815597</v>
      </c>
      <c r="F81" s="509">
        <f t="shared" si="25"/>
        <v>0</v>
      </c>
      <c r="G81" s="509">
        <f t="shared" si="25"/>
        <v>0</v>
      </c>
      <c r="H81" s="509">
        <f t="shared" si="25"/>
        <v>0</v>
      </c>
      <c r="I81" s="509">
        <f t="shared" si="25"/>
        <v>0</v>
      </c>
      <c r="J81" s="509">
        <f t="shared" si="25"/>
        <v>0</v>
      </c>
      <c r="K81" s="509">
        <f t="shared" si="25"/>
        <v>0</v>
      </c>
      <c r="L81" s="509">
        <f t="shared" si="25"/>
        <v>0</v>
      </c>
      <c r="M81" s="509">
        <f t="shared" si="25"/>
        <v>0</v>
      </c>
      <c r="N81" s="509">
        <f t="shared" si="25"/>
        <v>0</v>
      </c>
      <c r="O81" s="509">
        <f t="shared" si="25"/>
        <v>0</v>
      </c>
      <c r="P81" s="509">
        <f t="shared" si="25"/>
        <v>0</v>
      </c>
      <c r="Q81" s="509">
        <f t="shared" si="25"/>
        <v>0</v>
      </c>
      <c r="R81" s="509">
        <f t="shared" si="25"/>
        <v>1815597</v>
      </c>
      <c r="S81" s="509">
        <f t="shared" si="25"/>
        <v>1708624</v>
      </c>
      <c r="T81" s="509">
        <f t="shared" si="25"/>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6">SUM(C83+D83)</f>
        <v>81400</v>
      </c>
      <c r="C83" s="147">
        <v>81400</v>
      </c>
      <c r="D83" s="147"/>
      <c r="E83" s="147">
        <f t="shared" ref="E83:E86" si="27">C83</f>
        <v>81400</v>
      </c>
      <c r="F83" s="147"/>
      <c r="G83" s="147"/>
      <c r="H83" s="147"/>
      <c r="I83" s="147"/>
      <c r="J83" s="147"/>
      <c r="K83" s="147"/>
      <c r="L83" s="147"/>
      <c r="M83" s="147"/>
      <c r="N83" s="147"/>
      <c r="O83" s="147"/>
      <c r="P83" s="147"/>
      <c r="Q83" s="147"/>
      <c r="R83" s="516">
        <f t="shared" ref="R83:R95" si="28">SUM(E83:Q83)</f>
        <v>81400</v>
      </c>
      <c r="S83" s="148"/>
      <c r="T83" s="148"/>
      <c r="U83" s="143"/>
    </row>
    <row r="84" spans="1:21" s="144" customFormat="1">
      <c r="A84" s="145" t="s">
        <v>767</v>
      </c>
      <c r="B84" s="146">
        <f t="shared" si="26"/>
        <v>4600</v>
      </c>
      <c r="C84" s="147">
        <v>4600</v>
      </c>
      <c r="D84" s="147"/>
      <c r="E84" s="147">
        <f t="shared" si="27"/>
        <v>4600</v>
      </c>
      <c r="F84" s="147"/>
      <c r="G84" s="147"/>
      <c r="H84" s="147"/>
      <c r="I84" s="147"/>
      <c r="J84" s="147"/>
      <c r="K84" s="147"/>
      <c r="L84" s="147"/>
      <c r="M84" s="147"/>
      <c r="N84" s="147"/>
      <c r="O84" s="147"/>
      <c r="P84" s="147"/>
      <c r="Q84" s="147"/>
      <c r="R84" s="516">
        <f t="shared" si="28"/>
        <v>4600</v>
      </c>
      <c r="S84" s="147">
        <f>R84</f>
        <v>4600</v>
      </c>
      <c r="T84" s="147"/>
      <c r="U84" s="143"/>
    </row>
    <row r="85" spans="1:21" s="144" customFormat="1">
      <c r="A85" s="145" t="s">
        <v>768</v>
      </c>
      <c r="B85" s="146">
        <f t="shared" si="26"/>
        <v>2822232</v>
      </c>
      <c r="C85" s="147">
        <v>2822232</v>
      </c>
      <c r="D85" s="147"/>
      <c r="E85" s="147">
        <f t="shared" si="27"/>
        <v>2822232</v>
      </c>
      <c r="F85" s="147"/>
      <c r="G85" s="147"/>
      <c r="H85" s="147"/>
      <c r="I85" s="147"/>
      <c r="J85" s="147"/>
      <c r="K85" s="147"/>
      <c r="L85" s="147"/>
      <c r="M85" s="147"/>
      <c r="N85" s="147"/>
      <c r="O85" s="147"/>
      <c r="P85" s="147"/>
      <c r="Q85" s="147"/>
      <c r="R85" s="516">
        <f t="shared" si="28"/>
        <v>2822232</v>
      </c>
      <c r="S85" s="147">
        <f>R85</f>
        <v>2822232</v>
      </c>
      <c r="T85" s="147"/>
      <c r="U85" s="143"/>
    </row>
    <row r="86" spans="1:21" s="144" customFormat="1">
      <c r="A86" s="145" t="s">
        <v>769</v>
      </c>
      <c r="B86" s="146">
        <f t="shared" si="26"/>
        <v>216111</v>
      </c>
      <c r="C86" s="147">
        <v>216111</v>
      </c>
      <c r="D86" s="147"/>
      <c r="E86" s="147">
        <f t="shared" si="27"/>
        <v>216111</v>
      </c>
      <c r="F86" s="147"/>
      <c r="G86" s="147"/>
      <c r="H86" s="147"/>
      <c r="I86" s="147"/>
      <c r="J86" s="147"/>
      <c r="K86" s="147"/>
      <c r="L86" s="147"/>
      <c r="M86" s="147"/>
      <c r="N86" s="147"/>
      <c r="O86" s="147"/>
      <c r="P86" s="147"/>
      <c r="Q86" s="147"/>
      <c r="R86" s="516">
        <f t="shared" si="28"/>
        <v>216111</v>
      </c>
      <c r="S86" s="147">
        <f>R86</f>
        <v>216111</v>
      </c>
      <c r="T86" s="147"/>
      <c r="U86" s="143"/>
    </row>
    <row r="87" spans="1:21" s="144" customFormat="1">
      <c r="A87" s="145" t="s">
        <v>770</v>
      </c>
      <c r="B87" s="146">
        <f t="shared" si="26"/>
        <v>0</v>
      </c>
      <c r="C87" s="147"/>
      <c r="D87" s="147"/>
      <c r="E87" s="147"/>
      <c r="F87" s="147"/>
      <c r="G87" s="147"/>
      <c r="H87" s="147"/>
      <c r="I87" s="147"/>
      <c r="J87" s="147"/>
      <c r="K87" s="147"/>
      <c r="L87" s="147"/>
      <c r="M87" s="147"/>
      <c r="N87" s="147"/>
      <c r="O87" s="147"/>
      <c r="P87" s="147"/>
      <c r="Q87" s="147"/>
      <c r="R87" s="516">
        <f t="shared" si="28"/>
        <v>0</v>
      </c>
      <c r="S87" s="147"/>
      <c r="T87" s="147"/>
      <c r="U87" s="143"/>
    </row>
    <row r="88" spans="1:21" s="144" customFormat="1">
      <c r="A88" s="145" t="s">
        <v>771</v>
      </c>
      <c r="B88" s="146">
        <f t="shared" si="26"/>
        <v>209500</v>
      </c>
      <c r="C88" s="147">
        <v>209500</v>
      </c>
      <c r="D88" s="147"/>
      <c r="E88" s="147">
        <f t="shared" ref="E88:E94" si="29">C88</f>
        <v>209500</v>
      </c>
      <c r="F88" s="147"/>
      <c r="G88" s="147"/>
      <c r="H88" s="147"/>
      <c r="I88" s="147"/>
      <c r="J88" s="147"/>
      <c r="K88" s="147"/>
      <c r="L88" s="147"/>
      <c r="M88" s="147"/>
      <c r="N88" s="147"/>
      <c r="O88" s="147"/>
      <c r="P88" s="147"/>
      <c r="Q88" s="147"/>
      <c r="R88" s="516">
        <f t="shared" si="28"/>
        <v>209500</v>
      </c>
      <c r="S88" s="148"/>
      <c r="T88" s="148"/>
      <c r="U88" s="143"/>
    </row>
    <row r="89" spans="1:21" s="144" customFormat="1">
      <c r="A89" s="145" t="s">
        <v>772</v>
      </c>
      <c r="B89" s="146">
        <f t="shared" si="26"/>
        <v>364200</v>
      </c>
      <c r="C89" s="147">
        <v>364200</v>
      </c>
      <c r="D89" s="147"/>
      <c r="E89" s="147">
        <f t="shared" si="29"/>
        <v>364200</v>
      </c>
      <c r="F89" s="147"/>
      <c r="G89" s="147"/>
      <c r="H89" s="147"/>
      <c r="I89" s="147"/>
      <c r="J89" s="147"/>
      <c r="K89" s="147"/>
      <c r="L89" s="147"/>
      <c r="M89" s="147"/>
      <c r="N89" s="147"/>
      <c r="O89" s="147"/>
      <c r="P89" s="147"/>
      <c r="Q89" s="147"/>
      <c r="R89" s="516">
        <f t="shared" si="28"/>
        <v>364200</v>
      </c>
      <c r="S89" s="147">
        <f>R89</f>
        <v>364200</v>
      </c>
      <c r="T89" s="147"/>
      <c r="U89" s="143"/>
    </row>
    <row r="90" spans="1:21" s="144" customFormat="1">
      <c r="A90" s="145" t="s">
        <v>773</v>
      </c>
      <c r="B90" s="146">
        <f t="shared" si="26"/>
        <v>14500</v>
      </c>
      <c r="C90" s="147">
        <v>14500</v>
      </c>
      <c r="D90" s="147"/>
      <c r="E90" s="147">
        <f t="shared" si="29"/>
        <v>14500</v>
      </c>
      <c r="F90" s="147"/>
      <c r="G90" s="147"/>
      <c r="H90" s="147"/>
      <c r="I90" s="147"/>
      <c r="J90" s="147"/>
      <c r="K90" s="147"/>
      <c r="L90" s="147"/>
      <c r="M90" s="147"/>
      <c r="N90" s="147"/>
      <c r="O90" s="147"/>
      <c r="P90" s="147"/>
      <c r="Q90" s="147"/>
      <c r="R90" s="516">
        <f t="shared" si="28"/>
        <v>14500</v>
      </c>
      <c r="S90" s="147">
        <f>R90</f>
        <v>14500</v>
      </c>
      <c r="T90" s="147"/>
      <c r="U90" s="143"/>
    </row>
    <row r="91" spans="1:21" s="144" customFormat="1">
      <c r="A91" s="145" t="s">
        <v>371</v>
      </c>
      <c r="B91" s="146">
        <f t="shared" si="26"/>
        <v>35500</v>
      </c>
      <c r="C91" s="147">
        <f>35500</f>
        <v>35500</v>
      </c>
      <c r="D91" s="147"/>
      <c r="E91" s="147">
        <f t="shared" si="29"/>
        <v>35500</v>
      </c>
      <c r="F91" s="147"/>
      <c r="G91" s="147"/>
      <c r="H91" s="147"/>
      <c r="I91" s="147"/>
      <c r="J91" s="147"/>
      <c r="K91" s="147"/>
      <c r="L91" s="147"/>
      <c r="M91" s="147"/>
      <c r="N91" s="147"/>
      <c r="O91" s="147"/>
      <c r="P91" s="147"/>
      <c r="Q91" s="147"/>
      <c r="R91" s="516">
        <f t="shared" si="28"/>
        <v>35500</v>
      </c>
      <c r="S91" s="147">
        <v>35500</v>
      </c>
      <c r="T91" s="147"/>
      <c r="U91" s="143"/>
    </row>
    <row r="92" spans="1:21" s="144" customFormat="1">
      <c r="A92" s="283" t="s">
        <v>1211</v>
      </c>
      <c r="B92" s="146">
        <f t="shared" si="26"/>
        <v>4500</v>
      </c>
      <c r="C92" s="147">
        <v>4500</v>
      </c>
      <c r="D92" s="147"/>
      <c r="E92" s="147">
        <f t="shared" si="29"/>
        <v>4500</v>
      </c>
      <c r="F92" s="147"/>
      <c r="G92" s="147"/>
      <c r="H92" s="147"/>
      <c r="I92" s="147"/>
      <c r="J92" s="147"/>
      <c r="K92" s="147"/>
      <c r="L92" s="147"/>
      <c r="M92" s="147"/>
      <c r="N92" s="147"/>
      <c r="O92" s="147"/>
      <c r="P92" s="147"/>
      <c r="Q92" s="147"/>
      <c r="R92" s="516">
        <f t="shared" si="28"/>
        <v>4500</v>
      </c>
      <c r="S92" s="147">
        <v>0</v>
      </c>
      <c r="T92" s="147"/>
      <c r="U92" s="143"/>
    </row>
    <row r="93" spans="1:21" s="144" customFormat="1">
      <c r="A93" s="1149" t="s">
        <v>2701</v>
      </c>
      <c r="B93" s="146">
        <f t="shared" si="26"/>
        <v>535000</v>
      </c>
      <c r="C93" s="147">
        <v>535000</v>
      </c>
      <c r="D93" s="147"/>
      <c r="E93" s="147">
        <f t="shared" si="29"/>
        <v>535000</v>
      </c>
      <c r="F93" s="147"/>
      <c r="G93" s="147"/>
      <c r="H93" s="147"/>
      <c r="I93" s="147"/>
      <c r="J93" s="147"/>
      <c r="K93" s="147"/>
      <c r="L93" s="147"/>
      <c r="M93" s="147"/>
      <c r="N93" s="147"/>
      <c r="O93" s="147"/>
      <c r="P93" s="147"/>
      <c r="Q93" s="147"/>
      <c r="R93" s="516">
        <f t="shared" si="28"/>
        <v>535000</v>
      </c>
      <c r="S93" s="147">
        <f>R93</f>
        <v>535000</v>
      </c>
      <c r="T93" s="147"/>
      <c r="U93" s="143"/>
    </row>
    <row r="94" spans="1:21" s="144" customFormat="1">
      <c r="A94" s="1149" t="s">
        <v>2702</v>
      </c>
      <c r="B94" s="146">
        <f t="shared" si="26"/>
        <v>150000</v>
      </c>
      <c r="C94" s="147">
        <v>150000</v>
      </c>
      <c r="D94" s="147"/>
      <c r="E94" s="147">
        <f t="shared" si="29"/>
        <v>150000</v>
      </c>
      <c r="F94" s="147"/>
      <c r="G94" s="147"/>
      <c r="H94" s="147"/>
      <c r="I94" s="147"/>
      <c r="J94" s="147"/>
      <c r="K94" s="147"/>
      <c r="L94" s="147"/>
      <c r="M94" s="147"/>
      <c r="N94" s="147"/>
      <c r="O94" s="147"/>
      <c r="P94" s="147"/>
      <c r="Q94" s="147"/>
      <c r="R94" s="516">
        <f t="shared" si="28"/>
        <v>150000</v>
      </c>
      <c r="S94" s="147">
        <f>R94</f>
        <v>150000</v>
      </c>
      <c r="T94" s="147"/>
      <c r="U94" s="143"/>
    </row>
    <row r="95" spans="1:21" s="144" customFormat="1">
      <c r="A95" s="1149" t="s">
        <v>34</v>
      </c>
      <c r="B95" s="146">
        <f t="shared" si="26"/>
        <v>0</v>
      </c>
      <c r="C95" s="147"/>
      <c r="D95" s="147"/>
      <c r="E95" s="147"/>
      <c r="F95" s="147"/>
      <c r="G95" s="147"/>
      <c r="H95" s="147"/>
      <c r="I95" s="147"/>
      <c r="J95" s="147"/>
      <c r="K95" s="147"/>
      <c r="L95" s="147"/>
      <c r="M95" s="147"/>
      <c r="N95" s="147"/>
      <c r="O95" s="147"/>
      <c r="P95" s="147"/>
      <c r="Q95" s="147"/>
      <c r="R95" s="516">
        <f t="shared" si="28"/>
        <v>0</v>
      </c>
      <c r="S95" s="147"/>
      <c r="T95" s="147"/>
      <c r="U95" s="143"/>
    </row>
    <row r="96" spans="1:21" s="144" customFormat="1">
      <c r="A96" s="149" t="s">
        <v>774</v>
      </c>
      <c r="B96" s="146">
        <f>SUM(C96:D96)</f>
        <v>4437543</v>
      </c>
      <c r="C96" s="146">
        <f t="shared" ref="C96:R96" si="30">SUM(C83:C95)</f>
        <v>4437543</v>
      </c>
      <c r="D96" s="146">
        <f t="shared" si="30"/>
        <v>0</v>
      </c>
      <c r="E96" s="146">
        <f t="shared" si="30"/>
        <v>4437543</v>
      </c>
      <c r="F96" s="146">
        <f t="shared" si="30"/>
        <v>0</v>
      </c>
      <c r="G96" s="146">
        <f t="shared" si="30"/>
        <v>0</v>
      </c>
      <c r="H96" s="146">
        <f t="shared" si="30"/>
        <v>0</v>
      </c>
      <c r="I96" s="146">
        <f t="shared" si="30"/>
        <v>0</v>
      </c>
      <c r="J96" s="146">
        <f t="shared" si="30"/>
        <v>0</v>
      </c>
      <c r="K96" s="146">
        <f t="shared" si="30"/>
        <v>0</v>
      </c>
      <c r="L96" s="146">
        <f t="shared" si="30"/>
        <v>0</v>
      </c>
      <c r="M96" s="146">
        <f t="shared" si="30"/>
        <v>0</v>
      </c>
      <c r="N96" s="146">
        <f t="shared" si="30"/>
        <v>0</v>
      </c>
      <c r="O96" s="146">
        <f t="shared" si="30"/>
        <v>0</v>
      </c>
      <c r="P96" s="146">
        <f t="shared" si="30"/>
        <v>0</v>
      </c>
      <c r="Q96" s="146">
        <f t="shared" si="30"/>
        <v>0</v>
      </c>
      <c r="R96" s="342">
        <f t="shared" si="30"/>
        <v>4437543</v>
      </c>
      <c r="S96" s="150">
        <f>SUM(S84:S87,S89:S95)</f>
        <v>4142143</v>
      </c>
      <c r="T96" s="146">
        <f>SUM(T84:T87,T89:T95)</f>
        <v>0</v>
      </c>
      <c r="U96" s="143"/>
    </row>
    <row r="97" spans="1:21" s="144" customFormat="1">
      <c r="A97" s="149" t="s">
        <v>775</v>
      </c>
      <c r="B97" s="146">
        <f>SUM(C97:D97)</f>
        <v>43854257</v>
      </c>
      <c r="C97" s="146">
        <f t="shared" ref="C97:R97" si="31">SUM(C63+C70+C77+C81+C96)</f>
        <v>43854257</v>
      </c>
      <c r="D97" s="146">
        <f t="shared" si="31"/>
        <v>0</v>
      </c>
      <c r="E97" s="146">
        <f t="shared" si="31"/>
        <v>18781157</v>
      </c>
      <c r="F97" s="146">
        <f t="shared" si="31"/>
        <v>11423000</v>
      </c>
      <c r="G97" s="146">
        <f t="shared" si="31"/>
        <v>5000000</v>
      </c>
      <c r="H97" s="146">
        <f t="shared" si="31"/>
        <v>2000000</v>
      </c>
      <c r="I97" s="146">
        <f t="shared" si="31"/>
        <v>1650000</v>
      </c>
      <c r="J97" s="146">
        <f t="shared" si="31"/>
        <v>5000000</v>
      </c>
      <c r="K97" s="146">
        <f t="shared" si="31"/>
        <v>100</v>
      </c>
      <c r="L97" s="146">
        <f t="shared" si="31"/>
        <v>0</v>
      </c>
      <c r="M97" s="146">
        <f t="shared" si="31"/>
        <v>0</v>
      </c>
      <c r="N97" s="146">
        <f t="shared" si="31"/>
        <v>0</v>
      </c>
      <c r="O97" s="146">
        <f t="shared" si="31"/>
        <v>0</v>
      </c>
      <c r="P97" s="146">
        <f t="shared" si="31"/>
        <v>0</v>
      </c>
      <c r="Q97" s="146">
        <f t="shared" si="31"/>
        <v>0</v>
      </c>
      <c r="R97" s="146">
        <f t="shared" si="31"/>
        <v>43854257</v>
      </c>
      <c r="S97" s="146">
        <f>SUM(S63+S70+S81+S96)</f>
        <v>38717264</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3900000</v>
      </c>
      <c r="C99" s="979">
        <v>3900000</v>
      </c>
      <c r="D99" s="979"/>
      <c r="E99" s="979">
        <v>2800000</v>
      </c>
      <c r="F99" s="147"/>
      <c r="G99" s="147"/>
      <c r="H99" s="147"/>
      <c r="I99" s="147"/>
      <c r="J99" s="147"/>
      <c r="K99" s="147"/>
      <c r="L99" s="147">
        <v>1100000</v>
      </c>
      <c r="M99" s="147"/>
      <c r="N99" s="147"/>
      <c r="O99" s="147"/>
      <c r="P99" s="147"/>
      <c r="Q99" s="147"/>
      <c r="R99" s="516">
        <f>SUM(E99:Q99)</f>
        <v>3900000</v>
      </c>
      <c r="S99" s="147">
        <f>R99</f>
        <v>3900000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3900000</v>
      </c>
      <c r="C104" s="146">
        <f>SUM(C99:C103)</f>
        <v>3900000</v>
      </c>
      <c r="D104" s="146">
        <f t="shared" ref="D104:T104" si="32">SUM(D99:D103)</f>
        <v>0</v>
      </c>
      <c r="E104" s="146">
        <f t="shared" si="32"/>
        <v>2800000</v>
      </c>
      <c r="F104" s="146">
        <f t="shared" si="32"/>
        <v>0</v>
      </c>
      <c r="G104" s="146">
        <f t="shared" si="32"/>
        <v>0</v>
      </c>
      <c r="H104" s="146">
        <f t="shared" si="32"/>
        <v>0</v>
      </c>
      <c r="I104" s="146">
        <f t="shared" si="32"/>
        <v>0</v>
      </c>
      <c r="J104" s="146">
        <f t="shared" si="32"/>
        <v>0</v>
      </c>
      <c r="K104" s="146">
        <f t="shared" si="32"/>
        <v>0</v>
      </c>
      <c r="L104" s="146">
        <f t="shared" si="32"/>
        <v>1100000</v>
      </c>
      <c r="M104" s="146">
        <f t="shared" si="32"/>
        <v>0</v>
      </c>
      <c r="N104" s="146">
        <f t="shared" si="32"/>
        <v>0</v>
      </c>
      <c r="O104" s="146">
        <f t="shared" si="32"/>
        <v>0</v>
      </c>
      <c r="P104" s="146">
        <f t="shared" si="32"/>
        <v>0</v>
      </c>
      <c r="Q104" s="146">
        <f t="shared" si="32"/>
        <v>0</v>
      </c>
      <c r="R104" s="342">
        <f t="shared" si="32"/>
        <v>3900000</v>
      </c>
      <c r="S104" s="150">
        <f t="shared" si="32"/>
        <v>3900000</v>
      </c>
      <c r="T104" s="150">
        <f t="shared" si="32"/>
        <v>0</v>
      </c>
      <c r="U104" s="143"/>
    </row>
    <row r="105" spans="1:21" s="144" customFormat="1">
      <c r="A105" s="149" t="s">
        <v>780</v>
      </c>
      <c r="B105" s="150">
        <f>SUM(C105:D105)</f>
        <v>47754257</v>
      </c>
      <c r="C105" s="150">
        <f t="shared" ref="C105:R105" si="33">SUM(C97+C104)</f>
        <v>47754257</v>
      </c>
      <c r="D105" s="150">
        <f t="shared" si="33"/>
        <v>0</v>
      </c>
      <c r="E105" s="150">
        <f t="shared" si="33"/>
        <v>21581157</v>
      </c>
      <c r="F105" s="150">
        <f t="shared" si="33"/>
        <v>11423000</v>
      </c>
      <c r="G105" s="150">
        <f t="shared" si="33"/>
        <v>5000000</v>
      </c>
      <c r="H105" s="150">
        <f t="shared" si="33"/>
        <v>2000000</v>
      </c>
      <c r="I105" s="150">
        <f t="shared" si="33"/>
        <v>1650000</v>
      </c>
      <c r="J105" s="150">
        <f t="shared" si="33"/>
        <v>5000000</v>
      </c>
      <c r="K105" s="150">
        <f t="shared" si="33"/>
        <v>100</v>
      </c>
      <c r="L105" s="150">
        <f t="shared" si="33"/>
        <v>1100000</v>
      </c>
      <c r="M105" s="150">
        <f t="shared" si="33"/>
        <v>0</v>
      </c>
      <c r="N105" s="150">
        <f t="shared" si="33"/>
        <v>0</v>
      </c>
      <c r="O105" s="150">
        <f t="shared" si="33"/>
        <v>0</v>
      </c>
      <c r="P105" s="150">
        <f t="shared" si="33"/>
        <v>0</v>
      </c>
      <c r="Q105" s="150">
        <f t="shared" si="33"/>
        <v>0</v>
      </c>
      <c r="R105" s="342">
        <f t="shared" si="33"/>
        <v>47754257</v>
      </c>
      <c r="S105" s="150">
        <f>S97+S104</f>
        <v>42617264</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42617264</v>
      </c>
      <c r="T107" s="150">
        <f>T105+T106</f>
        <v>0</v>
      </c>
    </row>
    <row r="108" spans="1:21" s="189" customFormat="1">
      <c r="A108" s="162" t="s">
        <v>879</v>
      </c>
      <c r="B108" s="157"/>
      <c r="C108" s="157"/>
      <c r="D108" s="157"/>
      <c r="E108" s="301">
        <f>Application!AO640</f>
        <v>21581157</v>
      </c>
      <c r="F108" s="301">
        <f>Application!AO627</f>
        <v>11423000</v>
      </c>
      <c r="G108" s="301">
        <f>Application!AO628</f>
        <v>5000000</v>
      </c>
      <c r="H108" s="301">
        <f>Application!AO629</f>
        <v>2000000</v>
      </c>
      <c r="I108" s="301">
        <f>Application!AO630</f>
        <v>1650000</v>
      </c>
      <c r="J108" s="301">
        <f>Application!AO631</f>
        <v>5000000</v>
      </c>
      <c r="K108" s="301">
        <f>Application!AO632</f>
        <v>100</v>
      </c>
      <c r="L108" s="301">
        <f>Application!AO633</f>
        <v>1100000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
      <c r="A121" s="338" t="s">
        <v>1005</v>
      </c>
      <c r="B121" s="157"/>
      <c r="C121" s="157"/>
      <c r="D121" s="157"/>
    </row>
    <row r="122" spans="1:21">
      <c r="A122" s="325" t="s">
        <v>989</v>
      </c>
      <c r="B122" s="324"/>
      <c r="C122" s="324"/>
      <c r="D122" s="1866" t="s">
        <v>990</v>
      </c>
      <c r="E122" s="1866"/>
      <c r="F122" s="1866"/>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8"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3"/>
      <c r="E128" s="1863"/>
      <c r="F128" s="1863"/>
      <c r="G128" s="1863"/>
      <c r="H128" s="1863"/>
      <c r="I128" s="117"/>
      <c r="J128" s="1864"/>
      <c r="K128" s="1864"/>
      <c r="L128" s="117"/>
      <c r="M128" s="117"/>
      <c r="N128" s="117"/>
      <c r="O128" s="117"/>
      <c r="P128" s="117"/>
      <c r="Q128" s="117"/>
      <c r="R128" s="117"/>
      <c r="S128" s="117"/>
      <c r="T128" s="324"/>
      <c r="U128" s="326"/>
    </row>
    <row r="129" spans="1:21" ht="12.75">
      <c r="A129" s="117" t="s">
        <v>299</v>
      </c>
      <c r="B129" s="333"/>
      <c r="C129" s="117"/>
      <c r="D129" s="1865" t="s">
        <v>997</v>
      </c>
      <c r="E129" s="1865"/>
      <c r="F129" s="1865"/>
      <c r="G129" s="1865"/>
      <c r="H129" s="1865"/>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15">
      <c r="A131" s="335" t="s">
        <v>999</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69" t="s">
        <v>1000</v>
      </c>
      <c r="E132" s="1869"/>
      <c r="F132" s="1869"/>
      <c r="G132" s="1869"/>
      <c r="H132" s="1869"/>
      <c r="I132" s="117"/>
      <c r="J132" s="1869" t="s">
        <v>1001</v>
      </c>
      <c r="K132" s="1869"/>
      <c r="L132" s="1869"/>
      <c r="M132" s="186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1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0"/>
      <c r="B138" s="1863"/>
      <c r="C138" s="1863"/>
      <c r="D138" s="328"/>
      <c r="E138" s="1864"/>
      <c r="F138" s="1864"/>
      <c r="G138" s="117"/>
      <c r="H138" s="117"/>
      <c r="I138" s="117"/>
      <c r="J138" s="117"/>
      <c r="K138" s="117"/>
      <c r="L138" s="117"/>
      <c r="M138" s="117"/>
      <c r="N138" s="117"/>
      <c r="O138" s="117"/>
      <c r="P138" s="117"/>
      <c r="Q138" s="117"/>
      <c r="R138" s="117"/>
      <c r="S138" s="117"/>
      <c r="T138" s="330"/>
      <c r="U138" s="331"/>
    </row>
    <row r="139" spans="1:21" ht="13.15">
      <c r="A139" s="1867" t="s">
        <v>1004</v>
      </c>
      <c r="B139" s="1867"/>
      <c r="C139" s="1867"/>
      <c r="D139" s="328"/>
      <c r="E139" s="117" t="s">
        <v>998</v>
      </c>
      <c r="F139" s="117"/>
      <c r="G139" s="117"/>
      <c r="H139" s="117"/>
      <c r="I139" s="117"/>
      <c r="J139" s="117"/>
      <c r="K139" s="117"/>
      <c r="L139" s="117"/>
      <c r="M139" s="117"/>
      <c r="N139" s="117"/>
      <c r="O139" s="117"/>
      <c r="P139" s="117"/>
      <c r="Q139" s="117"/>
      <c r="R139" s="117"/>
      <c r="S139" s="117"/>
      <c r="T139" s="330"/>
      <c r="U139" s="331"/>
    </row>
    <row r="140" spans="1:21" ht="13.1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100" priority="26">
      <formula>AND(B25&gt;0,OR(A25="",A25="Other: (Specify)"))</formula>
    </cfRule>
  </conditionalFormatting>
  <conditionalFormatting sqref="A37">
    <cfRule type="expression" dxfId="99" priority="25">
      <formula>AND(B37&gt;0,OR(A37="",A37="Other: (Specify)"))</formula>
    </cfRule>
  </conditionalFormatting>
  <conditionalFormatting sqref="A53">
    <cfRule type="expression" dxfId="98" priority="24">
      <formula>AND(B53&gt;0,OR(A53="",A53="Other: (Specify)"))</formula>
    </cfRule>
  </conditionalFormatting>
  <conditionalFormatting sqref="A61">
    <cfRule type="expression" dxfId="97" priority="23">
      <formula>AND(B61&gt;0,OR(A61="",A61="Other: (Specify)"))</formula>
    </cfRule>
  </conditionalFormatting>
  <conditionalFormatting sqref="A69">
    <cfRule type="expression" dxfId="96" priority="22">
      <formula>AND(B69&gt;0,OR(A69="",A69="Other: (Specify)"))</formula>
    </cfRule>
  </conditionalFormatting>
  <conditionalFormatting sqref="A76">
    <cfRule type="expression" dxfId="95" priority="21">
      <formula>AND(B76&gt;0,OR(A76="",A76="Other: (Specify)"))</formula>
    </cfRule>
  </conditionalFormatting>
  <conditionalFormatting sqref="A93:A95">
    <cfRule type="expression" dxfId="94" priority="20">
      <formula>AND(B93&gt;0,OR(A93="",A93="Other: (Specify)"))</formula>
    </cfRule>
  </conditionalFormatting>
  <conditionalFormatting sqref="A103">
    <cfRule type="expression" dxfId="93" priority="19">
      <formula>AND(B103&gt;0,OR(A103="",A103="Other: (Specify)"))</formula>
    </cfRule>
  </conditionalFormatting>
  <conditionalFormatting sqref="C10">
    <cfRule type="expression" dxfId="92" priority="103">
      <formula>"(S10+T10)&gt;C10 "</formula>
    </cfRule>
  </conditionalFormatting>
  <conditionalFormatting sqref="E105:Q105">
    <cfRule type="cellIs" dxfId="91" priority="226" stopIfTrue="1" operator="notEqual">
      <formula>E$108</formula>
    </cfRule>
  </conditionalFormatting>
  <conditionalFormatting sqref="R4:R15">
    <cfRule type="cellIs" dxfId="90" priority="257" stopIfTrue="1" operator="notEqual">
      <formula>$B4</formula>
    </cfRule>
  </conditionalFormatting>
  <conditionalFormatting sqref="R8">
    <cfRule type="cellIs" priority="263" stopIfTrue="1" operator="notEqual">
      <formula>$B8</formula>
    </cfRule>
  </conditionalFormatting>
  <conditionalFormatting sqref="R11:R12">
    <cfRule type="cellIs" priority="259" stopIfTrue="1" operator="notEqual">
      <formula>$B11</formula>
    </cfRule>
  </conditionalFormatting>
  <conditionalFormatting sqref="R17:R27">
    <cfRule type="cellIs" dxfId="89" priority="253" stopIfTrue="1" operator="notEqual">
      <formula>$B17</formula>
    </cfRule>
  </conditionalFormatting>
  <conditionalFormatting sqref="R26">
    <cfRule type="cellIs" priority="256" stopIfTrue="1" operator="notEqual">
      <formula>$B26</formula>
    </cfRule>
  </conditionalFormatting>
  <conditionalFormatting sqref="R29:R38">
    <cfRule type="cellIs" dxfId="88" priority="250" stopIfTrue="1" operator="notEqual">
      <formula>$B29</formula>
    </cfRule>
  </conditionalFormatting>
  <conditionalFormatting sqref="R38">
    <cfRule type="cellIs" priority="252" stopIfTrue="1" operator="notEqual">
      <formula>$B38</formula>
    </cfRule>
  </conditionalFormatting>
  <conditionalFormatting sqref="R40:R43">
    <cfRule type="cellIs" dxfId="87" priority="246" stopIfTrue="1" operator="notEqual">
      <formula>$B40</formula>
    </cfRule>
  </conditionalFormatting>
  <conditionalFormatting sqref="R42">
    <cfRule type="cellIs" priority="249" stopIfTrue="1" operator="notEqual">
      <formula>$B42</formula>
    </cfRule>
  </conditionalFormatting>
  <conditionalFormatting sqref="R45:R54">
    <cfRule type="cellIs" dxfId="86" priority="244" stopIfTrue="1" operator="notEqual">
      <formula>$B45</formula>
    </cfRule>
  </conditionalFormatting>
  <conditionalFormatting sqref="R54">
    <cfRule type="cellIs" priority="245" stopIfTrue="1" operator="notEqual">
      <formula>$B54</formula>
    </cfRule>
  </conditionalFormatting>
  <conditionalFormatting sqref="R56:R63">
    <cfRule type="cellIs" dxfId="85" priority="241" stopIfTrue="1" operator="notEqual">
      <formula>$B56</formula>
    </cfRule>
  </conditionalFormatting>
  <conditionalFormatting sqref="R62:R63">
    <cfRule type="cellIs" priority="242" stopIfTrue="1" operator="notEqual">
      <formula>$B62</formula>
    </cfRule>
  </conditionalFormatting>
  <conditionalFormatting sqref="R65:R70">
    <cfRule type="cellIs" dxfId="84" priority="237" stopIfTrue="1" operator="notEqual">
      <formula>$B65</formula>
    </cfRule>
  </conditionalFormatting>
  <conditionalFormatting sqref="R70">
    <cfRule type="cellIs" priority="239" stopIfTrue="1" operator="notEqual">
      <formula>$B70</formula>
    </cfRule>
  </conditionalFormatting>
  <conditionalFormatting sqref="R72:R77">
    <cfRule type="cellIs" dxfId="83" priority="232" stopIfTrue="1" operator="notEqual">
      <formula>$B72</formula>
    </cfRule>
  </conditionalFormatting>
  <conditionalFormatting sqref="R77">
    <cfRule type="cellIs" priority="236" stopIfTrue="1" operator="notEqual">
      <formula>$B77</formula>
    </cfRule>
  </conditionalFormatting>
  <conditionalFormatting sqref="R79:R80">
    <cfRule type="cellIs" dxfId="82" priority="231" stopIfTrue="1" operator="notEqual">
      <formula>$B79</formula>
    </cfRule>
  </conditionalFormatting>
  <conditionalFormatting sqref="R83:R96">
    <cfRule type="cellIs" dxfId="81" priority="233" stopIfTrue="1" operator="notEqual">
      <formula>$B83</formula>
    </cfRule>
  </conditionalFormatting>
  <conditionalFormatting sqref="R96">
    <cfRule type="cellIs" priority="234" stopIfTrue="1" operator="notEqual">
      <formula>$B96</formula>
    </cfRule>
  </conditionalFormatting>
  <conditionalFormatting sqref="R99:R105">
    <cfRule type="cellIs" dxfId="80" priority="228" stopIfTrue="1" operator="notEqual">
      <formula>$B99</formula>
    </cfRule>
  </conditionalFormatting>
  <conditionalFormatting sqref="R104:R105">
    <cfRule type="cellIs" priority="229" stopIfTrue="1" operator="notEqual">
      <formula>$B104</formula>
    </cfRule>
  </conditionalFormatting>
  <conditionalFormatting sqref="S10">
    <cfRule type="expression" dxfId="79" priority="271" stopIfTrue="1">
      <formula>(S10+T10)&gt;C10</formula>
    </cfRule>
  </conditionalFormatting>
  <conditionalFormatting sqref="S13:S14">
    <cfRule type="expression" dxfId="78" priority="220" stopIfTrue="1">
      <formula>(S13+T13)&gt;C13</formula>
    </cfRule>
  </conditionalFormatting>
  <conditionalFormatting sqref="S17:S25">
    <cfRule type="expression" dxfId="77" priority="204" stopIfTrue="1">
      <formula>(S17+T17)&gt;C17</formula>
    </cfRule>
  </conditionalFormatting>
  <conditionalFormatting sqref="S27">
    <cfRule type="expression" dxfId="76" priority="197" stopIfTrue="1">
      <formula>(S27+T27)&gt;C27</formula>
    </cfRule>
  </conditionalFormatting>
  <conditionalFormatting sqref="S29:S37">
    <cfRule type="expression" dxfId="75" priority="187" stopIfTrue="1">
      <formula>(S29+T29)&gt;C29</formula>
    </cfRule>
  </conditionalFormatting>
  <conditionalFormatting sqref="S40:S41">
    <cfRule type="expression" dxfId="74" priority="178" stopIfTrue="1">
      <formula>(S40+T40)&gt;C40</formula>
    </cfRule>
  </conditionalFormatting>
  <conditionalFormatting sqref="S53">
    <cfRule type="expression" dxfId="73" priority="160" stopIfTrue="1">
      <formula>(S53+T53)&gt;C53</formula>
    </cfRule>
  </conditionalFormatting>
  <conditionalFormatting sqref="S66:S68">
    <cfRule type="expression" dxfId="72" priority="149" stopIfTrue="1">
      <formula>(S66+T66)&gt;C66</formula>
    </cfRule>
  </conditionalFormatting>
  <conditionalFormatting sqref="S80">
    <cfRule type="expression" dxfId="71" priority="145" stopIfTrue="1">
      <formula>(S80+T80)&gt;C80</formula>
    </cfRule>
  </conditionalFormatting>
  <conditionalFormatting sqref="S84:S87">
    <cfRule type="expression" dxfId="70" priority="139" stopIfTrue="1">
      <formula>(S84+T84)&gt;C84</formula>
    </cfRule>
  </conditionalFormatting>
  <conditionalFormatting sqref="S92 S95">
    <cfRule type="expression" dxfId="69" priority="128" stopIfTrue="1">
      <formula>(S92+T92)&gt;C92</formula>
    </cfRule>
  </conditionalFormatting>
  <conditionalFormatting sqref="S100:S103">
    <cfRule type="expression" dxfId="68" priority="111" stopIfTrue="1">
      <formula>(S100+T100)&gt;C100</formula>
    </cfRule>
  </conditionalFormatting>
  <conditionalFormatting sqref="T9">
    <cfRule type="expression" dxfId="67" priority="272" stopIfTrue="1">
      <formula>T9&gt;C9</formula>
    </cfRule>
  </conditionalFormatting>
  <conditionalFormatting sqref="T10">
    <cfRule type="expression" dxfId="66" priority="101" stopIfTrue="1">
      <formula>(S10+T10)&gt;C10</formula>
    </cfRule>
  </conditionalFormatting>
  <conditionalFormatting sqref="T13:T14">
    <cfRule type="expression" dxfId="65" priority="98" stopIfTrue="1">
      <formula>(S13+T13)&gt;C13</formula>
    </cfRule>
  </conditionalFormatting>
  <conditionalFormatting sqref="T17:T25">
    <cfRule type="expression" dxfId="64" priority="74" stopIfTrue="1">
      <formula>(S17+T17)&gt;C17</formula>
    </cfRule>
  </conditionalFormatting>
  <conditionalFormatting sqref="T27">
    <cfRule type="expression" dxfId="63" priority="72" stopIfTrue="1">
      <formula>(S27+T27)&gt;C27</formula>
    </cfRule>
  </conditionalFormatting>
  <conditionalFormatting sqref="T29:T37">
    <cfRule type="expression" dxfId="62" priority="63" stopIfTrue="1">
      <formula>(S29+T29)&gt;C29</formula>
    </cfRule>
  </conditionalFormatting>
  <conditionalFormatting sqref="T40:T41">
    <cfRule type="expression" dxfId="61" priority="61" stopIfTrue="1">
      <formula>(S40+T40)&gt;C40</formula>
    </cfRule>
  </conditionalFormatting>
  <conditionalFormatting sqref="T43">
    <cfRule type="expression" dxfId="60" priority="60" stopIfTrue="1">
      <formula>(S43+T43)&gt;C43</formula>
    </cfRule>
  </conditionalFormatting>
  <conditionalFormatting sqref="T45:T53">
    <cfRule type="expression" dxfId="59" priority="50" stopIfTrue="1">
      <formula>(S45+T45)&gt;C45</formula>
    </cfRule>
  </conditionalFormatting>
  <conditionalFormatting sqref="T65:T69">
    <cfRule type="expression" dxfId="58" priority="48" stopIfTrue="1">
      <formula>(S65+T65)&gt;C65</formula>
    </cfRule>
  </conditionalFormatting>
  <conditionalFormatting sqref="T79:T80">
    <cfRule type="expression" dxfId="57" priority="46" stopIfTrue="1">
      <formula>(S79+T79)&gt;C79</formula>
    </cfRule>
  </conditionalFormatting>
  <conditionalFormatting sqref="T84:T87">
    <cfRule type="expression" dxfId="56" priority="42" stopIfTrue="1">
      <formula>(S84+T84)&gt;C84</formula>
    </cfRule>
  </conditionalFormatting>
  <conditionalFormatting sqref="T89:T95">
    <cfRule type="expression" dxfId="55" priority="35" stopIfTrue="1">
      <formula>(S89+T89)&gt;C89</formula>
    </cfRule>
  </conditionalFormatting>
  <conditionalFormatting sqref="T99:T103">
    <cfRule type="expression" dxfId="54" priority="27" stopIfTrue="1">
      <formula>(S99+T99)&gt;C99</formula>
    </cfRule>
  </conditionalFormatting>
  <conditionalFormatting sqref="S43">
    <cfRule type="expression" dxfId="53" priority="18" stopIfTrue="1">
      <formula>(S43+T43)&gt;C43</formula>
    </cfRule>
  </conditionalFormatting>
  <conditionalFormatting sqref="S45">
    <cfRule type="expression" dxfId="52" priority="17" stopIfTrue="1">
      <formula>(S45+T45)&gt;C45</formula>
    </cfRule>
  </conditionalFormatting>
  <conditionalFormatting sqref="S46">
    <cfRule type="expression" dxfId="51" priority="16" stopIfTrue="1">
      <formula>(S46+T46)&gt;C46</formula>
    </cfRule>
  </conditionalFormatting>
  <conditionalFormatting sqref="S47">
    <cfRule type="expression" dxfId="50" priority="15" stopIfTrue="1">
      <formula>(S47+T47)&gt;C47</formula>
    </cfRule>
  </conditionalFormatting>
  <conditionalFormatting sqref="S48">
    <cfRule type="expression" dxfId="49" priority="14" stopIfTrue="1">
      <formula>(S48+T48)&gt;C48</formula>
    </cfRule>
  </conditionalFormatting>
  <conditionalFormatting sqref="S49">
    <cfRule type="expression" dxfId="48" priority="13" stopIfTrue="1">
      <formula>(S49+T49)&gt;C49</formula>
    </cfRule>
  </conditionalFormatting>
  <conditionalFormatting sqref="S50">
    <cfRule type="expression" dxfId="47" priority="12" stopIfTrue="1">
      <formula>(S50+T50)&gt;C50</formula>
    </cfRule>
  </conditionalFormatting>
  <conditionalFormatting sqref="S51">
    <cfRule type="expression" dxfId="46" priority="11" stopIfTrue="1">
      <formula>(S51+T51)&gt;C51</formula>
    </cfRule>
  </conditionalFormatting>
  <conditionalFormatting sqref="S52">
    <cfRule type="expression" dxfId="45" priority="10" stopIfTrue="1">
      <formula>(S52+T52)&gt;C52</formula>
    </cfRule>
  </conditionalFormatting>
  <conditionalFormatting sqref="S65">
    <cfRule type="expression" dxfId="44" priority="9" stopIfTrue="1">
      <formula>(S65+T65)&gt;C65</formula>
    </cfRule>
  </conditionalFormatting>
  <conditionalFormatting sqref="S69">
    <cfRule type="expression" dxfId="43" priority="8" stopIfTrue="1">
      <formula>(S69+T69)&gt;C69</formula>
    </cfRule>
  </conditionalFormatting>
  <conditionalFormatting sqref="S79">
    <cfRule type="expression" dxfId="42" priority="7" stopIfTrue="1">
      <formula>(S79+T79)&gt;C79</formula>
    </cfRule>
  </conditionalFormatting>
  <conditionalFormatting sqref="S89">
    <cfRule type="expression" dxfId="41" priority="6" stopIfTrue="1">
      <formula>(S89+T89)&gt;C89</formula>
    </cfRule>
  </conditionalFormatting>
  <conditionalFormatting sqref="S90">
    <cfRule type="expression" dxfId="40" priority="5" stopIfTrue="1">
      <formula>(S90+T90)&gt;C90</formula>
    </cfRule>
  </conditionalFormatting>
  <conditionalFormatting sqref="S91">
    <cfRule type="expression" dxfId="39" priority="4" stopIfTrue="1">
      <formula>(S91+T91)&gt;C91</formula>
    </cfRule>
  </conditionalFormatting>
  <conditionalFormatting sqref="S93">
    <cfRule type="expression" dxfId="38" priority="3" stopIfTrue="1">
      <formula>(S93+T93)&gt;C93</formula>
    </cfRule>
  </conditionalFormatting>
  <conditionalFormatting sqref="S94">
    <cfRule type="expression" dxfId="37" priority="2" stopIfTrue="1">
      <formula>(S94+T94)&gt;C94</formula>
    </cfRule>
  </conditionalFormatting>
  <conditionalFormatting sqref="S99">
    <cfRule type="expression" dxfId="36" priority="1"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65" firstPageNumber="25" fitToHeight="0"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8" workbookViewId="0">
      <selection activeCell="F80" sqref="F80"/>
    </sheetView>
  </sheetViews>
  <sheetFormatPr defaultColWidth="0" defaultRowHeight="11.65" zeroHeight="1"/>
  <cols>
    <col min="1" max="1" width="32.73046875" style="397" customWidth="1"/>
    <col min="2" max="3" width="12.1328125" style="393" customWidth="1"/>
    <col min="4" max="6" width="12.86328125" style="393" customWidth="1"/>
    <col min="7" max="9" width="12.1328125" style="393" customWidth="1"/>
    <col min="10" max="10" width="12.1328125" style="394" customWidth="1"/>
    <col min="11" max="11" width="8.86328125" style="395" hidden="1" customWidth="1"/>
    <col min="12" max="21" width="8.86328125" style="393" hidden="1" customWidth="1"/>
    <col min="22" max="23" width="0" style="393" hidden="1"/>
    <col min="24" max="256" width="8.86328125" style="393" hidden="1"/>
    <col min="257" max="257" width="32.73046875" style="393" hidden="1" customWidth="1"/>
    <col min="258" max="259" width="12.1328125" style="393" hidden="1" customWidth="1"/>
    <col min="260" max="260" width="12.86328125" style="393" hidden="1" customWidth="1"/>
    <col min="261" max="266" width="12.1328125" style="393" hidden="1" customWidth="1"/>
    <col min="267" max="277" width="8.86328125" style="393" hidden="1" customWidth="1"/>
    <col min="278" max="512" width="8.86328125" style="393" hidden="1"/>
    <col min="513" max="513" width="32.73046875" style="393" hidden="1" customWidth="1"/>
    <col min="514" max="515" width="12.1328125" style="393" hidden="1" customWidth="1"/>
    <col min="516" max="516" width="12.86328125" style="393" hidden="1" customWidth="1"/>
    <col min="517" max="522" width="12.1328125" style="393" hidden="1" customWidth="1"/>
    <col min="523" max="533" width="8.86328125" style="393" hidden="1" customWidth="1"/>
    <col min="534" max="768" width="8.86328125" style="393" hidden="1"/>
    <col min="769" max="769" width="32.73046875" style="393" hidden="1" customWidth="1"/>
    <col min="770" max="771" width="12.1328125" style="393" hidden="1" customWidth="1"/>
    <col min="772" max="772" width="12.86328125" style="393" hidden="1" customWidth="1"/>
    <col min="773" max="778" width="12.1328125" style="393" hidden="1" customWidth="1"/>
    <col min="779" max="789" width="8.86328125" style="393" hidden="1" customWidth="1"/>
    <col min="790" max="1024" width="8.86328125" style="393" hidden="1"/>
    <col min="1025" max="1025" width="32.73046875" style="393" hidden="1" customWidth="1"/>
    <col min="1026" max="1027" width="12.1328125" style="393" hidden="1" customWidth="1"/>
    <col min="1028" max="1028" width="12.86328125" style="393" hidden="1" customWidth="1"/>
    <col min="1029" max="1034" width="12.1328125" style="393" hidden="1" customWidth="1"/>
    <col min="1035" max="1045" width="8.86328125" style="393" hidden="1" customWidth="1"/>
    <col min="1046" max="1280" width="8.86328125" style="393" hidden="1"/>
    <col min="1281" max="1281" width="32.73046875" style="393" hidden="1" customWidth="1"/>
    <col min="1282" max="1283" width="12.1328125" style="393" hidden="1" customWidth="1"/>
    <col min="1284" max="1284" width="12.86328125" style="393" hidden="1" customWidth="1"/>
    <col min="1285" max="1290" width="12.1328125" style="393" hidden="1" customWidth="1"/>
    <col min="1291" max="1301" width="8.86328125" style="393" hidden="1" customWidth="1"/>
    <col min="1302" max="1536" width="8.86328125" style="393" hidden="1"/>
    <col min="1537" max="1537" width="32.73046875" style="393" hidden="1" customWidth="1"/>
    <col min="1538" max="1539" width="12.1328125" style="393" hidden="1" customWidth="1"/>
    <col min="1540" max="1540" width="12.86328125" style="393" hidden="1" customWidth="1"/>
    <col min="1541" max="1546" width="12.1328125" style="393" hidden="1" customWidth="1"/>
    <col min="1547" max="1557" width="8.86328125" style="393" hidden="1" customWidth="1"/>
    <col min="1558" max="1792" width="8.86328125" style="393" hidden="1"/>
    <col min="1793" max="1793" width="32.73046875" style="393" hidden="1" customWidth="1"/>
    <col min="1794" max="1795" width="12.1328125" style="393" hidden="1" customWidth="1"/>
    <col min="1796" max="1796" width="12.86328125" style="393" hidden="1" customWidth="1"/>
    <col min="1797" max="1802" width="12.1328125" style="393" hidden="1" customWidth="1"/>
    <col min="1803" max="1813" width="8.86328125" style="393" hidden="1" customWidth="1"/>
    <col min="1814" max="2048" width="8.86328125" style="393" hidden="1"/>
    <col min="2049" max="2049" width="32.73046875" style="393" hidden="1" customWidth="1"/>
    <col min="2050" max="2051" width="12.1328125" style="393" hidden="1" customWidth="1"/>
    <col min="2052" max="2052" width="12.86328125" style="393" hidden="1" customWidth="1"/>
    <col min="2053" max="2058" width="12.1328125" style="393" hidden="1" customWidth="1"/>
    <col min="2059" max="2069" width="8.86328125" style="393" hidden="1" customWidth="1"/>
    <col min="2070" max="2304" width="8.86328125" style="393" hidden="1"/>
    <col min="2305" max="2305" width="32.73046875" style="393" hidden="1" customWidth="1"/>
    <col min="2306" max="2307" width="12.1328125" style="393" hidden="1" customWidth="1"/>
    <col min="2308" max="2308" width="12.86328125" style="393" hidden="1" customWidth="1"/>
    <col min="2309" max="2314" width="12.1328125" style="393" hidden="1" customWidth="1"/>
    <col min="2315" max="2325" width="8.86328125" style="393" hidden="1" customWidth="1"/>
    <col min="2326" max="2560" width="8.86328125" style="393" hidden="1"/>
    <col min="2561" max="2561" width="32.73046875" style="393" hidden="1" customWidth="1"/>
    <col min="2562" max="2563" width="12.1328125" style="393" hidden="1" customWidth="1"/>
    <col min="2564" max="2564" width="12.86328125" style="393" hidden="1" customWidth="1"/>
    <col min="2565" max="2570" width="12.1328125" style="393" hidden="1" customWidth="1"/>
    <col min="2571" max="2581" width="8.86328125" style="393" hidden="1" customWidth="1"/>
    <col min="2582" max="2816" width="8.86328125" style="393" hidden="1"/>
    <col min="2817" max="2817" width="32.73046875" style="393" hidden="1" customWidth="1"/>
    <col min="2818" max="2819" width="12.1328125" style="393" hidden="1" customWidth="1"/>
    <col min="2820" max="2820" width="12.86328125" style="393" hidden="1" customWidth="1"/>
    <col min="2821" max="2826" width="12.1328125" style="393" hidden="1" customWidth="1"/>
    <col min="2827" max="2837" width="8.86328125" style="393" hidden="1" customWidth="1"/>
    <col min="2838" max="3072" width="8.86328125" style="393" hidden="1"/>
    <col min="3073" max="3073" width="32.73046875" style="393" hidden="1" customWidth="1"/>
    <col min="3074" max="3075" width="12.1328125" style="393" hidden="1" customWidth="1"/>
    <col min="3076" max="3076" width="12.86328125" style="393" hidden="1" customWidth="1"/>
    <col min="3077" max="3082" width="12.1328125" style="393" hidden="1" customWidth="1"/>
    <col min="3083" max="3093" width="8.86328125" style="393" hidden="1" customWidth="1"/>
    <col min="3094" max="3328" width="8.86328125" style="393" hidden="1"/>
    <col min="3329" max="3329" width="32.73046875" style="393" hidden="1" customWidth="1"/>
    <col min="3330" max="3331" width="12.1328125" style="393" hidden="1" customWidth="1"/>
    <col min="3332" max="3332" width="12.86328125" style="393" hidden="1" customWidth="1"/>
    <col min="3333" max="3338" width="12.1328125" style="393" hidden="1" customWidth="1"/>
    <col min="3339" max="3349" width="8.86328125" style="393" hidden="1" customWidth="1"/>
    <col min="3350" max="3584" width="8.86328125" style="393" hidden="1"/>
    <col min="3585" max="3585" width="32.73046875" style="393" hidden="1" customWidth="1"/>
    <col min="3586" max="3587" width="12.1328125" style="393" hidden="1" customWidth="1"/>
    <col min="3588" max="3588" width="12.86328125" style="393" hidden="1" customWidth="1"/>
    <col min="3589" max="3594" width="12.1328125" style="393" hidden="1" customWidth="1"/>
    <col min="3595" max="3605" width="8.86328125" style="393" hidden="1" customWidth="1"/>
    <col min="3606" max="3840" width="8.86328125" style="393" hidden="1"/>
    <col min="3841" max="3841" width="32.73046875" style="393" hidden="1" customWidth="1"/>
    <col min="3842" max="3843" width="12.1328125" style="393" hidden="1" customWidth="1"/>
    <col min="3844" max="3844" width="12.86328125" style="393" hidden="1" customWidth="1"/>
    <col min="3845" max="3850" width="12.1328125" style="393" hidden="1" customWidth="1"/>
    <col min="3851" max="3861" width="8.86328125" style="393" hidden="1" customWidth="1"/>
    <col min="3862" max="4096" width="8.86328125" style="393" hidden="1"/>
    <col min="4097" max="4097" width="32.73046875" style="393" hidden="1" customWidth="1"/>
    <col min="4098" max="4099" width="12.1328125" style="393" hidden="1" customWidth="1"/>
    <col min="4100" max="4100" width="12.86328125" style="393" hidden="1" customWidth="1"/>
    <col min="4101" max="4106" width="12.1328125" style="393" hidden="1" customWidth="1"/>
    <col min="4107" max="4117" width="8.86328125" style="393" hidden="1" customWidth="1"/>
    <col min="4118" max="4352" width="8.86328125" style="393" hidden="1"/>
    <col min="4353" max="4353" width="32.73046875" style="393" hidden="1" customWidth="1"/>
    <col min="4354" max="4355" width="12.1328125" style="393" hidden="1" customWidth="1"/>
    <col min="4356" max="4356" width="12.86328125" style="393" hidden="1" customWidth="1"/>
    <col min="4357" max="4362" width="12.1328125" style="393" hidden="1" customWidth="1"/>
    <col min="4363" max="4373" width="8.86328125" style="393" hidden="1" customWidth="1"/>
    <col min="4374" max="4608" width="8.86328125" style="393" hidden="1"/>
    <col min="4609" max="4609" width="32.73046875" style="393" hidden="1" customWidth="1"/>
    <col min="4610" max="4611" width="12.1328125" style="393" hidden="1" customWidth="1"/>
    <col min="4612" max="4612" width="12.86328125" style="393" hidden="1" customWidth="1"/>
    <col min="4613" max="4618" width="12.1328125" style="393" hidden="1" customWidth="1"/>
    <col min="4619" max="4629" width="8.86328125" style="393" hidden="1" customWidth="1"/>
    <col min="4630" max="4864" width="8.86328125" style="393" hidden="1"/>
    <col min="4865" max="4865" width="32.73046875" style="393" hidden="1" customWidth="1"/>
    <col min="4866" max="4867" width="12.1328125" style="393" hidden="1" customWidth="1"/>
    <col min="4868" max="4868" width="12.86328125" style="393" hidden="1" customWidth="1"/>
    <col min="4869" max="4874" width="12.1328125" style="393" hidden="1" customWidth="1"/>
    <col min="4875" max="4885" width="8.86328125" style="393" hidden="1" customWidth="1"/>
    <col min="4886" max="5120" width="8.86328125" style="393" hidden="1"/>
    <col min="5121" max="5121" width="32.73046875" style="393" hidden="1" customWidth="1"/>
    <col min="5122" max="5123" width="12.1328125" style="393" hidden="1" customWidth="1"/>
    <col min="5124" max="5124" width="12.86328125" style="393" hidden="1" customWidth="1"/>
    <col min="5125" max="5130" width="12.1328125" style="393" hidden="1" customWidth="1"/>
    <col min="5131" max="5141" width="8.86328125" style="393" hidden="1" customWidth="1"/>
    <col min="5142" max="5376" width="8.86328125" style="393" hidden="1"/>
    <col min="5377" max="5377" width="32.73046875" style="393" hidden="1" customWidth="1"/>
    <col min="5378" max="5379" width="12.1328125" style="393" hidden="1" customWidth="1"/>
    <col min="5380" max="5380" width="12.86328125" style="393" hidden="1" customWidth="1"/>
    <col min="5381" max="5386" width="12.1328125" style="393" hidden="1" customWidth="1"/>
    <col min="5387" max="5397" width="8.86328125" style="393" hidden="1" customWidth="1"/>
    <col min="5398" max="5632" width="8.86328125" style="393" hidden="1"/>
    <col min="5633" max="5633" width="32.73046875" style="393" hidden="1" customWidth="1"/>
    <col min="5634" max="5635" width="12.1328125" style="393" hidden="1" customWidth="1"/>
    <col min="5636" max="5636" width="12.86328125" style="393" hidden="1" customWidth="1"/>
    <col min="5637" max="5642" width="12.1328125" style="393" hidden="1" customWidth="1"/>
    <col min="5643" max="5653" width="8.86328125" style="393" hidden="1" customWidth="1"/>
    <col min="5654" max="5888" width="8.86328125" style="393" hidden="1"/>
    <col min="5889" max="5889" width="32.73046875" style="393" hidden="1" customWidth="1"/>
    <col min="5890" max="5891" width="12.1328125" style="393" hidden="1" customWidth="1"/>
    <col min="5892" max="5892" width="12.86328125" style="393" hidden="1" customWidth="1"/>
    <col min="5893" max="5898" width="12.1328125" style="393" hidden="1" customWidth="1"/>
    <col min="5899" max="5909" width="8.86328125" style="393" hidden="1" customWidth="1"/>
    <col min="5910" max="6144" width="8.86328125" style="393" hidden="1"/>
    <col min="6145" max="6145" width="32.73046875" style="393" hidden="1" customWidth="1"/>
    <col min="6146" max="6147" width="12.1328125" style="393" hidden="1" customWidth="1"/>
    <col min="6148" max="6148" width="12.86328125" style="393" hidden="1" customWidth="1"/>
    <col min="6149" max="6154" width="12.1328125" style="393" hidden="1" customWidth="1"/>
    <col min="6155" max="6165" width="8.86328125" style="393" hidden="1" customWidth="1"/>
    <col min="6166" max="6400" width="8.86328125" style="393" hidden="1"/>
    <col min="6401" max="6401" width="32.73046875" style="393" hidden="1" customWidth="1"/>
    <col min="6402" max="6403" width="12.1328125" style="393" hidden="1" customWidth="1"/>
    <col min="6404" max="6404" width="12.86328125" style="393" hidden="1" customWidth="1"/>
    <col min="6405" max="6410" width="12.1328125" style="393" hidden="1" customWidth="1"/>
    <col min="6411" max="6421" width="8.86328125" style="393" hidden="1" customWidth="1"/>
    <col min="6422" max="6656" width="8.86328125" style="393" hidden="1"/>
    <col min="6657" max="6657" width="32.73046875" style="393" hidden="1" customWidth="1"/>
    <col min="6658" max="6659" width="12.1328125" style="393" hidden="1" customWidth="1"/>
    <col min="6660" max="6660" width="12.86328125" style="393" hidden="1" customWidth="1"/>
    <col min="6661" max="6666" width="12.1328125" style="393" hidden="1" customWidth="1"/>
    <col min="6667" max="6677" width="8.86328125" style="393" hidden="1" customWidth="1"/>
    <col min="6678" max="6912" width="8.86328125" style="393" hidden="1"/>
    <col min="6913" max="6913" width="32.73046875" style="393" hidden="1" customWidth="1"/>
    <col min="6914" max="6915" width="12.1328125" style="393" hidden="1" customWidth="1"/>
    <col min="6916" max="6916" width="12.86328125" style="393" hidden="1" customWidth="1"/>
    <col min="6917" max="6922" width="12.1328125" style="393" hidden="1" customWidth="1"/>
    <col min="6923" max="6933" width="8.86328125" style="393" hidden="1" customWidth="1"/>
    <col min="6934" max="7168" width="8.86328125" style="393" hidden="1"/>
    <col min="7169" max="7169" width="32.73046875" style="393" hidden="1" customWidth="1"/>
    <col min="7170" max="7171" width="12.1328125" style="393" hidden="1" customWidth="1"/>
    <col min="7172" max="7172" width="12.86328125" style="393" hidden="1" customWidth="1"/>
    <col min="7173" max="7178" width="12.1328125" style="393" hidden="1" customWidth="1"/>
    <col min="7179" max="7189" width="8.86328125" style="393" hidden="1" customWidth="1"/>
    <col min="7190" max="7424" width="8.86328125" style="393" hidden="1"/>
    <col min="7425" max="7425" width="32.73046875" style="393" hidden="1" customWidth="1"/>
    <col min="7426" max="7427" width="12.1328125" style="393" hidden="1" customWidth="1"/>
    <col min="7428" max="7428" width="12.86328125" style="393" hidden="1" customWidth="1"/>
    <col min="7429" max="7434" width="12.1328125" style="393" hidden="1" customWidth="1"/>
    <col min="7435" max="7445" width="8.86328125" style="393" hidden="1" customWidth="1"/>
    <col min="7446" max="7680" width="8.86328125" style="393" hidden="1"/>
    <col min="7681" max="7681" width="32.73046875" style="393" hidden="1" customWidth="1"/>
    <col min="7682" max="7683" width="12.1328125" style="393" hidden="1" customWidth="1"/>
    <col min="7684" max="7684" width="12.86328125" style="393" hidden="1" customWidth="1"/>
    <col min="7685" max="7690" width="12.1328125" style="393" hidden="1" customWidth="1"/>
    <col min="7691" max="7701" width="8.86328125" style="393" hidden="1" customWidth="1"/>
    <col min="7702" max="7936" width="8.86328125" style="393" hidden="1"/>
    <col min="7937" max="7937" width="32.73046875" style="393" hidden="1" customWidth="1"/>
    <col min="7938" max="7939" width="12.1328125" style="393" hidden="1" customWidth="1"/>
    <col min="7940" max="7940" width="12.86328125" style="393" hidden="1" customWidth="1"/>
    <col min="7941" max="7946" width="12.1328125" style="393" hidden="1" customWidth="1"/>
    <col min="7947" max="7957" width="8.86328125" style="393" hidden="1" customWidth="1"/>
    <col min="7958" max="8192" width="8.86328125" style="393" hidden="1"/>
    <col min="8193" max="8193" width="32.73046875" style="393" hidden="1" customWidth="1"/>
    <col min="8194" max="8195" width="12.1328125" style="393" hidden="1" customWidth="1"/>
    <col min="8196" max="8196" width="12.86328125" style="393" hidden="1" customWidth="1"/>
    <col min="8197" max="8202" width="12.1328125" style="393" hidden="1" customWidth="1"/>
    <col min="8203" max="8213" width="8.86328125" style="393" hidden="1" customWidth="1"/>
    <col min="8214" max="8448" width="8.86328125" style="393" hidden="1"/>
    <col min="8449" max="8449" width="32.73046875" style="393" hidden="1" customWidth="1"/>
    <col min="8450" max="8451" width="12.1328125" style="393" hidden="1" customWidth="1"/>
    <col min="8452" max="8452" width="12.86328125" style="393" hidden="1" customWidth="1"/>
    <col min="8453" max="8458" width="12.1328125" style="393" hidden="1" customWidth="1"/>
    <col min="8459" max="8469" width="8.86328125" style="393" hidden="1" customWidth="1"/>
    <col min="8470" max="8704" width="8.86328125" style="393" hidden="1"/>
    <col min="8705" max="8705" width="32.73046875" style="393" hidden="1" customWidth="1"/>
    <col min="8706" max="8707" width="12.1328125" style="393" hidden="1" customWidth="1"/>
    <col min="8708" max="8708" width="12.86328125" style="393" hidden="1" customWidth="1"/>
    <col min="8709" max="8714" width="12.1328125" style="393" hidden="1" customWidth="1"/>
    <col min="8715" max="8725" width="8.86328125" style="393" hidden="1" customWidth="1"/>
    <col min="8726" max="8960" width="8.86328125" style="393" hidden="1"/>
    <col min="8961" max="8961" width="32.73046875" style="393" hidden="1" customWidth="1"/>
    <col min="8962" max="8963" width="12.1328125" style="393" hidden="1" customWidth="1"/>
    <col min="8964" max="8964" width="12.86328125" style="393" hidden="1" customWidth="1"/>
    <col min="8965" max="8970" width="12.1328125" style="393" hidden="1" customWidth="1"/>
    <col min="8971" max="8981" width="8.86328125" style="393" hidden="1" customWidth="1"/>
    <col min="8982" max="9216" width="8.86328125" style="393" hidden="1"/>
    <col min="9217" max="9217" width="32.73046875" style="393" hidden="1" customWidth="1"/>
    <col min="9218" max="9219" width="12.1328125" style="393" hidden="1" customWidth="1"/>
    <col min="9220" max="9220" width="12.86328125" style="393" hidden="1" customWidth="1"/>
    <col min="9221" max="9226" width="12.1328125" style="393" hidden="1" customWidth="1"/>
    <col min="9227" max="9237" width="8.86328125" style="393" hidden="1" customWidth="1"/>
    <col min="9238" max="9472" width="8.86328125" style="393" hidden="1"/>
    <col min="9473" max="9473" width="32.73046875" style="393" hidden="1" customWidth="1"/>
    <col min="9474" max="9475" width="12.1328125" style="393" hidden="1" customWidth="1"/>
    <col min="9476" max="9476" width="12.86328125" style="393" hidden="1" customWidth="1"/>
    <col min="9477" max="9482" width="12.1328125" style="393" hidden="1" customWidth="1"/>
    <col min="9483" max="9493" width="8.86328125" style="393" hidden="1" customWidth="1"/>
    <col min="9494" max="9728" width="8.86328125" style="393" hidden="1"/>
    <col min="9729" max="9729" width="32.73046875" style="393" hidden="1" customWidth="1"/>
    <col min="9730" max="9731" width="12.1328125" style="393" hidden="1" customWidth="1"/>
    <col min="9732" max="9732" width="12.86328125" style="393" hidden="1" customWidth="1"/>
    <col min="9733" max="9738" width="12.1328125" style="393" hidden="1" customWidth="1"/>
    <col min="9739" max="9749" width="8.86328125" style="393" hidden="1" customWidth="1"/>
    <col min="9750" max="9984" width="8.86328125" style="393" hidden="1"/>
    <col min="9985" max="9985" width="32.73046875" style="393" hidden="1" customWidth="1"/>
    <col min="9986" max="9987" width="12.1328125" style="393" hidden="1" customWidth="1"/>
    <col min="9988" max="9988" width="12.86328125" style="393" hidden="1" customWidth="1"/>
    <col min="9989" max="9994" width="12.1328125" style="393" hidden="1" customWidth="1"/>
    <col min="9995" max="10005" width="8.86328125" style="393" hidden="1" customWidth="1"/>
    <col min="10006" max="10240" width="8.86328125" style="393" hidden="1"/>
    <col min="10241" max="10241" width="32.73046875" style="393" hidden="1" customWidth="1"/>
    <col min="10242" max="10243" width="12.1328125" style="393" hidden="1" customWidth="1"/>
    <col min="10244" max="10244" width="12.86328125" style="393" hidden="1" customWidth="1"/>
    <col min="10245" max="10250" width="12.1328125" style="393" hidden="1" customWidth="1"/>
    <col min="10251" max="10261" width="8.86328125" style="393" hidden="1" customWidth="1"/>
    <col min="10262" max="10496" width="8.86328125" style="393" hidden="1"/>
    <col min="10497" max="10497" width="32.73046875" style="393" hidden="1" customWidth="1"/>
    <col min="10498" max="10499" width="12.1328125" style="393" hidden="1" customWidth="1"/>
    <col min="10500" max="10500" width="12.86328125" style="393" hidden="1" customWidth="1"/>
    <col min="10501" max="10506" width="12.1328125" style="393" hidden="1" customWidth="1"/>
    <col min="10507" max="10517" width="8.86328125" style="393" hidden="1" customWidth="1"/>
    <col min="10518" max="10752" width="8.86328125" style="393" hidden="1"/>
    <col min="10753" max="10753" width="32.73046875" style="393" hidden="1" customWidth="1"/>
    <col min="10754" max="10755" width="12.1328125" style="393" hidden="1" customWidth="1"/>
    <col min="10756" max="10756" width="12.86328125" style="393" hidden="1" customWidth="1"/>
    <col min="10757" max="10762" width="12.1328125" style="393" hidden="1" customWidth="1"/>
    <col min="10763" max="10773" width="8.86328125" style="393" hidden="1" customWidth="1"/>
    <col min="10774" max="11008" width="8.86328125" style="393" hidden="1"/>
    <col min="11009" max="11009" width="32.73046875" style="393" hidden="1" customWidth="1"/>
    <col min="11010" max="11011" width="12.1328125" style="393" hidden="1" customWidth="1"/>
    <col min="11012" max="11012" width="12.86328125" style="393" hidden="1" customWidth="1"/>
    <col min="11013" max="11018" width="12.1328125" style="393" hidden="1" customWidth="1"/>
    <col min="11019" max="11029" width="8.86328125" style="393" hidden="1" customWidth="1"/>
    <col min="11030" max="11264" width="8.86328125" style="393" hidden="1"/>
    <col min="11265" max="11265" width="32.73046875" style="393" hidden="1" customWidth="1"/>
    <col min="11266" max="11267" width="12.1328125" style="393" hidden="1" customWidth="1"/>
    <col min="11268" max="11268" width="12.86328125" style="393" hidden="1" customWidth="1"/>
    <col min="11269" max="11274" width="12.1328125" style="393" hidden="1" customWidth="1"/>
    <col min="11275" max="11285" width="8.86328125" style="393" hidden="1" customWidth="1"/>
    <col min="11286" max="11520" width="8.86328125" style="393" hidden="1"/>
    <col min="11521" max="11521" width="32.73046875" style="393" hidden="1" customWidth="1"/>
    <col min="11522" max="11523" width="12.1328125" style="393" hidden="1" customWidth="1"/>
    <col min="11524" max="11524" width="12.86328125" style="393" hidden="1" customWidth="1"/>
    <col min="11525" max="11530" width="12.1328125" style="393" hidden="1" customWidth="1"/>
    <col min="11531" max="11541" width="8.86328125" style="393" hidden="1" customWidth="1"/>
    <col min="11542" max="11776" width="8.86328125" style="393" hidden="1"/>
    <col min="11777" max="11777" width="32.73046875" style="393" hidden="1" customWidth="1"/>
    <col min="11778" max="11779" width="12.1328125" style="393" hidden="1" customWidth="1"/>
    <col min="11780" max="11780" width="12.86328125" style="393" hidden="1" customWidth="1"/>
    <col min="11781" max="11786" width="12.1328125" style="393" hidden="1" customWidth="1"/>
    <col min="11787" max="11797" width="8.86328125" style="393" hidden="1" customWidth="1"/>
    <col min="11798" max="12032" width="8.86328125" style="393" hidden="1"/>
    <col min="12033" max="12033" width="32.73046875" style="393" hidden="1" customWidth="1"/>
    <col min="12034" max="12035" width="12.1328125" style="393" hidden="1" customWidth="1"/>
    <col min="12036" max="12036" width="12.86328125" style="393" hidden="1" customWidth="1"/>
    <col min="12037" max="12042" width="12.1328125" style="393" hidden="1" customWidth="1"/>
    <col min="12043" max="12053" width="8.86328125" style="393" hidden="1" customWidth="1"/>
    <col min="12054" max="12288" width="8.86328125" style="393" hidden="1"/>
    <col min="12289" max="12289" width="32.73046875" style="393" hidden="1" customWidth="1"/>
    <col min="12290" max="12291" width="12.1328125" style="393" hidden="1" customWidth="1"/>
    <col min="12292" max="12292" width="12.86328125" style="393" hidden="1" customWidth="1"/>
    <col min="12293" max="12298" width="12.1328125" style="393" hidden="1" customWidth="1"/>
    <col min="12299" max="12309" width="8.86328125" style="393" hidden="1" customWidth="1"/>
    <col min="12310" max="12544" width="8.86328125" style="393" hidden="1"/>
    <col min="12545" max="12545" width="32.73046875" style="393" hidden="1" customWidth="1"/>
    <col min="12546" max="12547" width="12.1328125" style="393" hidden="1" customWidth="1"/>
    <col min="12548" max="12548" width="12.86328125" style="393" hidden="1" customWidth="1"/>
    <col min="12549" max="12554" width="12.1328125" style="393" hidden="1" customWidth="1"/>
    <col min="12555" max="12565" width="8.86328125" style="393" hidden="1" customWidth="1"/>
    <col min="12566" max="12800" width="8.86328125" style="393" hidden="1"/>
    <col min="12801" max="12801" width="32.73046875" style="393" hidden="1" customWidth="1"/>
    <col min="12802" max="12803" width="12.1328125" style="393" hidden="1" customWidth="1"/>
    <col min="12804" max="12804" width="12.86328125" style="393" hidden="1" customWidth="1"/>
    <col min="12805" max="12810" width="12.1328125" style="393" hidden="1" customWidth="1"/>
    <col min="12811" max="12821" width="8.86328125" style="393" hidden="1" customWidth="1"/>
    <col min="12822" max="13056" width="8.86328125" style="393" hidden="1"/>
    <col min="13057" max="13057" width="32.73046875" style="393" hidden="1" customWidth="1"/>
    <col min="13058" max="13059" width="12.1328125" style="393" hidden="1" customWidth="1"/>
    <col min="13060" max="13060" width="12.86328125" style="393" hidden="1" customWidth="1"/>
    <col min="13061" max="13066" width="12.1328125" style="393" hidden="1" customWidth="1"/>
    <col min="13067" max="13077" width="8.86328125" style="393" hidden="1" customWidth="1"/>
    <col min="13078" max="13312" width="8.86328125" style="393" hidden="1"/>
    <col min="13313" max="13313" width="32.73046875" style="393" hidden="1" customWidth="1"/>
    <col min="13314" max="13315" width="12.1328125" style="393" hidden="1" customWidth="1"/>
    <col min="13316" max="13316" width="12.86328125" style="393" hidden="1" customWidth="1"/>
    <col min="13317" max="13322" width="12.1328125" style="393" hidden="1" customWidth="1"/>
    <col min="13323" max="13333" width="8.86328125" style="393" hidden="1" customWidth="1"/>
    <col min="13334" max="13568" width="8.86328125" style="393" hidden="1"/>
    <col min="13569" max="13569" width="32.73046875" style="393" hidden="1" customWidth="1"/>
    <col min="13570" max="13571" width="12.1328125" style="393" hidden="1" customWidth="1"/>
    <col min="13572" max="13572" width="12.86328125" style="393" hidden="1" customWidth="1"/>
    <col min="13573" max="13578" width="12.1328125" style="393" hidden="1" customWidth="1"/>
    <col min="13579" max="13589" width="8.86328125" style="393" hidden="1" customWidth="1"/>
    <col min="13590" max="13824" width="8.86328125" style="393" hidden="1"/>
    <col min="13825" max="13825" width="32.73046875" style="393" hidden="1" customWidth="1"/>
    <col min="13826" max="13827" width="12.1328125" style="393" hidden="1" customWidth="1"/>
    <col min="13828" max="13828" width="12.86328125" style="393" hidden="1" customWidth="1"/>
    <col min="13829" max="13834" width="12.1328125" style="393" hidden="1" customWidth="1"/>
    <col min="13835" max="13845" width="8.86328125" style="393" hidden="1" customWidth="1"/>
    <col min="13846" max="14080" width="8.86328125" style="393" hidden="1"/>
    <col min="14081" max="14081" width="32.73046875" style="393" hidden="1" customWidth="1"/>
    <col min="14082" max="14083" width="12.1328125" style="393" hidden="1" customWidth="1"/>
    <col min="14084" max="14084" width="12.86328125" style="393" hidden="1" customWidth="1"/>
    <col min="14085" max="14090" width="12.1328125" style="393" hidden="1" customWidth="1"/>
    <col min="14091" max="14101" width="8.86328125" style="393" hidden="1" customWidth="1"/>
    <col min="14102" max="14336" width="8.86328125" style="393" hidden="1"/>
    <col min="14337" max="14337" width="32.73046875" style="393" hidden="1" customWidth="1"/>
    <col min="14338" max="14339" width="12.1328125" style="393" hidden="1" customWidth="1"/>
    <col min="14340" max="14340" width="12.86328125" style="393" hidden="1" customWidth="1"/>
    <col min="14341" max="14346" width="12.1328125" style="393" hidden="1" customWidth="1"/>
    <col min="14347" max="14357" width="8.86328125" style="393" hidden="1" customWidth="1"/>
    <col min="14358" max="14592" width="8.86328125" style="393" hidden="1"/>
    <col min="14593" max="14593" width="32.73046875" style="393" hidden="1" customWidth="1"/>
    <col min="14594" max="14595" width="12.1328125" style="393" hidden="1" customWidth="1"/>
    <col min="14596" max="14596" width="12.86328125" style="393" hidden="1" customWidth="1"/>
    <col min="14597" max="14602" width="12.1328125" style="393" hidden="1" customWidth="1"/>
    <col min="14603" max="14613" width="8.86328125" style="393" hidden="1" customWidth="1"/>
    <col min="14614" max="14848" width="8.86328125" style="393" hidden="1"/>
    <col min="14849" max="14849" width="32.73046875" style="393" hidden="1" customWidth="1"/>
    <col min="14850" max="14851" width="12.1328125" style="393" hidden="1" customWidth="1"/>
    <col min="14852" max="14852" width="12.86328125" style="393" hidden="1" customWidth="1"/>
    <col min="14853" max="14858" width="12.1328125" style="393" hidden="1" customWidth="1"/>
    <col min="14859" max="14869" width="8.86328125" style="393" hidden="1" customWidth="1"/>
    <col min="14870" max="15104" width="8.86328125" style="393" hidden="1"/>
    <col min="15105" max="15105" width="32.73046875" style="393" hidden="1" customWidth="1"/>
    <col min="15106" max="15107" width="12.1328125" style="393" hidden="1" customWidth="1"/>
    <col min="15108" max="15108" width="12.86328125" style="393" hidden="1" customWidth="1"/>
    <col min="15109" max="15114" width="12.1328125" style="393" hidden="1" customWidth="1"/>
    <col min="15115" max="15125" width="8.86328125" style="393" hidden="1" customWidth="1"/>
    <col min="15126" max="15360" width="8.86328125" style="393" hidden="1"/>
    <col min="15361" max="15361" width="32.73046875" style="393" hidden="1" customWidth="1"/>
    <col min="15362" max="15363" width="12.1328125" style="393" hidden="1" customWidth="1"/>
    <col min="15364" max="15364" width="12.86328125" style="393" hidden="1" customWidth="1"/>
    <col min="15365" max="15370" width="12.1328125" style="393" hidden="1" customWidth="1"/>
    <col min="15371" max="15381" width="8.86328125" style="393" hidden="1" customWidth="1"/>
    <col min="15382" max="15616" width="8.86328125" style="393" hidden="1"/>
    <col min="15617" max="15617" width="32.73046875" style="393" hidden="1" customWidth="1"/>
    <col min="15618" max="15619" width="12.1328125" style="393" hidden="1" customWidth="1"/>
    <col min="15620" max="15620" width="12.86328125" style="393" hidden="1" customWidth="1"/>
    <col min="15621" max="15626" width="12.1328125" style="393" hidden="1" customWidth="1"/>
    <col min="15627" max="15637" width="8.86328125" style="393" hidden="1" customWidth="1"/>
    <col min="15638" max="15872" width="8.86328125" style="393" hidden="1"/>
    <col min="15873" max="15873" width="32.73046875" style="393" hidden="1" customWidth="1"/>
    <col min="15874" max="15875" width="12.1328125" style="393" hidden="1" customWidth="1"/>
    <col min="15876" max="15876" width="12.86328125" style="393" hidden="1" customWidth="1"/>
    <col min="15877" max="15882" width="12.1328125" style="393" hidden="1" customWidth="1"/>
    <col min="15883" max="15893" width="8.86328125" style="393" hidden="1" customWidth="1"/>
    <col min="15894" max="16128" width="8.86328125" style="393" hidden="1"/>
    <col min="16129" max="16129" width="32.73046875" style="393" hidden="1" customWidth="1"/>
    <col min="16130" max="16131" width="12.1328125" style="393" hidden="1" customWidth="1"/>
    <col min="16132" max="16132" width="12.86328125" style="393" hidden="1" customWidth="1"/>
    <col min="16133" max="16138" width="12.1328125" style="393" hidden="1" customWidth="1"/>
    <col min="16139" max="16149" width="8.86328125" style="393" hidden="1" customWidth="1"/>
    <col min="16150" max="16384" width="8.86328125" style="393" hidden="1"/>
  </cols>
  <sheetData>
    <row r="1" spans="1:11" s="356" customFormat="1" ht="13.15">
      <c r="A1" s="1873" t="s">
        <v>1227</v>
      </c>
      <c r="B1" s="1874"/>
      <c r="C1" s="1874"/>
      <c r="D1" s="1874"/>
      <c r="E1" s="1874"/>
      <c r="F1" s="1874"/>
      <c r="G1" s="1874"/>
      <c r="H1" s="1874"/>
      <c r="I1" s="1874"/>
      <c r="J1" s="1875"/>
      <c r="K1" s="355"/>
    </row>
    <row r="2" spans="1:11" s="401" customFormat="1" ht="69.75">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1650000</v>
      </c>
      <c r="C4" s="362">
        <f>B4</f>
        <v>1650000</v>
      </c>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1650000</v>
      </c>
      <c r="C8" s="361">
        <f>SUM(C4:C7)</f>
        <v>1650000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130000</v>
      </c>
      <c r="C10" s="362">
        <f>B10</f>
        <v>130000</v>
      </c>
      <c r="D10" s="362"/>
      <c r="E10" s="361">
        <f>'Sources and Uses Budget'!S10</f>
        <v>130000</v>
      </c>
      <c r="F10" s="362">
        <f>E10</f>
        <v>130000</v>
      </c>
      <c r="G10" s="362"/>
      <c r="H10" s="361">
        <f>'Sources and Uses Budget'!T10</f>
        <v>0</v>
      </c>
      <c r="I10" s="362"/>
      <c r="J10" s="362"/>
      <c r="K10" s="359"/>
    </row>
    <row r="11" spans="1:11" s="360" customFormat="1">
      <c r="A11" s="365" t="s">
        <v>596</v>
      </c>
      <c r="B11" s="361">
        <f>'Sources and Uses Budget'!C11</f>
        <v>130000</v>
      </c>
      <c r="C11" s="361">
        <f>SUM(C9:C10)</f>
        <v>130000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1780000</v>
      </c>
      <c r="C12" s="361">
        <f>SUM(C8+C11)</f>
        <v>1780000</v>
      </c>
      <c r="D12" s="361">
        <f>SUM(D8+D11)</f>
        <v>0</v>
      </c>
      <c r="E12" s="363"/>
      <c r="F12" s="363"/>
      <c r="G12" s="363"/>
      <c r="H12" s="363"/>
      <c r="I12" s="363"/>
      <c r="J12" s="363"/>
      <c r="K12" s="359"/>
    </row>
    <row r="13" spans="1:11" s="360" customFormat="1">
      <c r="A13" s="366" t="s">
        <v>902</v>
      </c>
      <c r="B13" s="361">
        <f>'Sources and Uses Budget'!C13</f>
        <v>29000</v>
      </c>
      <c r="C13" s="362">
        <f>B13</f>
        <v>29000</v>
      </c>
      <c r="D13" s="362"/>
      <c r="E13" s="361">
        <f>'Sources and Uses Budget'!S13</f>
        <v>0</v>
      </c>
      <c r="F13" s="362"/>
      <c r="G13" s="362"/>
      <c r="H13" s="361">
        <f>'Sources and Uses Budget'!T13</f>
        <v>0</v>
      </c>
      <c r="I13" s="362"/>
      <c r="J13" s="362"/>
      <c r="K13" s="359"/>
    </row>
    <row r="14" spans="1:11" s="360" customFormat="1" ht="23.25">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1400000</v>
      </c>
      <c r="C29" s="362">
        <f>B29</f>
        <v>1400000</v>
      </c>
      <c r="D29" s="362"/>
      <c r="E29" s="361">
        <f>'Sources and Uses Budget'!S29</f>
        <v>1400000</v>
      </c>
      <c r="F29" s="362">
        <f>E29</f>
        <v>1400000</v>
      </c>
      <c r="G29" s="362"/>
      <c r="H29" s="361">
        <f>'Sources and Uses Budget'!T29</f>
        <v>0</v>
      </c>
      <c r="I29" s="362"/>
      <c r="J29" s="362"/>
      <c r="K29" s="359"/>
    </row>
    <row r="30" spans="1:11" s="360" customFormat="1">
      <c r="A30" s="145" t="s">
        <v>599</v>
      </c>
      <c r="B30" s="361">
        <f>'Sources and Uses Budget'!C30</f>
        <v>23684587</v>
      </c>
      <c r="C30" s="362">
        <f>B30</f>
        <v>23684587</v>
      </c>
      <c r="D30" s="362"/>
      <c r="E30" s="361">
        <f>'Sources and Uses Budget'!S30</f>
        <v>23684587</v>
      </c>
      <c r="F30" s="362">
        <f>E30</f>
        <v>23684587</v>
      </c>
      <c r="G30" s="362"/>
      <c r="H30" s="361">
        <f>'Sources and Uses Budget'!T30</f>
        <v>0</v>
      </c>
      <c r="I30" s="362"/>
      <c r="J30" s="362"/>
      <c r="K30" s="359"/>
    </row>
    <row r="31" spans="1:11" s="360" customFormat="1">
      <c r="A31" s="145" t="s">
        <v>600</v>
      </c>
      <c r="B31" s="361">
        <f>'Sources and Uses Budget'!C31</f>
        <v>1958415</v>
      </c>
      <c r="C31" s="362">
        <f>B31</f>
        <v>1958415</v>
      </c>
      <c r="D31" s="362"/>
      <c r="E31" s="361">
        <f>'Sources and Uses Budget'!S31</f>
        <v>1958415</v>
      </c>
      <c r="F31" s="362">
        <f>E31</f>
        <v>1958415</v>
      </c>
      <c r="G31" s="362"/>
      <c r="H31" s="361">
        <f>'Sources and Uses Budget'!T31</f>
        <v>0</v>
      </c>
      <c r="I31" s="362"/>
      <c r="J31" s="362"/>
      <c r="K31" s="359"/>
    </row>
    <row r="32" spans="1:11" s="360" customFormat="1">
      <c r="A32" s="145" t="s">
        <v>137</v>
      </c>
      <c r="B32" s="361">
        <f>'Sources and Uses Budget'!C32</f>
        <v>734405</v>
      </c>
      <c r="C32" s="362">
        <f>B32</f>
        <v>734405</v>
      </c>
      <c r="D32" s="362"/>
      <c r="E32" s="361">
        <f>'Sources and Uses Budget'!S32</f>
        <v>734405</v>
      </c>
      <c r="F32" s="362">
        <f>E32</f>
        <v>734405</v>
      </c>
      <c r="G32" s="362"/>
      <c r="H32" s="361">
        <f>'Sources and Uses Budget'!T32</f>
        <v>0</v>
      </c>
      <c r="I32" s="362"/>
      <c r="J32" s="362"/>
      <c r="K32" s="359"/>
    </row>
    <row r="33" spans="1:11" s="360" customFormat="1">
      <c r="A33" s="145" t="s">
        <v>138</v>
      </c>
      <c r="B33" s="361">
        <f>'Sources and Uses Budget'!C33</f>
        <v>734405</v>
      </c>
      <c r="C33" s="362">
        <f>B33</f>
        <v>734405</v>
      </c>
      <c r="D33" s="362"/>
      <c r="E33" s="361">
        <f>'Sources and Uses Budget'!S33</f>
        <v>734405</v>
      </c>
      <c r="F33" s="362">
        <f>E33</f>
        <v>734405</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269282</v>
      </c>
      <c r="C35" s="362">
        <f>B35</f>
        <v>269282</v>
      </c>
      <c r="D35" s="362"/>
      <c r="E35" s="361">
        <f>'Sources and Uses Budget'!S35</f>
        <v>269282</v>
      </c>
      <c r="F35" s="362">
        <f>E35</f>
        <v>269282</v>
      </c>
      <c r="G35" s="362"/>
      <c r="H35" s="361">
        <f>'Sources and Uses Budget'!T35</f>
        <v>0</v>
      </c>
      <c r="I35" s="362"/>
      <c r="J35" s="362"/>
      <c r="K35" s="359"/>
    </row>
    <row r="36" spans="1:11" s="360" customFormat="1">
      <c r="A36" s="508" t="s">
        <v>1640</v>
      </c>
      <c r="B36" s="361">
        <f>'Sources and Uses Budget'!C36</f>
        <v>200000</v>
      </c>
      <c r="C36" s="362">
        <f>B36</f>
        <v>200000</v>
      </c>
      <c r="D36" s="362"/>
      <c r="E36" s="361">
        <f>'Sources and Uses Budget'!S36</f>
        <v>200000</v>
      </c>
      <c r="F36" s="362">
        <f>E36</f>
        <v>200000</v>
      </c>
      <c r="G36" s="362"/>
      <c r="H36" s="361">
        <f>'Sources and Uses Budget'!T36</f>
        <v>0</v>
      </c>
      <c r="I36" s="362"/>
      <c r="J36" s="362"/>
      <c r="K36" s="359"/>
    </row>
    <row r="37" spans="1:11" s="360" customFormat="1">
      <c r="A37" s="364" t="str">
        <f>'Sources and Uses Budget'!$A37</f>
        <v>Other: Performance and Payment Bond</v>
      </c>
      <c r="B37" s="361">
        <f>'Sources and Uses Budget'!C37</f>
        <v>269282</v>
      </c>
      <c r="C37" s="362">
        <f>B37</f>
        <v>269282</v>
      </c>
      <c r="D37" s="362"/>
      <c r="E37" s="361">
        <f>'Sources and Uses Budget'!S37</f>
        <v>269282</v>
      </c>
      <c r="F37" s="362">
        <f>E37</f>
        <v>269282</v>
      </c>
      <c r="G37" s="362"/>
      <c r="H37" s="361">
        <f>'Sources and Uses Budget'!T37</f>
        <v>0</v>
      </c>
      <c r="I37" s="362"/>
      <c r="J37" s="362"/>
      <c r="K37" s="359"/>
    </row>
    <row r="38" spans="1:11" s="360" customFormat="1">
      <c r="A38" s="365" t="s">
        <v>143</v>
      </c>
      <c r="B38" s="361">
        <f>'Sources and Uses Budget'!C38</f>
        <v>29250376</v>
      </c>
      <c r="C38" s="361">
        <f>SUM(C29:C37)</f>
        <v>29250376</v>
      </c>
      <c r="D38" s="361">
        <f>SUM(D29:D37)</f>
        <v>0</v>
      </c>
      <c r="E38" s="361">
        <f>'Sources and Uses Budget'!S38</f>
        <v>29250376</v>
      </c>
      <c r="F38" s="367">
        <f>SUM(F29:F37)</f>
        <v>29250376</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1389980</v>
      </c>
      <c r="C40" s="362">
        <f>B40</f>
        <v>1389980</v>
      </c>
      <c r="D40" s="362"/>
      <c r="E40" s="361">
        <f>'Sources and Uses Budget'!S40</f>
        <v>1389980</v>
      </c>
      <c r="F40" s="362">
        <f>E40</f>
        <v>1389980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1389980</v>
      </c>
      <c r="C42" s="361">
        <f>SUM(C39:C41)</f>
        <v>1389980</v>
      </c>
      <c r="D42" s="361">
        <f>SUM(D39:D41)</f>
        <v>0</v>
      </c>
      <c r="E42" s="361">
        <f>'Sources and Uses Budget'!S42</f>
        <v>1389980</v>
      </c>
      <c r="F42" s="367">
        <f>SUM(F40:F41)</f>
        <v>1389980</v>
      </c>
      <c r="G42" s="367">
        <f>SUM(G40:G41)</f>
        <v>0</v>
      </c>
      <c r="H42" s="361">
        <f>'Sources and Uses Budget'!T42</f>
        <v>0</v>
      </c>
      <c r="I42" s="367">
        <f>SUM(I40:I41)</f>
        <v>0</v>
      </c>
      <c r="J42" s="367">
        <f>SUM(J40:J41)</f>
        <v>0</v>
      </c>
      <c r="K42" s="359"/>
    </row>
    <row r="43" spans="1:11" s="360" customFormat="1">
      <c r="A43" s="365" t="s">
        <v>148</v>
      </c>
      <c r="B43" s="361">
        <f>'Sources and Uses Budget'!C43</f>
        <v>209500</v>
      </c>
      <c r="C43" s="362">
        <f>B43</f>
        <v>209500</v>
      </c>
      <c r="D43" s="362"/>
      <c r="E43" s="361">
        <f>'Sources and Uses Budget'!S43</f>
        <v>209500</v>
      </c>
      <c r="F43" s="362">
        <f>E43</f>
        <v>209500</v>
      </c>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2800000</v>
      </c>
      <c r="C45" s="362">
        <f>B45</f>
        <v>2800000</v>
      </c>
      <c r="D45" s="362"/>
      <c r="E45" s="361">
        <f>'Sources and Uses Budget'!S45</f>
        <v>923141</v>
      </c>
      <c r="F45" s="362">
        <f>E45</f>
        <v>923141</v>
      </c>
      <c r="G45" s="362"/>
      <c r="H45" s="361">
        <f>'Sources and Uses Budget'!T45</f>
        <v>0</v>
      </c>
      <c r="I45" s="362"/>
      <c r="J45" s="362"/>
      <c r="K45" s="359"/>
    </row>
    <row r="46" spans="1:11" s="360" customFormat="1">
      <c r="A46" s="364" t="s">
        <v>151</v>
      </c>
      <c r="B46" s="361">
        <f>'Sources and Uses Budget'!C46</f>
        <v>320000</v>
      </c>
      <c r="C46" s="362">
        <f>B46</f>
        <v>320000</v>
      </c>
      <c r="D46" s="362"/>
      <c r="E46" s="361">
        <f>'Sources and Uses Budget'!S46</f>
        <v>320000</v>
      </c>
      <c r="F46" s="362">
        <f>E46</f>
        <v>320000</v>
      </c>
      <c r="G46" s="362"/>
      <c r="H46" s="361">
        <f>'Sources and Uses Budget'!T46</f>
        <v>0</v>
      </c>
      <c r="I46" s="362"/>
      <c r="J46" s="362"/>
      <c r="K46" s="359"/>
    </row>
    <row r="47" spans="1:11" s="360" customFormat="1" ht="12" customHeight="1">
      <c r="A47" s="364" t="s">
        <v>152</v>
      </c>
      <c r="B47" s="361">
        <f>'Sources and Uses Budget'!C47</f>
        <v>60500</v>
      </c>
      <c r="C47" s="362">
        <f>B47</f>
        <v>60500</v>
      </c>
      <c r="D47" s="362"/>
      <c r="E47" s="361">
        <f>'Sources and Uses Budget'!S47</f>
        <v>60500</v>
      </c>
      <c r="F47" s="362">
        <f>E47</f>
        <v>60500</v>
      </c>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156590</v>
      </c>
      <c r="C49" s="362">
        <f>B49</f>
        <v>156590</v>
      </c>
      <c r="D49" s="362"/>
      <c r="E49" s="361">
        <f>'Sources and Uses Budget'!S49</f>
        <v>0</v>
      </c>
      <c r="F49" s="362"/>
      <c r="G49" s="362"/>
      <c r="H49" s="361">
        <f>'Sources and Uses Budget'!T49</f>
        <v>0</v>
      </c>
      <c r="I49" s="362"/>
      <c r="J49" s="362"/>
      <c r="K49" s="359"/>
    </row>
    <row r="50" spans="1:11" s="360" customFormat="1">
      <c r="A50" s="364" t="s">
        <v>156</v>
      </c>
      <c r="B50" s="361">
        <f>'Sources and Uses Budget'!C50</f>
        <v>65000</v>
      </c>
      <c r="C50" s="362">
        <f>B50</f>
        <v>65000</v>
      </c>
      <c r="D50" s="362"/>
      <c r="E50" s="361">
        <f>'Sources and Uses Budget'!S50</f>
        <v>65000</v>
      </c>
      <c r="F50" s="362">
        <f>E50</f>
        <v>65000</v>
      </c>
      <c r="G50" s="362"/>
      <c r="H50" s="361">
        <f>'Sources and Uses Budget'!T50</f>
        <v>0</v>
      </c>
      <c r="I50" s="362"/>
      <c r="J50" s="362"/>
      <c r="K50" s="359"/>
    </row>
    <row r="51" spans="1:11" s="360" customFormat="1">
      <c r="A51" s="364" t="s">
        <v>154</v>
      </c>
      <c r="B51" s="361">
        <f>'Sources and Uses Budget'!C51</f>
        <v>40000</v>
      </c>
      <c r="C51" s="362">
        <f>B51</f>
        <v>40000</v>
      </c>
      <c r="D51" s="362"/>
      <c r="E51" s="361">
        <f>'Sources and Uses Budget'!S51</f>
        <v>20000</v>
      </c>
      <c r="F51" s="362">
        <f>E51</f>
        <v>20000</v>
      </c>
      <c r="G51" s="362"/>
      <c r="H51" s="361">
        <f>'Sources and Uses Budget'!T51</f>
        <v>0</v>
      </c>
      <c r="I51" s="362"/>
      <c r="J51" s="362"/>
      <c r="K51" s="359"/>
    </row>
    <row r="52" spans="1:11" s="360" customFormat="1">
      <c r="A52" s="364" t="s">
        <v>155</v>
      </c>
      <c r="B52" s="361">
        <f>'Sources and Uses Budget'!C52</f>
        <v>422000</v>
      </c>
      <c r="C52" s="362">
        <f>B52</f>
        <v>422000</v>
      </c>
      <c r="D52" s="362"/>
      <c r="E52" s="361">
        <f>'Sources and Uses Budget'!S52</f>
        <v>330000</v>
      </c>
      <c r="F52" s="362">
        <f>E52</f>
        <v>330000</v>
      </c>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3864090</v>
      </c>
      <c r="C54" s="367">
        <f>SUM(C45:C53)</f>
        <v>3864090</v>
      </c>
      <c r="D54" s="367">
        <f>SUM(D45:D53)</f>
        <v>0</v>
      </c>
      <c r="E54" s="361">
        <f>'Sources and Uses Budget'!S54</f>
        <v>1718641</v>
      </c>
      <c r="F54" s="367">
        <f>SUM(F45:F53)</f>
        <v>1718641</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12500</v>
      </c>
      <c r="C57" s="362">
        <f>B57</f>
        <v>12500</v>
      </c>
      <c r="D57" s="362"/>
      <c r="E57" s="363"/>
      <c r="F57" s="363"/>
      <c r="G57" s="363"/>
      <c r="H57" s="363"/>
      <c r="I57" s="363"/>
      <c r="J57" s="363"/>
      <c r="K57" s="359"/>
    </row>
    <row r="58" spans="1:11" s="360" customFormat="1">
      <c r="A58" s="364" t="s">
        <v>156</v>
      </c>
      <c r="B58" s="361">
        <f>'Sources and Uses Budget'!C58</f>
        <v>30000</v>
      </c>
      <c r="C58" s="362">
        <f>B58</f>
        <v>30000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42500</v>
      </c>
      <c r="C62" s="361">
        <f>SUM(C56:C61)</f>
        <v>42500</v>
      </c>
      <c r="D62" s="361">
        <f>SUM(D56:D61)</f>
        <v>0</v>
      </c>
      <c r="E62" s="363"/>
      <c r="F62" s="363"/>
      <c r="G62" s="363"/>
      <c r="H62" s="363"/>
      <c r="I62" s="363"/>
      <c r="J62" s="363"/>
      <c r="K62" s="359"/>
    </row>
    <row r="63" spans="1:11" s="360" customFormat="1">
      <c r="A63" s="370" t="s">
        <v>301</v>
      </c>
      <c r="B63" s="361">
        <f>'Sources and Uses Budget'!C63</f>
        <v>36565446</v>
      </c>
      <c r="C63" s="361">
        <f>SUM(C8+C11+C13+C14+C15+C26+C27+C38+C42+C43+C54+C62)</f>
        <v>36565446</v>
      </c>
      <c r="D63" s="361">
        <f>SUM(D8+D11+D13+D14+D15+D26+D27+D38+D42+D43+D54+D62)</f>
        <v>0</v>
      </c>
      <c r="E63" s="361">
        <f>'Sources and Uses Budget'!S63</f>
        <v>32698497</v>
      </c>
      <c r="F63" s="361">
        <f>SUM(F10+F13+F14+F15+F26+F27+F38+F42+F43+F54)</f>
        <v>32698497</v>
      </c>
      <c r="G63" s="361">
        <f>SUM(G10+G13+G14+G15+G26+G27+G38+G42+G43+G54)</f>
        <v>0</v>
      </c>
      <c r="H63" s="361">
        <f>'Sources and Uses Budget'!T63</f>
        <v>0</v>
      </c>
      <c r="I63" s="361">
        <f>SUM(I11+I13+I14+I15+I26+I27+I38+I42+I43+I54)</f>
        <v>0</v>
      </c>
      <c r="J63" s="361">
        <f>SUM(J11+J13+J14+J15+J26+J27+J38+J42+J43+J54)</f>
        <v>0</v>
      </c>
      <c r="K63" s="359"/>
    </row>
    <row r="64" spans="1:11" s="360" customFormat="1" ht="23.25">
      <c r="A64" s="141" t="s">
        <v>1644</v>
      </c>
      <c r="B64" s="358"/>
      <c r="C64" s="358"/>
      <c r="D64" s="358"/>
      <c r="E64" s="358"/>
      <c r="F64" s="358"/>
      <c r="G64" s="358"/>
      <c r="H64" s="358"/>
      <c r="I64" s="358"/>
      <c r="J64" s="358"/>
      <c r="K64" s="359"/>
    </row>
    <row r="65" spans="1:11" s="360" customFormat="1">
      <c r="A65" s="145" t="s">
        <v>170</v>
      </c>
      <c r="B65" s="361">
        <f>'Sources and Uses Budget'!C65</f>
        <v>95000</v>
      </c>
      <c r="C65" s="362">
        <f>B65</f>
        <v>95000</v>
      </c>
      <c r="D65" s="362"/>
      <c r="E65" s="361">
        <f>'Sources and Uses Budget'!S65</f>
        <v>90000</v>
      </c>
      <c r="F65" s="362">
        <f>E65</f>
        <v>90000</v>
      </c>
      <c r="G65" s="362"/>
      <c r="H65" s="361">
        <f>'Sources and Uses Budget'!T65</f>
        <v>0</v>
      </c>
      <c r="I65" s="362"/>
      <c r="J65" s="362"/>
      <c r="K65" s="359"/>
    </row>
    <row r="66" spans="1:11" s="360" customFormat="1" ht="23.25">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3.25">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Owner/Developer Legal</v>
      </c>
      <c r="B69" s="361">
        <f>'Sources and Uses Budget'!C69</f>
        <v>109100</v>
      </c>
      <c r="C69" s="362">
        <f>B69</f>
        <v>109100</v>
      </c>
      <c r="D69" s="362"/>
      <c r="E69" s="361">
        <f>'Sources and Uses Budget'!S69</f>
        <v>78000</v>
      </c>
      <c r="F69" s="362">
        <f>E69</f>
        <v>78000</v>
      </c>
      <c r="G69" s="362"/>
      <c r="H69" s="361">
        <f>'Sources and Uses Budget'!T69</f>
        <v>0</v>
      </c>
      <c r="I69" s="362"/>
      <c r="J69" s="362"/>
      <c r="K69" s="359"/>
    </row>
    <row r="70" spans="1:11" s="360" customFormat="1">
      <c r="A70" s="365" t="s">
        <v>601</v>
      </c>
      <c r="B70" s="361">
        <f>'Sources and Uses Budget'!C70</f>
        <v>204100</v>
      </c>
      <c r="C70" s="361">
        <f>SUM(C64:C69)</f>
        <v>204100</v>
      </c>
      <c r="D70" s="361">
        <f>SUM(D64:D69)</f>
        <v>0</v>
      </c>
      <c r="E70" s="361">
        <f>'Sources and Uses Budget'!S70</f>
        <v>168000</v>
      </c>
      <c r="F70" s="367">
        <f>SUM(F65:F69)</f>
        <v>168000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807271</v>
      </c>
      <c r="C75" s="362">
        <f>B75</f>
        <v>807271</v>
      </c>
      <c r="D75" s="362"/>
      <c r="E75" s="363"/>
      <c r="F75" s="363"/>
      <c r="G75" s="363"/>
      <c r="H75" s="363"/>
      <c r="I75" s="363"/>
      <c r="J75" s="363"/>
      <c r="K75" s="359"/>
    </row>
    <row r="76" spans="1:11" s="360" customFormat="1">
      <c r="A76" s="364" t="str">
        <f>'Sources and Uses Budget'!$A76</f>
        <v>Other: Replacement Reserve</v>
      </c>
      <c r="B76" s="361">
        <f>'Sources and Uses Budget'!C76</f>
        <v>24300</v>
      </c>
      <c r="C76" s="362">
        <f>B76</f>
        <v>24300</v>
      </c>
      <c r="D76" s="362"/>
      <c r="E76" s="363"/>
      <c r="F76" s="363"/>
      <c r="G76" s="363"/>
      <c r="H76" s="363"/>
      <c r="I76" s="363"/>
      <c r="J76" s="363"/>
      <c r="K76" s="359"/>
    </row>
    <row r="77" spans="1:11" s="360" customFormat="1">
      <c r="A77" s="365" t="s">
        <v>606</v>
      </c>
      <c r="B77" s="361">
        <f>'Sources and Uses Budget'!C77</f>
        <v>831571</v>
      </c>
      <c r="C77" s="361">
        <f>SUM(C72:C76)</f>
        <v>831571</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1459019</v>
      </c>
      <c r="C79" s="362">
        <f>B79</f>
        <v>1459019</v>
      </c>
      <c r="D79" s="362"/>
      <c r="E79" s="361">
        <f>'Sources and Uses Budget'!S79</f>
        <v>1459019</v>
      </c>
      <c r="F79" s="362">
        <f>E79</f>
        <v>1459019</v>
      </c>
      <c r="G79" s="362"/>
      <c r="H79" s="361">
        <f>'Sources and Uses Budget'!T79</f>
        <v>0</v>
      </c>
      <c r="I79" s="362"/>
      <c r="J79" s="362"/>
      <c r="K79" s="359"/>
    </row>
    <row r="80" spans="1:11" s="360" customFormat="1">
      <c r="A80" s="364" t="s">
        <v>58</v>
      </c>
      <c r="B80" s="361">
        <f>'Sources and Uses Budget'!C80</f>
        <v>356578</v>
      </c>
      <c r="C80" s="362">
        <f>B80</f>
        <v>356578</v>
      </c>
      <c r="D80" s="362"/>
      <c r="E80" s="361">
        <f>'Sources and Uses Budget'!S80</f>
        <v>249605</v>
      </c>
      <c r="F80" s="362">
        <f>E80</f>
        <v>249605</v>
      </c>
      <c r="G80" s="362"/>
      <c r="H80" s="361">
        <f>'Sources and Uses Budget'!T80</f>
        <v>0</v>
      </c>
      <c r="I80" s="362"/>
      <c r="J80" s="362"/>
      <c r="K80" s="359"/>
    </row>
    <row r="81" spans="1:11" s="360" customFormat="1">
      <c r="A81" s="365" t="s">
        <v>1209</v>
      </c>
      <c r="B81" s="361">
        <f>'Sources and Uses Budget'!C81</f>
        <v>1815597</v>
      </c>
      <c r="C81" s="361">
        <f>SUM(C79:C80)</f>
        <v>1815597</v>
      </c>
      <c r="D81" s="361">
        <f>SUM(D79:D80)</f>
        <v>0</v>
      </c>
      <c r="E81" s="361">
        <f>'Sources and Uses Budget'!S81</f>
        <v>1708624</v>
      </c>
      <c r="F81" s="361">
        <f>SUM(F79:F80)</f>
        <v>1708624</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81400</v>
      </c>
      <c r="C83" s="362">
        <f>B83</f>
        <v>81400</v>
      </c>
      <c r="D83" s="362"/>
      <c r="E83" s="363"/>
      <c r="F83" s="363"/>
      <c r="G83" s="363"/>
      <c r="H83" s="363"/>
      <c r="I83" s="363"/>
      <c r="J83" s="363"/>
      <c r="K83" s="359"/>
    </row>
    <row r="84" spans="1:11" s="360" customFormat="1">
      <c r="A84" s="145" t="s">
        <v>767</v>
      </c>
      <c r="B84" s="361">
        <f>'Sources and Uses Budget'!C84</f>
        <v>4600</v>
      </c>
      <c r="C84" s="362">
        <f>B84</f>
        <v>4600</v>
      </c>
      <c r="D84" s="362"/>
      <c r="E84" s="361">
        <f>'Sources and Uses Budget'!S84</f>
        <v>4600</v>
      </c>
      <c r="F84" s="362">
        <f>E84</f>
        <v>4600</v>
      </c>
      <c r="G84" s="362"/>
      <c r="H84" s="361">
        <f>'Sources and Uses Budget'!T84</f>
        <v>0</v>
      </c>
      <c r="I84" s="362"/>
      <c r="J84" s="362"/>
      <c r="K84" s="359"/>
    </row>
    <row r="85" spans="1:11" s="360" customFormat="1">
      <c r="A85" s="145" t="s">
        <v>768</v>
      </c>
      <c r="B85" s="361">
        <f>'Sources and Uses Budget'!C85</f>
        <v>2822232</v>
      </c>
      <c r="C85" s="362">
        <f>B85</f>
        <v>2822232</v>
      </c>
      <c r="D85" s="362"/>
      <c r="E85" s="361">
        <f>'Sources and Uses Budget'!S85</f>
        <v>2822232</v>
      </c>
      <c r="F85" s="362">
        <f>E85</f>
        <v>2822232</v>
      </c>
      <c r="G85" s="362"/>
      <c r="H85" s="361">
        <f>'Sources and Uses Budget'!T85</f>
        <v>0</v>
      </c>
      <c r="I85" s="362"/>
      <c r="J85" s="362"/>
      <c r="K85" s="359"/>
    </row>
    <row r="86" spans="1:11" s="360" customFormat="1">
      <c r="A86" s="145" t="s">
        <v>769</v>
      </c>
      <c r="B86" s="361">
        <f>'Sources and Uses Budget'!C86</f>
        <v>216111</v>
      </c>
      <c r="C86" s="362">
        <f>B86</f>
        <v>216111</v>
      </c>
      <c r="D86" s="362"/>
      <c r="E86" s="361">
        <f>'Sources and Uses Budget'!S86</f>
        <v>216111</v>
      </c>
      <c r="F86" s="362">
        <f>E86</f>
        <v>216111</v>
      </c>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209500</v>
      </c>
      <c r="C88" s="362">
        <f t="shared" ref="C88:C94" si="0">B88</f>
        <v>209500</v>
      </c>
      <c r="D88" s="362"/>
      <c r="E88" s="363"/>
      <c r="F88" s="363"/>
      <c r="G88" s="363"/>
      <c r="H88" s="363"/>
      <c r="I88" s="363"/>
      <c r="J88" s="363"/>
      <c r="K88" s="359"/>
    </row>
    <row r="89" spans="1:11" s="360" customFormat="1">
      <c r="A89" s="145" t="s">
        <v>772</v>
      </c>
      <c r="B89" s="361">
        <f>'Sources and Uses Budget'!C89</f>
        <v>364200</v>
      </c>
      <c r="C89" s="362">
        <f t="shared" si="0"/>
        <v>364200</v>
      </c>
      <c r="D89" s="362"/>
      <c r="E89" s="361">
        <f>'Sources and Uses Budget'!S89</f>
        <v>364200</v>
      </c>
      <c r="F89" s="362">
        <f>E89</f>
        <v>364200</v>
      </c>
      <c r="G89" s="362"/>
      <c r="H89" s="361">
        <f>'Sources and Uses Budget'!T89</f>
        <v>0</v>
      </c>
      <c r="I89" s="362"/>
      <c r="J89" s="362"/>
      <c r="K89" s="359"/>
    </row>
    <row r="90" spans="1:11" s="360" customFormat="1">
      <c r="A90" s="145" t="s">
        <v>773</v>
      </c>
      <c r="B90" s="361">
        <f>'Sources and Uses Budget'!C90</f>
        <v>14500</v>
      </c>
      <c r="C90" s="362">
        <f t="shared" si="0"/>
        <v>14500</v>
      </c>
      <c r="D90" s="362"/>
      <c r="E90" s="361">
        <f>'Sources and Uses Budget'!S90</f>
        <v>14500</v>
      </c>
      <c r="F90" s="362">
        <f>E90</f>
        <v>14500</v>
      </c>
      <c r="G90" s="362"/>
      <c r="H90" s="361">
        <f>'Sources and Uses Budget'!T90</f>
        <v>0</v>
      </c>
      <c r="I90" s="362"/>
      <c r="J90" s="362"/>
      <c r="K90" s="359"/>
    </row>
    <row r="91" spans="1:11" s="360" customFormat="1">
      <c r="A91" s="155" t="s">
        <v>371</v>
      </c>
      <c r="B91" s="361">
        <f>'Sources and Uses Budget'!C91</f>
        <v>35500</v>
      </c>
      <c r="C91" s="362">
        <f t="shared" si="0"/>
        <v>35500</v>
      </c>
      <c r="D91" s="362"/>
      <c r="E91" s="361">
        <f>'Sources and Uses Budget'!S91</f>
        <v>35500</v>
      </c>
      <c r="F91" s="362">
        <f>E91</f>
        <v>35500</v>
      </c>
      <c r="G91" s="362"/>
      <c r="H91" s="361">
        <f>'Sources and Uses Budget'!T91</f>
        <v>0</v>
      </c>
      <c r="I91" s="362"/>
      <c r="J91" s="362"/>
      <c r="K91" s="359"/>
    </row>
    <row r="92" spans="1:11" s="360" customFormat="1">
      <c r="A92" s="508" t="s">
        <v>1211</v>
      </c>
      <c r="B92" s="361">
        <f>'Sources and Uses Budget'!C92</f>
        <v>4500</v>
      </c>
      <c r="C92" s="362">
        <f t="shared" si="0"/>
        <v>4500</v>
      </c>
      <c r="D92" s="362"/>
      <c r="E92" s="361">
        <f>'Sources and Uses Budget'!S92</f>
        <v>0</v>
      </c>
      <c r="F92" s="362"/>
      <c r="G92" s="362"/>
      <c r="H92" s="361">
        <f>'Sources and Uses Budget'!T92</f>
        <v>0</v>
      </c>
      <c r="I92" s="362"/>
      <c r="J92" s="362"/>
      <c r="K92" s="359"/>
    </row>
    <row r="93" spans="1:11" s="360" customFormat="1">
      <c r="A93" s="364" t="str">
        <f>'Sources and Uses Budget'!$A93</f>
        <v>Other: Utility Connection Fees</v>
      </c>
      <c r="B93" s="361">
        <f>'Sources and Uses Budget'!C93</f>
        <v>535000</v>
      </c>
      <c r="C93" s="362">
        <f t="shared" si="0"/>
        <v>535000</v>
      </c>
      <c r="D93" s="362"/>
      <c r="E93" s="361">
        <f>'Sources and Uses Budget'!S93</f>
        <v>535000</v>
      </c>
      <c r="F93" s="362">
        <f>E93</f>
        <v>535000</v>
      </c>
      <c r="G93" s="362"/>
      <c r="H93" s="361">
        <f>'Sources and Uses Budget'!T93</f>
        <v>0</v>
      </c>
      <c r="I93" s="362"/>
      <c r="J93" s="362"/>
      <c r="K93" s="359"/>
    </row>
    <row r="94" spans="1:11" s="360" customFormat="1">
      <c r="A94" s="364" t="str">
        <f>'Sources and Uses Budget'!$A94</f>
        <v>Other: Deputy Inspector</v>
      </c>
      <c r="B94" s="361">
        <f>'Sources and Uses Budget'!C94</f>
        <v>150000</v>
      </c>
      <c r="C94" s="362">
        <f t="shared" si="0"/>
        <v>150000</v>
      </c>
      <c r="D94" s="362"/>
      <c r="E94" s="361">
        <f>'Sources and Uses Budget'!S94</f>
        <v>150000</v>
      </c>
      <c r="F94" s="362">
        <f>E94</f>
        <v>150000</v>
      </c>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4437543</v>
      </c>
      <c r="C96" s="361">
        <f>SUM(C83:C95)</f>
        <v>4437543</v>
      </c>
      <c r="D96" s="361">
        <f>SUM(D83:D95)</f>
        <v>0</v>
      </c>
      <c r="E96" s="361">
        <f>'Sources and Uses Budget'!S96</f>
        <v>4142143</v>
      </c>
      <c r="F96" s="367">
        <f>SUM(F84:F87,F89:F95)</f>
        <v>4142143</v>
      </c>
      <c r="G96" s="367">
        <f>SUM(G84:G87,G89:G95)</f>
        <v>0</v>
      </c>
      <c r="H96" s="361">
        <f>'Sources and Uses Budget'!T96</f>
        <v>0</v>
      </c>
      <c r="I96" s="361">
        <f>SUM(I84:I87,I89:I95)</f>
        <v>0</v>
      </c>
      <c r="J96" s="361">
        <f>SUM(J84:J87,J89:J95)</f>
        <v>0</v>
      </c>
      <c r="K96" s="359"/>
    </row>
    <row r="97" spans="1:11" s="360" customFormat="1">
      <c r="A97" s="365" t="s">
        <v>1029</v>
      </c>
      <c r="B97" s="361">
        <f>'Sources and Uses Budget'!C97</f>
        <v>43854257</v>
      </c>
      <c r="C97" s="361">
        <f>SUM(C63+C70+C77+C81+C96)</f>
        <v>43854257</v>
      </c>
      <c r="D97" s="361">
        <f>SUM(D63+D70+D77+D81+D96)</f>
        <v>0</v>
      </c>
      <c r="E97" s="361">
        <f>'Sources and Uses Budget'!S97</f>
        <v>38717264</v>
      </c>
      <c r="F97" s="367">
        <f>SUM(+F63+F70+F81+F96)</f>
        <v>38717264</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3900000</v>
      </c>
      <c r="C99" s="362">
        <f>B99</f>
        <v>3900000</v>
      </c>
      <c r="D99" s="362"/>
      <c r="E99" s="361">
        <f>'Sources and Uses Budget'!S99</f>
        <v>3900000</v>
      </c>
      <c r="F99" s="362">
        <f>E99</f>
        <v>3900000</v>
      </c>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3900000</v>
      </c>
      <c r="C104" s="361">
        <f>SUM(C99:C103)</f>
        <v>3900000</v>
      </c>
      <c r="D104" s="361">
        <f>SUM(D99:D103)</f>
        <v>0</v>
      </c>
      <c r="E104" s="361">
        <f>'Sources and Uses Budget'!S104</f>
        <v>3900000</v>
      </c>
      <c r="F104" s="367">
        <f>SUM(F99:F103)</f>
        <v>3900000</v>
      </c>
      <c r="G104" s="367">
        <f>SUM(G99:G103)</f>
        <v>0</v>
      </c>
      <c r="H104" s="361">
        <f>'Sources and Uses Budget'!T104</f>
        <v>0</v>
      </c>
      <c r="I104" s="367">
        <f>SUM(I99:I103)</f>
        <v>0</v>
      </c>
      <c r="J104" s="367">
        <f>SUM(J99:J103)</f>
        <v>0</v>
      </c>
      <c r="K104" s="359"/>
    </row>
    <row r="105" spans="1:11" s="360" customFormat="1">
      <c r="A105" s="365" t="s">
        <v>1030</v>
      </c>
      <c r="B105" s="361">
        <f>'Sources and Uses Budget'!C105</f>
        <v>47754257</v>
      </c>
      <c r="C105" s="367">
        <f>SUM(C97+C104)</f>
        <v>47754257</v>
      </c>
      <c r="D105" s="367">
        <f>SUM(D97+D104)</f>
        <v>0</v>
      </c>
      <c r="E105" s="361">
        <f>'Sources and Uses Budget'!S105</f>
        <v>42617264</v>
      </c>
      <c r="F105" s="367">
        <f>F97+F104</f>
        <v>42617264</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42617264</v>
      </c>
      <c r="F107" s="367">
        <f>F105+F106</f>
        <v>42617264</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15">
      <c r="A111" s="377"/>
      <c r="B111" s="375"/>
      <c r="C111" s="375"/>
      <c r="D111" s="375"/>
      <c r="J111" s="376"/>
      <c r="K111" s="359"/>
    </row>
    <row r="112" spans="1:11" s="360" customFormat="1" ht="13.15">
      <c r="A112" s="377"/>
      <c r="B112" s="375"/>
      <c r="C112" s="375"/>
      <c r="D112" s="375"/>
      <c r="J112" s="376"/>
      <c r="K112" s="359"/>
    </row>
    <row r="113" spans="1:11" s="360" customFormat="1" ht="15">
      <c r="A113" s="378"/>
      <c r="B113" s="375"/>
      <c r="C113" s="375"/>
      <c r="D113" s="375"/>
      <c r="J113" s="376"/>
      <c r="K113" s="359"/>
    </row>
    <row r="114" spans="1:11" s="360" customFormat="1" ht="13.15">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
      <c r="A122" s="379"/>
      <c r="J122" s="381"/>
      <c r="K122" s="382"/>
    </row>
    <row r="123" spans="1:11" s="360" customFormat="1">
      <c r="A123" s="383"/>
      <c r="J123" s="376"/>
      <c r="K123" s="359"/>
    </row>
    <row r="124" spans="1:11" s="360" customFormat="1">
      <c r="B124" s="384"/>
      <c r="D124" s="1871"/>
      <c r="E124" s="1315"/>
      <c r="F124" s="1315"/>
      <c r="G124" s="1315"/>
      <c r="H124" s="1315"/>
      <c r="I124" s="1315"/>
      <c r="J124" s="376"/>
      <c r="K124" s="359"/>
    </row>
    <row r="125" spans="1:11" s="360" customFormat="1" ht="12.75">
      <c r="A125" s="385"/>
      <c r="B125" s="384"/>
      <c r="C125" s="385"/>
      <c r="D125" s="1315"/>
      <c r="E125" s="1315"/>
      <c r="F125" s="1315"/>
      <c r="G125" s="1315"/>
      <c r="H125" s="1315"/>
      <c r="I125" s="1315"/>
      <c r="J125" s="376"/>
      <c r="K125" s="359"/>
    </row>
    <row r="126" spans="1:11" s="360" customFormat="1" ht="12.75">
      <c r="A126" s="385"/>
      <c r="B126" s="384"/>
      <c r="C126" s="385"/>
      <c r="D126" s="1315"/>
      <c r="E126" s="1315"/>
      <c r="F126" s="1315"/>
      <c r="G126" s="1315"/>
      <c r="H126" s="1315"/>
      <c r="I126" s="1315"/>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3.1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3.1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5"/>
      <c r="C139" s="1315"/>
      <c r="D139" s="356"/>
      <c r="E139" s="385"/>
      <c r="F139" s="385"/>
      <c r="G139" s="385"/>
    </row>
    <row r="140" spans="1:11" ht="12" customHeight="1">
      <c r="A140" s="1302"/>
      <c r="B140" s="1302"/>
      <c r="C140" s="1302"/>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35" priority="5" stopIfTrue="1" operator="notEqual">
      <formula>$C3+$D3</formula>
    </cfRule>
  </conditionalFormatting>
  <conditionalFormatting sqref="E3:E107">
    <cfRule type="cellIs" dxfId="34" priority="2" stopIfTrue="1" operator="notEqual">
      <formula>$F3+$G3</formula>
    </cfRule>
  </conditionalFormatting>
  <conditionalFormatting sqref="H3:H107">
    <cfRule type="cellIs" dxfId="33"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3046875" defaultRowHeight="15.75" customHeight="1"/>
  <cols>
    <col min="1" max="8" width="2.73046875" style="1187"/>
    <col min="9" max="9" width="7.73046875" style="1187" customWidth="1"/>
    <col min="10" max="13" width="2.73046875" style="1187"/>
    <col min="14" max="14" width="4.73046875" style="1187" customWidth="1"/>
    <col min="15" max="19" width="2.73046875" style="1187"/>
    <col min="20" max="20" width="3.73046875" style="1187" customWidth="1"/>
    <col min="21" max="37" width="2.73046875" style="1187"/>
    <col min="38" max="38" width="3" style="1187" customWidth="1"/>
    <col min="39" max="45" width="2.73046875" style="1187"/>
    <col min="46" max="46" width="4.73046875" style="1187" customWidth="1"/>
    <col min="47" max="64" width="2.73046875" style="1187"/>
    <col min="65" max="65" width="10.3984375" style="1187" hidden="1" customWidth="1"/>
    <col min="66" max="66" width="5.59765625" style="1256" bestFit="1" customWidth="1"/>
    <col min="67" max="68" width="5.59765625" style="1256" customWidth="1"/>
    <col min="69" max="69" width="8" style="1256" customWidth="1"/>
    <col min="70" max="70" width="6" style="1256" customWidth="1"/>
    <col min="71" max="71" width="6.1328125" style="1256" customWidth="1"/>
    <col min="72" max="76" width="5.59765625" style="1256" customWidth="1"/>
    <col min="77" max="77" width="6.1328125" style="1256" bestFit="1" customWidth="1"/>
    <col min="78" max="78" width="5.59765625" style="1187" bestFit="1" customWidth="1"/>
    <col min="79" max="16384" width="2.73046875" style="1187"/>
  </cols>
  <sheetData>
    <row r="1" spans="1:65" ht="15.75" customHeight="1">
      <c r="A1" s="2321" t="s">
        <v>2458</v>
      </c>
      <c r="B1" s="2322"/>
      <c r="C1" s="2322"/>
      <c r="D1" s="2322"/>
      <c r="E1" s="2322"/>
      <c r="F1" s="2322"/>
      <c r="G1" s="2322"/>
      <c r="H1" s="2322"/>
      <c r="I1" s="2322"/>
      <c r="J1" s="2322"/>
      <c r="K1" s="2322"/>
      <c r="L1" s="2322"/>
      <c r="M1" s="2322"/>
      <c r="N1" s="2322"/>
      <c r="O1" s="2322"/>
      <c r="P1" s="2322"/>
      <c r="Q1" s="2322"/>
      <c r="R1" s="2322"/>
      <c r="S1" s="2322"/>
      <c r="T1" s="2322"/>
      <c r="U1" s="2322"/>
      <c r="V1" s="2322"/>
      <c r="W1" s="2322"/>
      <c r="X1" s="2322"/>
      <c r="Y1" s="2322"/>
      <c r="Z1" s="2322"/>
      <c r="AA1" s="2322"/>
      <c r="AB1" s="2322"/>
      <c r="AC1" s="2322"/>
      <c r="AD1" s="2322"/>
      <c r="AE1" s="2322"/>
      <c r="AF1" s="2322"/>
      <c r="AG1" s="2322"/>
      <c r="AH1" s="2322"/>
      <c r="AI1" s="2322"/>
      <c r="AJ1" s="2322"/>
      <c r="AK1" s="2322"/>
      <c r="AL1" s="2322"/>
      <c r="AM1" s="2322"/>
      <c r="AN1" s="2322"/>
      <c r="AO1" s="2322"/>
      <c r="AP1" s="2322"/>
      <c r="AQ1" s="2322"/>
      <c r="AR1" s="2322"/>
      <c r="AS1" s="2322"/>
      <c r="AT1" s="2322"/>
      <c r="AU1" s="2322"/>
      <c r="AV1" s="2322"/>
      <c r="AW1" s="2322"/>
      <c r="AX1" s="2322"/>
      <c r="AY1" s="2322"/>
      <c r="AZ1" s="2322"/>
      <c r="BA1" s="2322"/>
      <c r="BB1" s="2322"/>
      <c r="BC1" s="2322"/>
      <c r="BD1" s="2322"/>
      <c r="BE1" s="2323"/>
    </row>
    <row r="2" spans="1:65" ht="15.75" customHeight="1">
      <c r="A2" s="2324" t="s">
        <v>2457</v>
      </c>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325"/>
      <c r="AC2" s="2325"/>
      <c r="AD2" s="2325"/>
      <c r="AE2" s="2325"/>
      <c r="AF2" s="2325"/>
      <c r="AG2" s="2325"/>
      <c r="AH2" s="2325"/>
      <c r="AI2" s="2325"/>
      <c r="AJ2" s="2325"/>
      <c r="AK2" s="2325"/>
      <c r="AL2" s="2325"/>
      <c r="AM2" s="2325"/>
      <c r="AN2" s="2325"/>
      <c r="AO2" s="2325"/>
      <c r="AP2" s="2325"/>
      <c r="AQ2" s="2325"/>
      <c r="AR2" s="2325"/>
      <c r="AS2" s="2325"/>
      <c r="AT2" s="2325"/>
      <c r="AU2" s="2325"/>
      <c r="AV2" s="2325"/>
      <c r="AW2" s="2325"/>
      <c r="AX2" s="2325"/>
      <c r="AY2" s="2325"/>
      <c r="AZ2" s="2325"/>
      <c r="BA2" s="2325"/>
      <c r="BB2" s="2325"/>
      <c r="BC2" s="2325"/>
      <c r="BD2" s="2325"/>
      <c r="BE2" s="232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3" t="str">
        <f>IF(Application!H18="","",Application!H18)</f>
        <v>Coral Blossom Apartments</v>
      </c>
      <c r="M4" s="2314"/>
      <c r="N4" s="2314"/>
      <c r="O4" s="2314"/>
      <c r="P4" s="2314"/>
      <c r="Q4" s="2314"/>
      <c r="R4" s="2314"/>
      <c r="S4" s="2314"/>
      <c r="T4" s="2314"/>
      <c r="U4" s="2314"/>
      <c r="V4" s="2314"/>
      <c r="W4" s="2314"/>
      <c r="X4" s="2314"/>
      <c r="Y4" s="2314"/>
      <c r="Z4" s="2314"/>
      <c r="AA4" s="2314"/>
      <c r="AB4" s="2314"/>
      <c r="AC4" s="2315"/>
      <c r="AD4" s="1190"/>
      <c r="AE4" s="1190"/>
      <c r="AF4" s="2309" t="s">
        <v>2456</v>
      </c>
      <c r="AG4" s="2309"/>
      <c r="AH4" s="2309"/>
      <c r="AI4" s="2309"/>
      <c r="AJ4" s="2309"/>
      <c r="AK4" s="2309"/>
      <c r="AL4" s="2309"/>
      <c r="AM4" s="2309"/>
      <c r="AN4" s="2309"/>
      <c r="AO4" s="2309"/>
      <c r="AP4" s="2310"/>
      <c r="AQ4" s="2311"/>
      <c r="AR4" s="2311"/>
      <c r="AS4" s="2311"/>
      <c r="AT4" s="2311"/>
      <c r="AU4" s="231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9" t="s">
        <v>2455</v>
      </c>
      <c r="AG5" s="2309"/>
      <c r="AH5" s="2309"/>
      <c r="AI5" s="2309"/>
      <c r="AJ5" s="2309"/>
      <c r="AK5" s="2309"/>
      <c r="AL5" s="2309"/>
      <c r="AM5" s="2309"/>
      <c r="AN5" s="2309"/>
      <c r="AO5" s="2309"/>
      <c r="AP5" s="2310"/>
      <c r="AQ5" s="2311"/>
      <c r="AR5" s="2311"/>
      <c r="AS5" s="2311"/>
      <c r="AT5" s="2311"/>
      <c r="AU5" s="231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3" t="str">
        <f>IF(Application!H16="","",Application!H16)</f>
        <v>Coral Blossom Apartments LP</v>
      </c>
      <c r="M6" s="2314"/>
      <c r="N6" s="2314"/>
      <c r="O6" s="2314"/>
      <c r="P6" s="2314"/>
      <c r="Q6" s="2314"/>
      <c r="R6" s="2314"/>
      <c r="S6" s="2314"/>
      <c r="T6" s="2314"/>
      <c r="U6" s="2314"/>
      <c r="V6" s="2314"/>
      <c r="W6" s="2314"/>
      <c r="X6" s="2314"/>
      <c r="Y6" s="2314"/>
      <c r="Z6" s="2314"/>
      <c r="AA6" s="2314"/>
      <c r="AB6" s="2314"/>
      <c r="AC6" s="2315"/>
      <c r="AD6" s="1190"/>
      <c r="AE6" s="1190"/>
      <c r="AF6" s="2316" t="s">
        <v>2453</v>
      </c>
      <c r="AG6" s="2316"/>
      <c r="AH6" s="2316"/>
      <c r="AI6" s="2316"/>
      <c r="AJ6" s="2316"/>
      <c r="AK6" s="2316"/>
      <c r="AL6" s="2316"/>
      <c r="AM6" s="2316"/>
      <c r="AN6" s="2316"/>
      <c r="AO6" s="2316"/>
      <c r="AP6" s="2317"/>
      <c r="AQ6" s="2317"/>
      <c r="AR6" s="2317"/>
      <c r="AS6" s="2317"/>
      <c r="AT6" s="2317"/>
      <c r="AU6" s="2317"/>
      <c r="AV6" s="1190"/>
      <c r="AW6" s="1190"/>
      <c r="AX6" s="1190"/>
      <c r="AY6" s="1190"/>
      <c r="AZ6" s="1190"/>
      <c r="BA6" s="1190"/>
      <c r="BB6" s="1190"/>
      <c r="BC6" s="1190"/>
      <c r="BD6" s="1190"/>
      <c r="BE6" s="1191"/>
    </row>
    <row r="7" spans="1:65" ht="14.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6" t="s">
        <v>2452</v>
      </c>
      <c r="AG7" s="2316"/>
      <c r="AH7" s="2316"/>
      <c r="AI7" s="2316"/>
      <c r="AJ7" s="2316"/>
      <c r="AK7" s="2316"/>
      <c r="AL7" s="2316"/>
      <c r="AM7" s="2316"/>
      <c r="AN7" s="2316"/>
      <c r="AO7" s="2316"/>
      <c r="AP7" s="2317"/>
      <c r="AQ7" s="2317"/>
      <c r="AR7" s="2317"/>
      <c r="AS7" s="2317"/>
      <c r="AT7" s="2317"/>
      <c r="AU7" s="2317"/>
      <c r="AV7" s="1190"/>
      <c r="AW7" s="1190"/>
      <c r="AX7" s="1190"/>
      <c r="AY7" s="1190"/>
      <c r="AZ7" s="1190"/>
      <c r="BA7" s="1190"/>
      <c r="BB7" s="1190"/>
      <c r="BC7" s="1190"/>
      <c r="BD7" s="1190"/>
      <c r="BE7" s="1191"/>
    </row>
    <row r="8" spans="1:65" ht="14.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8" t="str">
        <f>Application!T197</f>
        <v>No</v>
      </c>
      <c r="AC8" s="2319"/>
      <c r="AD8" s="2320"/>
      <c r="AE8" s="1190"/>
      <c r="AF8" s="2316" t="s">
        <v>2450</v>
      </c>
      <c r="AG8" s="2316"/>
      <c r="AH8" s="2316"/>
      <c r="AI8" s="2316"/>
      <c r="AJ8" s="2316"/>
      <c r="AK8" s="2316"/>
      <c r="AL8" s="2316"/>
      <c r="AM8" s="2316"/>
      <c r="AN8" s="2316"/>
      <c r="AO8" s="2316"/>
      <c r="AP8" s="2317" t="s">
        <v>2099</v>
      </c>
      <c r="AQ8" s="2317"/>
      <c r="AR8" s="2317"/>
      <c r="AS8" s="2317"/>
      <c r="AT8" s="2317"/>
      <c r="AU8" s="2317"/>
      <c r="AV8" s="1190"/>
      <c r="AW8" s="1190"/>
      <c r="AX8" s="1190"/>
      <c r="AY8" s="1190"/>
      <c r="AZ8" s="1190"/>
      <c r="BA8" s="1190"/>
      <c r="BB8" s="1190"/>
      <c r="BC8" s="1190"/>
      <c r="BD8" s="1190"/>
      <c r="BE8" s="1191"/>
      <c r="BM8" s="1187" t="s">
        <v>1984</v>
      </c>
    </row>
    <row r="9" spans="1:65" ht="14.2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9" t="s">
        <v>2449</v>
      </c>
      <c r="AG9" s="2309"/>
      <c r="AH9" s="2309"/>
      <c r="AI9" s="2309"/>
      <c r="AJ9" s="2309"/>
      <c r="AK9" s="2309"/>
      <c r="AL9" s="2309"/>
      <c r="AM9" s="2309"/>
      <c r="AN9" s="2309"/>
      <c r="AO9" s="2309"/>
      <c r="AP9" s="2310"/>
      <c r="AQ9" s="2311"/>
      <c r="AR9" s="2311"/>
      <c r="AS9" s="2311"/>
      <c r="AT9" s="2311"/>
      <c r="AU9" s="2311"/>
      <c r="AV9" s="1190"/>
      <c r="AW9" s="1190"/>
      <c r="AX9" s="1190"/>
      <c r="AY9" s="1190"/>
      <c r="AZ9" s="1190"/>
      <c r="BA9" s="1190"/>
      <c r="BB9" s="1190"/>
      <c r="BC9" s="1190"/>
      <c r="BD9" s="1190"/>
      <c r="BE9" s="1191"/>
      <c r="BM9" s="1187" t="s">
        <v>2448</v>
      </c>
    </row>
    <row r="10" spans="1:65" ht="14.25">
      <c r="A10" s="1189"/>
      <c r="B10" s="1192" t="s">
        <v>2447</v>
      </c>
      <c r="C10" s="1192"/>
      <c r="D10" s="1192"/>
      <c r="E10" s="1192"/>
      <c r="F10" s="1192"/>
      <c r="G10" s="1192"/>
      <c r="H10" s="1192"/>
      <c r="I10" s="1192"/>
      <c r="J10" s="1192"/>
      <c r="K10" s="1192"/>
      <c r="L10" s="1192"/>
      <c r="M10" s="1190"/>
      <c r="N10" s="2312">
        <f>Application!AO627</f>
        <v>11423000</v>
      </c>
      <c r="O10" s="2312"/>
      <c r="P10" s="2312"/>
      <c r="Q10" s="2312"/>
      <c r="R10" s="2312"/>
      <c r="S10" s="2312"/>
      <c r="T10" s="2312"/>
      <c r="U10" s="1190"/>
      <c r="V10" s="1190"/>
      <c r="W10" s="1190"/>
      <c r="X10" s="1193"/>
      <c r="Y10" s="1193"/>
      <c r="Z10" s="1193"/>
      <c r="AA10" s="1193"/>
      <c r="AB10" s="1193"/>
      <c r="AC10" s="1193"/>
      <c r="AD10" s="1193"/>
      <c r="AE10" s="1193"/>
      <c r="AF10" s="2309" t="s">
        <v>2446</v>
      </c>
      <c r="AG10" s="2309"/>
      <c r="AH10" s="2309"/>
      <c r="AI10" s="2309"/>
      <c r="AJ10" s="2309"/>
      <c r="AK10" s="2309"/>
      <c r="AL10" s="2309"/>
      <c r="AM10" s="2309"/>
      <c r="AN10" s="2309"/>
      <c r="AO10" s="2309"/>
      <c r="AP10" s="2310"/>
      <c r="AQ10" s="2311"/>
      <c r="AR10" s="2311"/>
      <c r="AS10" s="2311"/>
      <c r="AT10" s="2311"/>
      <c r="AU10" s="2311"/>
      <c r="AV10" s="1193"/>
      <c r="AW10" s="1193"/>
      <c r="AX10" s="1190"/>
      <c r="AY10" s="1190"/>
      <c r="AZ10" s="1190"/>
      <c r="BA10" s="1190"/>
      <c r="BB10" s="1190"/>
      <c r="BC10" s="1190"/>
      <c r="BD10" s="1190"/>
      <c r="BE10" s="1191"/>
      <c r="BM10" s="1187" t="s">
        <v>2445</v>
      </c>
    </row>
    <row r="11" spans="1:65" ht="14.25">
      <c r="A11" s="1189"/>
      <c r="B11" s="1192" t="s">
        <v>2444</v>
      </c>
      <c r="C11" s="1192"/>
      <c r="D11" s="1192"/>
      <c r="E11" s="1192"/>
      <c r="F11" s="1192"/>
      <c r="G11" s="1192"/>
      <c r="H11" s="1192"/>
      <c r="I11" s="1192"/>
      <c r="J11" s="1192"/>
      <c r="K11" s="1192"/>
      <c r="L11" s="1192"/>
      <c r="M11" s="1190"/>
      <c r="N11" s="2312">
        <f>Application!AA934</f>
        <v>0</v>
      </c>
      <c r="O11" s="2312"/>
      <c r="P11" s="2312"/>
      <c r="Q11" s="2312"/>
      <c r="R11" s="2312"/>
      <c r="S11" s="2312"/>
      <c r="T11" s="2312"/>
      <c r="U11" s="1190"/>
      <c r="V11" s="1190"/>
      <c r="W11" s="1190"/>
      <c r="X11" s="1193"/>
      <c r="Y11" s="1193"/>
      <c r="Z11" s="1193"/>
      <c r="AA11" s="1193"/>
      <c r="AB11" s="1193"/>
      <c r="AC11" s="1193"/>
      <c r="AD11" s="1193"/>
      <c r="AE11" s="1193"/>
      <c r="AF11" s="2309" t="s">
        <v>2443</v>
      </c>
      <c r="AG11" s="2309"/>
      <c r="AH11" s="2309"/>
      <c r="AI11" s="2309"/>
      <c r="AJ11" s="2309"/>
      <c r="AK11" s="2309"/>
      <c r="AL11" s="2309"/>
      <c r="AM11" s="2309"/>
      <c r="AN11" s="2309"/>
      <c r="AO11" s="2309"/>
      <c r="AP11" s="2310"/>
      <c r="AQ11" s="2311"/>
      <c r="AR11" s="2311"/>
      <c r="AS11" s="2311"/>
      <c r="AT11" s="2311"/>
      <c r="AU11" s="2311"/>
      <c r="AV11" s="1193"/>
      <c r="AW11" s="1193"/>
      <c r="AX11" s="1190"/>
      <c r="AY11" s="1190"/>
      <c r="AZ11" s="1190"/>
      <c r="BA11" s="1190"/>
      <c r="BB11" s="1190"/>
      <c r="BC11" s="1190"/>
      <c r="BD11" s="1190"/>
      <c r="BE11" s="1191"/>
      <c r="BM11" s="1187" t="s">
        <v>2099</v>
      </c>
    </row>
    <row r="12" spans="1:65" ht="14.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4.65" thickBot="1">
      <c r="A13" s="1190"/>
      <c r="B13" s="2300" t="s">
        <v>2441</v>
      </c>
      <c r="C13" s="2301"/>
      <c r="D13" s="2301"/>
      <c r="E13" s="2301"/>
      <c r="F13" s="2301"/>
      <c r="G13" s="2301"/>
      <c r="H13" s="2301"/>
      <c r="I13" s="2301"/>
      <c r="J13" s="2301"/>
      <c r="K13" s="2301"/>
      <c r="L13" s="2301"/>
      <c r="M13" s="2301"/>
      <c r="N13" s="2301"/>
      <c r="O13" s="2301"/>
      <c r="P13" s="2302"/>
      <c r="Q13" s="2303" t="s">
        <v>669</v>
      </c>
      <c r="R13" s="2304"/>
      <c r="S13" s="2304"/>
      <c r="T13" s="2305"/>
      <c r="U13" s="1193"/>
      <c r="V13" s="1190"/>
      <c r="W13" s="1190"/>
      <c r="X13" s="1190"/>
      <c r="Y13" s="1190"/>
      <c r="Z13" s="1190"/>
      <c r="AA13" s="2290" t="s">
        <v>2440</v>
      </c>
      <c r="AB13" s="2290"/>
      <c r="AC13" s="2290"/>
      <c r="AD13" s="2290"/>
      <c r="AE13" s="2290"/>
      <c r="AF13" s="2290"/>
      <c r="AG13" s="2290"/>
      <c r="AH13" s="2290"/>
      <c r="AI13" s="2290"/>
      <c r="AJ13" s="2290"/>
      <c r="AK13" s="2290"/>
      <c r="AL13" s="2290"/>
      <c r="AM13" s="2290"/>
      <c r="AN13" s="2290"/>
      <c r="AO13" s="2306">
        <f>Application!W473</f>
        <v>13</v>
      </c>
      <c r="AP13" s="2307"/>
      <c r="AQ13" s="2307"/>
      <c r="AR13" s="2307"/>
      <c r="AS13" s="2307"/>
      <c r="AT13" s="1193"/>
      <c r="AU13" s="1193"/>
      <c r="AV13" s="1193"/>
      <c r="AW13" s="1193"/>
      <c r="AX13" s="1193"/>
      <c r="AY13" s="1193"/>
      <c r="AZ13" s="1193"/>
      <c r="BA13" s="1193"/>
      <c r="BB13" s="1193"/>
      <c r="BC13" s="1193"/>
      <c r="BD13" s="1193"/>
      <c r="BE13" s="1194"/>
      <c r="BM13" s="1187" t="s">
        <v>2439</v>
      </c>
    </row>
    <row r="14" spans="1:65" ht="14.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8" t="s">
        <v>2438</v>
      </c>
      <c r="AB14" s="2308"/>
      <c r="AC14" s="2308"/>
      <c r="AD14" s="2308"/>
      <c r="AE14" s="2308"/>
      <c r="AF14" s="2308"/>
      <c r="AG14" s="2308"/>
      <c r="AH14" s="2308"/>
      <c r="AI14" s="2308"/>
      <c r="AJ14" s="2308"/>
      <c r="AK14" s="2308"/>
      <c r="AL14" s="2308"/>
      <c r="AM14" s="2308"/>
      <c r="AN14" s="2308"/>
      <c r="AO14" s="2291"/>
      <c r="AP14" s="2292"/>
      <c r="AQ14" s="2292"/>
      <c r="AR14" s="2292"/>
      <c r="AS14" s="2292"/>
      <c r="AT14" s="1193"/>
      <c r="AU14" s="1193"/>
      <c r="AV14" s="1193"/>
      <c r="AW14" s="1193"/>
      <c r="AX14" s="1193"/>
      <c r="AY14" s="1193"/>
      <c r="AZ14" s="1193"/>
      <c r="BA14" s="1193"/>
      <c r="BB14" s="1193"/>
      <c r="BC14" s="1193"/>
      <c r="BD14" s="1193"/>
      <c r="BE14" s="1194"/>
    </row>
    <row r="15" spans="1:65" ht="14.65" thickBot="1">
      <c r="A15" s="1190"/>
      <c r="B15" s="2285" t="s">
        <v>2437</v>
      </c>
      <c r="C15" s="2286"/>
      <c r="D15" s="2286"/>
      <c r="E15" s="2286"/>
      <c r="F15" s="2286"/>
      <c r="G15" s="2286"/>
      <c r="H15" s="2286"/>
      <c r="I15" s="2286"/>
      <c r="J15" s="2286"/>
      <c r="K15" s="2286"/>
      <c r="L15" s="2286"/>
      <c r="M15" s="2286"/>
      <c r="N15" s="2286"/>
      <c r="O15" s="2286"/>
      <c r="P15" s="2286"/>
      <c r="Q15" s="2286"/>
      <c r="R15" s="2287"/>
      <c r="S15" s="2288" t="str">
        <f>IF(Application!AB214="","",Application!AB214)</f>
        <v/>
      </c>
      <c r="T15" s="2288"/>
      <c r="U15" s="2288"/>
      <c r="V15" s="2288"/>
      <c r="W15" s="2289"/>
      <c r="X15" s="1193"/>
      <c r="Y15" s="1190"/>
      <c r="Z15" s="1190"/>
      <c r="AA15" s="2290" t="s">
        <v>2436</v>
      </c>
      <c r="AB15" s="2290"/>
      <c r="AC15" s="2290"/>
      <c r="AD15" s="2290"/>
      <c r="AE15" s="2290"/>
      <c r="AF15" s="2290"/>
      <c r="AG15" s="2290"/>
      <c r="AH15" s="2290"/>
      <c r="AI15" s="2290"/>
      <c r="AJ15" s="2290"/>
      <c r="AK15" s="2290"/>
      <c r="AL15" s="2290"/>
      <c r="AM15" s="2290"/>
      <c r="AN15" s="2290"/>
      <c r="AO15" s="2291"/>
      <c r="AP15" s="2292"/>
      <c r="AQ15" s="2292"/>
      <c r="AR15" s="2292"/>
      <c r="AS15" s="2292"/>
      <c r="AT15" s="1193"/>
      <c r="AU15" s="1193"/>
      <c r="AV15" s="1193"/>
      <c r="AW15" s="1193"/>
      <c r="AX15" s="1193"/>
      <c r="AY15" s="1193"/>
      <c r="AZ15" s="1193"/>
      <c r="BA15" s="1193"/>
      <c r="BB15" s="1193"/>
      <c r="BC15" s="1193"/>
      <c r="BD15" s="1193"/>
      <c r="BE15" s="1194"/>
    </row>
    <row r="16" spans="1:65" ht="14.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25">
      <c r="A17" s="1190"/>
      <c r="B17" s="2098" t="s">
        <v>2435</v>
      </c>
      <c r="C17" s="2099"/>
      <c r="D17" s="2099"/>
      <c r="E17" s="2099"/>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099"/>
      <c r="AK17" s="2099"/>
      <c r="AL17" s="2099"/>
      <c r="AM17" s="2099"/>
      <c r="AN17" s="2099"/>
      <c r="AO17" s="2099"/>
      <c r="AP17" s="2099"/>
      <c r="AQ17" s="2099"/>
      <c r="AR17" s="2099"/>
      <c r="AS17" s="2099"/>
      <c r="AT17" s="2099"/>
      <c r="AU17" s="2099"/>
      <c r="AV17" s="2099"/>
      <c r="AW17" s="2099"/>
      <c r="AX17" s="2099"/>
      <c r="AY17" s="2100"/>
      <c r="AZ17" s="1190"/>
      <c r="BA17" s="1190"/>
      <c r="BB17" s="1190"/>
      <c r="BC17" s="1190"/>
      <c r="BD17" s="1190"/>
      <c r="BE17" s="1194"/>
      <c r="BF17" s="1188"/>
    </row>
    <row r="18" spans="1:58" ht="15.75" customHeight="1">
      <c r="A18" s="1190"/>
      <c r="B18" s="2293" t="s">
        <v>2434</v>
      </c>
      <c r="C18" s="2294"/>
      <c r="D18" s="2294"/>
      <c r="E18" s="2294"/>
      <c r="F18" s="2294"/>
      <c r="G18" s="2294"/>
      <c r="H18" s="2294"/>
      <c r="I18" s="2295"/>
      <c r="J18" s="2296" t="s">
        <v>1586</v>
      </c>
      <c r="K18" s="2297"/>
      <c r="L18" s="2297"/>
      <c r="M18" s="2297"/>
      <c r="N18" s="2297"/>
      <c r="O18" s="2298"/>
      <c r="P18" s="2296" t="s">
        <v>323</v>
      </c>
      <c r="Q18" s="2297"/>
      <c r="R18" s="2297"/>
      <c r="S18" s="2297"/>
      <c r="T18" s="2297"/>
      <c r="U18" s="2298"/>
      <c r="V18" s="2296" t="s">
        <v>324</v>
      </c>
      <c r="W18" s="2297"/>
      <c r="X18" s="2297"/>
      <c r="Y18" s="2297"/>
      <c r="Z18" s="2297"/>
      <c r="AA18" s="2298"/>
      <c r="AB18" s="2296" t="s">
        <v>163</v>
      </c>
      <c r="AC18" s="2297"/>
      <c r="AD18" s="2297"/>
      <c r="AE18" s="2297"/>
      <c r="AF18" s="2297"/>
      <c r="AG18" s="2298"/>
      <c r="AH18" s="2296" t="s">
        <v>164</v>
      </c>
      <c r="AI18" s="2297"/>
      <c r="AJ18" s="2297"/>
      <c r="AK18" s="2297"/>
      <c r="AL18" s="2297"/>
      <c r="AM18" s="2298"/>
      <c r="AN18" s="2296" t="s">
        <v>165</v>
      </c>
      <c r="AO18" s="2297"/>
      <c r="AP18" s="2297"/>
      <c r="AQ18" s="2297"/>
      <c r="AR18" s="2297"/>
      <c r="AS18" s="2298"/>
      <c r="AT18" s="2296" t="s">
        <v>2433</v>
      </c>
      <c r="AU18" s="2297"/>
      <c r="AV18" s="2297"/>
      <c r="AW18" s="2297"/>
      <c r="AX18" s="2297"/>
      <c r="AY18" s="2299"/>
      <c r="AZ18" s="1190"/>
      <c r="BA18" s="1190"/>
      <c r="BB18" s="1190"/>
      <c r="BC18" s="1190"/>
      <c r="BD18" s="1190"/>
      <c r="BE18" s="1194"/>
    </row>
    <row r="19" spans="1:58" ht="14.25">
      <c r="A19" s="1190"/>
      <c r="B19" s="2279">
        <v>0.3</v>
      </c>
      <c r="C19" s="2280"/>
      <c r="D19" s="2280"/>
      <c r="E19" s="2280"/>
      <c r="F19" s="2280"/>
      <c r="G19" s="2280"/>
      <c r="H19" s="2280"/>
      <c r="I19" s="2281"/>
      <c r="J19" s="2282">
        <f t="shared" ref="J19:J24" si="0">SUM(P19:AS19)</f>
        <v>40</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40</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67">
        <f t="shared" ref="AT19:AT29" si="1">J19/$J$29</f>
        <v>0.49382716049382713</v>
      </c>
      <c r="AU19" s="2268"/>
      <c r="AV19" s="2268"/>
      <c r="AW19" s="2268"/>
      <c r="AX19" s="2268"/>
      <c r="AY19" s="2269"/>
      <c r="AZ19" s="1195"/>
      <c r="BA19" s="1190"/>
      <c r="BB19" s="1190"/>
      <c r="BC19" s="1190"/>
      <c r="BD19" s="1190"/>
      <c r="BE19" s="1194"/>
    </row>
    <row r="20" spans="1:58" ht="15" customHeight="1">
      <c r="A20" s="1190"/>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67">
        <f t="shared" si="1"/>
        <v>0</v>
      </c>
      <c r="AU20" s="2268"/>
      <c r="AV20" s="2268"/>
      <c r="AW20" s="2268"/>
      <c r="AX20" s="2268"/>
      <c r="AY20" s="2269"/>
      <c r="AZ20" s="1190"/>
      <c r="BA20" s="1190"/>
      <c r="BB20" s="1190"/>
      <c r="BC20" s="1190"/>
      <c r="BD20" s="1190"/>
      <c r="BE20" s="1194"/>
    </row>
    <row r="21" spans="1:58" ht="14.25">
      <c r="A21" s="1190"/>
      <c r="B21" s="2279">
        <v>0.5</v>
      </c>
      <c r="C21" s="2280"/>
      <c r="D21" s="2280"/>
      <c r="E21" s="2280"/>
      <c r="F21" s="2280"/>
      <c r="G21" s="2280"/>
      <c r="H21" s="2280"/>
      <c r="I21" s="2281"/>
      <c r="J21" s="2282">
        <f t="shared" si="0"/>
        <v>40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40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67">
        <f t="shared" si="1"/>
        <v>0.49382716049382713</v>
      </c>
      <c r="AU21" s="2268"/>
      <c r="AV21" s="2268"/>
      <c r="AW21" s="2268"/>
      <c r="AX21" s="2268"/>
      <c r="AY21" s="2269"/>
      <c r="AZ21" s="1190"/>
      <c r="BA21" s="1190"/>
      <c r="BB21" s="1190"/>
      <c r="BC21" s="1190"/>
      <c r="BD21" s="1190"/>
      <c r="BE21" s="1194"/>
    </row>
    <row r="22" spans="1:58" ht="14.25">
      <c r="A22" s="1190"/>
      <c r="B22" s="2279">
        <v>0.6</v>
      </c>
      <c r="C22" s="2280"/>
      <c r="D22" s="2280"/>
      <c r="E22" s="2280"/>
      <c r="F22" s="2280"/>
      <c r="G22" s="2280"/>
      <c r="H22" s="2280"/>
      <c r="I22" s="2281"/>
      <c r="J22" s="2282">
        <f t="shared" si="0"/>
        <v>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67">
        <f t="shared" si="1"/>
        <v>0</v>
      </c>
      <c r="AU22" s="2268"/>
      <c r="AV22" s="2268"/>
      <c r="AW22" s="2268"/>
      <c r="AX22" s="2268"/>
      <c r="AY22" s="2269"/>
      <c r="AZ22" s="1190"/>
      <c r="BA22" s="1190"/>
      <c r="BB22" s="1190"/>
      <c r="BC22" s="1190"/>
      <c r="BD22" s="1190"/>
      <c r="BE22" s="1194"/>
    </row>
    <row r="23" spans="1:58" ht="14.25">
      <c r="A23" s="1190"/>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67">
        <f t="shared" si="1"/>
        <v>0</v>
      </c>
      <c r="AU23" s="2268"/>
      <c r="AV23" s="2268"/>
      <c r="AW23" s="2268"/>
      <c r="AX23" s="2268"/>
      <c r="AY23" s="2269"/>
      <c r="AZ23" s="1190"/>
      <c r="BA23" s="1190"/>
      <c r="BB23" s="1190"/>
      <c r="BC23" s="1190"/>
      <c r="BD23" s="1190"/>
      <c r="BE23" s="1194"/>
    </row>
    <row r="24" spans="1:58" ht="14.25">
      <c r="A24" s="1190"/>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67">
        <f t="shared" si="1"/>
        <v>0</v>
      </c>
      <c r="AU24" s="2268"/>
      <c r="AV24" s="2268"/>
      <c r="AW24" s="2268"/>
      <c r="AX24" s="2268"/>
      <c r="AY24" s="2269"/>
      <c r="AZ24" s="1190"/>
      <c r="BA24" s="1190"/>
      <c r="BB24" s="1190"/>
      <c r="BC24" s="1190"/>
      <c r="BD24" s="1190"/>
      <c r="BE24" s="1194"/>
    </row>
    <row r="25" spans="1:58" ht="14.25">
      <c r="A25" s="1190"/>
      <c r="B25" s="2279">
        <v>0.9</v>
      </c>
      <c r="C25" s="2280"/>
      <c r="D25" s="2280"/>
      <c r="E25" s="2280"/>
      <c r="F25" s="2280"/>
      <c r="G25" s="2280"/>
      <c r="H25" s="2280"/>
      <c r="I25" s="2281"/>
      <c r="J25" s="2264"/>
      <c r="K25" s="2265"/>
      <c r="L25" s="2265"/>
      <c r="M25" s="2265"/>
      <c r="N25" s="2265"/>
      <c r="O25" s="2266"/>
      <c r="P25" s="2264"/>
      <c r="Q25" s="2265"/>
      <c r="R25" s="2265"/>
      <c r="S25" s="2265"/>
      <c r="T25" s="2265"/>
      <c r="U25" s="2266"/>
      <c r="V25" s="2264"/>
      <c r="W25" s="2265"/>
      <c r="X25" s="2265"/>
      <c r="Y25" s="2265"/>
      <c r="Z25" s="2265"/>
      <c r="AA25" s="2266"/>
      <c r="AB25" s="2264"/>
      <c r="AC25" s="2265"/>
      <c r="AD25" s="2265"/>
      <c r="AE25" s="2265"/>
      <c r="AF25" s="2265"/>
      <c r="AG25" s="2266"/>
      <c r="AH25" s="2264"/>
      <c r="AI25" s="2265"/>
      <c r="AJ25" s="2265"/>
      <c r="AK25" s="2265"/>
      <c r="AL25" s="2265"/>
      <c r="AM25" s="2266"/>
      <c r="AN25" s="2264"/>
      <c r="AO25" s="2265"/>
      <c r="AP25" s="2265"/>
      <c r="AQ25" s="2265"/>
      <c r="AR25" s="2265"/>
      <c r="AS25" s="2266"/>
      <c r="AT25" s="2267">
        <f t="shared" si="1"/>
        <v>0</v>
      </c>
      <c r="AU25" s="2268"/>
      <c r="AV25" s="2268"/>
      <c r="AW25" s="2268"/>
      <c r="AX25" s="2268"/>
      <c r="AY25" s="2269"/>
      <c r="AZ25" s="1190"/>
      <c r="BA25" s="1190"/>
      <c r="BB25" s="1190"/>
      <c r="BC25" s="1190"/>
      <c r="BD25" s="1190"/>
      <c r="BE25" s="1194"/>
    </row>
    <row r="26" spans="1:58" ht="14.25">
      <c r="A26" s="1190"/>
      <c r="B26" s="2279">
        <v>1</v>
      </c>
      <c r="C26" s="2280"/>
      <c r="D26" s="2280"/>
      <c r="E26" s="2280"/>
      <c r="F26" s="2280"/>
      <c r="G26" s="2280"/>
      <c r="H26" s="2280"/>
      <c r="I26" s="2281"/>
      <c r="J26" s="2264"/>
      <c r="K26" s="2265"/>
      <c r="L26" s="2265"/>
      <c r="M26" s="2265"/>
      <c r="N26" s="2265"/>
      <c r="O26" s="2266"/>
      <c r="P26" s="2264"/>
      <c r="Q26" s="2265"/>
      <c r="R26" s="2265"/>
      <c r="S26" s="2265"/>
      <c r="T26" s="2265"/>
      <c r="U26" s="2266"/>
      <c r="V26" s="2264"/>
      <c r="W26" s="2265"/>
      <c r="X26" s="2265"/>
      <c r="Y26" s="2265"/>
      <c r="Z26" s="2265"/>
      <c r="AA26" s="2266"/>
      <c r="AB26" s="2264"/>
      <c r="AC26" s="2265"/>
      <c r="AD26" s="2265"/>
      <c r="AE26" s="2265"/>
      <c r="AF26" s="2265"/>
      <c r="AG26" s="2266"/>
      <c r="AH26" s="2264"/>
      <c r="AI26" s="2265"/>
      <c r="AJ26" s="2265"/>
      <c r="AK26" s="2265"/>
      <c r="AL26" s="2265"/>
      <c r="AM26" s="2266"/>
      <c r="AN26" s="2264"/>
      <c r="AO26" s="2265"/>
      <c r="AP26" s="2265"/>
      <c r="AQ26" s="2265"/>
      <c r="AR26" s="2265"/>
      <c r="AS26" s="2266"/>
      <c r="AT26" s="2267">
        <f t="shared" si="1"/>
        <v>0</v>
      </c>
      <c r="AU26" s="2268"/>
      <c r="AV26" s="2268"/>
      <c r="AW26" s="2268"/>
      <c r="AX26" s="2268"/>
      <c r="AY26" s="2269"/>
      <c r="AZ26" s="1190"/>
      <c r="BA26" s="1190"/>
      <c r="BB26" s="1190"/>
      <c r="BC26" s="1190"/>
      <c r="BD26" s="1190"/>
      <c r="BE26" s="1194"/>
    </row>
    <row r="27" spans="1:58" ht="14.25">
      <c r="A27" s="1190"/>
      <c r="B27" s="2279">
        <v>1.2</v>
      </c>
      <c r="C27" s="2280"/>
      <c r="D27" s="2280"/>
      <c r="E27" s="2280"/>
      <c r="F27" s="2280"/>
      <c r="G27" s="2280"/>
      <c r="H27" s="2280"/>
      <c r="I27" s="2281"/>
      <c r="J27" s="2264"/>
      <c r="K27" s="2265"/>
      <c r="L27" s="2265"/>
      <c r="M27" s="2265"/>
      <c r="N27" s="2265"/>
      <c r="O27" s="2266"/>
      <c r="P27" s="2264"/>
      <c r="Q27" s="2265"/>
      <c r="R27" s="2265"/>
      <c r="S27" s="2265"/>
      <c r="T27" s="2265"/>
      <c r="U27" s="2266"/>
      <c r="V27" s="2264"/>
      <c r="W27" s="2265"/>
      <c r="X27" s="2265"/>
      <c r="Y27" s="2265"/>
      <c r="Z27" s="2265"/>
      <c r="AA27" s="2266"/>
      <c r="AB27" s="2264"/>
      <c r="AC27" s="2265"/>
      <c r="AD27" s="2265"/>
      <c r="AE27" s="2265"/>
      <c r="AF27" s="2265"/>
      <c r="AG27" s="2266"/>
      <c r="AH27" s="2264"/>
      <c r="AI27" s="2265"/>
      <c r="AJ27" s="2265"/>
      <c r="AK27" s="2265"/>
      <c r="AL27" s="2265"/>
      <c r="AM27" s="2266"/>
      <c r="AN27" s="2264"/>
      <c r="AO27" s="2265"/>
      <c r="AP27" s="2265"/>
      <c r="AQ27" s="2265"/>
      <c r="AR27" s="2265"/>
      <c r="AS27" s="2266"/>
      <c r="AT27" s="2267">
        <f t="shared" si="1"/>
        <v>0</v>
      </c>
      <c r="AU27" s="2268"/>
      <c r="AV27" s="2268"/>
      <c r="AW27" s="2268"/>
      <c r="AX27" s="2268"/>
      <c r="AY27" s="2269"/>
      <c r="AZ27" s="1190"/>
      <c r="BA27" s="1190"/>
      <c r="BB27" s="1190"/>
      <c r="BC27" s="1190"/>
      <c r="BD27" s="1190"/>
      <c r="BE27" s="1194"/>
    </row>
    <row r="28" spans="1:58" ht="14.65" thickBot="1">
      <c r="A28" s="1190"/>
      <c r="B28" s="2270" t="s">
        <v>2432</v>
      </c>
      <c r="C28" s="2271"/>
      <c r="D28" s="2271"/>
      <c r="E28" s="2271"/>
      <c r="F28" s="2271"/>
      <c r="G28" s="2271"/>
      <c r="H28" s="2271"/>
      <c r="I28" s="2272"/>
      <c r="J28" s="2273">
        <f>SUM(P28:AS28)</f>
        <v>1</v>
      </c>
      <c r="K28" s="2274"/>
      <c r="L28" s="2274"/>
      <c r="M28" s="2274"/>
      <c r="N28" s="2274"/>
      <c r="O28" s="2275"/>
      <c r="P28" s="2273">
        <f>_xlfn.IFNA(VLOOKUP(P$18,Application!$J$773:$S$776,6,FALSE), 0)</f>
        <v>0</v>
      </c>
      <c r="Q28" s="2274"/>
      <c r="R28" s="2274"/>
      <c r="S28" s="2274"/>
      <c r="T28" s="2274"/>
      <c r="U28" s="2275"/>
      <c r="V28" s="2273">
        <f>_xlfn.IFNA(VLOOKUP(V$18,Application!$J$773:$S$776,6,FALSE), 0)</f>
        <v>0</v>
      </c>
      <c r="W28" s="2274"/>
      <c r="X28" s="2274"/>
      <c r="Y28" s="2274"/>
      <c r="Z28" s="2274"/>
      <c r="AA28" s="2275"/>
      <c r="AB28" s="2273">
        <f>_xlfn.IFNA(VLOOKUP(AB$18,Application!$J$773:$S$776,6,FALSE), 0)</f>
        <v>1</v>
      </c>
      <c r="AC28" s="2274"/>
      <c r="AD28" s="2274"/>
      <c r="AE28" s="2274"/>
      <c r="AF28" s="2274"/>
      <c r="AG28" s="2275"/>
      <c r="AH28" s="2273">
        <f>_xlfn.IFNA(VLOOKUP(AH$18,Application!$J$773:$S$776,6,FALSE), 0)</f>
        <v>0</v>
      </c>
      <c r="AI28" s="2274"/>
      <c r="AJ28" s="2274"/>
      <c r="AK28" s="2274"/>
      <c r="AL28" s="2274"/>
      <c r="AM28" s="2275"/>
      <c r="AN28" s="2273">
        <f>_xlfn.IFNA(VLOOKUP(AN$18,Application!$J$773:$S$776,6,FALSE), 0)</f>
        <v>0</v>
      </c>
      <c r="AO28" s="2274"/>
      <c r="AP28" s="2274"/>
      <c r="AQ28" s="2274"/>
      <c r="AR28" s="2274"/>
      <c r="AS28" s="2275"/>
      <c r="AT28" s="2276">
        <f t="shared" si="1"/>
        <v>1.2345679012345678E-2</v>
      </c>
      <c r="AU28" s="2277"/>
      <c r="AV28" s="2277"/>
      <c r="AW28" s="2277"/>
      <c r="AX28" s="2277"/>
      <c r="AY28" s="2278"/>
      <c r="AZ28" s="1190"/>
      <c r="BA28" s="1190"/>
      <c r="BB28" s="1190"/>
      <c r="BC28" s="1190"/>
      <c r="BD28" s="1190"/>
      <c r="BE28" s="1194"/>
    </row>
    <row r="29" spans="1:58" ht="14.65" thickBot="1">
      <c r="A29" s="1190"/>
      <c r="B29" s="2253" t="s">
        <v>1586</v>
      </c>
      <c r="C29" s="2226"/>
      <c r="D29" s="2226"/>
      <c r="E29" s="2226"/>
      <c r="F29" s="2226"/>
      <c r="G29" s="2226"/>
      <c r="H29" s="2226"/>
      <c r="I29" s="2227"/>
      <c r="J29" s="2225">
        <f>SUM(J19:O28)</f>
        <v>81</v>
      </c>
      <c r="K29" s="2226"/>
      <c r="L29" s="2226"/>
      <c r="M29" s="2226"/>
      <c r="N29" s="2226"/>
      <c r="O29" s="2227"/>
      <c r="P29" s="2225">
        <f>SUM(P19:U28)</f>
        <v>0</v>
      </c>
      <c r="Q29" s="2226"/>
      <c r="R29" s="2226"/>
      <c r="S29" s="2226"/>
      <c r="T29" s="2226"/>
      <c r="U29" s="2227"/>
      <c r="V29" s="2225">
        <f>SUM(V19:AA28)</f>
        <v>80</v>
      </c>
      <c r="W29" s="2226"/>
      <c r="X29" s="2226"/>
      <c r="Y29" s="2226"/>
      <c r="Z29" s="2226"/>
      <c r="AA29" s="2227"/>
      <c r="AB29" s="2225">
        <f>SUM(AB19:AG28)</f>
        <v>1</v>
      </c>
      <c r="AC29" s="2226"/>
      <c r="AD29" s="2226"/>
      <c r="AE29" s="2226"/>
      <c r="AF29" s="2226"/>
      <c r="AG29" s="2227"/>
      <c r="AH29" s="2225">
        <f>SUM(AH19:AM28)</f>
        <v>0</v>
      </c>
      <c r="AI29" s="2226"/>
      <c r="AJ29" s="2226"/>
      <c r="AK29" s="2226"/>
      <c r="AL29" s="2226"/>
      <c r="AM29" s="2227"/>
      <c r="AN29" s="2225">
        <f>SUM(AN19:AS28)</f>
        <v>0</v>
      </c>
      <c r="AO29" s="2226"/>
      <c r="AP29" s="2226"/>
      <c r="AQ29" s="2226"/>
      <c r="AR29" s="2226"/>
      <c r="AS29" s="2227"/>
      <c r="AT29" s="2228">
        <f t="shared" si="1"/>
        <v>1</v>
      </c>
      <c r="AU29" s="2229"/>
      <c r="AV29" s="2229"/>
      <c r="AW29" s="2229"/>
      <c r="AX29" s="2229"/>
      <c r="AY29" s="2230"/>
      <c r="AZ29" s="1190"/>
      <c r="BA29" s="1190"/>
      <c r="BB29" s="1190"/>
      <c r="BC29" s="1190"/>
      <c r="BD29" s="1190"/>
      <c r="BE29" s="1194"/>
    </row>
    <row r="30" spans="1:58" ht="14.6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4.65" thickBot="1">
      <c r="A31" s="1190"/>
      <c r="B31" s="2231" t="s">
        <v>2431</v>
      </c>
      <c r="C31" s="2232"/>
      <c r="D31" s="2232"/>
      <c r="E31" s="2232"/>
      <c r="F31" s="2232"/>
      <c r="G31" s="2232"/>
      <c r="H31" s="2232"/>
      <c r="I31" s="2232"/>
      <c r="J31" s="2232"/>
      <c r="K31" s="2232"/>
      <c r="L31" s="2232"/>
      <c r="M31" s="2232"/>
      <c r="N31" s="2232"/>
      <c r="O31" s="2232"/>
      <c r="P31" s="2232"/>
      <c r="Q31" s="2232"/>
      <c r="R31" s="2232"/>
      <c r="S31" s="2232"/>
      <c r="T31" s="2232"/>
      <c r="U31" s="2232"/>
      <c r="V31" s="2232"/>
      <c r="W31" s="2232"/>
      <c r="X31" s="2232"/>
      <c r="Y31" s="2232"/>
      <c r="Z31" s="2232"/>
      <c r="AA31" s="2232"/>
      <c r="AB31" s="2232"/>
      <c r="AC31" s="2232"/>
      <c r="AD31" s="2232"/>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232"/>
      <c r="BB31" s="2232"/>
      <c r="BC31" s="2232"/>
      <c r="BD31" s="2233"/>
      <c r="BE31" s="1194"/>
    </row>
    <row r="32" spans="1:58" ht="14.65" thickBot="1">
      <c r="A32" s="1190"/>
      <c r="B32" s="2234" t="s">
        <v>2430</v>
      </c>
      <c r="C32" s="2235"/>
      <c r="D32" s="2235"/>
      <c r="E32" s="2235"/>
      <c r="F32" s="2235"/>
      <c r="G32" s="2235"/>
      <c r="H32" s="2235"/>
      <c r="I32" s="2235"/>
      <c r="J32" s="2238" t="s">
        <v>2429</v>
      </c>
      <c r="K32" s="2239"/>
      <c r="L32" s="2239"/>
      <c r="M32" s="2239"/>
      <c r="N32" s="2238" t="s">
        <v>2428</v>
      </c>
      <c r="O32" s="2239"/>
      <c r="P32" s="2239"/>
      <c r="Q32" s="2241"/>
      <c r="R32" s="2243" t="s">
        <v>2427</v>
      </c>
      <c r="S32" s="2244"/>
      <c r="T32" s="2244"/>
      <c r="U32" s="2244"/>
      <c r="V32" s="2244"/>
      <c r="W32" s="2244"/>
      <c r="X32" s="2244"/>
      <c r="Y32" s="2244"/>
      <c r="Z32" s="2244"/>
      <c r="AA32" s="2244"/>
      <c r="AB32" s="2244"/>
      <c r="AC32" s="2244"/>
      <c r="AD32" s="2244"/>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244"/>
      <c r="BB32" s="2244"/>
      <c r="BC32" s="2244"/>
      <c r="BD32" s="2245"/>
      <c r="BE32" s="1194"/>
    </row>
    <row r="33" spans="1:58" ht="15" customHeight="1">
      <c r="A33" s="1190"/>
      <c r="B33" s="2236"/>
      <c r="C33" s="2237"/>
      <c r="D33" s="2237"/>
      <c r="E33" s="2237"/>
      <c r="F33" s="2237"/>
      <c r="G33" s="2237"/>
      <c r="H33" s="2237"/>
      <c r="I33" s="2237"/>
      <c r="J33" s="2240"/>
      <c r="K33" s="2240"/>
      <c r="L33" s="2240"/>
      <c r="M33" s="2240"/>
      <c r="N33" s="2240"/>
      <c r="O33" s="2240"/>
      <c r="P33" s="2240"/>
      <c r="Q33" s="2242"/>
      <c r="R33" s="2246" t="s">
        <v>2426</v>
      </c>
      <c r="S33" s="2247"/>
      <c r="T33" s="2247"/>
      <c r="U33" s="2247"/>
      <c r="V33" s="2247"/>
      <c r="W33" s="2247"/>
      <c r="X33" s="2247"/>
      <c r="Y33" s="2247"/>
      <c r="Z33" s="2247"/>
      <c r="AA33" s="2247"/>
      <c r="AB33" s="2247"/>
      <c r="AC33" s="2247"/>
      <c r="AD33" s="2247"/>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247"/>
      <c r="BB33" s="2247"/>
      <c r="BC33" s="2247"/>
      <c r="BD33" s="2248"/>
      <c r="BE33" s="1194"/>
    </row>
    <row r="34" spans="1:58" ht="15.75" customHeight="1" thickBot="1">
      <c r="A34" s="1190"/>
      <c r="B34" s="2236"/>
      <c r="C34" s="2237"/>
      <c r="D34" s="2237"/>
      <c r="E34" s="2237"/>
      <c r="F34" s="2237"/>
      <c r="G34" s="2237"/>
      <c r="H34" s="2237"/>
      <c r="I34" s="2237"/>
      <c r="J34" s="2240"/>
      <c r="K34" s="2240"/>
      <c r="L34" s="2240"/>
      <c r="M34" s="2240"/>
      <c r="N34" s="2240"/>
      <c r="O34" s="2240"/>
      <c r="P34" s="2240"/>
      <c r="Q34" s="2242"/>
      <c r="R34" s="2249"/>
      <c r="S34" s="2250"/>
      <c r="T34" s="2250"/>
      <c r="U34" s="2250"/>
      <c r="V34" s="2250"/>
      <c r="W34" s="2250"/>
      <c r="X34" s="2250"/>
      <c r="Y34" s="2250"/>
      <c r="Z34" s="2250"/>
      <c r="AA34" s="2250"/>
      <c r="AB34" s="2250"/>
      <c r="AC34" s="2250"/>
      <c r="AD34" s="2250"/>
      <c r="AE34" s="2250"/>
      <c r="AF34" s="2250"/>
      <c r="AG34" s="2250"/>
      <c r="AH34" s="2250"/>
      <c r="AI34" s="2250"/>
      <c r="AJ34" s="2250"/>
      <c r="AK34" s="2250"/>
      <c r="AL34" s="2250"/>
      <c r="AM34" s="2250"/>
      <c r="AN34" s="2250"/>
      <c r="AO34" s="2250"/>
      <c r="AP34" s="2250"/>
      <c r="AQ34" s="2250"/>
      <c r="AR34" s="2250"/>
      <c r="AS34" s="2250"/>
      <c r="AT34" s="2250"/>
      <c r="AU34" s="2250"/>
      <c r="AV34" s="2250"/>
      <c r="AW34" s="2250"/>
      <c r="AX34" s="2250"/>
      <c r="AY34" s="2250"/>
      <c r="AZ34" s="2250"/>
      <c r="BA34" s="2250"/>
      <c r="BB34" s="2250"/>
      <c r="BC34" s="2250"/>
      <c r="BD34" s="2251"/>
      <c r="BE34" s="1194"/>
    </row>
    <row r="35" spans="1:58" ht="15.75" customHeight="1">
      <c r="A35" s="1190"/>
      <c r="B35" s="2236"/>
      <c r="C35" s="2237"/>
      <c r="D35" s="2237"/>
      <c r="E35" s="2237"/>
      <c r="F35" s="2237"/>
      <c r="G35" s="2237"/>
      <c r="H35" s="2237"/>
      <c r="I35" s="2237"/>
      <c r="J35" s="2240"/>
      <c r="K35" s="2240"/>
      <c r="L35" s="2240"/>
      <c r="M35" s="2240"/>
      <c r="N35" s="2240"/>
      <c r="O35" s="2240"/>
      <c r="P35" s="2240"/>
      <c r="Q35" s="2240"/>
      <c r="R35" s="2252">
        <v>0.3</v>
      </c>
      <c r="S35" s="2252"/>
      <c r="T35" s="2252"/>
      <c r="U35" s="2252"/>
      <c r="V35" s="2252">
        <v>0.4</v>
      </c>
      <c r="W35" s="2252"/>
      <c r="X35" s="2252"/>
      <c r="Y35" s="2252"/>
      <c r="Z35" s="2252">
        <v>0.5</v>
      </c>
      <c r="AA35" s="2252"/>
      <c r="AB35" s="2252"/>
      <c r="AC35" s="2252"/>
      <c r="AD35" s="2252">
        <v>0.6</v>
      </c>
      <c r="AE35" s="2252"/>
      <c r="AF35" s="2252"/>
      <c r="AG35" s="2252"/>
      <c r="AH35" s="2252">
        <v>0.7</v>
      </c>
      <c r="AI35" s="2252"/>
      <c r="AJ35" s="2252"/>
      <c r="AK35" s="2252"/>
      <c r="AL35" s="2257">
        <v>0.8</v>
      </c>
      <c r="AM35" s="2258"/>
      <c r="AN35" s="2258"/>
      <c r="AO35" s="2259"/>
      <c r="AP35" s="2260">
        <v>1.2</v>
      </c>
      <c r="AQ35" s="2261"/>
      <c r="AR35" s="2262"/>
      <c r="AS35" s="2254" t="s">
        <v>2425</v>
      </c>
      <c r="AT35" s="2255"/>
      <c r="AU35" s="2255"/>
      <c r="AV35" s="2255"/>
      <c r="AW35" s="2255"/>
      <c r="AX35" s="2263"/>
      <c r="AY35" s="2254" t="s">
        <v>2424</v>
      </c>
      <c r="AZ35" s="2255"/>
      <c r="BA35" s="2255"/>
      <c r="BB35" s="2255"/>
      <c r="BC35" s="2255"/>
      <c r="BD35" s="2256"/>
      <c r="BE35" s="1194"/>
    </row>
    <row r="36" spans="1:58" ht="15.75" customHeight="1">
      <c r="A36" s="1190"/>
      <c r="B36" s="2158" t="s">
        <v>2423</v>
      </c>
      <c r="C36" s="2159"/>
      <c r="D36" s="2159"/>
      <c r="E36" s="2159"/>
      <c r="F36" s="2159"/>
      <c r="G36" s="2159"/>
      <c r="H36" s="2159"/>
      <c r="I36" s="2159"/>
      <c r="J36" s="2223" t="s">
        <v>2422</v>
      </c>
      <c r="K36" s="2223"/>
      <c r="L36" s="2223"/>
      <c r="M36" s="2223"/>
      <c r="N36" s="2223">
        <v>55</v>
      </c>
      <c r="O36" s="2223"/>
      <c r="P36" s="2223"/>
      <c r="Q36" s="2223"/>
      <c r="R36" s="2224"/>
      <c r="S36" s="2224"/>
      <c r="T36" s="2224"/>
      <c r="U36" s="2224"/>
      <c r="V36" s="2224"/>
      <c r="W36" s="2224"/>
      <c r="X36" s="2224"/>
      <c r="Y36" s="2224"/>
      <c r="Z36" s="2224"/>
      <c r="AA36" s="2224"/>
      <c r="AB36" s="2224"/>
      <c r="AC36" s="2224"/>
      <c r="AD36" s="2224"/>
      <c r="AE36" s="2224"/>
      <c r="AF36" s="2224"/>
      <c r="AG36" s="2224"/>
      <c r="AH36" s="2224"/>
      <c r="AI36" s="2224"/>
      <c r="AJ36" s="2224"/>
      <c r="AK36" s="2224"/>
      <c r="AL36" s="2208"/>
      <c r="AM36" s="2209"/>
      <c r="AN36" s="2209"/>
      <c r="AO36" s="2210"/>
      <c r="AP36" s="2208"/>
      <c r="AQ36" s="2209"/>
      <c r="AR36" s="2210"/>
      <c r="AS36" s="2211">
        <f t="shared" ref="AS36:AS47" si="2">SUM(R36:AR36)</f>
        <v>0</v>
      </c>
      <c r="AT36" s="2212"/>
      <c r="AU36" s="2212"/>
      <c r="AV36" s="2212"/>
      <c r="AW36" s="2212"/>
      <c r="AX36" s="2213"/>
      <c r="AY36" s="2214">
        <f t="shared" ref="AY36:AY47" si="3">AS36/$J$29</f>
        <v>0</v>
      </c>
      <c r="AZ36" s="2215"/>
      <c r="BA36" s="2215"/>
      <c r="BB36" s="2215"/>
      <c r="BC36" s="2215"/>
      <c r="BD36" s="2216"/>
      <c r="BE36" s="1194"/>
    </row>
    <row r="37" spans="1:58" ht="15.75" customHeight="1">
      <c r="A37" s="1190"/>
      <c r="B37" s="2158" t="s">
        <v>2421</v>
      </c>
      <c r="C37" s="2159"/>
      <c r="D37" s="2159"/>
      <c r="E37" s="2159"/>
      <c r="F37" s="2159"/>
      <c r="G37" s="2159"/>
      <c r="H37" s="2159"/>
      <c r="I37" s="2159"/>
      <c r="J37" s="2223" t="s">
        <v>2420</v>
      </c>
      <c r="K37" s="2223"/>
      <c r="L37" s="2223"/>
      <c r="M37" s="2223"/>
      <c r="N37" s="2223">
        <v>55</v>
      </c>
      <c r="O37" s="2223"/>
      <c r="P37" s="2223"/>
      <c r="Q37" s="2223"/>
      <c r="R37" s="2224"/>
      <c r="S37" s="2224"/>
      <c r="T37" s="2224"/>
      <c r="U37" s="2224"/>
      <c r="V37" s="2224"/>
      <c r="W37" s="2224"/>
      <c r="X37" s="2224"/>
      <c r="Y37" s="2224"/>
      <c r="Z37" s="2224"/>
      <c r="AA37" s="2224"/>
      <c r="AB37" s="2224"/>
      <c r="AC37" s="2224"/>
      <c r="AD37" s="2224"/>
      <c r="AE37" s="2224"/>
      <c r="AF37" s="2224"/>
      <c r="AG37" s="2224"/>
      <c r="AH37" s="2224"/>
      <c r="AI37" s="2224"/>
      <c r="AJ37" s="2224"/>
      <c r="AK37" s="2224"/>
      <c r="AL37" s="2208"/>
      <c r="AM37" s="2209"/>
      <c r="AN37" s="2209"/>
      <c r="AO37" s="2210"/>
      <c r="AP37" s="2208"/>
      <c r="AQ37" s="2209"/>
      <c r="AR37" s="2210"/>
      <c r="AS37" s="2211">
        <f t="shared" si="2"/>
        <v>0</v>
      </c>
      <c r="AT37" s="2212"/>
      <c r="AU37" s="2212"/>
      <c r="AV37" s="2212"/>
      <c r="AW37" s="2212"/>
      <c r="AX37" s="2213"/>
      <c r="AY37" s="2214">
        <f t="shared" si="3"/>
        <v>0</v>
      </c>
      <c r="AZ37" s="2215"/>
      <c r="BA37" s="2215"/>
      <c r="BB37" s="2215"/>
      <c r="BC37" s="2215"/>
      <c r="BD37" s="2216"/>
      <c r="BE37" s="1194"/>
    </row>
    <row r="38" spans="1:58" ht="15.75" customHeight="1">
      <c r="A38" s="1190"/>
      <c r="B38" s="2158" t="s">
        <v>2419</v>
      </c>
      <c r="C38" s="2159"/>
      <c r="D38" s="2159"/>
      <c r="E38" s="2159"/>
      <c r="F38" s="2159"/>
      <c r="G38" s="2159"/>
      <c r="H38" s="2159"/>
      <c r="I38" s="2159"/>
      <c r="J38" s="2223" t="s">
        <v>2418</v>
      </c>
      <c r="K38" s="2223"/>
      <c r="L38" s="2223"/>
      <c r="M38" s="2223"/>
      <c r="N38" s="2223">
        <v>55</v>
      </c>
      <c r="O38" s="2223"/>
      <c r="P38" s="2223"/>
      <c r="Q38" s="2223"/>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08"/>
      <c r="AM38" s="2209"/>
      <c r="AN38" s="2209"/>
      <c r="AO38" s="2210"/>
      <c r="AP38" s="2208"/>
      <c r="AQ38" s="2209"/>
      <c r="AR38" s="2210"/>
      <c r="AS38" s="2211">
        <f t="shared" si="2"/>
        <v>0</v>
      </c>
      <c r="AT38" s="2212"/>
      <c r="AU38" s="2212"/>
      <c r="AV38" s="2212"/>
      <c r="AW38" s="2212"/>
      <c r="AX38" s="2213"/>
      <c r="AY38" s="2214">
        <f t="shared" si="3"/>
        <v>0</v>
      </c>
      <c r="AZ38" s="2215"/>
      <c r="BA38" s="2215"/>
      <c r="BB38" s="2215"/>
      <c r="BC38" s="2215"/>
      <c r="BD38" s="2216"/>
      <c r="BE38" s="1194"/>
    </row>
    <row r="39" spans="1:58" ht="15.75" customHeight="1">
      <c r="A39" s="1190"/>
      <c r="B39" s="2158" t="s">
        <v>2417</v>
      </c>
      <c r="C39" s="2159"/>
      <c r="D39" s="2159"/>
      <c r="E39" s="2159"/>
      <c r="F39" s="2159"/>
      <c r="G39" s="2159"/>
      <c r="H39" s="2159"/>
      <c r="I39" s="2159"/>
      <c r="J39" s="2223"/>
      <c r="K39" s="2223"/>
      <c r="L39" s="2223"/>
      <c r="M39" s="2223"/>
      <c r="N39" s="2223"/>
      <c r="O39" s="2223"/>
      <c r="P39" s="2223"/>
      <c r="Q39" s="2223"/>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08"/>
      <c r="AM39" s="2209"/>
      <c r="AN39" s="2209"/>
      <c r="AO39" s="2210"/>
      <c r="AP39" s="2208"/>
      <c r="AQ39" s="2209"/>
      <c r="AR39" s="2210"/>
      <c r="AS39" s="2211">
        <f t="shared" si="2"/>
        <v>0</v>
      </c>
      <c r="AT39" s="2212"/>
      <c r="AU39" s="2212"/>
      <c r="AV39" s="2212"/>
      <c r="AW39" s="2212"/>
      <c r="AX39" s="2213"/>
      <c r="AY39" s="2214">
        <f t="shared" si="3"/>
        <v>0</v>
      </c>
      <c r="AZ39" s="2215"/>
      <c r="BA39" s="2215"/>
      <c r="BB39" s="2215"/>
      <c r="BC39" s="2215"/>
      <c r="BD39" s="2216"/>
      <c r="BE39" s="1194"/>
    </row>
    <row r="40" spans="1:58" ht="15.75" customHeight="1">
      <c r="A40" s="1190"/>
      <c r="B40" s="2158" t="s">
        <v>2417</v>
      </c>
      <c r="C40" s="2159"/>
      <c r="D40" s="2159"/>
      <c r="E40" s="2159"/>
      <c r="F40" s="2159"/>
      <c r="G40" s="2159"/>
      <c r="H40" s="2159"/>
      <c r="I40" s="2159"/>
      <c r="J40" s="2223"/>
      <c r="K40" s="2223"/>
      <c r="L40" s="2223"/>
      <c r="M40" s="2223"/>
      <c r="N40" s="2223"/>
      <c r="O40" s="2223"/>
      <c r="P40" s="2223"/>
      <c r="Q40" s="2223"/>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08"/>
      <c r="AM40" s="2209"/>
      <c r="AN40" s="2209"/>
      <c r="AO40" s="2210"/>
      <c r="AP40" s="2208"/>
      <c r="AQ40" s="2209"/>
      <c r="AR40" s="2210"/>
      <c r="AS40" s="2211">
        <f t="shared" si="2"/>
        <v>0</v>
      </c>
      <c r="AT40" s="2212"/>
      <c r="AU40" s="2212"/>
      <c r="AV40" s="2212"/>
      <c r="AW40" s="2212"/>
      <c r="AX40" s="2213"/>
      <c r="AY40" s="2214">
        <f t="shared" si="3"/>
        <v>0</v>
      </c>
      <c r="AZ40" s="2215"/>
      <c r="BA40" s="2215"/>
      <c r="BB40" s="2215"/>
      <c r="BC40" s="2215"/>
      <c r="BD40" s="2216"/>
      <c r="BE40" s="1194"/>
    </row>
    <row r="41" spans="1:58" ht="15.75" customHeight="1">
      <c r="A41" s="1190"/>
      <c r="B41" s="2158" t="s">
        <v>2416</v>
      </c>
      <c r="C41" s="2159"/>
      <c r="D41" s="2159"/>
      <c r="E41" s="2159"/>
      <c r="F41" s="2159"/>
      <c r="G41" s="2159"/>
      <c r="H41" s="2159"/>
      <c r="I41" s="2159"/>
      <c r="J41" s="2223"/>
      <c r="K41" s="2223"/>
      <c r="L41" s="2223"/>
      <c r="M41" s="2223"/>
      <c r="N41" s="2223"/>
      <c r="O41" s="2223"/>
      <c r="P41" s="2223"/>
      <c r="Q41" s="2223"/>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08"/>
      <c r="AM41" s="2209"/>
      <c r="AN41" s="2209"/>
      <c r="AO41" s="2210"/>
      <c r="AP41" s="2208"/>
      <c r="AQ41" s="2209"/>
      <c r="AR41" s="2210"/>
      <c r="AS41" s="2211">
        <f t="shared" si="2"/>
        <v>0</v>
      </c>
      <c r="AT41" s="2212"/>
      <c r="AU41" s="2212"/>
      <c r="AV41" s="2212"/>
      <c r="AW41" s="2212"/>
      <c r="AX41" s="2213"/>
      <c r="AY41" s="2214">
        <f t="shared" si="3"/>
        <v>0</v>
      </c>
      <c r="AZ41" s="2215"/>
      <c r="BA41" s="2215"/>
      <c r="BB41" s="2215"/>
      <c r="BC41" s="2215"/>
      <c r="BD41" s="2216"/>
      <c r="BE41" s="1194"/>
    </row>
    <row r="42" spans="1:58" ht="15.75" customHeight="1">
      <c r="A42" s="1190"/>
      <c r="B42" s="2158" t="s">
        <v>2416</v>
      </c>
      <c r="C42" s="2159"/>
      <c r="D42" s="2159"/>
      <c r="E42" s="2159"/>
      <c r="F42" s="2159"/>
      <c r="G42" s="2159"/>
      <c r="H42" s="2159"/>
      <c r="I42" s="2159"/>
      <c r="J42" s="2223"/>
      <c r="K42" s="2223"/>
      <c r="L42" s="2223"/>
      <c r="M42" s="2223"/>
      <c r="N42" s="2223"/>
      <c r="O42" s="2223"/>
      <c r="P42" s="2223"/>
      <c r="Q42" s="2223"/>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08"/>
      <c r="AM42" s="2209"/>
      <c r="AN42" s="2209"/>
      <c r="AO42" s="2210"/>
      <c r="AP42" s="2208"/>
      <c r="AQ42" s="2209"/>
      <c r="AR42" s="2210"/>
      <c r="AS42" s="2211">
        <f t="shared" si="2"/>
        <v>0</v>
      </c>
      <c r="AT42" s="2212"/>
      <c r="AU42" s="2212"/>
      <c r="AV42" s="2212"/>
      <c r="AW42" s="2212"/>
      <c r="AX42" s="2213"/>
      <c r="AY42" s="2214">
        <f t="shared" si="3"/>
        <v>0</v>
      </c>
      <c r="AZ42" s="2215"/>
      <c r="BA42" s="2215"/>
      <c r="BB42" s="2215"/>
      <c r="BC42" s="2215"/>
      <c r="BD42" s="2216"/>
      <c r="BE42" s="1194"/>
    </row>
    <row r="43" spans="1:58" ht="15.75" customHeight="1">
      <c r="A43" s="1190"/>
      <c r="B43" s="2163" t="s">
        <v>2415</v>
      </c>
      <c r="C43" s="2164"/>
      <c r="D43" s="2164"/>
      <c r="E43" s="2164"/>
      <c r="F43" s="2164"/>
      <c r="G43" s="2164"/>
      <c r="H43" s="2164"/>
      <c r="I43" s="2164"/>
      <c r="J43" s="2223"/>
      <c r="K43" s="2223"/>
      <c r="L43" s="2223"/>
      <c r="M43" s="2223"/>
      <c r="N43" s="2223"/>
      <c r="O43" s="2223"/>
      <c r="P43" s="2223"/>
      <c r="Q43" s="2223"/>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08"/>
      <c r="AM43" s="2209"/>
      <c r="AN43" s="2209"/>
      <c r="AO43" s="2210"/>
      <c r="AP43" s="2208"/>
      <c r="AQ43" s="2209"/>
      <c r="AR43" s="2210"/>
      <c r="AS43" s="2211">
        <f t="shared" si="2"/>
        <v>0</v>
      </c>
      <c r="AT43" s="2212"/>
      <c r="AU43" s="2212"/>
      <c r="AV43" s="2212"/>
      <c r="AW43" s="2212"/>
      <c r="AX43" s="2213"/>
      <c r="AY43" s="2214">
        <f t="shared" si="3"/>
        <v>0</v>
      </c>
      <c r="AZ43" s="2215"/>
      <c r="BA43" s="2215"/>
      <c r="BB43" s="2215"/>
      <c r="BC43" s="2215"/>
      <c r="BD43" s="2216"/>
      <c r="BE43" s="1194"/>
    </row>
    <row r="44" spans="1:58" ht="15.75" customHeight="1">
      <c r="A44" s="1190"/>
      <c r="B44" s="2163" t="s">
        <v>2414</v>
      </c>
      <c r="C44" s="2164"/>
      <c r="D44" s="2164"/>
      <c r="E44" s="2164"/>
      <c r="F44" s="2164"/>
      <c r="G44" s="2164"/>
      <c r="H44" s="2164"/>
      <c r="I44" s="2164"/>
      <c r="J44" s="2223"/>
      <c r="K44" s="2223"/>
      <c r="L44" s="2223"/>
      <c r="M44" s="2223"/>
      <c r="N44" s="2223"/>
      <c r="O44" s="2223"/>
      <c r="P44" s="2223"/>
      <c r="Q44" s="2223"/>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08"/>
      <c r="AM44" s="2209"/>
      <c r="AN44" s="2209"/>
      <c r="AO44" s="2210"/>
      <c r="AP44" s="2208"/>
      <c r="AQ44" s="2209"/>
      <c r="AR44" s="2210"/>
      <c r="AS44" s="2211">
        <f t="shared" si="2"/>
        <v>0</v>
      </c>
      <c r="AT44" s="2212"/>
      <c r="AU44" s="2212"/>
      <c r="AV44" s="2212"/>
      <c r="AW44" s="2212"/>
      <c r="AX44" s="2213"/>
      <c r="AY44" s="2214">
        <f t="shared" si="3"/>
        <v>0</v>
      </c>
      <c r="AZ44" s="2215"/>
      <c r="BA44" s="2215"/>
      <c r="BB44" s="2215"/>
      <c r="BC44" s="2215"/>
      <c r="BD44" s="2216"/>
      <c r="BE44" s="1194"/>
    </row>
    <row r="45" spans="1:58" ht="15.75" customHeight="1">
      <c r="A45" s="1190"/>
      <c r="B45" s="2163" t="s">
        <v>2413</v>
      </c>
      <c r="C45" s="2164"/>
      <c r="D45" s="2164"/>
      <c r="E45" s="2164"/>
      <c r="F45" s="2164"/>
      <c r="G45" s="2164"/>
      <c r="H45" s="2164"/>
      <c r="I45" s="2164"/>
      <c r="J45" s="2223"/>
      <c r="K45" s="2223"/>
      <c r="L45" s="2223"/>
      <c r="M45" s="2223"/>
      <c r="N45" s="2223"/>
      <c r="O45" s="2223"/>
      <c r="P45" s="2223"/>
      <c r="Q45" s="2223"/>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08"/>
      <c r="AM45" s="2209"/>
      <c r="AN45" s="2209"/>
      <c r="AO45" s="2210"/>
      <c r="AP45" s="2208"/>
      <c r="AQ45" s="2209"/>
      <c r="AR45" s="2210"/>
      <c r="AS45" s="2211">
        <f t="shared" si="2"/>
        <v>0</v>
      </c>
      <c r="AT45" s="2212"/>
      <c r="AU45" s="2212"/>
      <c r="AV45" s="2212"/>
      <c r="AW45" s="2212"/>
      <c r="AX45" s="2213"/>
      <c r="AY45" s="2214">
        <f t="shared" si="3"/>
        <v>0</v>
      </c>
      <c r="AZ45" s="2215"/>
      <c r="BA45" s="2215"/>
      <c r="BB45" s="2215"/>
      <c r="BC45" s="2215"/>
      <c r="BD45" s="2216"/>
      <c r="BE45" s="1194"/>
    </row>
    <row r="46" spans="1:58" ht="15.75" customHeight="1">
      <c r="A46" s="1190"/>
      <c r="B46" s="2163" t="s">
        <v>2337</v>
      </c>
      <c r="C46" s="2164"/>
      <c r="D46" s="2164"/>
      <c r="E46" s="2164"/>
      <c r="F46" s="2164"/>
      <c r="G46" s="2164"/>
      <c r="H46" s="2164"/>
      <c r="I46" s="2164"/>
      <c r="J46" s="2223"/>
      <c r="K46" s="2223"/>
      <c r="L46" s="2223"/>
      <c r="M46" s="2223"/>
      <c r="N46" s="2223">
        <v>99</v>
      </c>
      <c r="O46" s="2223"/>
      <c r="P46" s="2223"/>
      <c r="Q46" s="2223"/>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08"/>
      <c r="AM46" s="2209"/>
      <c r="AN46" s="2209"/>
      <c r="AO46" s="2210"/>
      <c r="AP46" s="2208"/>
      <c r="AQ46" s="2209"/>
      <c r="AR46" s="2210"/>
      <c r="AS46" s="2211">
        <f t="shared" si="2"/>
        <v>0</v>
      </c>
      <c r="AT46" s="2212"/>
      <c r="AU46" s="2212"/>
      <c r="AV46" s="2212"/>
      <c r="AW46" s="2212"/>
      <c r="AX46" s="2213"/>
      <c r="AY46" s="2214">
        <f t="shared" si="3"/>
        <v>0</v>
      </c>
      <c r="AZ46" s="2215"/>
      <c r="BA46" s="2215"/>
      <c r="BB46" s="2215"/>
      <c r="BC46" s="2215"/>
      <c r="BD46" s="2216"/>
      <c r="BE46" s="1194"/>
    </row>
    <row r="47" spans="1:58" ht="15.75" customHeight="1" thickBot="1">
      <c r="A47" s="1190"/>
      <c r="B47" s="2217" t="s">
        <v>299</v>
      </c>
      <c r="C47" s="2218"/>
      <c r="D47" s="2218"/>
      <c r="E47" s="2218"/>
      <c r="F47" s="2218"/>
      <c r="G47" s="2218"/>
      <c r="H47" s="2218"/>
      <c r="I47" s="2218"/>
      <c r="J47" s="2219"/>
      <c r="K47" s="2219"/>
      <c r="L47" s="2219"/>
      <c r="M47" s="2219"/>
      <c r="N47" s="2219"/>
      <c r="O47" s="2219"/>
      <c r="P47" s="2219"/>
      <c r="Q47" s="2219"/>
      <c r="R47" s="2204"/>
      <c r="S47" s="2204"/>
      <c r="T47" s="2204"/>
      <c r="U47" s="2204"/>
      <c r="V47" s="2204"/>
      <c r="W47" s="2204"/>
      <c r="X47" s="2204"/>
      <c r="Y47" s="2204"/>
      <c r="Z47" s="2204"/>
      <c r="AA47" s="2204"/>
      <c r="AB47" s="2204"/>
      <c r="AC47" s="2204"/>
      <c r="AD47" s="2204"/>
      <c r="AE47" s="2204"/>
      <c r="AF47" s="2204"/>
      <c r="AG47" s="2204"/>
      <c r="AH47" s="2204"/>
      <c r="AI47" s="2204"/>
      <c r="AJ47" s="2204"/>
      <c r="AK47" s="2204"/>
      <c r="AL47" s="2205"/>
      <c r="AM47" s="2206"/>
      <c r="AN47" s="2206"/>
      <c r="AO47" s="2207"/>
      <c r="AP47" s="2205"/>
      <c r="AQ47" s="2206"/>
      <c r="AR47" s="2207"/>
      <c r="AS47" s="2211">
        <f t="shared" si="2"/>
        <v>0</v>
      </c>
      <c r="AT47" s="2212"/>
      <c r="AU47" s="2212"/>
      <c r="AV47" s="2212"/>
      <c r="AW47" s="2212"/>
      <c r="AX47" s="2213"/>
      <c r="AY47" s="2220">
        <f t="shared" si="3"/>
        <v>0</v>
      </c>
      <c r="AZ47" s="2221"/>
      <c r="BA47" s="2221"/>
      <c r="BB47" s="2221"/>
      <c r="BC47" s="2221"/>
      <c r="BD47" s="2222"/>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0" t="s">
        <v>2410</v>
      </c>
      <c r="C50" s="2026"/>
      <c r="D50" s="2026"/>
      <c r="E50" s="2026"/>
      <c r="F50" s="2026"/>
      <c r="G50" s="2026"/>
      <c r="H50" s="2026"/>
      <c r="I50" s="2026"/>
      <c r="J50" s="2026"/>
      <c r="K50" s="2026"/>
      <c r="L50" s="2026"/>
      <c r="M50" s="2026"/>
      <c r="N50" s="2026"/>
      <c r="O50" s="2026"/>
      <c r="P50" s="2026"/>
      <c r="Q50" s="2026"/>
      <c r="R50" s="2026"/>
      <c r="S50" s="2026"/>
      <c r="T50" s="2026"/>
      <c r="U50" s="2026"/>
      <c r="V50" s="2026"/>
      <c r="W50" s="2026"/>
      <c r="X50" s="2026"/>
      <c r="Y50" s="2026"/>
      <c r="Z50" s="2026"/>
      <c r="AA50" s="2026"/>
      <c r="AB50" s="2026"/>
      <c r="AC50" s="2026"/>
      <c r="AD50" s="2026"/>
      <c r="AE50" s="2026"/>
      <c r="AF50" s="2026"/>
      <c r="AG50" s="2026"/>
      <c r="AH50" s="2026"/>
      <c r="AI50" s="2026"/>
      <c r="AJ50" s="2026"/>
      <c r="AK50" s="2026"/>
      <c r="AL50" s="2026"/>
      <c r="AM50" s="2026"/>
      <c r="AN50" s="2026"/>
      <c r="AO50" s="202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3" t="s">
        <v>2403</v>
      </c>
      <c r="C51" s="2101"/>
      <c r="D51" s="2101"/>
      <c r="E51" s="2101"/>
      <c r="F51" s="2101"/>
      <c r="G51" s="2101"/>
      <c r="H51" s="2101"/>
      <c r="I51" s="2101"/>
      <c r="J51" s="2101" t="s">
        <v>2409</v>
      </c>
      <c r="K51" s="2101"/>
      <c r="L51" s="2101"/>
      <c r="M51" s="2101"/>
      <c r="N51" s="2101"/>
      <c r="O51" s="2101"/>
      <c r="P51" s="2101"/>
      <c r="Q51" s="2101"/>
      <c r="R51" s="2202" t="s">
        <v>2408</v>
      </c>
      <c r="S51" s="2202"/>
      <c r="T51" s="2202"/>
      <c r="U51" s="2202"/>
      <c r="V51" s="2202"/>
      <c r="W51" s="2202"/>
      <c r="X51" s="2202"/>
      <c r="Y51" s="2202"/>
      <c r="Z51" s="2202" t="s">
        <v>2407</v>
      </c>
      <c r="AA51" s="2202"/>
      <c r="AB51" s="2202"/>
      <c r="AC51" s="2202"/>
      <c r="AD51" s="2202"/>
      <c r="AE51" s="2202"/>
      <c r="AF51" s="2202"/>
      <c r="AG51" s="2202"/>
      <c r="AH51" s="2202" t="s">
        <v>2406</v>
      </c>
      <c r="AI51" s="2202"/>
      <c r="AJ51" s="2202"/>
      <c r="AK51" s="2202"/>
      <c r="AL51" s="2202"/>
      <c r="AM51" s="2202"/>
      <c r="AN51" s="2202"/>
      <c r="AO51" s="220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3" t="s">
        <v>2405</v>
      </c>
      <c r="C52" s="2164"/>
      <c r="D52" s="2164"/>
      <c r="E52" s="2164"/>
      <c r="F52" s="2164"/>
      <c r="G52" s="2164"/>
      <c r="H52" s="2164"/>
      <c r="I52" s="2164"/>
      <c r="J52" s="1987">
        <v>0</v>
      </c>
      <c r="K52" s="1987"/>
      <c r="L52" s="1987"/>
      <c r="M52" s="1987"/>
      <c r="N52" s="1987"/>
      <c r="O52" s="1987"/>
      <c r="P52" s="1987"/>
      <c r="Q52" s="1987"/>
      <c r="R52" s="2194">
        <v>0</v>
      </c>
      <c r="S52" s="2194"/>
      <c r="T52" s="2194"/>
      <c r="U52" s="2194"/>
      <c r="V52" s="2194"/>
      <c r="W52" s="2194"/>
      <c r="X52" s="2194"/>
      <c r="Y52" s="2194"/>
      <c r="Z52" s="2195">
        <v>0</v>
      </c>
      <c r="AA52" s="2195"/>
      <c r="AB52" s="2195"/>
      <c r="AC52" s="2195"/>
      <c r="AD52" s="2195"/>
      <c r="AE52" s="2195"/>
      <c r="AF52" s="2195"/>
      <c r="AG52" s="2195"/>
      <c r="AH52" s="2196"/>
      <c r="AI52" s="2196"/>
      <c r="AJ52" s="2196"/>
      <c r="AK52" s="2196"/>
      <c r="AL52" s="2196"/>
      <c r="AM52" s="2196"/>
      <c r="AN52" s="2196"/>
      <c r="AO52" s="219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3" t="s">
        <v>2404</v>
      </c>
      <c r="C53" s="2164"/>
      <c r="D53" s="2164"/>
      <c r="E53" s="2164"/>
      <c r="F53" s="2164"/>
      <c r="G53" s="2164"/>
      <c r="H53" s="2164"/>
      <c r="I53" s="2164"/>
      <c r="J53" s="1987">
        <v>0</v>
      </c>
      <c r="K53" s="1987"/>
      <c r="L53" s="1987"/>
      <c r="M53" s="1987"/>
      <c r="N53" s="1987"/>
      <c r="O53" s="1987"/>
      <c r="P53" s="1987"/>
      <c r="Q53" s="1987"/>
      <c r="R53" s="2194">
        <v>0</v>
      </c>
      <c r="S53" s="2194"/>
      <c r="T53" s="2194"/>
      <c r="U53" s="2194"/>
      <c r="V53" s="2194"/>
      <c r="W53" s="2194"/>
      <c r="X53" s="2194"/>
      <c r="Y53" s="2194"/>
      <c r="Z53" s="2195">
        <v>0</v>
      </c>
      <c r="AA53" s="2195"/>
      <c r="AB53" s="2195"/>
      <c r="AC53" s="2195"/>
      <c r="AD53" s="2195"/>
      <c r="AE53" s="2195"/>
      <c r="AF53" s="2195"/>
      <c r="AG53" s="2195"/>
      <c r="AH53" s="2196"/>
      <c r="AI53" s="2196"/>
      <c r="AJ53" s="2196"/>
      <c r="AK53" s="2196"/>
      <c r="AL53" s="2196"/>
      <c r="AM53" s="2196"/>
      <c r="AN53" s="2196"/>
      <c r="AO53" s="219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3"/>
      <c r="C54" s="2164"/>
      <c r="D54" s="2164"/>
      <c r="E54" s="2164"/>
      <c r="F54" s="2164"/>
      <c r="G54" s="2164"/>
      <c r="H54" s="2164"/>
      <c r="I54" s="2164"/>
      <c r="J54" s="1987"/>
      <c r="K54" s="1987"/>
      <c r="L54" s="1987"/>
      <c r="M54" s="1987"/>
      <c r="N54" s="1987"/>
      <c r="O54" s="1987"/>
      <c r="P54" s="1987"/>
      <c r="Q54" s="1987"/>
      <c r="R54" s="2194"/>
      <c r="S54" s="2194"/>
      <c r="T54" s="2194"/>
      <c r="U54" s="2194"/>
      <c r="V54" s="2194"/>
      <c r="W54" s="2194"/>
      <c r="X54" s="2194"/>
      <c r="Y54" s="2194"/>
      <c r="Z54" s="2195"/>
      <c r="AA54" s="2195"/>
      <c r="AB54" s="2195"/>
      <c r="AC54" s="2195"/>
      <c r="AD54" s="2195"/>
      <c r="AE54" s="2195"/>
      <c r="AF54" s="2195"/>
      <c r="AG54" s="2195"/>
      <c r="AH54" s="2196"/>
      <c r="AI54" s="2196"/>
      <c r="AJ54" s="2196"/>
      <c r="AK54" s="2196"/>
      <c r="AL54" s="2196"/>
      <c r="AM54" s="2196"/>
      <c r="AN54" s="2196"/>
      <c r="AO54" s="219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3"/>
      <c r="C55" s="2164"/>
      <c r="D55" s="2164"/>
      <c r="E55" s="2164"/>
      <c r="F55" s="2164"/>
      <c r="G55" s="2164"/>
      <c r="H55" s="2164"/>
      <c r="I55" s="2164"/>
      <c r="J55" s="1987"/>
      <c r="K55" s="1987"/>
      <c r="L55" s="1987"/>
      <c r="M55" s="1987"/>
      <c r="N55" s="1987"/>
      <c r="O55" s="1987"/>
      <c r="P55" s="1987"/>
      <c r="Q55" s="1987"/>
      <c r="R55" s="2194"/>
      <c r="S55" s="2194"/>
      <c r="T55" s="2194"/>
      <c r="U55" s="2194"/>
      <c r="V55" s="2194"/>
      <c r="W55" s="2194"/>
      <c r="X55" s="2194"/>
      <c r="Y55" s="2194"/>
      <c r="Z55" s="2195"/>
      <c r="AA55" s="2195"/>
      <c r="AB55" s="2195"/>
      <c r="AC55" s="2195"/>
      <c r="AD55" s="2195"/>
      <c r="AE55" s="2195"/>
      <c r="AF55" s="2195"/>
      <c r="AG55" s="2195"/>
      <c r="AH55" s="2196"/>
      <c r="AI55" s="2196"/>
      <c r="AJ55" s="2196"/>
      <c r="AK55" s="2196"/>
      <c r="AL55" s="2196"/>
      <c r="AM55" s="2196"/>
      <c r="AN55" s="2196"/>
      <c r="AO55" s="2197"/>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3"/>
      <c r="C56" s="2164"/>
      <c r="D56" s="2164"/>
      <c r="E56" s="2164"/>
      <c r="F56" s="2164"/>
      <c r="G56" s="2164"/>
      <c r="H56" s="2164"/>
      <c r="I56" s="2164"/>
      <c r="J56" s="1987"/>
      <c r="K56" s="1987"/>
      <c r="L56" s="1987"/>
      <c r="M56" s="1987"/>
      <c r="N56" s="1987"/>
      <c r="O56" s="1987"/>
      <c r="P56" s="1987"/>
      <c r="Q56" s="1987"/>
      <c r="R56" s="2194"/>
      <c r="S56" s="2194"/>
      <c r="T56" s="2194"/>
      <c r="U56" s="2194"/>
      <c r="V56" s="2194"/>
      <c r="W56" s="2194"/>
      <c r="X56" s="2194"/>
      <c r="Y56" s="2194"/>
      <c r="Z56" s="2195"/>
      <c r="AA56" s="2195"/>
      <c r="AB56" s="2195"/>
      <c r="AC56" s="2195"/>
      <c r="AD56" s="2195"/>
      <c r="AE56" s="2195"/>
      <c r="AF56" s="2195"/>
      <c r="AG56" s="2195"/>
      <c r="AH56" s="2196"/>
      <c r="AI56" s="2196"/>
      <c r="AJ56" s="2196"/>
      <c r="AK56" s="2196"/>
      <c r="AL56" s="2196"/>
      <c r="AM56" s="2196"/>
      <c r="AN56" s="2196"/>
      <c r="AO56" s="219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1" t="s">
        <v>1586</v>
      </c>
      <c r="C57" s="2132"/>
      <c r="D57" s="2132"/>
      <c r="E57" s="2132"/>
      <c r="F57" s="2132"/>
      <c r="G57" s="2132"/>
      <c r="H57" s="2132"/>
      <c r="I57" s="2132"/>
      <c r="J57" s="2132"/>
      <c r="K57" s="2132"/>
      <c r="L57" s="2132"/>
      <c r="M57" s="2132"/>
      <c r="N57" s="2132"/>
      <c r="O57" s="2132"/>
      <c r="P57" s="2132"/>
      <c r="Q57" s="2132"/>
      <c r="R57" s="2198">
        <f>SUM(R52:Y56)</f>
        <v>0</v>
      </c>
      <c r="S57" s="2198"/>
      <c r="T57" s="2198"/>
      <c r="U57" s="2198"/>
      <c r="V57" s="2198"/>
      <c r="W57" s="2198"/>
      <c r="X57" s="2198"/>
      <c r="Y57" s="2198"/>
      <c r="Z57" s="2199">
        <f>SUM(Z52:AG56)</f>
        <v>0</v>
      </c>
      <c r="AA57" s="2199"/>
      <c r="AB57" s="2199"/>
      <c r="AC57" s="2199"/>
      <c r="AD57" s="2199"/>
      <c r="AE57" s="2199"/>
      <c r="AF57" s="2199"/>
      <c r="AG57" s="2199"/>
      <c r="AH57" s="2200"/>
      <c r="AI57" s="2200"/>
      <c r="AJ57" s="2200"/>
      <c r="AK57" s="2200"/>
      <c r="AL57" s="2200"/>
      <c r="AM57" s="2200"/>
      <c r="AN57" s="2200"/>
      <c r="AO57" s="220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1" t="s">
        <v>2403</v>
      </c>
      <c r="C59" s="2192"/>
      <c r="D59" s="2192"/>
      <c r="E59" s="2192"/>
      <c r="F59" s="2192"/>
      <c r="G59" s="2192"/>
      <c r="H59" s="2192"/>
      <c r="I59" s="2193"/>
      <c r="J59" s="2099" t="s">
        <v>2402</v>
      </c>
      <c r="K59" s="2099"/>
      <c r="L59" s="2099"/>
      <c r="M59" s="2099"/>
      <c r="N59" s="2099"/>
      <c r="O59" s="2099"/>
      <c r="P59" s="2099"/>
      <c r="Q59" s="2099"/>
      <c r="R59" s="2099"/>
      <c r="S59" s="2099"/>
      <c r="T59" s="2099"/>
      <c r="U59" s="2099"/>
      <c r="V59" s="2099"/>
      <c r="W59" s="2099"/>
      <c r="X59" s="2099"/>
      <c r="Y59" s="2099"/>
      <c r="Z59" s="2099"/>
      <c r="AA59" s="2099"/>
      <c r="AB59" s="2099"/>
      <c r="AC59" s="2099"/>
      <c r="AD59" s="2099"/>
      <c r="AE59" s="2099"/>
      <c r="AF59" s="2099"/>
      <c r="AG59" s="2099"/>
      <c r="AH59" s="2099"/>
      <c r="AI59" s="2099"/>
      <c r="AJ59" s="2099"/>
      <c r="AK59" s="2099"/>
      <c r="AL59" s="2099"/>
      <c r="AM59" s="2099"/>
      <c r="AN59" s="2099"/>
      <c r="AO59" s="2099"/>
      <c r="AP59" s="2099"/>
      <c r="AQ59" s="2099"/>
      <c r="AR59" s="2099"/>
      <c r="AS59" s="2099"/>
      <c r="AT59" s="2099"/>
      <c r="AU59" s="2099"/>
      <c r="AV59" s="2099"/>
      <c r="AW59" s="2100"/>
      <c r="AX59" s="1190"/>
      <c r="AY59" s="1190"/>
      <c r="AZ59" s="1190"/>
      <c r="BA59" s="1190"/>
      <c r="BB59" s="1190"/>
      <c r="BC59" s="1190"/>
      <c r="BD59" s="1190"/>
      <c r="BE59" s="1194"/>
    </row>
    <row r="60" spans="1:77" ht="15.75" customHeight="1">
      <c r="A60" s="1190"/>
      <c r="B60" s="2183" t="str">
        <f>IF(B52="", "", B52)</f>
        <v>Services Company 1</v>
      </c>
      <c r="C60" s="2184"/>
      <c r="D60" s="2184"/>
      <c r="E60" s="2184"/>
      <c r="F60" s="2184"/>
      <c r="G60" s="2184"/>
      <c r="H60" s="2184"/>
      <c r="I60" s="2185"/>
      <c r="J60" s="2186"/>
      <c r="K60" s="1990"/>
      <c r="L60" s="1990"/>
      <c r="M60" s="1990"/>
      <c r="N60" s="1990"/>
      <c r="O60" s="1990"/>
      <c r="P60" s="1990"/>
      <c r="Q60" s="1990"/>
      <c r="R60" s="1990"/>
      <c r="S60" s="1990"/>
      <c r="T60" s="1990"/>
      <c r="U60" s="1990"/>
      <c r="V60" s="1990"/>
      <c r="W60" s="1990"/>
      <c r="X60" s="1990"/>
      <c r="Y60" s="1990"/>
      <c r="Z60" s="1990"/>
      <c r="AA60" s="1990"/>
      <c r="AB60" s="1990"/>
      <c r="AC60" s="1990"/>
      <c r="AD60" s="1990"/>
      <c r="AE60" s="1990"/>
      <c r="AF60" s="1990"/>
      <c r="AG60" s="1990"/>
      <c r="AH60" s="1990"/>
      <c r="AI60" s="1990"/>
      <c r="AJ60" s="1990"/>
      <c r="AK60" s="1990"/>
      <c r="AL60" s="1990"/>
      <c r="AM60" s="1990"/>
      <c r="AN60" s="1990"/>
      <c r="AO60" s="1990"/>
      <c r="AP60" s="1990"/>
      <c r="AQ60" s="1990"/>
      <c r="AR60" s="1990"/>
      <c r="AS60" s="1990"/>
      <c r="AT60" s="1990"/>
      <c r="AU60" s="1990"/>
      <c r="AV60" s="1990"/>
      <c r="AW60" s="1991"/>
      <c r="AX60" s="1190"/>
      <c r="AY60" s="1190"/>
      <c r="AZ60" s="1190"/>
      <c r="BA60" s="1190"/>
      <c r="BB60" s="1190"/>
      <c r="BC60" s="1190"/>
      <c r="BD60" s="1190"/>
      <c r="BE60" s="1194"/>
    </row>
    <row r="61" spans="1:77" ht="15.75" customHeight="1">
      <c r="A61" s="1190"/>
      <c r="B61" s="2183" t="str">
        <f>IF(B53="", "", B53)</f>
        <v>Services Company 2</v>
      </c>
      <c r="C61" s="2184"/>
      <c r="D61" s="2184"/>
      <c r="E61" s="2184"/>
      <c r="F61" s="2184"/>
      <c r="G61" s="2184"/>
      <c r="H61" s="2184"/>
      <c r="I61" s="2185"/>
      <c r="J61" s="2186"/>
      <c r="K61" s="1990"/>
      <c r="L61" s="1990"/>
      <c r="M61" s="1990"/>
      <c r="N61" s="1990"/>
      <c r="O61" s="1990"/>
      <c r="P61" s="1990"/>
      <c r="Q61" s="1990"/>
      <c r="R61" s="1990"/>
      <c r="S61" s="1990"/>
      <c r="T61" s="1990"/>
      <c r="U61" s="1990"/>
      <c r="V61" s="1990"/>
      <c r="W61" s="1990"/>
      <c r="X61" s="1990"/>
      <c r="Y61" s="1990"/>
      <c r="Z61" s="1990"/>
      <c r="AA61" s="1990"/>
      <c r="AB61" s="1990"/>
      <c r="AC61" s="1990"/>
      <c r="AD61" s="1990"/>
      <c r="AE61" s="1990"/>
      <c r="AF61" s="1990"/>
      <c r="AG61" s="1990"/>
      <c r="AH61" s="1990"/>
      <c r="AI61" s="1990"/>
      <c r="AJ61" s="1990"/>
      <c r="AK61" s="1990"/>
      <c r="AL61" s="1990"/>
      <c r="AM61" s="1990"/>
      <c r="AN61" s="1990"/>
      <c r="AO61" s="1990"/>
      <c r="AP61" s="1990"/>
      <c r="AQ61" s="1990"/>
      <c r="AR61" s="1990"/>
      <c r="AS61" s="1990"/>
      <c r="AT61" s="1990"/>
      <c r="AU61" s="1990"/>
      <c r="AV61" s="1990"/>
      <c r="AW61" s="1991"/>
      <c r="AX61" s="1190"/>
      <c r="AY61" s="1190"/>
      <c r="AZ61" s="1190"/>
      <c r="BA61" s="1190"/>
      <c r="BB61" s="1190"/>
      <c r="BC61" s="1190"/>
      <c r="BD61" s="1190"/>
      <c r="BE61" s="1194"/>
    </row>
    <row r="62" spans="1:77" ht="15.75" customHeight="1">
      <c r="A62" s="1190"/>
      <c r="B62" s="2183" t="str">
        <f>IF(B54="", "", B54)</f>
        <v/>
      </c>
      <c r="C62" s="2184"/>
      <c r="D62" s="2184"/>
      <c r="E62" s="2184"/>
      <c r="F62" s="2184"/>
      <c r="G62" s="2184"/>
      <c r="H62" s="2184"/>
      <c r="I62" s="2185"/>
      <c r="J62" s="2186"/>
      <c r="K62" s="1990"/>
      <c r="L62" s="1990"/>
      <c r="M62" s="1990"/>
      <c r="N62" s="1990"/>
      <c r="O62" s="1990"/>
      <c r="P62" s="1990"/>
      <c r="Q62" s="1990"/>
      <c r="R62" s="1990"/>
      <c r="S62" s="1990"/>
      <c r="T62" s="1990"/>
      <c r="U62" s="1990"/>
      <c r="V62" s="1990"/>
      <c r="W62" s="1990"/>
      <c r="X62" s="1990"/>
      <c r="Y62" s="1990"/>
      <c r="Z62" s="1990"/>
      <c r="AA62" s="1990"/>
      <c r="AB62" s="1990"/>
      <c r="AC62" s="1990"/>
      <c r="AD62" s="1990"/>
      <c r="AE62" s="1990"/>
      <c r="AF62" s="1990"/>
      <c r="AG62" s="1990"/>
      <c r="AH62" s="1990"/>
      <c r="AI62" s="1990"/>
      <c r="AJ62" s="1990"/>
      <c r="AK62" s="1990"/>
      <c r="AL62" s="1990"/>
      <c r="AM62" s="1990"/>
      <c r="AN62" s="1990"/>
      <c r="AO62" s="1990"/>
      <c r="AP62" s="1990"/>
      <c r="AQ62" s="1990"/>
      <c r="AR62" s="1990"/>
      <c r="AS62" s="1990"/>
      <c r="AT62" s="1990"/>
      <c r="AU62" s="1990"/>
      <c r="AV62" s="1990"/>
      <c r="AW62" s="1991"/>
      <c r="AX62" s="1190"/>
      <c r="AY62" s="1190"/>
      <c r="AZ62" s="1190"/>
      <c r="BA62" s="1190"/>
      <c r="BB62" s="1190"/>
      <c r="BC62" s="1190"/>
      <c r="BD62" s="1190"/>
      <c r="BE62" s="1194"/>
    </row>
    <row r="63" spans="1:77" ht="15.75" customHeight="1">
      <c r="A63" s="1190"/>
      <c r="B63" s="2183" t="str">
        <f>IF(B55="", "", B55)</f>
        <v/>
      </c>
      <c r="C63" s="2184"/>
      <c r="D63" s="2184"/>
      <c r="E63" s="2184"/>
      <c r="F63" s="2184"/>
      <c r="G63" s="2184"/>
      <c r="H63" s="2184"/>
      <c r="I63" s="2185"/>
      <c r="J63" s="2186"/>
      <c r="K63" s="1990"/>
      <c r="L63" s="1990"/>
      <c r="M63" s="1990"/>
      <c r="N63" s="1990"/>
      <c r="O63" s="1990"/>
      <c r="P63" s="1990"/>
      <c r="Q63" s="1990"/>
      <c r="R63" s="1990"/>
      <c r="S63" s="1990"/>
      <c r="T63" s="1990"/>
      <c r="U63" s="1990"/>
      <c r="V63" s="1990"/>
      <c r="W63" s="1990"/>
      <c r="X63" s="1990"/>
      <c r="Y63" s="1990"/>
      <c r="Z63" s="1990"/>
      <c r="AA63" s="1990"/>
      <c r="AB63" s="1990"/>
      <c r="AC63" s="1990"/>
      <c r="AD63" s="1990"/>
      <c r="AE63" s="1990"/>
      <c r="AF63" s="1990"/>
      <c r="AG63" s="1990"/>
      <c r="AH63" s="1990"/>
      <c r="AI63" s="1990"/>
      <c r="AJ63" s="1990"/>
      <c r="AK63" s="1990"/>
      <c r="AL63" s="1990"/>
      <c r="AM63" s="1990"/>
      <c r="AN63" s="1990"/>
      <c r="AO63" s="1990"/>
      <c r="AP63" s="1990"/>
      <c r="AQ63" s="1990"/>
      <c r="AR63" s="1990"/>
      <c r="AS63" s="1990"/>
      <c r="AT63" s="1990"/>
      <c r="AU63" s="1990"/>
      <c r="AV63" s="1990"/>
      <c r="AW63" s="1991"/>
      <c r="AX63" s="1190"/>
      <c r="AY63" s="1190"/>
      <c r="AZ63" s="1190"/>
      <c r="BA63" s="1190"/>
      <c r="BB63" s="1190"/>
      <c r="BC63" s="1190"/>
      <c r="BD63" s="1190"/>
      <c r="BE63" s="1194"/>
    </row>
    <row r="64" spans="1:77" ht="15.75" customHeight="1" thickBot="1">
      <c r="A64" s="1190"/>
      <c r="B64" s="2187" t="str">
        <f>IF(B56="", "", B56)</f>
        <v/>
      </c>
      <c r="C64" s="2188"/>
      <c r="D64" s="2188"/>
      <c r="E64" s="2188"/>
      <c r="F64" s="2188"/>
      <c r="G64" s="2188"/>
      <c r="H64" s="2188"/>
      <c r="I64" s="2189"/>
      <c r="J64" s="2190"/>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8" t="s">
        <v>2400</v>
      </c>
      <c r="C68" s="2099"/>
      <c r="D68" s="2099"/>
      <c r="E68" s="2099"/>
      <c r="F68" s="2099"/>
      <c r="G68" s="2099"/>
      <c r="H68" s="2099"/>
      <c r="I68" s="2099"/>
      <c r="J68" s="2099"/>
      <c r="K68" s="2099"/>
      <c r="L68" s="2099"/>
      <c r="M68" s="2099"/>
      <c r="N68" s="2099"/>
      <c r="O68" s="2099"/>
      <c r="P68" s="2099"/>
      <c r="Q68" s="2099"/>
      <c r="R68" s="2099"/>
      <c r="S68" s="2099"/>
      <c r="T68" s="2099"/>
      <c r="U68" s="2099"/>
      <c r="V68" s="2099"/>
      <c r="W68" s="2099"/>
      <c r="X68" s="2099"/>
      <c r="Y68" s="2099"/>
      <c r="Z68" s="2099"/>
      <c r="AA68" s="2100"/>
      <c r="AB68" s="1190"/>
      <c r="AC68" s="2024" t="s">
        <v>2399</v>
      </c>
      <c r="AD68" s="2025"/>
      <c r="AE68" s="2025"/>
      <c r="AF68" s="2025"/>
      <c r="AG68" s="2025"/>
      <c r="AH68" s="2025"/>
      <c r="AI68" s="2025"/>
      <c r="AJ68" s="2025"/>
      <c r="AK68" s="2025"/>
      <c r="AL68" s="2025"/>
      <c r="AM68" s="2025"/>
      <c r="AN68" s="2025"/>
      <c r="AO68" s="2025"/>
      <c r="AP68" s="2025"/>
      <c r="AQ68" s="2025"/>
      <c r="AR68" s="2025"/>
      <c r="AS68" s="2025"/>
      <c r="AT68" s="2025"/>
      <c r="AU68" s="2025"/>
      <c r="AV68" s="2175" t="s">
        <v>669</v>
      </c>
      <c r="AW68" s="2081"/>
      <c r="AX68" s="2081"/>
      <c r="AY68" s="2081"/>
      <c r="AZ68" s="2081"/>
      <c r="BA68" s="2081"/>
      <c r="BB68" s="2081"/>
      <c r="BC68" s="2082"/>
      <c r="BD68" s="1190"/>
      <c r="BE68" s="1194"/>
      <c r="BM68" s="1199" t="s">
        <v>2398</v>
      </c>
    </row>
    <row r="69" spans="1:94" ht="15.75" customHeight="1" thickTop="1" thickBot="1">
      <c r="A69" s="1190"/>
      <c r="B69" s="2176" t="s">
        <v>2397</v>
      </c>
      <c r="C69" s="2177"/>
      <c r="D69" s="2177"/>
      <c r="E69" s="2177"/>
      <c r="F69" s="2177"/>
      <c r="G69" s="2177"/>
      <c r="H69" s="2177"/>
      <c r="I69" s="2177"/>
      <c r="J69" s="2177"/>
      <c r="K69" s="2177"/>
      <c r="L69" s="2177"/>
      <c r="M69" s="2177"/>
      <c r="N69" s="2177"/>
      <c r="O69" s="2178" t="s">
        <v>2396</v>
      </c>
      <c r="P69" s="2179"/>
      <c r="Q69" s="2179"/>
      <c r="R69" s="2179"/>
      <c r="S69" s="2179"/>
      <c r="T69" s="2179"/>
      <c r="U69" s="2179"/>
      <c r="V69" s="2179"/>
      <c r="W69" s="2179"/>
      <c r="X69" s="2179"/>
      <c r="Y69" s="2179"/>
      <c r="Z69" s="2179"/>
      <c r="AA69" s="2180"/>
      <c r="AB69" s="1190"/>
      <c r="AC69" s="2181" t="s">
        <v>2395</v>
      </c>
      <c r="AD69" s="2182"/>
      <c r="AE69" s="2182"/>
      <c r="AF69" s="2182"/>
      <c r="AG69" s="2182"/>
      <c r="AH69" s="2182"/>
      <c r="AI69" s="2182"/>
      <c r="AJ69" s="2182"/>
      <c r="AK69" s="2182"/>
      <c r="AL69" s="2182"/>
      <c r="AM69" s="2182"/>
      <c r="AN69" s="2182"/>
      <c r="AO69" s="2182"/>
      <c r="AP69" s="2182"/>
      <c r="AQ69" s="2182"/>
      <c r="AR69" s="2182"/>
      <c r="AS69" s="2182"/>
      <c r="AT69" s="2182"/>
      <c r="AU69" s="2182"/>
      <c r="AV69" s="2175" t="s">
        <v>669</v>
      </c>
      <c r="AW69" s="2081"/>
      <c r="AX69" s="2081"/>
      <c r="AY69" s="2081"/>
      <c r="AZ69" s="2081"/>
      <c r="BA69" s="2081"/>
      <c r="BB69" s="2081"/>
      <c r="BC69" s="2082"/>
      <c r="BD69" s="1190"/>
      <c r="BE69" s="1194"/>
      <c r="BM69" s="1200" t="s">
        <v>545</v>
      </c>
    </row>
    <row r="70" spans="1:94" ht="15.75" customHeight="1">
      <c r="A70" s="1190"/>
      <c r="B70" s="2158" t="s">
        <v>2394</v>
      </c>
      <c r="C70" s="2159"/>
      <c r="D70" s="2159"/>
      <c r="E70" s="2159"/>
      <c r="F70" s="2159"/>
      <c r="G70" s="2159"/>
      <c r="H70" s="2159"/>
      <c r="I70" s="2159"/>
      <c r="J70" s="2159"/>
      <c r="K70" s="2159"/>
      <c r="L70" s="2159"/>
      <c r="M70" s="2159"/>
      <c r="N70" s="2159"/>
      <c r="O70" s="2032">
        <v>0</v>
      </c>
      <c r="P70" s="2032"/>
      <c r="Q70" s="2032"/>
      <c r="R70" s="2032"/>
      <c r="S70" s="2032"/>
      <c r="T70" s="2032"/>
      <c r="U70" s="2032"/>
      <c r="V70" s="2032"/>
      <c r="W70" s="2032"/>
      <c r="X70" s="2032"/>
      <c r="Y70" s="2032"/>
      <c r="Z70" s="2032"/>
      <c r="AA70" s="2160"/>
      <c r="AB70" s="1190"/>
      <c r="AC70" s="2070" t="s">
        <v>2393</v>
      </c>
      <c r="AD70" s="2026"/>
      <c r="AE70" s="2026"/>
      <c r="AF70" s="2169"/>
      <c r="AG70" s="2169"/>
      <c r="AH70" s="2169"/>
      <c r="AI70" s="2169"/>
      <c r="AJ70" s="2169"/>
      <c r="AK70" s="2169"/>
      <c r="AL70" s="2169"/>
      <c r="AM70" s="2169"/>
      <c r="AN70" s="2169"/>
      <c r="AO70" s="2169"/>
      <c r="AP70" s="2169"/>
      <c r="AQ70" s="2169"/>
      <c r="AR70" s="2169"/>
      <c r="AS70" s="2169"/>
      <c r="AT70" s="2169"/>
      <c r="AU70" s="2170"/>
      <c r="AV70" s="1190"/>
      <c r="AW70" s="1190"/>
      <c r="AX70" s="1190"/>
      <c r="AY70" s="1190"/>
      <c r="AZ70" s="1190"/>
      <c r="BA70" s="1190"/>
      <c r="BB70" s="1190"/>
      <c r="BC70" s="1190"/>
      <c r="BD70" s="1190"/>
      <c r="BE70" s="1194"/>
      <c r="BM70" s="1201" t="s">
        <v>669</v>
      </c>
    </row>
    <row r="71" spans="1:94" ht="15.75" customHeight="1" thickBot="1">
      <c r="A71" s="1190"/>
      <c r="B71" s="2158" t="s">
        <v>2392</v>
      </c>
      <c r="C71" s="2159"/>
      <c r="D71" s="2159"/>
      <c r="E71" s="2159"/>
      <c r="F71" s="2159"/>
      <c r="G71" s="2159"/>
      <c r="H71" s="2159"/>
      <c r="I71" s="2159"/>
      <c r="J71" s="2159"/>
      <c r="K71" s="2159"/>
      <c r="L71" s="2159"/>
      <c r="M71" s="2159"/>
      <c r="N71" s="2159"/>
      <c r="O71" s="2032">
        <v>0</v>
      </c>
      <c r="P71" s="2032"/>
      <c r="Q71" s="2032"/>
      <c r="R71" s="2032"/>
      <c r="S71" s="2032"/>
      <c r="T71" s="2032"/>
      <c r="U71" s="2032"/>
      <c r="V71" s="2032"/>
      <c r="W71" s="2032"/>
      <c r="X71" s="2032"/>
      <c r="Y71" s="2032"/>
      <c r="Z71" s="2032"/>
      <c r="AA71" s="2160"/>
      <c r="AB71" s="1190"/>
      <c r="AC71" s="2171" t="s">
        <v>2391</v>
      </c>
      <c r="AD71" s="2172"/>
      <c r="AE71" s="2172"/>
      <c r="AF71" s="2173"/>
      <c r="AG71" s="2173"/>
      <c r="AH71" s="2173"/>
      <c r="AI71" s="2173"/>
      <c r="AJ71" s="2173"/>
      <c r="AK71" s="2173"/>
      <c r="AL71" s="2173"/>
      <c r="AM71" s="2173"/>
      <c r="AN71" s="2173"/>
      <c r="AO71" s="2173"/>
      <c r="AP71" s="2173"/>
      <c r="AQ71" s="2173"/>
      <c r="AR71" s="2173"/>
      <c r="AS71" s="2173"/>
      <c r="AT71" s="2173"/>
      <c r="AU71" s="2174"/>
      <c r="AV71" s="1190"/>
      <c r="AW71" s="1190"/>
      <c r="AX71" s="1190"/>
      <c r="AY71" s="1190"/>
      <c r="AZ71" s="1190"/>
      <c r="BA71" s="1190"/>
      <c r="BB71" s="1190"/>
      <c r="BC71" s="1190"/>
      <c r="BD71" s="1190"/>
      <c r="BE71" s="1194"/>
      <c r="BM71" s="1187" t="s">
        <v>2390</v>
      </c>
    </row>
    <row r="72" spans="1:94" ht="15.75" customHeight="1">
      <c r="A72" s="1190"/>
      <c r="B72" s="2158" t="s">
        <v>2389</v>
      </c>
      <c r="C72" s="2159"/>
      <c r="D72" s="2159"/>
      <c r="E72" s="2159"/>
      <c r="F72" s="2159"/>
      <c r="G72" s="2159"/>
      <c r="H72" s="2159"/>
      <c r="I72" s="2159"/>
      <c r="J72" s="2159"/>
      <c r="K72" s="2159"/>
      <c r="L72" s="2159"/>
      <c r="M72" s="2159"/>
      <c r="N72" s="2159"/>
      <c r="O72" s="2032">
        <v>0</v>
      </c>
      <c r="P72" s="2032"/>
      <c r="Q72" s="2032"/>
      <c r="R72" s="2032"/>
      <c r="S72" s="2032"/>
      <c r="T72" s="2032"/>
      <c r="U72" s="2032"/>
      <c r="V72" s="2032"/>
      <c r="W72" s="2032"/>
      <c r="X72" s="2032"/>
      <c r="Y72" s="2032"/>
      <c r="Z72" s="2032"/>
      <c r="AA72" s="2160"/>
      <c r="AB72" s="1190"/>
      <c r="AC72" s="2161" t="s">
        <v>2388</v>
      </c>
      <c r="AD72" s="2162"/>
      <c r="AE72" s="2162"/>
      <c r="AF72" s="2162"/>
      <c r="AG72" s="2162"/>
      <c r="AH72" s="2162"/>
      <c r="AI72" s="2162"/>
      <c r="AJ72" s="2162"/>
      <c r="AK72" s="2162"/>
      <c r="AL72" s="2162"/>
      <c r="AM72" s="2162"/>
      <c r="AN72" s="2162"/>
      <c r="AO72" s="2162"/>
      <c r="AP72" s="2162"/>
      <c r="AQ72" s="2162"/>
      <c r="AR72" s="2162"/>
      <c r="AS72" s="2162"/>
      <c r="AT72" s="2162"/>
      <c r="AU72" s="2162"/>
      <c r="AV72" s="2026"/>
      <c r="AW72" s="2026"/>
      <c r="AX72" s="2026"/>
      <c r="AY72" s="2026"/>
      <c r="AZ72" s="2026"/>
      <c r="BA72" s="2026"/>
      <c r="BB72" s="2026"/>
      <c r="BC72" s="2027"/>
      <c r="BD72" s="1190"/>
      <c r="BE72" s="1194"/>
    </row>
    <row r="73" spans="1:94" ht="15.75" customHeight="1">
      <c r="A73" s="1190"/>
      <c r="B73" s="2163" t="s">
        <v>2387</v>
      </c>
      <c r="C73" s="2164"/>
      <c r="D73" s="2164"/>
      <c r="E73" s="2164"/>
      <c r="F73" s="2164"/>
      <c r="G73" s="2164"/>
      <c r="H73" s="2164"/>
      <c r="I73" s="2164"/>
      <c r="J73" s="2164"/>
      <c r="K73" s="2164"/>
      <c r="L73" s="2164"/>
      <c r="M73" s="2164"/>
      <c r="N73" s="2164"/>
      <c r="O73" s="2032">
        <v>0</v>
      </c>
      <c r="P73" s="2032"/>
      <c r="Q73" s="2032"/>
      <c r="R73" s="2032"/>
      <c r="S73" s="2032"/>
      <c r="T73" s="2032"/>
      <c r="U73" s="2032"/>
      <c r="V73" s="2032"/>
      <c r="W73" s="2032"/>
      <c r="X73" s="2032"/>
      <c r="Y73" s="2032"/>
      <c r="Z73" s="2032"/>
      <c r="AA73" s="2160"/>
      <c r="AB73" s="1190"/>
      <c r="AC73" s="2041" t="s">
        <v>2332</v>
      </c>
      <c r="AD73" s="2042"/>
      <c r="AE73" s="2042"/>
      <c r="AF73" s="2042"/>
      <c r="AG73" s="2042"/>
      <c r="AH73" s="2042"/>
      <c r="AI73" s="2042"/>
      <c r="AJ73" s="2042"/>
      <c r="AK73" s="2042"/>
      <c r="AL73" s="2042"/>
      <c r="AM73" s="2042"/>
      <c r="AN73" s="2042"/>
      <c r="AO73" s="2042"/>
      <c r="AP73" s="2042"/>
      <c r="AQ73" s="2042"/>
      <c r="AR73" s="2042"/>
      <c r="AS73" s="2042"/>
      <c r="AT73" s="2042"/>
      <c r="AU73" s="2042"/>
      <c r="AV73" s="2042"/>
      <c r="AW73" s="2042"/>
      <c r="AX73" s="2042"/>
      <c r="AY73" s="2042"/>
      <c r="AZ73" s="2042"/>
      <c r="BA73" s="2042"/>
      <c r="BB73" s="2042"/>
      <c r="BC73" s="2043"/>
      <c r="BD73" s="1190"/>
      <c r="BE73" s="1194"/>
      <c r="CK73" s="1188"/>
      <c r="CL73" s="1188"/>
      <c r="CM73" s="1188"/>
      <c r="CN73" s="1188"/>
      <c r="CO73" s="1188"/>
      <c r="CP73" s="1188"/>
    </row>
    <row r="74" spans="1:94" ht="15.75" customHeight="1">
      <c r="A74" s="1190"/>
      <c r="B74" s="1986"/>
      <c r="C74" s="1987"/>
      <c r="D74" s="1987"/>
      <c r="E74" s="1987"/>
      <c r="F74" s="1987"/>
      <c r="G74" s="1987"/>
      <c r="H74" s="1987"/>
      <c r="I74" s="1987"/>
      <c r="J74" s="1987"/>
      <c r="K74" s="1987"/>
      <c r="L74" s="1987"/>
      <c r="M74" s="1987"/>
      <c r="N74" s="1987"/>
      <c r="O74" s="2032"/>
      <c r="P74" s="2032"/>
      <c r="Q74" s="2032"/>
      <c r="R74" s="2032"/>
      <c r="S74" s="2032"/>
      <c r="T74" s="2032"/>
      <c r="U74" s="2032"/>
      <c r="V74" s="2032"/>
      <c r="W74" s="2032"/>
      <c r="X74" s="2032"/>
      <c r="Y74" s="2032"/>
      <c r="Z74" s="2032"/>
      <c r="AA74" s="2160"/>
      <c r="AB74" s="1190"/>
      <c r="AC74" s="2041"/>
      <c r="AD74" s="2042"/>
      <c r="AE74" s="2042"/>
      <c r="AF74" s="2042"/>
      <c r="AG74" s="2042"/>
      <c r="AH74" s="2042"/>
      <c r="AI74" s="2042"/>
      <c r="AJ74" s="2042"/>
      <c r="AK74" s="2042"/>
      <c r="AL74" s="2042"/>
      <c r="AM74" s="2042"/>
      <c r="AN74" s="2042"/>
      <c r="AO74" s="2042"/>
      <c r="AP74" s="2042"/>
      <c r="AQ74" s="2042"/>
      <c r="AR74" s="2042"/>
      <c r="AS74" s="2042"/>
      <c r="AT74" s="2042"/>
      <c r="AU74" s="2042"/>
      <c r="AV74" s="2042"/>
      <c r="AW74" s="2042"/>
      <c r="AX74" s="2042"/>
      <c r="AY74" s="2042"/>
      <c r="AZ74" s="2042"/>
      <c r="BA74" s="2042"/>
      <c r="BB74" s="2042"/>
      <c r="BC74" s="2043"/>
      <c r="BD74" s="1190"/>
      <c r="BE74" s="1194"/>
      <c r="CK74" s="1188"/>
      <c r="CL74" s="1188"/>
      <c r="CM74" s="1188"/>
      <c r="CN74" s="1188"/>
      <c r="CO74" s="1188"/>
      <c r="CP74" s="1188"/>
    </row>
    <row r="75" spans="1:94" ht="15.75" customHeight="1" thickBot="1">
      <c r="A75" s="1190"/>
      <c r="B75" s="2165" t="s">
        <v>124</v>
      </c>
      <c r="C75" s="2166"/>
      <c r="D75" s="2166"/>
      <c r="E75" s="2166"/>
      <c r="F75" s="2166"/>
      <c r="G75" s="2166"/>
      <c r="H75" s="2166"/>
      <c r="I75" s="2166"/>
      <c r="J75" s="2166"/>
      <c r="K75" s="2166"/>
      <c r="L75" s="2166"/>
      <c r="M75" s="2166"/>
      <c r="N75" s="2166"/>
      <c r="O75" s="2167">
        <f>SUM(O70:AA74)</f>
        <v>0</v>
      </c>
      <c r="P75" s="2167"/>
      <c r="Q75" s="2167"/>
      <c r="R75" s="2167"/>
      <c r="S75" s="2167"/>
      <c r="T75" s="2167"/>
      <c r="U75" s="2167"/>
      <c r="V75" s="2167"/>
      <c r="W75" s="2167"/>
      <c r="X75" s="2167"/>
      <c r="Y75" s="2167"/>
      <c r="Z75" s="2167"/>
      <c r="AA75" s="2168"/>
      <c r="AB75" s="1190"/>
      <c r="AC75" s="2041"/>
      <c r="AD75" s="2042"/>
      <c r="AE75" s="2042"/>
      <c r="AF75" s="2042"/>
      <c r="AG75" s="2042"/>
      <c r="AH75" s="2042"/>
      <c r="AI75" s="2042"/>
      <c r="AJ75" s="2042"/>
      <c r="AK75" s="2042"/>
      <c r="AL75" s="2042"/>
      <c r="AM75" s="2042"/>
      <c r="AN75" s="2042"/>
      <c r="AO75" s="2042"/>
      <c r="AP75" s="2042"/>
      <c r="AQ75" s="2042"/>
      <c r="AR75" s="2042"/>
      <c r="AS75" s="2042"/>
      <c r="AT75" s="2042"/>
      <c r="AU75" s="2042"/>
      <c r="AV75" s="2042"/>
      <c r="AW75" s="2042"/>
      <c r="AX75" s="2042"/>
      <c r="AY75" s="2042"/>
      <c r="AZ75" s="2042"/>
      <c r="BA75" s="2042"/>
      <c r="BB75" s="2042"/>
      <c r="BC75" s="204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1"/>
      <c r="AD76" s="2042"/>
      <c r="AE76" s="2042"/>
      <c r="AF76" s="2042"/>
      <c r="AG76" s="2042"/>
      <c r="AH76" s="2042"/>
      <c r="AI76" s="2042"/>
      <c r="AJ76" s="2042"/>
      <c r="AK76" s="2042"/>
      <c r="AL76" s="2042"/>
      <c r="AM76" s="2042"/>
      <c r="AN76" s="2042"/>
      <c r="AO76" s="2042"/>
      <c r="AP76" s="2042"/>
      <c r="AQ76" s="2042"/>
      <c r="AR76" s="2042"/>
      <c r="AS76" s="2042"/>
      <c r="AT76" s="2042"/>
      <c r="AU76" s="2042"/>
      <c r="AV76" s="2042"/>
      <c r="AW76" s="2042"/>
      <c r="AX76" s="2042"/>
      <c r="AY76" s="2042"/>
      <c r="AZ76" s="2042"/>
      <c r="BA76" s="2042"/>
      <c r="BB76" s="2042"/>
      <c r="BC76" s="204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4"/>
      <c r="AD77" s="2045"/>
      <c r="AE77" s="2045"/>
      <c r="AF77" s="2045"/>
      <c r="AG77" s="2045"/>
      <c r="AH77" s="2045"/>
      <c r="AI77" s="2045"/>
      <c r="AJ77" s="2045"/>
      <c r="AK77" s="2045"/>
      <c r="AL77" s="2045"/>
      <c r="AM77" s="2045"/>
      <c r="AN77" s="2045"/>
      <c r="AO77" s="2045"/>
      <c r="AP77" s="2045"/>
      <c r="AQ77" s="2045"/>
      <c r="AR77" s="2045"/>
      <c r="AS77" s="2045"/>
      <c r="AT77" s="2045"/>
      <c r="AU77" s="2045"/>
      <c r="AV77" s="2045"/>
      <c r="AW77" s="2045"/>
      <c r="AX77" s="2045"/>
      <c r="AY77" s="2045"/>
      <c r="AZ77" s="2045"/>
      <c r="BA77" s="2045"/>
      <c r="BB77" s="2045"/>
      <c r="BC77" s="2046"/>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3"/>
      <c r="G79" s="2144"/>
      <c r="H79" s="2144"/>
      <c r="I79" s="2144"/>
      <c r="J79" s="2144"/>
      <c r="K79" s="2144"/>
      <c r="L79" s="2144"/>
      <c r="M79" s="2144"/>
      <c r="N79" s="2144"/>
      <c r="O79" s="2144"/>
      <c r="P79" s="2144"/>
      <c r="Q79" s="2144"/>
      <c r="R79" s="2144"/>
      <c r="S79" s="2144"/>
      <c r="T79" s="214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6" t="s">
        <v>2385</v>
      </c>
      <c r="C80" s="2147"/>
      <c r="D80" s="2147"/>
      <c r="E80" s="2147"/>
      <c r="F80" s="2147"/>
      <c r="G80" s="2147"/>
      <c r="H80" s="2147"/>
      <c r="I80" s="2147"/>
      <c r="J80" s="2147"/>
      <c r="K80" s="2147"/>
      <c r="L80" s="2147"/>
      <c r="M80" s="2147"/>
      <c r="N80" s="2147"/>
      <c r="O80" s="2147"/>
      <c r="P80" s="2147"/>
      <c r="Q80" s="2147"/>
      <c r="R80" s="2149" t="str">
        <f>IFERROR(INDEX(BR96:BR98,MATCH(F79,$BQ$96:$BQ$98,0))/SUM($BR$96:$BR$98),"")</f>
        <v/>
      </c>
      <c r="S80" s="2150"/>
      <c r="T80" s="215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2" t="s">
        <v>2384</v>
      </c>
      <c r="C81" s="2153"/>
      <c r="D81" s="2153"/>
      <c r="E81" s="2153"/>
      <c r="F81" s="2153"/>
      <c r="G81" s="2153"/>
      <c r="H81" s="2153"/>
      <c r="I81" s="2153"/>
      <c r="J81" s="2153"/>
      <c r="K81" s="2153"/>
      <c r="L81" s="2153"/>
      <c r="M81" s="2153"/>
      <c r="N81" s="2153"/>
      <c r="O81" s="2153"/>
      <c r="P81" s="2153"/>
      <c r="Q81" s="2153"/>
      <c r="R81" s="2134" t="s">
        <v>2189</v>
      </c>
      <c r="S81" s="2135"/>
      <c r="T81" s="213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5" t="s">
        <v>2383</v>
      </c>
      <c r="C83" s="2156"/>
      <c r="D83" s="2156"/>
      <c r="E83" s="2156"/>
      <c r="F83" s="2156"/>
      <c r="G83" s="2156"/>
      <c r="H83" s="2156"/>
      <c r="I83" s="2156"/>
      <c r="J83" s="2156"/>
      <c r="K83" s="2156"/>
      <c r="L83" s="2156"/>
      <c r="M83" s="2156"/>
      <c r="N83" s="2156"/>
      <c r="O83" s="2156"/>
      <c r="P83" s="2156"/>
      <c r="Q83" s="2156"/>
      <c r="R83" s="2156"/>
      <c r="S83" s="2156"/>
      <c r="T83" s="2156"/>
      <c r="U83" s="2156"/>
      <c r="V83" s="2156"/>
      <c r="W83" s="2156"/>
      <c r="X83" s="2156"/>
      <c r="Y83" s="2156"/>
      <c r="Z83" s="2156"/>
      <c r="AA83" s="2156"/>
      <c r="AB83" s="2156"/>
      <c r="AC83" s="2156"/>
      <c r="AD83" s="2156"/>
      <c r="AE83" s="2156"/>
      <c r="AF83" s="2156"/>
      <c r="AG83" s="2156"/>
      <c r="AH83" s="2157"/>
      <c r="AI83" s="1190"/>
      <c r="AJ83" s="2122" t="s">
        <v>2382</v>
      </c>
      <c r="AK83" s="2123"/>
      <c r="AL83" s="2123"/>
      <c r="AM83" s="2123"/>
      <c r="AN83" s="2123"/>
      <c r="AO83" s="2123"/>
      <c r="AP83" s="2123"/>
      <c r="AQ83" s="2123"/>
      <c r="AR83" s="2123"/>
      <c r="AS83" s="2123"/>
      <c r="AT83" s="2123"/>
      <c r="AU83" s="2123"/>
      <c r="AV83" s="2123"/>
      <c r="AW83" s="2123"/>
      <c r="AX83" s="2123"/>
      <c r="AY83" s="2139" t="s">
        <v>545</v>
      </c>
      <c r="AZ83" s="2139"/>
      <c r="BA83" s="2139"/>
      <c r="BB83" s="2140"/>
      <c r="BC83" s="1190"/>
      <c r="BD83" s="1190"/>
      <c r="BE83" s="1194"/>
      <c r="CK83" s="1188"/>
      <c r="CL83" s="1188"/>
      <c r="CM83" s="1188"/>
      <c r="CN83" s="1188"/>
      <c r="CO83" s="1188"/>
      <c r="CP83" s="1188"/>
    </row>
    <row r="84" spans="1:94" ht="15.75" customHeight="1">
      <c r="A84" s="1190"/>
      <c r="B84" s="2133"/>
      <c r="C84" s="2101"/>
      <c r="D84" s="2101"/>
      <c r="E84" s="2101"/>
      <c r="F84" s="2101"/>
      <c r="G84" s="2101"/>
      <c r="H84" s="2101"/>
      <c r="I84" s="2101" t="s">
        <v>2372</v>
      </c>
      <c r="J84" s="2101"/>
      <c r="K84" s="2101"/>
      <c r="L84" s="2101"/>
      <c r="M84" s="2101"/>
      <c r="N84" s="2101"/>
      <c r="O84" s="2101" t="s">
        <v>2348</v>
      </c>
      <c r="P84" s="2101"/>
      <c r="Q84" s="2101"/>
      <c r="R84" s="2101"/>
      <c r="S84" s="2101"/>
      <c r="T84" s="2101"/>
      <c r="U84" s="2101"/>
      <c r="V84" s="2137" t="s">
        <v>2347</v>
      </c>
      <c r="W84" s="2137"/>
      <c r="X84" s="2137"/>
      <c r="Y84" s="2137"/>
      <c r="Z84" s="2137"/>
      <c r="AA84" s="2137"/>
      <c r="AB84" s="2071" t="s">
        <v>2371</v>
      </c>
      <c r="AC84" s="2071"/>
      <c r="AD84" s="2071"/>
      <c r="AE84" s="2071"/>
      <c r="AF84" s="2071"/>
      <c r="AG84" s="2071"/>
      <c r="AH84" s="2138"/>
      <c r="AI84" s="1190"/>
      <c r="AJ84" s="2125"/>
      <c r="AK84" s="2126"/>
      <c r="AL84" s="2126"/>
      <c r="AM84" s="2126"/>
      <c r="AN84" s="2126"/>
      <c r="AO84" s="2126"/>
      <c r="AP84" s="2126"/>
      <c r="AQ84" s="2126"/>
      <c r="AR84" s="2126"/>
      <c r="AS84" s="2126"/>
      <c r="AT84" s="2126"/>
      <c r="AU84" s="2126"/>
      <c r="AV84" s="2126"/>
      <c r="AW84" s="2126"/>
      <c r="AX84" s="2126"/>
      <c r="AY84" s="2141"/>
      <c r="AZ84" s="2141"/>
      <c r="BA84" s="2141"/>
      <c r="BB84" s="2142"/>
      <c r="BC84" s="1190"/>
      <c r="BD84" s="1190"/>
      <c r="BE84" s="1194"/>
      <c r="CK84" s="1188"/>
      <c r="CL84" s="1188"/>
      <c r="CM84" s="1188"/>
      <c r="CN84" s="1188"/>
      <c r="CO84" s="1188"/>
      <c r="CP84" s="1188"/>
    </row>
    <row r="85" spans="1:94" ht="15.75" customHeight="1">
      <c r="A85" s="1190"/>
      <c r="B85" s="2133"/>
      <c r="C85" s="2101"/>
      <c r="D85" s="2101"/>
      <c r="E85" s="2101"/>
      <c r="F85" s="2101"/>
      <c r="G85" s="2101"/>
      <c r="H85" s="2101"/>
      <c r="I85" s="2101"/>
      <c r="J85" s="2101"/>
      <c r="K85" s="2101"/>
      <c r="L85" s="2101"/>
      <c r="M85" s="2101"/>
      <c r="N85" s="2101"/>
      <c r="O85" s="2101"/>
      <c r="P85" s="2101"/>
      <c r="Q85" s="2101"/>
      <c r="R85" s="2101"/>
      <c r="S85" s="2101"/>
      <c r="T85" s="2101"/>
      <c r="U85" s="2101"/>
      <c r="V85" s="2137"/>
      <c r="W85" s="2137"/>
      <c r="X85" s="2137"/>
      <c r="Y85" s="2137"/>
      <c r="Z85" s="2137"/>
      <c r="AA85" s="2137"/>
      <c r="AB85" s="2071"/>
      <c r="AC85" s="2071"/>
      <c r="AD85" s="2071"/>
      <c r="AE85" s="2071"/>
      <c r="AF85" s="2071"/>
      <c r="AG85" s="2071"/>
      <c r="AH85" s="2138"/>
      <c r="AI85" s="1190"/>
      <c r="AJ85" s="2125"/>
      <c r="AK85" s="2126"/>
      <c r="AL85" s="2126"/>
      <c r="AM85" s="2126"/>
      <c r="AN85" s="2126"/>
      <c r="AO85" s="2126"/>
      <c r="AP85" s="2126"/>
      <c r="AQ85" s="2126"/>
      <c r="AR85" s="2126"/>
      <c r="AS85" s="2126"/>
      <c r="AT85" s="2126"/>
      <c r="AU85" s="2126"/>
      <c r="AV85" s="2126"/>
      <c r="AW85" s="2126"/>
      <c r="AX85" s="2126"/>
      <c r="AY85" s="2141"/>
      <c r="AZ85" s="2141"/>
      <c r="BA85" s="2141"/>
      <c r="BB85" s="2142"/>
      <c r="BC85" s="1190"/>
      <c r="BD85" s="1190"/>
      <c r="BE85" s="1194"/>
      <c r="CK85" s="1188"/>
      <c r="CL85" s="1188"/>
      <c r="CM85" s="1188"/>
      <c r="CN85" s="1188"/>
      <c r="CO85" s="1188"/>
      <c r="CP85" s="1188"/>
    </row>
    <row r="86" spans="1:94" ht="15.75" customHeight="1">
      <c r="A86" s="1190"/>
      <c r="B86" s="2133" t="s">
        <v>2370</v>
      </c>
      <c r="C86" s="2101"/>
      <c r="D86" s="2101"/>
      <c r="E86" s="2101"/>
      <c r="F86" s="2101"/>
      <c r="G86" s="2101"/>
      <c r="H86" s="2101"/>
      <c r="I86" s="2074">
        <v>0</v>
      </c>
      <c r="J86" s="2074"/>
      <c r="K86" s="2074"/>
      <c r="L86" s="2074"/>
      <c r="M86" s="2074"/>
      <c r="N86" s="2074"/>
      <c r="O86" s="2074">
        <v>0</v>
      </c>
      <c r="P86" s="2074"/>
      <c r="Q86" s="2074"/>
      <c r="R86" s="2074"/>
      <c r="S86" s="2074"/>
      <c r="T86" s="2074"/>
      <c r="U86" s="2074"/>
      <c r="V86" s="2074">
        <v>0</v>
      </c>
      <c r="W86" s="2074"/>
      <c r="X86" s="2074"/>
      <c r="Y86" s="2074"/>
      <c r="Z86" s="2074"/>
      <c r="AA86" s="2074"/>
      <c r="AB86" s="2074">
        <v>0</v>
      </c>
      <c r="AC86" s="2074"/>
      <c r="AD86" s="2074"/>
      <c r="AE86" s="2074"/>
      <c r="AF86" s="2074"/>
      <c r="AG86" s="2074"/>
      <c r="AH86" s="2075"/>
      <c r="AI86" s="1190"/>
      <c r="AJ86" s="2125"/>
      <c r="AK86" s="2126"/>
      <c r="AL86" s="2126"/>
      <c r="AM86" s="2126"/>
      <c r="AN86" s="2126"/>
      <c r="AO86" s="2126"/>
      <c r="AP86" s="2126"/>
      <c r="AQ86" s="2126"/>
      <c r="AR86" s="2126"/>
      <c r="AS86" s="2126"/>
      <c r="AT86" s="2126"/>
      <c r="AU86" s="2126"/>
      <c r="AV86" s="2126"/>
      <c r="AW86" s="2126"/>
      <c r="AX86" s="2126"/>
      <c r="AY86" s="2141"/>
      <c r="AZ86" s="2141"/>
      <c r="BA86" s="2141"/>
      <c r="BB86" s="2142"/>
      <c r="BC86" s="1190"/>
      <c r="BD86" s="1190"/>
      <c r="BE86" s="1194"/>
      <c r="CK86" s="1188"/>
      <c r="CL86" s="1188"/>
      <c r="CM86" s="1188"/>
      <c r="CN86" s="1188"/>
      <c r="CO86" s="1188"/>
      <c r="CP86" s="1188"/>
    </row>
    <row r="87" spans="1:94" ht="15.75" customHeight="1">
      <c r="A87" s="1190"/>
      <c r="B87" s="2133" t="s">
        <v>2369</v>
      </c>
      <c r="C87" s="2101"/>
      <c r="D87" s="2101"/>
      <c r="E87" s="2101"/>
      <c r="F87" s="2101"/>
      <c r="G87" s="2101"/>
      <c r="H87" s="2101"/>
      <c r="I87" s="2074">
        <v>0</v>
      </c>
      <c r="J87" s="2074"/>
      <c r="K87" s="2074"/>
      <c r="L87" s="2074"/>
      <c r="M87" s="2074"/>
      <c r="N87" s="2074"/>
      <c r="O87" s="2074">
        <v>0</v>
      </c>
      <c r="P87" s="2074"/>
      <c r="Q87" s="2074"/>
      <c r="R87" s="2074"/>
      <c r="S87" s="2074"/>
      <c r="T87" s="2074"/>
      <c r="U87" s="2074"/>
      <c r="V87" s="2074">
        <v>0</v>
      </c>
      <c r="W87" s="2074"/>
      <c r="X87" s="2074"/>
      <c r="Y87" s="2074"/>
      <c r="Z87" s="2074"/>
      <c r="AA87" s="2074"/>
      <c r="AB87" s="2074">
        <v>0</v>
      </c>
      <c r="AC87" s="2074"/>
      <c r="AD87" s="2074"/>
      <c r="AE87" s="2074"/>
      <c r="AF87" s="2074"/>
      <c r="AG87" s="2074"/>
      <c r="AH87" s="2075"/>
      <c r="AI87" s="1190"/>
      <c r="AJ87" s="2041" t="s">
        <v>2376</v>
      </c>
      <c r="AK87" s="2042"/>
      <c r="AL87" s="2042"/>
      <c r="AM87" s="2042"/>
      <c r="AN87" s="2042"/>
      <c r="AO87" s="2042"/>
      <c r="AP87" s="2042"/>
      <c r="AQ87" s="2042"/>
      <c r="AR87" s="2042"/>
      <c r="AS87" s="2042"/>
      <c r="AT87" s="2042"/>
      <c r="AU87" s="2042"/>
      <c r="AV87" s="2042"/>
      <c r="AW87" s="2042"/>
      <c r="AX87" s="2042"/>
      <c r="AY87" s="2042"/>
      <c r="AZ87" s="2042"/>
      <c r="BA87" s="2042"/>
      <c r="BB87" s="2043"/>
      <c r="BC87" s="1190"/>
      <c r="BD87" s="1190"/>
      <c r="BE87" s="1194"/>
      <c r="CK87" s="1188"/>
      <c r="CL87" s="1188"/>
      <c r="CM87" s="1188"/>
      <c r="CN87" s="1188"/>
      <c r="CO87" s="1188"/>
      <c r="CP87" s="1188"/>
    </row>
    <row r="88" spans="1:94" ht="15.75" customHeight="1" thickBot="1">
      <c r="A88" s="1190"/>
      <c r="B88" s="2131" t="s">
        <v>2368</v>
      </c>
      <c r="C88" s="2132"/>
      <c r="D88" s="2132"/>
      <c r="E88" s="2132"/>
      <c r="F88" s="2132"/>
      <c r="G88" s="2132"/>
      <c r="H88" s="2132"/>
      <c r="I88" s="2068">
        <v>0</v>
      </c>
      <c r="J88" s="2068"/>
      <c r="K88" s="2068"/>
      <c r="L88" s="2068"/>
      <c r="M88" s="2068"/>
      <c r="N88" s="2068"/>
      <c r="O88" s="2068">
        <v>0</v>
      </c>
      <c r="P88" s="2068"/>
      <c r="Q88" s="2068"/>
      <c r="R88" s="2068"/>
      <c r="S88" s="2068"/>
      <c r="T88" s="2068"/>
      <c r="U88" s="2068"/>
      <c r="V88" s="2068">
        <v>0</v>
      </c>
      <c r="W88" s="2068"/>
      <c r="X88" s="2068"/>
      <c r="Y88" s="2068"/>
      <c r="Z88" s="2068"/>
      <c r="AA88" s="2068"/>
      <c r="AB88" s="2068">
        <v>0</v>
      </c>
      <c r="AC88" s="2068"/>
      <c r="AD88" s="2068"/>
      <c r="AE88" s="2068"/>
      <c r="AF88" s="2068"/>
      <c r="AG88" s="2068"/>
      <c r="AH88" s="2069"/>
      <c r="AI88" s="1190"/>
      <c r="AJ88" s="2044"/>
      <c r="AK88" s="2045"/>
      <c r="AL88" s="2045"/>
      <c r="AM88" s="2045"/>
      <c r="AN88" s="2045"/>
      <c r="AO88" s="2045"/>
      <c r="AP88" s="2045"/>
      <c r="AQ88" s="2045"/>
      <c r="AR88" s="2045"/>
      <c r="AS88" s="2045"/>
      <c r="AT88" s="2045"/>
      <c r="AU88" s="2045"/>
      <c r="AV88" s="2045"/>
      <c r="AW88" s="2045"/>
      <c r="AX88" s="2045"/>
      <c r="AY88" s="2045"/>
      <c r="AZ88" s="2045"/>
      <c r="BA88" s="2045"/>
      <c r="BB88" s="204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3"/>
      <c r="G92" s="2144"/>
      <c r="H92" s="2144"/>
      <c r="I92" s="2144"/>
      <c r="J92" s="2144"/>
      <c r="K92" s="2144"/>
      <c r="L92" s="2144"/>
      <c r="M92" s="2144"/>
      <c r="N92" s="2144"/>
      <c r="O92" s="2144"/>
      <c r="P92" s="2144"/>
      <c r="Q92" s="2144"/>
      <c r="R92" s="2144"/>
      <c r="S92" s="2144"/>
      <c r="T92" s="214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6" t="s">
        <v>2380</v>
      </c>
      <c r="C93" s="2147"/>
      <c r="D93" s="2147"/>
      <c r="E93" s="2147"/>
      <c r="F93" s="2147"/>
      <c r="G93" s="2147"/>
      <c r="H93" s="2147"/>
      <c r="I93" s="2147"/>
      <c r="J93" s="2147"/>
      <c r="K93" s="2147"/>
      <c r="L93" s="2147"/>
      <c r="M93" s="2147"/>
      <c r="N93" s="2147"/>
      <c r="O93" s="2147"/>
      <c r="P93" s="2147"/>
      <c r="Q93" s="2148"/>
      <c r="R93" s="2149" t="str">
        <f>IFERROR(INDEX(BR96:BR98,MATCH(F92,$BQ$96:$BQ$98,0))/SUM($BR$96:$BR$98),"")</f>
        <v/>
      </c>
      <c r="S93" s="2150"/>
      <c r="T93" s="215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2" t="s">
        <v>2379</v>
      </c>
      <c r="C94" s="2153"/>
      <c r="D94" s="2153"/>
      <c r="E94" s="2153"/>
      <c r="F94" s="2153"/>
      <c r="G94" s="2153"/>
      <c r="H94" s="2153"/>
      <c r="I94" s="2153"/>
      <c r="J94" s="2153"/>
      <c r="K94" s="2153"/>
      <c r="L94" s="2153"/>
      <c r="M94" s="2153"/>
      <c r="N94" s="2153"/>
      <c r="O94" s="2153"/>
      <c r="P94" s="2153"/>
      <c r="Q94" s="2154"/>
      <c r="R94" s="2134" t="s">
        <v>2189</v>
      </c>
      <c r="S94" s="2135"/>
      <c r="T94" s="213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5" t="s">
        <v>2378</v>
      </c>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7"/>
      <c r="AI96" s="1190"/>
      <c r="AJ96" s="2122" t="s">
        <v>2377</v>
      </c>
      <c r="AK96" s="2123"/>
      <c r="AL96" s="2123"/>
      <c r="AM96" s="2123"/>
      <c r="AN96" s="2123"/>
      <c r="AO96" s="2123"/>
      <c r="AP96" s="2123"/>
      <c r="AQ96" s="2123"/>
      <c r="AR96" s="2123"/>
      <c r="AS96" s="2123"/>
      <c r="AT96" s="2123"/>
      <c r="AU96" s="2123"/>
      <c r="AV96" s="2123"/>
      <c r="AW96" s="2123"/>
      <c r="AX96" s="2123"/>
      <c r="AY96" s="2139" t="s">
        <v>545</v>
      </c>
      <c r="AZ96" s="2139"/>
      <c r="BA96" s="2139"/>
      <c r="BB96" s="2140"/>
      <c r="BC96" s="1190"/>
      <c r="BD96" s="1190"/>
      <c r="BE96" s="1194"/>
      <c r="BQ96" s="1256" t="str">
        <f>Application!M243&amp;IF(TRIM(Application!AA249)&lt;&gt;""," ("&amp;Application!AA249&amp;")","")</f>
        <v>Coral Blossom GP LLC (Excelerate Housing Group LLC)</v>
      </c>
      <c r="BR96" s="1259">
        <f>Application!AH246</f>
        <v>6.8999999999999999E-3</v>
      </c>
      <c r="CM96" s="1188"/>
      <c r="CN96" s="1188"/>
      <c r="CO96" s="1188"/>
      <c r="CP96" s="1188"/>
    </row>
    <row r="97" spans="1:94" ht="15.75" customHeight="1">
      <c r="A97" s="1190"/>
      <c r="B97" s="2133"/>
      <c r="C97" s="2101"/>
      <c r="D97" s="2101"/>
      <c r="E97" s="2101"/>
      <c r="F97" s="2101"/>
      <c r="G97" s="2101"/>
      <c r="H97" s="2101"/>
      <c r="I97" s="2101" t="s">
        <v>2372</v>
      </c>
      <c r="J97" s="2101"/>
      <c r="K97" s="2101"/>
      <c r="L97" s="2101"/>
      <c r="M97" s="2101"/>
      <c r="N97" s="2101"/>
      <c r="O97" s="2101" t="s">
        <v>2348</v>
      </c>
      <c r="P97" s="2101"/>
      <c r="Q97" s="2101"/>
      <c r="R97" s="2101"/>
      <c r="S97" s="2101"/>
      <c r="T97" s="2101"/>
      <c r="U97" s="2101"/>
      <c r="V97" s="2137" t="s">
        <v>2347</v>
      </c>
      <c r="W97" s="2137"/>
      <c r="X97" s="2137"/>
      <c r="Y97" s="2137"/>
      <c r="Z97" s="2137"/>
      <c r="AA97" s="2137"/>
      <c r="AB97" s="2071" t="s">
        <v>2371</v>
      </c>
      <c r="AC97" s="2071"/>
      <c r="AD97" s="2071"/>
      <c r="AE97" s="2071"/>
      <c r="AF97" s="2071"/>
      <c r="AG97" s="2071"/>
      <c r="AH97" s="2138"/>
      <c r="AI97" s="1190"/>
      <c r="AJ97" s="2125"/>
      <c r="AK97" s="2126"/>
      <c r="AL97" s="2126"/>
      <c r="AM97" s="2126"/>
      <c r="AN97" s="2126"/>
      <c r="AO97" s="2126"/>
      <c r="AP97" s="2126"/>
      <c r="AQ97" s="2126"/>
      <c r="AR97" s="2126"/>
      <c r="AS97" s="2126"/>
      <c r="AT97" s="2126"/>
      <c r="AU97" s="2126"/>
      <c r="AV97" s="2126"/>
      <c r="AW97" s="2126"/>
      <c r="AX97" s="2126"/>
      <c r="AY97" s="2141"/>
      <c r="AZ97" s="2141"/>
      <c r="BA97" s="2141"/>
      <c r="BB97" s="2142"/>
      <c r="BC97" s="1190"/>
      <c r="BD97" s="1190"/>
      <c r="BE97" s="1194"/>
      <c r="BQ97" s="1256" t="str">
        <f>Application!M251&amp;IF(TRIM(Application!AA257)&lt;&gt;""," ("&amp;Application!AA257&amp;")","")</f>
        <v>TLCS, Inc. dba Hope Cooperative</v>
      </c>
      <c r="BR97" s="1259">
        <f>Application!AH254</f>
        <v>3.0999999999999999E-3</v>
      </c>
      <c r="CM97" s="1188"/>
      <c r="CN97" s="1188"/>
      <c r="CO97" s="1188"/>
      <c r="CP97" s="1188"/>
    </row>
    <row r="98" spans="1:94" ht="15.75" customHeight="1">
      <c r="A98" s="1190"/>
      <c r="B98" s="2133"/>
      <c r="C98" s="2101"/>
      <c r="D98" s="2101"/>
      <c r="E98" s="2101"/>
      <c r="F98" s="2101"/>
      <c r="G98" s="2101"/>
      <c r="H98" s="2101"/>
      <c r="I98" s="2101"/>
      <c r="J98" s="2101"/>
      <c r="K98" s="2101"/>
      <c r="L98" s="2101"/>
      <c r="M98" s="2101"/>
      <c r="N98" s="2101"/>
      <c r="O98" s="2101"/>
      <c r="P98" s="2101"/>
      <c r="Q98" s="2101"/>
      <c r="R98" s="2101"/>
      <c r="S98" s="2101"/>
      <c r="T98" s="2101"/>
      <c r="U98" s="2101"/>
      <c r="V98" s="2137"/>
      <c r="W98" s="2137"/>
      <c r="X98" s="2137"/>
      <c r="Y98" s="2137"/>
      <c r="Z98" s="2137"/>
      <c r="AA98" s="2137"/>
      <c r="AB98" s="2071"/>
      <c r="AC98" s="2071"/>
      <c r="AD98" s="2071"/>
      <c r="AE98" s="2071"/>
      <c r="AF98" s="2071"/>
      <c r="AG98" s="2071"/>
      <c r="AH98" s="2138"/>
      <c r="AI98" s="1190"/>
      <c r="AJ98" s="2125"/>
      <c r="AK98" s="2126"/>
      <c r="AL98" s="2126"/>
      <c r="AM98" s="2126"/>
      <c r="AN98" s="2126"/>
      <c r="AO98" s="2126"/>
      <c r="AP98" s="2126"/>
      <c r="AQ98" s="2126"/>
      <c r="AR98" s="2126"/>
      <c r="AS98" s="2126"/>
      <c r="AT98" s="2126"/>
      <c r="AU98" s="2126"/>
      <c r="AV98" s="2126"/>
      <c r="AW98" s="2126"/>
      <c r="AX98" s="2126"/>
      <c r="AY98" s="2141"/>
      <c r="AZ98" s="2141"/>
      <c r="BA98" s="2141"/>
      <c r="BB98" s="214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3" t="s">
        <v>2370</v>
      </c>
      <c r="C99" s="2101"/>
      <c r="D99" s="2101"/>
      <c r="E99" s="2101"/>
      <c r="F99" s="2101"/>
      <c r="G99" s="2101"/>
      <c r="H99" s="2101"/>
      <c r="I99" s="2074">
        <v>0</v>
      </c>
      <c r="J99" s="2074"/>
      <c r="K99" s="2074"/>
      <c r="L99" s="2074"/>
      <c r="M99" s="2074"/>
      <c r="N99" s="2074"/>
      <c r="O99" s="2074">
        <v>0</v>
      </c>
      <c r="P99" s="2074"/>
      <c r="Q99" s="2074"/>
      <c r="R99" s="2074"/>
      <c r="S99" s="2074"/>
      <c r="T99" s="2074"/>
      <c r="U99" s="2074"/>
      <c r="V99" s="2074">
        <v>0</v>
      </c>
      <c r="W99" s="2074"/>
      <c r="X99" s="2074"/>
      <c r="Y99" s="2074"/>
      <c r="Z99" s="2074"/>
      <c r="AA99" s="2074"/>
      <c r="AB99" s="2074">
        <v>0</v>
      </c>
      <c r="AC99" s="2074"/>
      <c r="AD99" s="2074"/>
      <c r="AE99" s="2074"/>
      <c r="AF99" s="2074"/>
      <c r="AG99" s="2074"/>
      <c r="AH99" s="2075"/>
      <c r="AI99" s="1190"/>
      <c r="AJ99" s="2125"/>
      <c r="AK99" s="2126"/>
      <c r="AL99" s="2126"/>
      <c r="AM99" s="2126"/>
      <c r="AN99" s="2126"/>
      <c r="AO99" s="2126"/>
      <c r="AP99" s="2126"/>
      <c r="AQ99" s="2126"/>
      <c r="AR99" s="2126"/>
      <c r="AS99" s="2126"/>
      <c r="AT99" s="2126"/>
      <c r="AU99" s="2126"/>
      <c r="AV99" s="2126"/>
      <c r="AW99" s="2126"/>
      <c r="AX99" s="2126"/>
      <c r="AY99" s="2141"/>
      <c r="AZ99" s="2141"/>
      <c r="BA99" s="2141"/>
      <c r="BB99" s="2142"/>
      <c r="BC99" s="1190"/>
      <c r="BD99" s="1190"/>
      <c r="BE99" s="1194"/>
      <c r="CM99" s="1188"/>
      <c r="CN99" s="1188"/>
      <c r="CO99" s="1188"/>
      <c r="CP99" s="1188"/>
    </row>
    <row r="100" spans="1:94" ht="15.75" customHeight="1">
      <c r="A100" s="1190"/>
      <c r="B100" s="2133" t="s">
        <v>2369</v>
      </c>
      <c r="C100" s="2101"/>
      <c r="D100" s="2101"/>
      <c r="E100" s="2101"/>
      <c r="F100" s="2101"/>
      <c r="G100" s="2101"/>
      <c r="H100" s="2101"/>
      <c r="I100" s="2074">
        <v>0</v>
      </c>
      <c r="J100" s="2074"/>
      <c r="K100" s="2074"/>
      <c r="L100" s="2074"/>
      <c r="M100" s="2074"/>
      <c r="N100" s="2074"/>
      <c r="O100" s="2074">
        <v>0</v>
      </c>
      <c r="P100" s="2074"/>
      <c r="Q100" s="2074"/>
      <c r="R100" s="2074"/>
      <c r="S100" s="2074"/>
      <c r="T100" s="2074"/>
      <c r="U100" s="2074"/>
      <c r="V100" s="2074">
        <v>0</v>
      </c>
      <c r="W100" s="2074"/>
      <c r="X100" s="2074"/>
      <c r="Y100" s="2074"/>
      <c r="Z100" s="2074"/>
      <c r="AA100" s="2074"/>
      <c r="AB100" s="2074">
        <v>0</v>
      </c>
      <c r="AC100" s="2074"/>
      <c r="AD100" s="2074"/>
      <c r="AE100" s="2074"/>
      <c r="AF100" s="2074"/>
      <c r="AG100" s="2074"/>
      <c r="AH100" s="2075"/>
      <c r="AI100" s="1190"/>
      <c r="AJ100" s="2041" t="s">
        <v>2376</v>
      </c>
      <c r="AK100" s="2042"/>
      <c r="AL100" s="2042"/>
      <c r="AM100" s="2042"/>
      <c r="AN100" s="2042"/>
      <c r="AO100" s="2042"/>
      <c r="AP100" s="2042"/>
      <c r="AQ100" s="2042"/>
      <c r="AR100" s="2042"/>
      <c r="AS100" s="2042"/>
      <c r="AT100" s="2042"/>
      <c r="AU100" s="2042"/>
      <c r="AV100" s="2042"/>
      <c r="AW100" s="2042"/>
      <c r="AX100" s="2042"/>
      <c r="AY100" s="2042"/>
      <c r="AZ100" s="2042"/>
      <c r="BA100" s="2042"/>
      <c r="BB100" s="2043"/>
      <c r="BC100" s="1190"/>
      <c r="BD100" s="1190"/>
      <c r="BE100" s="1194"/>
      <c r="CM100" s="1188"/>
      <c r="CN100" s="1188"/>
      <c r="CO100" s="1188"/>
      <c r="CP100" s="1188"/>
    </row>
    <row r="101" spans="1:94" ht="15.75" customHeight="1" thickBot="1">
      <c r="A101" s="1190"/>
      <c r="B101" s="2131" t="s">
        <v>2368</v>
      </c>
      <c r="C101" s="2132"/>
      <c r="D101" s="2132"/>
      <c r="E101" s="2132"/>
      <c r="F101" s="2132"/>
      <c r="G101" s="2132"/>
      <c r="H101" s="2132"/>
      <c r="I101" s="2068">
        <v>0</v>
      </c>
      <c r="J101" s="2068"/>
      <c r="K101" s="2068"/>
      <c r="L101" s="2068"/>
      <c r="M101" s="2068"/>
      <c r="N101" s="2068"/>
      <c r="O101" s="2068">
        <v>0</v>
      </c>
      <c r="P101" s="2068"/>
      <c r="Q101" s="2068"/>
      <c r="R101" s="2068"/>
      <c r="S101" s="2068"/>
      <c r="T101" s="2068"/>
      <c r="U101" s="2068"/>
      <c r="V101" s="2068">
        <v>0</v>
      </c>
      <c r="W101" s="2068"/>
      <c r="X101" s="2068"/>
      <c r="Y101" s="2068"/>
      <c r="Z101" s="2068"/>
      <c r="AA101" s="2068"/>
      <c r="AB101" s="2068">
        <v>0</v>
      </c>
      <c r="AC101" s="2068"/>
      <c r="AD101" s="2068"/>
      <c r="AE101" s="2068"/>
      <c r="AF101" s="2068"/>
      <c r="AG101" s="2068"/>
      <c r="AH101" s="2069"/>
      <c r="AI101" s="1190"/>
      <c r="AJ101" s="2044"/>
      <c r="AK101" s="2045"/>
      <c r="AL101" s="2045"/>
      <c r="AM101" s="2045"/>
      <c r="AN101" s="2045"/>
      <c r="AO101" s="2045"/>
      <c r="AP101" s="2045"/>
      <c r="AQ101" s="2045"/>
      <c r="AR101" s="2045"/>
      <c r="AS101" s="2045"/>
      <c r="AT101" s="2045"/>
      <c r="AU101" s="2045"/>
      <c r="AV101" s="2045"/>
      <c r="AW101" s="2045"/>
      <c r="AX101" s="2045"/>
      <c r="AY101" s="2045"/>
      <c r="AZ101" s="2045"/>
      <c r="BA101" s="2045"/>
      <c r="BB101" s="2046"/>
      <c r="BC101" s="1190"/>
      <c r="BD101" s="1190"/>
      <c r="BE101" s="1194"/>
      <c r="BQ101" s="1256" t="str">
        <f>Application!AA335</f>
        <v>John Stewart Company,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5"/>
      <c r="G104" s="2096"/>
      <c r="H104" s="2096"/>
      <c r="I104" s="2096"/>
      <c r="J104" s="2096"/>
      <c r="K104" s="2096"/>
      <c r="L104" s="2096"/>
      <c r="M104" s="2096"/>
      <c r="N104" s="2096"/>
      <c r="O104" s="2096"/>
      <c r="P104" s="2096"/>
      <c r="Q104" s="2096"/>
      <c r="R104" s="209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4" t="str">
        <f>IFERROR(INDEX(BR96:BR98,MATCH(F104,$BQ$96:$BQ$98,0))/SUM($BR$96:$BR$98),"")</f>
        <v/>
      </c>
      <c r="P105" s="2135"/>
      <c r="Q105" s="2135"/>
      <c r="R105" s="213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4" t="s">
        <v>2373</v>
      </c>
      <c r="C107" s="2025"/>
      <c r="D107" s="2025"/>
      <c r="E107" s="2025"/>
      <c r="F107" s="2025"/>
      <c r="G107" s="2025"/>
      <c r="H107" s="2025"/>
      <c r="I107" s="2025"/>
      <c r="J107" s="2025"/>
      <c r="K107" s="2025"/>
      <c r="L107" s="2025"/>
      <c r="M107" s="2025"/>
      <c r="N107" s="2025"/>
      <c r="O107" s="2025"/>
      <c r="P107" s="2025"/>
      <c r="Q107" s="2025"/>
      <c r="R107" s="2025"/>
      <c r="S107" s="2025"/>
      <c r="T107" s="2025"/>
      <c r="U107" s="2025"/>
      <c r="V107" s="2025"/>
      <c r="W107" s="2025"/>
      <c r="X107" s="2025"/>
      <c r="Y107" s="2025"/>
      <c r="Z107" s="2025"/>
      <c r="AA107" s="2025"/>
      <c r="AB107" s="2025"/>
      <c r="AC107" s="2025"/>
      <c r="AD107" s="2025"/>
      <c r="AE107" s="2025"/>
      <c r="AF107" s="2025"/>
      <c r="AG107" s="2025"/>
      <c r="AH107" s="203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3"/>
      <c r="C108" s="2101"/>
      <c r="D108" s="2101"/>
      <c r="E108" s="2101"/>
      <c r="F108" s="2101"/>
      <c r="G108" s="2101"/>
      <c r="H108" s="2101"/>
      <c r="I108" s="2101" t="s">
        <v>2372</v>
      </c>
      <c r="J108" s="2101"/>
      <c r="K108" s="2101"/>
      <c r="L108" s="2101"/>
      <c r="M108" s="2101"/>
      <c r="N108" s="2101"/>
      <c r="O108" s="2101" t="s">
        <v>2348</v>
      </c>
      <c r="P108" s="2101"/>
      <c r="Q108" s="2101"/>
      <c r="R108" s="2101"/>
      <c r="S108" s="2101"/>
      <c r="T108" s="2101"/>
      <c r="U108" s="2101"/>
      <c r="V108" s="2137" t="s">
        <v>2347</v>
      </c>
      <c r="W108" s="2137"/>
      <c r="X108" s="2137"/>
      <c r="Y108" s="2137"/>
      <c r="Z108" s="2137"/>
      <c r="AA108" s="2137"/>
      <c r="AB108" s="2071" t="s">
        <v>2371</v>
      </c>
      <c r="AC108" s="2071"/>
      <c r="AD108" s="2071"/>
      <c r="AE108" s="2071"/>
      <c r="AF108" s="2071"/>
      <c r="AG108" s="2071"/>
      <c r="AH108" s="213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3"/>
      <c r="C109" s="2101"/>
      <c r="D109" s="2101"/>
      <c r="E109" s="2101"/>
      <c r="F109" s="2101"/>
      <c r="G109" s="2101"/>
      <c r="H109" s="2101"/>
      <c r="I109" s="2101"/>
      <c r="J109" s="2101"/>
      <c r="K109" s="2101"/>
      <c r="L109" s="2101"/>
      <c r="M109" s="2101"/>
      <c r="N109" s="2101"/>
      <c r="O109" s="2101"/>
      <c r="P109" s="2101"/>
      <c r="Q109" s="2101"/>
      <c r="R109" s="2101"/>
      <c r="S109" s="2101"/>
      <c r="T109" s="2101"/>
      <c r="U109" s="2101"/>
      <c r="V109" s="2137"/>
      <c r="W109" s="2137"/>
      <c r="X109" s="2137"/>
      <c r="Y109" s="2137"/>
      <c r="Z109" s="2137"/>
      <c r="AA109" s="2137"/>
      <c r="AB109" s="2071"/>
      <c r="AC109" s="2071"/>
      <c r="AD109" s="2071"/>
      <c r="AE109" s="2071"/>
      <c r="AF109" s="2071"/>
      <c r="AG109" s="2071"/>
      <c r="AH109" s="213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3" t="s">
        <v>2370</v>
      </c>
      <c r="C110" s="2101"/>
      <c r="D110" s="2101"/>
      <c r="E110" s="2101"/>
      <c r="F110" s="2101"/>
      <c r="G110" s="2101"/>
      <c r="H110" s="2101"/>
      <c r="I110" s="2074">
        <v>0</v>
      </c>
      <c r="J110" s="2074"/>
      <c r="K110" s="2074"/>
      <c r="L110" s="2074"/>
      <c r="M110" s="2074"/>
      <c r="N110" s="2074"/>
      <c r="O110" s="2074">
        <v>0</v>
      </c>
      <c r="P110" s="2074"/>
      <c r="Q110" s="2074"/>
      <c r="R110" s="2074"/>
      <c r="S110" s="2074"/>
      <c r="T110" s="2074"/>
      <c r="U110" s="2074"/>
      <c r="V110" s="2074">
        <v>0</v>
      </c>
      <c r="W110" s="2074"/>
      <c r="X110" s="2074"/>
      <c r="Y110" s="2074"/>
      <c r="Z110" s="2074"/>
      <c r="AA110" s="2074"/>
      <c r="AB110" s="2074">
        <v>0</v>
      </c>
      <c r="AC110" s="2074"/>
      <c r="AD110" s="2074"/>
      <c r="AE110" s="2074"/>
      <c r="AF110" s="2074"/>
      <c r="AG110" s="2074"/>
      <c r="AH110" s="207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3" t="s">
        <v>2369</v>
      </c>
      <c r="C111" s="2101"/>
      <c r="D111" s="2101"/>
      <c r="E111" s="2101"/>
      <c r="F111" s="2101"/>
      <c r="G111" s="2101"/>
      <c r="H111" s="2101"/>
      <c r="I111" s="2074">
        <v>0</v>
      </c>
      <c r="J111" s="2074"/>
      <c r="K111" s="2074"/>
      <c r="L111" s="2074"/>
      <c r="M111" s="2074"/>
      <c r="N111" s="2074"/>
      <c r="O111" s="2074">
        <v>0</v>
      </c>
      <c r="P111" s="2074"/>
      <c r="Q111" s="2074"/>
      <c r="R111" s="2074"/>
      <c r="S111" s="2074"/>
      <c r="T111" s="2074"/>
      <c r="U111" s="2074"/>
      <c r="V111" s="2074">
        <v>0</v>
      </c>
      <c r="W111" s="2074"/>
      <c r="X111" s="2074"/>
      <c r="Y111" s="2074"/>
      <c r="Z111" s="2074"/>
      <c r="AA111" s="2074"/>
      <c r="AB111" s="2074">
        <v>0</v>
      </c>
      <c r="AC111" s="2074"/>
      <c r="AD111" s="2074"/>
      <c r="AE111" s="2074"/>
      <c r="AF111" s="2074"/>
      <c r="AG111" s="2074"/>
      <c r="AH111" s="207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1" t="s">
        <v>2368</v>
      </c>
      <c r="C112" s="2132"/>
      <c r="D112" s="2132"/>
      <c r="E112" s="2132"/>
      <c r="F112" s="2132"/>
      <c r="G112" s="2132"/>
      <c r="H112" s="2132"/>
      <c r="I112" s="2068">
        <v>0</v>
      </c>
      <c r="J112" s="2068"/>
      <c r="K112" s="2068"/>
      <c r="L112" s="2068"/>
      <c r="M112" s="2068"/>
      <c r="N112" s="2068"/>
      <c r="O112" s="2068">
        <v>0</v>
      </c>
      <c r="P112" s="2068"/>
      <c r="Q112" s="2068"/>
      <c r="R112" s="2068"/>
      <c r="S112" s="2068"/>
      <c r="T112" s="2068"/>
      <c r="U112" s="2068"/>
      <c r="V112" s="2068">
        <v>0</v>
      </c>
      <c r="W112" s="2068"/>
      <c r="X112" s="2068"/>
      <c r="Y112" s="2068"/>
      <c r="Z112" s="2068"/>
      <c r="AA112" s="2068"/>
      <c r="AB112" s="2068">
        <v>0</v>
      </c>
      <c r="AC112" s="2068"/>
      <c r="AD112" s="2068"/>
      <c r="AE112" s="2068"/>
      <c r="AF112" s="2068"/>
      <c r="AG112" s="2068"/>
      <c r="AH112" s="206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5"/>
      <c r="G115" s="2096"/>
      <c r="H115" s="2096"/>
      <c r="I115" s="2096"/>
      <c r="J115" s="2096"/>
      <c r="K115" s="2096"/>
      <c r="L115" s="2096"/>
      <c r="M115" s="2096"/>
      <c r="N115" s="2096"/>
      <c r="O115" s="2096"/>
      <c r="P115" s="2096"/>
      <c r="Q115" s="2096"/>
      <c r="R115" s="209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6" t="s">
        <v>2366</v>
      </c>
      <c r="C117" s="2107"/>
      <c r="D117" s="2107"/>
      <c r="E117" s="2107"/>
      <c r="F117" s="2107"/>
      <c r="G117" s="2107"/>
      <c r="H117" s="2107"/>
      <c r="I117" s="2107"/>
      <c r="J117" s="2107"/>
      <c r="K117" s="2107"/>
      <c r="L117" s="2107"/>
      <c r="M117" s="2107"/>
      <c r="N117" s="2107"/>
      <c r="O117" s="2107"/>
      <c r="P117" s="2107"/>
      <c r="Q117" s="2107"/>
      <c r="R117" s="2107"/>
      <c r="S117" s="2107"/>
      <c r="T117" s="2107"/>
      <c r="U117" s="2110" t="s">
        <v>545</v>
      </c>
      <c r="V117" s="2110"/>
      <c r="W117" s="2110"/>
      <c r="X117" s="211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8"/>
      <c r="C118" s="2109"/>
      <c r="D118" s="2109"/>
      <c r="E118" s="2109"/>
      <c r="F118" s="2109"/>
      <c r="G118" s="2109"/>
      <c r="H118" s="2109"/>
      <c r="I118" s="2109"/>
      <c r="J118" s="2109"/>
      <c r="K118" s="2109"/>
      <c r="L118" s="2109"/>
      <c r="M118" s="2109"/>
      <c r="N118" s="2109"/>
      <c r="O118" s="2109"/>
      <c r="P118" s="2109"/>
      <c r="Q118" s="2109"/>
      <c r="R118" s="2109"/>
      <c r="S118" s="2109"/>
      <c r="T118" s="2109"/>
      <c r="U118" s="2112"/>
      <c r="V118" s="2112"/>
      <c r="W118" s="2112"/>
      <c r="X118" s="211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8"/>
      <c r="C119" s="2109"/>
      <c r="D119" s="2109"/>
      <c r="E119" s="2109"/>
      <c r="F119" s="2109"/>
      <c r="G119" s="2109"/>
      <c r="H119" s="2109"/>
      <c r="I119" s="2109"/>
      <c r="J119" s="2109"/>
      <c r="K119" s="2109"/>
      <c r="L119" s="2109"/>
      <c r="M119" s="2109"/>
      <c r="N119" s="2109"/>
      <c r="O119" s="2109"/>
      <c r="P119" s="2109"/>
      <c r="Q119" s="2109"/>
      <c r="R119" s="2109"/>
      <c r="S119" s="2109"/>
      <c r="T119" s="2109"/>
      <c r="U119" s="2112"/>
      <c r="V119" s="2112"/>
      <c r="W119" s="2112"/>
      <c r="X119" s="211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8"/>
      <c r="C120" s="2109"/>
      <c r="D120" s="2109"/>
      <c r="E120" s="2109"/>
      <c r="F120" s="2109"/>
      <c r="G120" s="2109"/>
      <c r="H120" s="2109"/>
      <c r="I120" s="2109"/>
      <c r="J120" s="2109"/>
      <c r="K120" s="2109"/>
      <c r="L120" s="2109"/>
      <c r="M120" s="2109"/>
      <c r="N120" s="2109"/>
      <c r="O120" s="2109"/>
      <c r="P120" s="2109"/>
      <c r="Q120" s="2109"/>
      <c r="R120" s="2109"/>
      <c r="S120" s="2109"/>
      <c r="T120" s="2109"/>
      <c r="U120" s="2112"/>
      <c r="V120" s="2112"/>
      <c r="W120" s="2112"/>
      <c r="X120" s="211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4" t="s">
        <v>2366</v>
      </c>
      <c r="C121" s="2115"/>
      <c r="D121" s="2115"/>
      <c r="E121" s="2115"/>
      <c r="F121" s="2115"/>
      <c r="G121" s="2115"/>
      <c r="H121" s="2115"/>
      <c r="I121" s="2115"/>
      <c r="J121" s="2115"/>
      <c r="K121" s="2115"/>
      <c r="L121" s="2115"/>
      <c r="M121" s="2115"/>
      <c r="N121" s="2115"/>
      <c r="O121" s="2115"/>
      <c r="P121" s="2115"/>
      <c r="Q121" s="2115"/>
      <c r="R121" s="2115"/>
      <c r="S121" s="2115"/>
      <c r="T121" s="2115"/>
      <c r="U121" s="2118" t="s">
        <v>545</v>
      </c>
      <c r="V121" s="2118"/>
      <c r="W121" s="2118"/>
      <c r="X121" s="211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6"/>
      <c r="C122" s="2117"/>
      <c r="D122" s="2117"/>
      <c r="E122" s="2117"/>
      <c r="F122" s="2117"/>
      <c r="G122" s="2117"/>
      <c r="H122" s="2117"/>
      <c r="I122" s="2117"/>
      <c r="J122" s="2117"/>
      <c r="K122" s="2117"/>
      <c r="L122" s="2117"/>
      <c r="M122" s="2117"/>
      <c r="N122" s="2117"/>
      <c r="O122" s="2117"/>
      <c r="P122" s="2117"/>
      <c r="Q122" s="2117"/>
      <c r="R122" s="2117"/>
      <c r="S122" s="2117"/>
      <c r="T122" s="2117"/>
      <c r="U122" s="2120"/>
      <c r="V122" s="2120"/>
      <c r="W122" s="2120"/>
      <c r="X122" s="212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2" t="s">
        <v>2364</v>
      </c>
      <c r="Y125" s="2123"/>
      <c r="Z125" s="2123"/>
      <c r="AA125" s="2123"/>
      <c r="AB125" s="2123"/>
      <c r="AC125" s="2123"/>
      <c r="AD125" s="2123"/>
      <c r="AE125" s="2123"/>
      <c r="AF125" s="2123"/>
      <c r="AG125" s="2123"/>
      <c r="AH125" s="2123"/>
      <c r="AI125" s="2123"/>
      <c r="AJ125" s="2123"/>
      <c r="AK125" s="2123"/>
      <c r="AL125" s="2123"/>
      <c r="AM125" s="2123"/>
      <c r="AN125" s="2123"/>
      <c r="AO125" s="2123"/>
      <c r="AP125" s="2123"/>
      <c r="AQ125" s="2123"/>
      <c r="AR125" s="2123"/>
      <c r="AS125" s="2123"/>
      <c r="AT125" s="2123"/>
      <c r="AU125" s="2123"/>
      <c r="AV125" s="2123"/>
      <c r="AW125" s="2123"/>
      <c r="AX125" s="2123"/>
      <c r="AY125" s="2123"/>
      <c r="AZ125" s="2123"/>
      <c r="BA125" s="2123"/>
      <c r="BB125" s="2123"/>
      <c r="BC125" s="2123"/>
      <c r="BD125" s="2124"/>
      <c r="BE125" s="1194"/>
    </row>
    <row r="126" spans="1:57" ht="15.75" customHeight="1">
      <c r="A126" s="1190"/>
      <c r="B126" s="2128" t="s">
        <v>1576</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125"/>
      <c r="Y126" s="2126"/>
      <c r="Z126" s="2126"/>
      <c r="AA126" s="2126"/>
      <c r="AB126" s="2126"/>
      <c r="AC126" s="2126"/>
      <c r="AD126" s="2126"/>
      <c r="AE126" s="2126"/>
      <c r="AF126" s="2126"/>
      <c r="AG126" s="2126"/>
      <c r="AH126" s="2126"/>
      <c r="AI126" s="2126"/>
      <c r="AJ126" s="2126"/>
      <c r="AK126" s="2126"/>
      <c r="AL126" s="2126"/>
      <c r="AM126" s="2126"/>
      <c r="AN126" s="2126"/>
      <c r="AO126" s="2126"/>
      <c r="AP126" s="2126"/>
      <c r="AQ126" s="2126"/>
      <c r="AR126" s="2126"/>
      <c r="AS126" s="2126"/>
      <c r="AT126" s="2126"/>
      <c r="AU126" s="2126"/>
      <c r="AV126" s="2126"/>
      <c r="AW126" s="2126"/>
      <c r="AX126" s="2126"/>
      <c r="AY126" s="2126"/>
      <c r="AZ126" s="2126"/>
      <c r="BA126" s="2126"/>
      <c r="BB126" s="2126"/>
      <c r="BC126" s="2126"/>
      <c r="BD126" s="2127"/>
      <c r="BE126" s="1194"/>
    </row>
    <row r="127" spans="1:57" ht="15.75" customHeight="1">
      <c r="A127" s="1190"/>
      <c r="B127" s="2038"/>
      <c r="C127" s="2039"/>
      <c r="D127" s="2039"/>
      <c r="E127" s="2039"/>
      <c r="F127" s="2039"/>
      <c r="G127" s="2039"/>
      <c r="H127" s="2039"/>
      <c r="I127" s="2101" t="s">
        <v>2363</v>
      </c>
      <c r="J127" s="2101"/>
      <c r="K127" s="2101"/>
      <c r="L127" s="2101"/>
      <c r="M127" s="2101"/>
      <c r="N127" s="2101"/>
      <c r="O127" s="2102" t="s">
        <v>2362</v>
      </c>
      <c r="P127" s="2102"/>
      <c r="Q127" s="2102"/>
      <c r="R127" s="2102"/>
      <c r="S127" s="2102"/>
      <c r="T127" s="2102"/>
      <c r="U127" s="2103"/>
      <c r="V127" s="1190"/>
      <c r="W127" s="1190"/>
      <c r="X127" s="2041" t="s">
        <v>2332</v>
      </c>
      <c r="Y127" s="2042"/>
      <c r="Z127" s="2042"/>
      <c r="AA127" s="2042"/>
      <c r="AB127" s="2042"/>
      <c r="AC127" s="2042"/>
      <c r="AD127" s="2042"/>
      <c r="AE127" s="2042"/>
      <c r="AF127" s="2042"/>
      <c r="AG127" s="2042"/>
      <c r="AH127" s="2042"/>
      <c r="AI127" s="2042"/>
      <c r="AJ127" s="2042"/>
      <c r="AK127" s="2042"/>
      <c r="AL127" s="2042"/>
      <c r="AM127" s="2042"/>
      <c r="AN127" s="2042"/>
      <c r="AO127" s="2042"/>
      <c r="AP127" s="2042"/>
      <c r="AQ127" s="2042"/>
      <c r="AR127" s="2042"/>
      <c r="AS127" s="2042"/>
      <c r="AT127" s="2042"/>
      <c r="AU127" s="2042"/>
      <c r="AV127" s="2042"/>
      <c r="AW127" s="2042"/>
      <c r="AX127" s="2042"/>
      <c r="AY127" s="2042"/>
      <c r="AZ127" s="2042"/>
      <c r="BA127" s="2042"/>
      <c r="BB127" s="2042"/>
      <c r="BC127" s="2042"/>
      <c r="BD127" s="2043"/>
      <c r="BE127" s="1194"/>
    </row>
    <row r="128" spans="1:57" ht="15.75" customHeight="1">
      <c r="A128" s="1190"/>
      <c r="B128" s="2072" t="s">
        <v>2346</v>
      </c>
      <c r="C128" s="2073"/>
      <c r="D128" s="2073"/>
      <c r="E128" s="2073"/>
      <c r="F128" s="2073"/>
      <c r="G128" s="2073"/>
      <c r="H128" s="2073"/>
      <c r="I128" s="2074">
        <v>0</v>
      </c>
      <c r="J128" s="2074"/>
      <c r="K128" s="2074"/>
      <c r="L128" s="2074"/>
      <c r="M128" s="2074"/>
      <c r="N128" s="2074"/>
      <c r="O128" s="2074">
        <v>0</v>
      </c>
      <c r="P128" s="2074"/>
      <c r="Q128" s="2074"/>
      <c r="R128" s="2074"/>
      <c r="S128" s="2074"/>
      <c r="T128" s="2074"/>
      <c r="U128" s="2075"/>
      <c r="V128" s="1190"/>
      <c r="W128" s="1190"/>
      <c r="X128" s="2041"/>
      <c r="Y128" s="2042"/>
      <c r="Z128" s="2042"/>
      <c r="AA128" s="2042"/>
      <c r="AB128" s="2042"/>
      <c r="AC128" s="2042"/>
      <c r="AD128" s="2042"/>
      <c r="AE128" s="2042"/>
      <c r="AF128" s="2042"/>
      <c r="AG128" s="2042"/>
      <c r="AH128" s="2042"/>
      <c r="AI128" s="2042"/>
      <c r="AJ128" s="2042"/>
      <c r="AK128" s="2042"/>
      <c r="AL128" s="2042"/>
      <c r="AM128" s="2042"/>
      <c r="AN128" s="2042"/>
      <c r="AO128" s="2042"/>
      <c r="AP128" s="2042"/>
      <c r="AQ128" s="2042"/>
      <c r="AR128" s="2042"/>
      <c r="AS128" s="2042"/>
      <c r="AT128" s="2042"/>
      <c r="AU128" s="2042"/>
      <c r="AV128" s="2042"/>
      <c r="AW128" s="2042"/>
      <c r="AX128" s="2042"/>
      <c r="AY128" s="2042"/>
      <c r="AZ128" s="2042"/>
      <c r="BA128" s="2042"/>
      <c r="BB128" s="2042"/>
      <c r="BC128" s="2042"/>
      <c r="BD128" s="2043"/>
      <c r="BE128" s="1194"/>
    </row>
    <row r="129" spans="1:57" ht="15.75" customHeight="1" thickBot="1">
      <c r="A129" s="1190"/>
      <c r="B129" s="2066" t="s">
        <v>2345</v>
      </c>
      <c r="C129" s="2067"/>
      <c r="D129" s="2067"/>
      <c r="E129" s="2067"/>
      <c r="F129" s="2067"/>
      <c r="G129" s="2067"/>
      <c r="H129" s="2067"/>
      <c r="I129" s="2068">
        <v>0</v>
      </c>
      <c r="J129" s="2068"/>
      <c r="K129" s="2068"/>
      <c r="L129" s="2068"/>
      <c r="M129" s="2068"/>
      <c r="N129" s="2068"/>
      <c r="O129" s="2104"/>
      <c r="P129" s="2104"/>
      <c r="Q129" s="2104"/>
      <c r="R129" s="2104"/>
      <c r="S129" s="2104"/>
      <c r="T129" s="2104"/>
      <c r="U129" s="2105"/>
      <c r="V129" s="1190"/>
      <c r="W129" s="1190"/>
      <c r="X129" s="2041"/>
      <c r="Y129" s="2042"/>
      <c r="Z129" s="2042"/>
      <c r="AA129" s="2042"/>
      <c r="AB129" s="2042"/>
      <c r="AC129" s="2042"/>
      <c r="AD129" s="2042"/>
      <c r="AE129" s="2042"/>
      <c r="AF129" s="2042"/>
      <c r="AG129" s="2042"/>
      <c r="AH129" s="2042"/>
      <c r="AI129" s="2042"/>
      <c r="AJ129" s="2042"/>
      <c r="AK129" s="2042"/>
      <c r="AL129" s="2042"/>
      <c r="AM129" s="2042"/>
      <c r="AN129" s="2042"/>
      <c r="AO129" s="2042"/>
      <c r="AP129" s="2042"/>
      <c r="AQ129" s="2042"/>
      <c r="AR129" s="2042"/>
      <c r="AS129" s="2042"/>
      <c r="AT129" s="2042"/>
      <c r="AU129" s="2042"/>
      <c r="AV129" s="2042"/>
      <c r="AW129" s="2042"/>
      <c r="AX129" s="2042"/>
      <c r="AY129" s="2042"/>
      <c r="AZ129" s="2042"/>
      <c r="BA129" s="2042"/>
      <c r="BB129" s="2042"/>
      <c r="BC129" s="2042"/>
      <c r="BD129" s="204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1"/>
      <c r="Y130" s="2042"/>
      <c r="Z130" s="2042"/>
      <c r="AA130" s="2042"/>
      <c r="AB130" s="2042"/>
      <c r="AC130" s="2042"/>
      <c r="AD130" s="2042"/>
      <c r="AE130" s="2042"/>
      <c r="AF130" s="2042"/>
      <c r="AG130" s="2042"/>
      <c r="AH130" s="2042"/>
      <c r="AI130" s="2042"/>
      <c r="AJ130" s="2042"/>
      <c r="AK130" s="2042"/>
      <c r="AL130" s="2042"/>
      <c r="AM130" s="2042"/>
      <c r="AN130" s="2042"/>
      <c r="AO130" s="2042"/>
      <c r="AP130" s="2042"/>
      <c r="AQ130" s="2042"/>
      <c r="AR130" s="2042"/>
      <c r="AS130" s="2042"/>
      <c r="AT130" s="2042"/>
      <c r="AU130" s="2042"/>
      <c r="AV130" s="2042"/>
      <c r="AW130" s="2042"/>
      <c r="AX130" s="2042"/>
      <c r="AY130" s="2042"/>
      <c r="AZ130" s="2042"/>
      <c r="BA130" s="2042"/>
      <c r="BB130" s="2042"/>
      <c r="BC130" s="2042"/>
      <c r="BD130" s="2043"/>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1"/>
      <c r="Y131" s="2042"/>
      <c r="Z131" s="2042"/>
      <c r="AA131" s="2042"/>
      <c r="AB131" s="2042"/>
      <c r="AC131" s="2042"/>
      <c r="AD131" s="2042"/>
      <c r="AE131" s="2042"/>
      <c r="AF131" s="2042"/>
      <c r="AG131" s="2042"/>
      <c r="AH131" s="2042"/>
      <c r="AI131" s="2042"/>
      <c r="AJ131" s="2042"/>
      <c r="AK131" s="2042"/>
      <c r="AL131" s="2042"/>
      <c r="AM131" s="2042"/>
      <c r="AN131" s="2042"/>
      <c r="AO131" s="2042"/>
      <c r="AP131" s="2042"/>
      <c r="AQ131" s="2042"/>
      <c r="AR131" s="2042"/>
      <c r="AS131" s="2042"/>
      <c r="AT131" s="2042"/>
      <c r="AU131" s="2042"/>
      <c r="AV131" s="2042"/>
      <c r="AW131" s="2042"/>
      <c r="AX131" s="2042"/>
      <c r="AY131" s="2042"/>
      <c r="AZ131" s="2042"/>
      <c r="BA131" s="2042"/>
      <c r="BB131" s="2042"/>
      <c r="BC131" s="2042"/>
      <c r="BD131" s="204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1"/>
      <c r="Y132" s="2042"/>
      <c r="Z132" s="2042"/>
      <c r="AA132" s="2042"/>
      <c r="AB132" s="2042"/>
      <c r="AC132" s="2042"/>
      <c r="AD132" s="2042"/>
      <c r="AE132" s="2042"/>
      <c r="AF132" s="2042"/>
      <c r="AG132" s="2042"/>
      <c r="AH132" s="2042"/>
      <c r="AI132" s="2042"/>
      <c r="AJ132" s="2042"/>
      <c r="AK132" s="2042"/>
      <c r="AL132" s="2042"/>
      <c r="AM132" s="2042"/>
      <c r="AN132" s="2042"/>
      <c r="AO132" s="2042"/>
      <c r="AP132" s="2042"/>
      <c r="AQ132" s="2042"/>
      <c r="AR132" s="2042"/>
      <c r="AS132" s="2042"/>
      <c r="AT132" s="2042"/>
      <c r="AU132" s="2042"/>
      <c r="AV132" s="2042"/>
      <c r="AW132" s="2042"/>
      <c r="AX132" s="2042"/>
      <c r="AY132" s="2042"/>
      <c r="AZ132" s="2042"/>
      <c r="BA132" s="2042"/>
      <c r="BB132" s="2042"/>
      <c r="BC132" s="2042"/>
      <c r="BD132" s="2043"/>
      <c r="BE132" s="1194"/>
    </row>
    <row r="133" spans="1:57" ht="15.75" customHeight="1">
      <c r="A133" s="1190"/>
      <c r="B133" s="2098" t="s">
        <v>2360</v>
      </c>
      <c r="C133" s="2099"/>
      <c r="D133" s="2099"/>
      <c r="E133" s="2099"/>
      <c r="F133" s="2099"/>
      <c r="G133" s="2099"/>
      <c r="H133" s="2099"/>
      <c r="I133" s="2099"/>
      <c r="J133" s="2099"/>
      <c r="K133" s="2099"/>
      <c r="L133" s="2099"/>
      <c r="M133" s="2099"/>
      <c r="N133" s="2099"/>
      <c r="O133" s="2099"/>
      <c r="P133" s="2099"/>
      <c r="Q133" s="2099"/>
      <c r="R133" s="2099"/>
      <c r="S133" s="2099"/>
      <c r="T133" s="2099"/>
      <c r="U133" s="2100"/>
      <c r="V133" s="1190"/>
      <c r="W133" s="1190"/>
      <c r="X133" s="2041"/>
      <c r="Y133" s="2042"/>
      <c r="Z133" s="2042"/>
      <c r="AA133" s="2042"/>
      <c r="AB133" s="2042"/>
      <c r="AC133" s="2042"/>
      <c r="AD133" s="2042"/>
      <c r="AE133" s="2042"/>
      <c r="AF133" s="2042"/>
      <c r="AG133" s="2042"/>
      <c r="AH133" s="2042"/>
      <c r="AI133" s="2042"/>
      <c r="AJ133" s="2042"/>
      <c r="AK133" s="2042"/>
      <c r="AL133" s="2042"/>
      <c r="AM133" s="2042"/>
      <c r="AN133" s="2042"/>
      <c r="AO133" s="2042"/>
      <c r="AP133" s="2042"/>
      <c r="AQ133" s="2042"/>
      <c r="AR133" s="2042"/>
      <c r="AS133" s="2042"/>
      <c r="AT133" s="2042"/>
      <c r="AU133" s="2042"/>
      <c r="AV133" s="2042"/>
      <c r="AW133" s="2042"/>
      <c r="AX133" s="2042"/>
      <c r="AY133" s="2042"/>
      <c r="AZ133" s="2042"/>
      <c r="BA133" s="2042"/>
      <c r="BB133" s="2042"/>
      <c r="BC133" s="2042"/>
      <c r="BD133" s="2043"/>
      <c r="BE133" s="1194"/>
    </row>
    <row r="134" spans="1:57" ht="15.75" customHeight="1">
      <c r="A134" s="1190"/>
      <c r="B134" s="2038"/>
      <c r="C134" s="2039"/>
      <c r="D134" s="2039"/>
      <c r="E134" s="2039"/>
      <c r="F134" s="2039"/>
      <c r="G134" s="2039"/>
      <c r="H134" s="2039"/>
      <c r="I134" s="2076" t="s">
        <v>2348</v>
      </c>
      <c r="J134" s="2076"/>
      <c r="K134" s="2076"/>
      <c r="L134" s="2076"/>
      <c r="M134" s="2076"/>
      <c r="N134" s="2076"/>
      <c r="O134" s="2076"/>
      <c r="P134" s="2076" t="s">
        <v>2347</v>
      </c>
      <c r="Q134" s="2076"/>
      <c r="R134" s="2076"/>
      <c r="S134" s="2076"/>
      <c r="T134" s="2076"/>
      <c r="U134" s="2077"/>
      <c r="V134" s="1190"/>
      <c r="W134" s="1190"/>
      <c r="X134" s="2041"/>
      <c r="Y134" s="2042"/>
      <c r="Z134" s="2042"/>
      <c r="AA134" s="2042"/>
      <c r="AB134" s="2042"/>
      <c r="AC134" s="2042"/>
      <c r="AD134" s="2042"/>
      <c r="AE134" s="2042"/>
      <c r="AF134" s="2042"/>
      <c r="AG134" s="2042"/>
      <c r="AH134" s="2042"/>
      <c r="AI134" s="2042"/>
      <c r="AJ134" s="2042"/>
      <c r="AK134" s="2042"/>
      <c r="AL134" s="2042"/>
      <c r="AM134" s="2042"/>
      <c r="AN134" s="2042"/>
      <c r="AO134" s="2042"/>
      <c r="AP134" s="2042"/>
      <c r="AQ134" s="2042"/>
      <c r="AR134" s="2042"/>
      <c r="AS134" s="2042"/>
      <c r="AT134" s="2042"/>
      <c r="AU134" s="2042"/>
      <c r="AV134" s="2042"/>
      <c r="AW134" s="2042"/>
      <c r="AX134" s="2042"/>
      <c r="AY134" s="2042"/>
      <c r="AZ134" s="2042"/>
      <c r="BA134" s="2042"/>
      <c r="BB134" s="2042"/>
      <c r="BC134" s="2042"/>
      <c r="BD134" s="2043"/>
      <c r="BE134" s="1194"/>
    </row>
    <row r="135" spans="1:57" ht="15.75" customHeight="1">
      <c r="A135" s="1190"/>
      <c r="B135" s="2038"/>
      <c r="C135" s="2039"/>
      <c r="D135" s="2039"/>
      <c r="E135" s="2039"/>
      <c r="F135" s="2039"/>
      <c r="G135" s="2039"/>
      <c r="H135" s="2039"/>
      <c r="I135" s="2076"/>
      <c r="J135" s="2076"/>
      <c r="K135" s="2076"/>
      <c r="L135" s="2076"/>
      <c r="M135" s="2076"/>
      <c r="N135" s="2076"/>
      <c r="O135" s="2076"/>
      <c r="P135" s="2076"/>
      <c r="Q135" s="2076"/>
      <c r="R135" s="2076"/>
      <c r="S135" s="2076"/>
      <c r="T135" s="2076"/>
      <c r="U135" s="2077"/>
      <c r="V135" s="1190"/>
      <c r="W135" s="1190"/>
      <c r="X135" s="2041"/>
      <c r="Y135" s="2042"/>
      <c r="Z135" s="2042"/>
      <c r="AA135" s="2042"/>
      <c r="AB135" s="2042"/>
      <c r="AC135" s="2042"/>
      <c r="AD135" s="2042"/>
      <c r="AE135" s="2042"/>
      <c r="AF135" s="2042"/>
      <c r="AG135" s="2042"/>
      <c r="AH135" s="2042"/>
      <c r="AI135" s="2042"/>
      <c r="AJ135" s="2042"/>
      <c r="AK135" s="2042"/>
      <c r="AL135" s="2042"/>
      <c r="AM135" s="2042"/>
      <c r="AN135" s="2042"/>
      <c r="AO135" s="2042"/>
      <c r="AP135" s="2042"/>
      <c r="AQ135" s="2042"/>
      <c r="AR135" s="2042"/>
      <c r="AS135" s="2042"/>
      <c r="AT135" s="2042"/>
      <c r="AU135" s="2042"/>
      <c r="AV135" s="2042"/>
      <c r="AW135" s="2042"/>
      <c r="AX135" s="2042"/>
      <c r="AY135" s="2042"/>
      <c r="AZ135" s="2042"/>
      <c r="BA135" s="2042"/>
      <c r="BB135" s="2042"/>
      <c r="BC135" s="2042"/>
      <c r="BD135" s="2043"/>
      <c r="BE135" s="1194"/>
    </row>
    <row r="136" spans="1:57" ht="15.75" customHeight="1">
      <c r="A136" s="1190"/>
      <c r="B136" s="2072" t="s">
        <v>2346</v>
      </c>
      <c r="C136" s="2073"/>
      <c r="D136" s="2073"/>
      <c r="E136" s="2073"/>
      <c r="F136" s="2073"/>
      <c r="G136" s="2073"/>
      <c r="H136" s="2073"/>
      <c r="I136" s="2074">
        <v>0</v>
      </c>
      <c r="J136" s="2074"/>
      <c r="K136" s="2074"/>
      <c r="L136" s="2074"/>
      <c r="M136" s="2074"/>
      <c r="N136" s="2074"/>
      <c r="O136" s="2074"/>
      <c r="P136" s="2074">
        <v>0</v>
      </c>
      <c r="Q136" s="2074"/>
      <c r="R136" s="2074"/>
      <c r="S136" s="2074"/>
      <c r="T136" s="2074"/>
      <c r="U136" s="2075"/>
      <c r="V136" s="1190"/>
      <c r="W136" s="1190"/>
      <c r="X136" s="2041"/>
      <c r="Y136" s="2042"/>
      <c r="Z136" s="2042"/>
      <c r="AA136" s="2042"/>
      <c r="AB136" s="2042"/>
      <c r="AC136" s="2042"/>
      <c r="AD136" s="2042"/>
      <c r="AE136" s="2042"/>
      <c r="AF136" s="2042"/>
      <c r="AG136" s="2042"/>
      <c r="AH136" s="2042"/>
      <c r="AI136" s="2042"/>
      <c r="AJ136" s="2042"/>
      <c r="AK136" s="2042"/>
      <c r="AL136" s="2042"/>
      <c r="AM136" s="2042"/>
      <c r="AN136" s="2042"/>
      <c r="AO136" s="2042"/>
      <c r="AP136" s="2042"/>
      <c r="AQ136" s="2042"/>
      <c r="AR136" s="2042"/>
      <c r="AS136" s="2042"/>
      <c r="AT136" s="2042"/>
      <c r="AU136" s="2042"/>
      <c r="AV136" s="2042"/>
      <c r="AW136" s="2042"/>
      <c r="AX136" s="2042"/>
      <c r="AY136" s="2042"/>
      <c r="AZ136" s="2042"/>
      <c r="BA136" s="2042"/>
      <c r="BB136" s="2042"/>
      <c r="BC136" s="2042"/>
      <c r="BD136" s="2043"/>
      <c r="BE136" s="1194"/>
    </row>
    <row r="137" spans="1:57" ht="15.75" customHeight="1" thickBot="1">
      <c r="A137" s="1190"/>
      <c r="B137" s="2066" t="s">
        <v>2345</v>
      </c>
      <c r="C137" s="2067"/>
      <c r="D137" s="2067"/>
      <c r="E137" s="2067"/>
      <c r="F137" s="2067"/>
      <c r="G137" s="2067"/>
      <c r="H137" s="2067"/>
      <c r="I137" s="2068">
        <v>0</v>
      </c>
      <c r="J137" s="2068"/>
      <c r="K137" s="2068"/>
      <c r="L137" s="2068"/>
      <c r="M137" s="2068"/>
      <c r="N137" s="2068"/>
      <c r="O137" s="2068"/>
      <c r="P137" s="2068">
        <v>0</v>
      </c>
      <c r="Q137" s="2068"/>
      <c r="R137" s="2068"/>
      <c r="S137" s="2068"/>
      <c r="T137" s="2068"/>
      <c r="U137" s="2069"/>
      <c r="V137" s="1190"/>
      <c r="W137" s="1190"/>
      <c r="X137" s="2044"/>
      <c r="Y137" s="2045"/>
      <c r="Z137" s="2045"/>
      <c r="AA137" s="2045"/>
      <c r="AB137" s="2045"/>
      <c r="AC137" s="2045"/>
      <c r="AD137" s="2045"/>
      <c r="AE137" s="2045"/>
      <c r="AF137" s="2045"/>
      <c r="AG137" s="2045"/>
      <c r="AH137" s="2045"/>
      <c r="AI137" s="2045"/>
      <c r="AJ137" s="2045"/>
      <c r="AK137" s="2045"/>
      <c r="AL137" s="2045"/>
      <c r="AM137" s="2045"/>
      <c r="AN137" s="2045"/>
      <c r="AO137" s="2045"/>
      <c r="AP137" s="2045"/>
      <c r="AQ137" s="2045"/>
      <c r="AR137" s="2045"/>
      <c r="AS137" s="2045"/>
      <c r="AT137" s="2045"/>
      <c r="AU137" s="2045"/>
      <c r="AV137" s="2045"/>
      <c r="AW137" s="2045"/>
      <c r="AX137" s="2045"/>
      <c r="AY137" s="2045"/>
      <c r="AZ137" s="2045"/>
      <c r="BA137" s="2045"/>
      <c r="BB137" s="2045"/>
      <c r="BC137" s="2045"/>
      <c r="BD137" s="204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3" t="s">
        <v>2359</v>
      </c>
      <c r="C139" s="2094"/>
      <c r="D139" s="2094"/>
      <c r="E139" s="2094"/>
      <c r="F139" s="2094"/>
      <c r="G139" s="2094"/>
      <c r="H139" s="2094"/>
      <c r="I139" s="2094"/>
      <c r="J139" s="2094"/>
      <c r="K139" s="2094"/>
      <c r="L139" s="2094"/>
      <c r="M139" s="2094"/>
      <c r="N139" s="2094"/>
      <c r="O139" s="2094"/>
      <c r="P139" s="2094"/>
      <c r="Q139" s="2094"/>
      <c r="R139" s="2094"/>
      <c r="S139" s="2094"/>
      <c r="T139" s="2094"/>
      <c r="U139" s="2094"/>
      <c r="V139" s="2094"/>
      <c r="W139" s="2094"/>
      <c r="X139" s="2094"/>
      <c r="Y139" s="2094"/>
      <c r="Z139" s="2094"/>
      <c r="AA139" s="2094"/>
      <c r="AB139" s="2094"/>
      <c r="AC139" s="2094"/>
      <c r="AD139" s="2094"/>
      <c r="AE139" s="2094"/>
      <c r="AF139" s="2094"/>
      <c r="AG139" s="2094"/>
      <c r="AH139" s="2081" t="s">
        <v>545</v>
      </c>
      <c r="AI139" s="2081"/>
      <c r="AJ139" s="2081"/>
      <c r="AK139" s="2081"/>
      <c r="AL139" s="2081"/>
      <c r="AM139" s="2081"/>
      <c r="AN139" s="2081"/>
      <c r="AO139" s="2081"/>
      <c r="AP139" s="2081"/>
      <c r="AQ139" s="2081"/>
      <c r="AR139" s="2081"/>
      <c r="AS139" s="2081"/>
      <c r="AT139" s="2081"/>
      <c r="AU139" s="2081"/>
      <c r="AV139" s="2081"/>
      <c r="AW139" s="2081"/>
      <c r="AX139" s="2082"/>
      <c r="AY139" s="1190"/>
      <c r="AZ139" s="1190"/>
      <c r="BA139" s="1190"/>
      <c r="BB139" s="1190"/>
      <c r="BC139" s="1190"/>
      <c r="BD139" s="1190"/>
      <c r="BE139" s="1194"/>
    </row>
    <row r="140" spans="1:57" ht="15.75" customHeight="1" thickBot="1">
      <c r="A140" s="1190"/>
      <c r="B140" s="2078" t="s">
        <v>2358</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95"/>
      <c r="AI140" s="2096"/>
      <c r="AJ140" s="2096"/>
      <c r="AK140" s="2096"/>
      <c r="AL140" s="2096"/>
      <c r="AM140" s="2096"/>
      <c r="AN140" s="2096"/>
      <c r="AO140" s="2096"/>
      <c r="AP140" s="2096"/>
      <c r="AQ140" s="2096"/>
      <c r="AR140" s="2096"/>
      <c r="AS140" s="2096"/>
      <c r="AT140" s="2096"/>
      <c r="AU140" s="2096"/>
      <c r="AV140" s="2096"/>
      <c r="AW140" s="2096"/>
      <c r="AX140" s="2097"/>
      <c r="AY140" s="1190"/>
      <c r="AZ140" s="1190"/>
      <c r="BA140" s="1190"/>
      <c r="BB140" s="1190"/>
      <c r="BC140" s="1190"/>
      <c r="BD140" s="1190"/>
      <c r="BE140" s="1194"/>
    </row>
    <row r="141" spans="1:57" ht="15.75" customHeight="1">
      <c r="A141" s="1190"/>
      <c r="B141" s="2078" t="s">
        <v>2357</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2081" t="s">
        <v>545</v>
      </c>
      <c r="AI141" s="2081"/>
      <c r="AJ141" s="2081"/>
      <c r="AK141" s="2081"/>
      <c r="AL141" s="2081"/>
      <c r="AM141" s="2081"/>
      <c r="AN141" s="2081"/>
      <c r="AO141" s="2081"/>
      <c r="AP141" s="2081"/>
      <c r="AQ141" s="2081"/>
      <c r="AR141" s="2081"/>
      <c r="AS141" s="2081"/>
      <c r="AT141" s="2081"/>
      <c r="AU141" s="2081"/>
      <c r="AV141" s="2081"/>
      <c r="AW141" s="2081"/>
      <c r="AX141" s="2082"/>
      <c r="AY141" s="1190"/>
      <c r="AZ141" s="1190"/>
      <c r="BA141" s="1190"/>
      <c r="BB141" s="1190"/>
      <c r="BC141" s="1190"/>
      <c r="BD141" s="1190"/>
      <c r="BE141" s="1194"/>
    </row>
    <row r="142" spans="1:57" ht="15.75" customHeight="1">
      <c r="A142" s="1190"/>
      <c r="B142" s="2083" t="s">
        <v>2356</v>
      </c>
      <c r="C142" s="2084"/>
      <c r="D142" s="2084"/>
      <c r="E142" s="2084"/>
      <c r="F142" s="2084"/>
      <c r="G142" s="2084"/>
      <c r="H142" s="2084"/>
      <c r="I142" s="2084"/>
      <c r="J142" s="2084"/>
      <c r="K142" s="2084"/>
      <c r="L142" s="2084"/>
      <c r="M142" s="2084"/>
      <c r="N142" s="2084"/>
      <c r="O142" s="2084"/>
      <c r="P142" s="2084"/>
      <c r="Q142" s="2084"/>
      <c r="R142" s="2085" t="s">
        <v>2355</v>
      </c>
      <c r="S142" s="2085"/>
      <c r="T142" s="2085"/>
      <c r="U142" s="2085"/>
      <c r="V142" s="2085"/>
      <c r="W142" s="2085"/>
      <c r="X142" s="2085"/>
      <c r="Y142" s="2085"/>
      <c r="Z142" s="2085"/>
      <c r="AA142" s="2085"/>
      <c r="AB142" s="2085"/>
      <c r="AC142" s="2085"/>
      <c r="AD142" s="2085"/>
      <c r="AE142" s="2085"/>
      <c r="AF142" s="2085"/>
      <c r="AG142" s="2085"/>
      <c r="AH142" s="2085"/>
      <c r="AI142" s="2085"/>
      <c r="AJ142" s="2085"/>
      <c r="AK142" s="2085"/>
      <c r="AL142" s="2085"/>
      <c r="AM142" s="2085"/>
      <c r="AN142" s="2085"/>
      <c r="AO142" s="2085"/>
      <c r="AP142" s="2085"/>
      <c r="AQ142" s="2085"/>
      <c r="AR142" s="2085"/>
      <c r="AS142" s="2085"/>
      <c r="AT142" s="2085"/>
      <c r="AU142" s="2085"/>
      <c r="AV142" s="2085"/>
      <c r="AW142" s="2085"/>
      <c r="AX142" s="2086"/>
      <c r="AY142" s="1190"/>
      <c r="AZ142" s="1190"/>
      <c r="BA142" s="1190"/>
      <c r="BB142" s="1190"/>
      <c r="BC142" s="1190" t="s">
        <v>249</v>
      </c>
      <c r="BD142" s="1190"/>
      <c r="BE142" s="1194"/>
    </row>
    <row r="143" spans="1:57" ht="15.75" customHeight="1">
      <c r="A143" s="1190"/>
      <c r="B143" s="2087" t="s">
        <v>2354</v>
      </c>
      <c r="C143" s="2088"/>
      <c r="D143" s="2088"/>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c r="AH143" s="2088"/>
      <c r="AI143" s="2088"/>
      <c r="AJ143" s="2088"/>
      <c r="AK143" s="2088"/>
      <c r="AL143" s="2088"/>
      <c r="AM143" s="2088"/>
      <c r="AN143" s="2088"/>
      <c r="AO143" s="2088"/>
      <c r="AP143" s="2088"/>
      <c r="AQ143" s="2088"/>
      <c r="AR143" s="2088"/>
      <c r="AS143" s="2088"/>
      <c r="AT143" s="2088"/>
      <c r="AU143" s="2088"/>
      <c r="AV143" s="2088"/>
      <c r="AW143" s="2088"/>
      <c r="AX143" s="2089"/>
      <c r="AY143" s="1190"/>
      <c r="AZ143" s="1190"/>
      <c r="BA143" s="1190"/>
      <c r="BB143" s="1190"/>
      <c r="BC143" s="1190"/>
      <c r="BD143" s="1190"/>
      <c r="BE143" s="1194"/>
    </row>
    <row r="144" spans="1:57" ht="15.75" customHeight="1">
      <c r="A144" s="1190"/>
      <c r="B144" s="2087"/>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H144" s="2088"/>
      <c r="AI144" s="2088"/>
      <c r="AJ144" s="2088"/>
      <c r="AK144" s="2088"/>
      <c r="AL144" s="2088"/>
      <c r="AM144" s="2088"/>
      <c r="AN144" s="2088"/>
      <c r="AO144" s="2088"/>
      <c r="AP144" s="2088"/>
      <c r="AQ144" s="2088"/>
      <c r="AR144" s="2088"/>
      <c r="AS144" s="2088"/>
      <c r="AT144" s="2088"/>
      <c r="AU144" s="2088"/>
      <c r="AV144" s="2088"/>
      <c r="AW144" s="2088"/>
      <c r="AX144" s="2089"/>
      <c r="AY144" s="1190"/>
      <c r="AZ144" s="1190"/>
      <c r="BA144" s="1190"/>
      <c r="BB144" s="1190"/>
      <c r="BC144" s="1190"/>
      <c r="BD144" s="1190"/>
      <c r="BE144" s="1194"/>
    </row>
    <row r="145" spans="1:57" ht="15.75" customHeight="1">
      <c r="A145" s="1190"/>
      <c r="B145" s="2087"/>
      <c r="C145" s="2088"/>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H145" s="2088"/>
      <c r="AI145" s="2088"/>
      <c r="AJ145" s="2088"/>
      <c r="AK145" s="2088"/>
      <c r="AL145" s="2088"/>
      <c r="AM145" s="2088"/>
      <c r="AN145" s="2088"/>
      <c r="AO145" s="2088"/>
      <c r="AP145" s="2088"/>
      <c r="AQ145" s="2088"/>
      <c r="AR145" s="2088"/>
      <c r="AS145" s="2088"/>
      <c r="AT145" s="2088"/>
      <c r="AU145" s="2088"/>
      <c r="AV145" s="2088"/>
      <c r="AW145" s="2088"/>
      <c r="AX145" s="2089"/>
      <c r="AY145" s="1190"/>
      <c r="AZ145" s="1190"/>
      <c r="BA145" s="1190"/>
      <c r="BB145" s="1190"/>
      <c r="BC145" s="1190"/>
      <c r="BD145" s="1190"/>
      <c r="BE145" s="1194"/>
    </row>
    <row r="146" spans="1:57" ht="15.75" customHeight="1">
      <c r="A146" s="1190"/>
      <c r="B146" s="2087"/>
      <c r="C146" s="2088"/>
      <c r="D146" s="2088"/>
      <c r="E146" s="2088"/>
      <c r="F146" s="2088"/>
      <c r="G146" s="2088"/>
      <c r="H146" s="2088"/>
      <c r="I146" s="2088"/>
      <c r="J146" s="2088"/>
      <c r="K146" s="2088"/>
      <c r="L146" s="2088"/>
      <c r="M146" s="2088"/>
      <c r="N146" s="2088"/>
      <c r="O146" s="2088"/>
      <c r="P146" s="2088"/>
      <c r="Q146" s="2088"/>
      <c r="R146" s="2088"/>
      <c r="S146" s="2088"/>
      <c r="T146" s="2088"/>
      <c r="U146" s="2088"/>
      <c r="V146" s="2088"/>
      <c r="W146" s="2088"/>
      <c r="X146" s="2088"/>
      <c r="Y146" s="2088"/>
      <c r="Z146" s="2088"/>
      <c r="AA146" s="2088"/>
      <c r="AB146" s="2088"/>
      <c r="AC146" s="2088"/>
      <c r="AD146" s="2088"/>
      <c r="AE146" s="2088"/>
      <c r="AF146" s="2088"/>
      <c r="AG146" s="2088"/>
      <c r="AH146" s="2088"/>
      <c r="AI146" s="2088"/>
      <c r="AJ146" s="2088"/>
      <c r="AK146" s="2088"/>
      <c r="AL146" s="2088"/>
      <c r="AM146" s="2088"/>
      <c r="AN146" s="2088"/>
      <c r="AO146" s="2088"/>
      <c r="AP146" s="2088"/>
      <c r="AQ146" s="2088"/>
      <c r="AR146" s="2088"/>
      <c r="AS146" s="2088"/>
      <c r="AT146" s="2088"/>
      <c r="AU146" s="2088"/>
      <c r="AV146" s="2088"/>
      <c r="AW146" s="2088"/>
      <c r="AX146" s="2089"/>
      <c r="AY146" s="1190"/>
      <c r="AZ146" s="1190"/>
      <c r="BA146" s="1190"/>
      <c r="BB146" s="1190"/>
      <c r="BC146" s="1190"/>
      <c r="BD146" s="1190"/>
      <c r="BE146" s="1194"/>
    </row>
    <row r="147" spans="1:57" ht="15.75" customHeight="1">
      <c r="A147" s="1190"/>
      <c r="B147" s="2087"/>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J147" s="2088"/>
      <c r="AK147" s="2088"/>
      <c r="AL147" s="2088"/>
      <c r="AM147" s="2088"/>
      <c r="AN147" s="2088"/>
      <c r="AO147" s="2088"/>
      <c r="AP147" s="2088"/>
      <c r="AQ147" s="2088"/>
      <c r="AR147" s="2088"/>
      <c r="AS147" s="2088"/>
      <c r="AT147" s="2088"/>
      <c r="AU147" s="2088"/>
      <c r="AV147" s="2088"/>
      <c r="AW147" s="2088"/>
      <c r="AX147" s="2089"/>
      <c r="AY147" s="1190"/>
      <c r="AZ147" s="1190"/>
      <c r="BA147" s="1190"/>
      <c r="BB147" s="1190"/>
      <c r="BC147" s="1190"/>
      <c r="BD147" s="1190"/>
      <c r="BE147" s="1194"/>
    </row>
    <row r="148" spans="1:57" ht="15.75" customHeight="1">
      <c r="A148" s="1190"/>
      <c r="B148" s="2087"/>
      <c r="C148" s="2088"/>
      <c r="D148" s="2088"/>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c r="AH148" s="2088"/>
      <c r="AI148" s="2088"/>
      <c r="AJ148" s="2088"/>
      <c r="AK148" s="2088"/>
      <c r="AL148" s="2088"/>
      <c r="AM148" s="2088"/>
      <c r="AN148" s="2088"/>
      <c r="AO148" s="2088"/>
      <c r="AP148" s="2088"/>
      <c r="AQ148" s="2088"/>
      <c r="AR148" s="2088"/>
      <c r="AS148" s="2088"/>
      <c r="AT148" s="2088"/>
      <c r="AU148" s="2088"/>
      <c r="AV148" s="2088"/>
      <c r="AW148" s="2088"/>
      <c r="AX148" s="2089"/>
      <c r="AY148" s="1190"/>
      <c r="AZ148" s="1190"/>
      <c r="BA148" s="1190"/>
      <c r="BB148" s="1190"/>
      <c r="BC148" s="1190"/>
      <c r="BD148" s="1190"/>
      <c r="BE148" s="1194"/>
    </row>
    <row r="149" spans="1:57" ht="15.75" customHeight="1">
      <c r="A149" s="1190"/>
      <c r="B149" s="2087"/>
      <c r="C149" s="2088"/>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c r="AH149" s="2088"/>
      <c r="AI149" s="2088"/>
      <c r="AJ149" s="2088"/>
      <c r="AK149" s="2088"/>
      <c r="AL149" s="2088"/>
      <c r="AM149" s="2088"/>
      <c r="AN149" s="2088"/>
      <c r="AO149" s="2088"/>
      <c r="AP149" s="2088"/>
      <c r="AQ149" s="2088"/>
      <c r="AR149" s="2088"/>
      <c r="AS149" s="2088"/>
      <c r="AT149" s="2088"/>
      <c r="AU149" s="2088"/>
      <c r="AV149" s="2088"/>
      <c r="AW149" s="2088"/>
      <c r="AX149" s="2089"/>
      <c r="AY149" s="1190"/>
      <c r="AZ149" s="1190"/>
      <c r="BA149" s="1190"/>
      <c r="BB149" s="1190"/>
      <c r="BC149" s="1190"/>
      <c r="BD149" s="1190"/>
      <c r="BE149" s="1194"/>
    </row>
    <row r="150" spans="1:57" ht="15.75" customHeight="1">
      <c r="A150" s="1190"/>
      <c r="B150" s="2087"/>
      <c r="C150" s="2088"/>
      <c r="D150" s="2088"/>
      <c r="E150" s="2088"/>
      <c r="F150" s="2088"/>
      <c r="G150" s="2088"/>
      <c r="H150" s="2088"/>
      <c r="I150" s="2088"/>
      <c r="J150" s="2088"/>
      <c r="K150" s="2088"/>
      <c r="L150" s="2088"/>
      <c r="M150" s="2088"/>
      <c r="N150" s="2088"/>
      <c r="O150" s="2088"/>
      <c r="P150" s="2088"/>
      <c r="Q150" s="2088"/>
      <c r="R150" s="2088"/>
      <c r="S150" s="2088"/>
      <c r="T150" s="2088"/>
      <c r="U150" s="2088"/>
      <c r="V150" s="2088"/>
      <c r="W150" s="2088"/>
      <c r="X150" s="2088"/>
      <c r="Y150" s="2088"/>
      <c r="Z150" s="2088"/>
      <c r="AA150" s="2088"/>
      <c r="AB150" s="2088"/>
      <c r="AC150" s="2088"/>
      <c r="AD150" s="2088"/>
      <c r="AE150" s="2088"/>
      <c r="AF150" s="2088"/>
      <c r="AG150" s="2088"/>
      <c r="AH150" s="2088"/>
      <c r="AI150" s="2088"/>
      <c r="AJ150" s="2088"/>
      <c r="AK150" s="2088"/>
      <c r="AL150" s="2088"/>
      <c r="AM150" s="2088"/>
      <c r="AN150" s="2088"/>
      <c r="AO150" s="2088"/>
      <c r="AP150" s="2088"/>
      <c r="AQ150" s="2088"/>
      <c r="AR150" s="2088"/>
      <c r="AS150" s="2088"/>
      <c r="AT150" s="2088"/>
      <c r="AU150" s="2088"/>
      <c r="AV150" s="2088"/>
      <c r="AW150" s="2088"/>
      <c r="AX150" s="2089"/>
      <c r="AY150" s="1190"/>
      <c r="AZ150" s="1190"/>
      <c r="BA150" s="1190"/>
      <c r="BB150" s="1190"/>
      <c r="BC150" s="1190"/>
      <c r="BD150" s="1190"/>
      <c r="BE150" s="1194"/>
    </row>
    <row r="151" spans="1:57" ht="15.75" customHeight="1">
      <c r="A151" s="1190"/>
      <c r="B151" s="2087"/>
      <c r="C151" s="2088"/>
      <c r="D151" s="2088"/>
      <c r="E151" s="2088"/>
      <c r="F151" s="2088"/>
      <c r="G151" s="2088"/>
      <c r="H151" s="2088"/>
      <c r="I151" s="2088"/>
      <c r="J151" s="2088"/>
      <c r="K151" s="2088"/>
      <c r="L151" s="2088"/>
      <c r="M151" s="2088"/>
      <c r="N151" s="2088"/>
      <c r="O151" s="2088"/>
      <c r="P151" s="2088"/>
      <c r="Q151" s="2088"/>
      <c r="R151" s="2088"/>
      <c r="S151" s="2088"/>
      <c r="T151" s="2088"/>
      <c r="U151" s="2088"/>
      <c r="V151" s="2088"/>
      <c r="W151" s="2088"/>
      <c r="X151" s="2088"/>
      <c r="Y151" s="2088"/>
      <c r="Z151" s="2088"/>
      <c r="AA151" s="2088"/>
      <c r="AB151" s="2088"/>
      <c r="AC151" s="2088"/>
      <c r="AD151" s="2088"/>
      <c r="AE151" s="2088"/>
      <c r="AF151" s="2088"/>
      <c r="AG151" s="2088"/>
      <c r="AH151" s="2088"/>
      <c r="AI151" s="2088"/>
      <c r="AJ151" s="2088"/>
      <c r="AK151" s="2088"/>
      <c r="AL151" s="2088"/>
      <c r="AM151" s="2088"/>
      <c r="AN151" s="2088"/>
      <c r="AO151" s="2088"/>
      <c r="AP151" s="2088"/>
      <c r="AQ151" s="2088"/>
      <c r="AR151" s="2088"/>
      <c r="AS151" s="2088"/>
      <c r="AT151" s="2088"/>
      <c r="AU151" s="2088"/>
      <c r="AV151" s="2088"/>
      <c r="AW151" s="2088"/>
      <c r="AX151" s="2089"/>
      <c r="AY151" s="1190"/>
      <c r="AZ151" s="1190"/>
      <c r="BA151" s="1190"/>
      <c r="BB151" s="1190"/>
      <c r="BC151" s="1190"/>
      <c r="BD151" s="1190"/>
      <c r="BE151" s="1194"/>
    </row>
    <row r="152" spans="1:57" ht="15.75" customHeight="1" thickBot="1">
      <c r="A152" s="1190"/>
      <c r="B152" s="2090"/>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c r="AC152" s="2091"/>
      <c r="AD152" s="2091"/>
      <c r="AE152" s="2091"/>
      <c r="AF152" s="2091"/>
      <c r="AG152" s="2091"/>
      <c r="AH152" s="2091"/>
      <c r="AI152" s="2091"/>
      <c r="AJ152" s="2091"/>
      <c r="AK152" s="2091"/>
      <c r="AL152" s="2091"/>
      <c r="AM152" s="2091"/>
      <c r="AN152" s="2091"/>
      <c r="AO152" s="2091"/>
      <c r="AP152" s="2091"/>
      <c r="AQ152" s="2091"/>
      <c r="AR152" s="2091"/>
      <c r="AS152" s="2091"/>
      <c r="AT152" s="2091"/>
      <c r="AU152" s="2091"/>
      <c r="AV152" s="2091"/>
      <c r="AW152" s="2091"/>
      <c r="AX152" s="209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0" t="s">
        <v>2351</v>
      </c>
      <c r="C156" s="2026"/>
      <c r="D156" s="2026"/>
      <c r="E156" s="2026"/>
      <c r="F156" s="2026"/>
      <c r="G156" s="2026"/>
      <c r="H156" s="2026"/>
      <c r="I156" s="2026"/>
      <c r="J156" s="2026"/>
      <c r="K156" s="2026"/>
      <c r="L156" s="2026"/>
      <c r="M156" s="2026"/>
      <c r="N156" s="2026"/>
      <c r="O156" s="2026"/>
      <c r="P156" s="2026"/>
      <c r="Q156" s="2026"/>
      <c r="R156" s="2026"/>
      <c r="S156" s="2026"/>
      <c r="T156" s="2026"/>
      <c r="U156" s="2027"/>
      <c r="V156" s="1190"/>
      <c r="W156" s="1192"/>
      <c r="X156" s="2070" t="s">
        <v>2350</v>
      </c>
      <c r="Y156" s="2026"/>
      <c r="Z156" s="2026"/>
      <c r="AA156" s="2026"/>
      <c r="AB156" s="2026"/>
      <c r="AC156" s="2026"/>
      <c r="AD156" s="2026"/>
      <c r="AE156" s="2026"/>
      <c r="AF156" s="2026"/>
      <c r="AG156" s="2026"/>
      <c r="AH156" s="2026"/>
      <c r="AI156" s="2026"/>
      <c r="AJ156" s="2026"/>
      <c r="AK156" s="2026"/>
      <c r="AL156" s="2026"/>
      <c r="AM156" s="2026"/>
      <c r="AN156" s="2026"/>
      <c r="AO156" s="2026"/>
      <c r="AP156" s="2026"/>
      <c r="AQ156" s="2027"/>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8"/>
      <c r="C157" s="2039"/>
      <c r="D157" s="2039"/>
      <c r="E157" s="2039"/>
      <c r="F157" s="2039"/>
      <c r="G157" s="2039"/>
      <c r="H157" s="2039"/>
      <c r="I157" s="2076" t="s">
        <v>2348</v>
      </c>
      <c r="J157" s="2076"/>
      <c r="K157" s="2076"/>
      <c r="L157" s="2076"/>
      <c r="M157" s="2076"/>
      <c r="N157" s="2076"/>
      <c r="O157" s="2076"/>
      <c r="P157" s="2076" t="s">
        <v>2349</v>
      </c>
      <c r="Q157" s="2076"/>
      <c r="R157" s="2076"/>
      <c r="S157" s="2076"/>
      <c r="T157" s="2076"/>
      <c r="U157" s="2077"/>
      <c r="V157" s="1190"/>
      <c r="W157" s="1190"/>
      <c r="X157" s="2038"/>
      <c r="Y157" s="2039"/>
      <c r="Z157" s="2039"/>
      <c r="AA157" s="2039"/>
      <c r="AB157" s="2039"/>
      <c r="AC157" s="2039"/>
      <c r="AD157" s="2039"/>
      <c r="AE157" s="2076" t="s">
        <v>2348</v>
      </c>
      <c r="AF157" s="2076"/>
      <c r="AG157" s="2076"/>
      <c r="AH157" s="2076"/>
      <c r="AI157" s="2076"/>
      <c r="AJ157" s="2076"/>
      <c r="AK157" s="2076"/>
      <c r="AL157" s="2076" t="s">
        <v>2347</v>
      </c>
      <c r="AM157" s="2076"/>
      <c r="AN157" s="2076"/>
      <c r="AO157" s="2076"/>
      <c r="AP157" s="2076"/>
      <c r="AQ157" s="2077"/>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8"/>
      <c r="C158" s="2039"/>
      <c r="D158" s="2039"/>
      <c r="E158" s="2039"/>
      <c r="F158" s="2039"/>
      <c r="G158" s="2039"/>
      <c r="H158" s="2039"/>
      <c r="I158" s="2076"/>
      <c r="J158" s="2076"/>
      <c r="K158" s="2076"/>
      <c r="L158" s="2076"/>
      <c r="M158" s="2076"/>
      <c r="N158" s="2076"/>
      <c r="O158" s="2076"/>
      <c r="P158" s="2076"/>
      <c r="Q158" s="2076"/>
      <c r="R158" s="2076"/>
      <c r="S158" s="2076"/>
      <c r="T158" s="2076"/>
      <c r="U158" s="2077"/>
      <c r="V158" s="1190"/>
      <c r="W158" s="1190"/>
      <c r="X158" s="2038"/>
      <c r="Y158" s="2039"/>
      <c r="Z158" s="2039"/>
      <c r="AA158" s="2039"/>
      <c r="AB158" s="2039"/>
      <c r="AC158" s="2039"/>
      <c r="AD158" s="2039"/>
      <c r="AE158" s="2076"/>
      <c r="AF158" s="2076"/>
      <c r="AG158" s="2076"/>
      <c r="AH158" s="2076"/>
      <c r="AI158" s="2076"/>
      <c r="AJ158" s="2076"/>
      <c r="AK158" s="2076"/>
      <c r="AL158" s="2076"/>
      <c r="AM158" s="2076"/>
      <c r="AN158" s="2076"/>
      <c r="AO158" s="2076"/>
      <c r="AP158" s="2076"/>
      <c r="AQ158" s="207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2" t="s">
        <v>2346</v>
      </c>
      <c r="C159" s="2073"/>
      <c r="D159" s="2073"/>
      <c r="E159" s="2073"/>
      <c r="F159" s="2073"/>
      <c r="G159" s="2073"/>
      <c r="H159" s="2073"/>
      <c r="I159" s="2074">
        <v>0</v>
      </c>
      <c r="J159" s="2074"/>
      <c r="K159" s="2074"/>
      <c r="L159" s="2074"/>
      <c r="M159" s="2074"/>
      <c r="N159" s="2074"/>
      <c r="O159" s="2074"/>
      <c r="P159" s="2074">
        <v>0</v>
      </c>
      <c r="Q159" s="2074"/>
      <c r="R159" s="2074"/>
      <c r="S159" s="2074"/>
      <c r="T159" s="2074"/>
      <c r="U159" s="2075"/>
      <c r="V159" s="1190"/>
      <c r="W159" s="1190"/>
      <c r="X159" s="2066" t="s">
        <v>2346</v>
      </c>
      <c r="Y159" s="2067"/>
      <c r="Z159" s="2067"/>
      <c r="AA159" s="2067"/>
      <c r="AB159" s="2067"/>
      <c r="AC159" s="2067"/>
      <c r="AD159" s="2067"/>
      <c r="AE159" s="2068">
        <v>0</v>
      </c>
      <c r="AF159" s="2068"/>
      <c r="AG159" s="2068"/>
      <c r="AH159" s="2068"/>
      <c r="AI159" s="2068"/>
      <c r="AJ159" s="2068"/>
      <c r="AK159" s="2068"/>
      <c r="AL159" s="2068">
        <v>0</v>
      </c>
      <c r="AM159" s="2068"/>
      <c r="AN159" s="2068"/>
      <c r="AO159" s="2068"/>
      <c r="AP159" s="2068"/>
      <c r="AQ159" s="206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6" t="s">
        <v>2345</v>
      </c>
      <c r="C160" s="2067"/>
      <c r="D160" s="2067"/>
      <c r="E160" s="2067"/>
      <c r="F160" s="2067"/>
      <c r="G160" s="2067"/>
      <c r="H160" s="2067"/>
      <c r="I160" s="2068">
        <v>0</v>
      </c>
      <c r="J160" s="2068"/>
      <c r="K160" s="2068"/>
      <c r="L160" s="2068"/>
      <c r="M160" s="2068"/>
      <c r="N160" s="2068"/>
      <c r="O160" s="2068"/>
      <c r="P160" s="2068">
        <v>0</v>
      </c>
      <c r="Q160" s="2068"/>
      <c r="R160" s="2068"/>
      <c r="S160" s="2068"/>
      <c r="T160" s="2068"/>
      <c r="U160" s="206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0" t="s">
        <v>2344</v>
      </c>
      <c r="D162" s="2026"/>
      <c r="E162" s="2026"/>
      <c r="F162" s="2026"/>
      <c r="G162" s="2026"/>
      <c r="H162" s="2026"/>
      <c r="I162" s="2026"/>
      <c r="J162" s="2026"/>
      <c r="K162" s="2026"/>
      <c r="L162" s="2026"/>
      <c r="M162" s="2026"/>
      <c r="N162" s="2026"/>
      <c r="O162" s="2026"/>
      <c r="P162" s="2026"/>
      <c r="Q162" s="2026"/>
      <c r="R162" s="2026"/>
      <c r="S162" s="2026"/>
      <c r="T162" s="2026"/>
      <c r="U162" s="2026"/>
      <c r="V162" s="2026"/>
      <c r="W162" s="2026"/>
      <c r="X162" s="2026"/>
      <c r="Y162" s="2026"/>
      <c r="Z162" s="2026"/>
      <c r="AA162" s="2026"/>
      <c r="AB162" s="2026"/>
      <c r="AC162" s="2026"/>
      <c r="AD162" s="2026"/>
      <c r="AE162" s="2026"/>
      <c r="AF162" s="2026"/>
      <c r="AG162" s="202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8" t="s">
        <v>2329</v>
      </c>
      <c r="D163" s="2039"/>
      <c r="E163" s="2039"/>
      <c r="F163" s="2039"/>
      <c r="G163" s="2039"/>
      <c r="H163" s="2039"/>
      <c r="I163" s="2039"/>
      <c r="J163" s="2039"/>
      <c r="K163" s="2039"/>
      <c r="L163" s="2039"/>
      <c r="M163" s="2039"/>
      <c r="N163" s="2039"/>
      <c r="O163" s="2039"/>
      <c r="P163" s="2039"/>
      <c r="Q163" s="2039" t="s">
        <v>2343</v>
      </c>
      <c r="R163" s="2039"/>
      <c r="S163" s="2039"/>
      <c r="T163" s="2071" t="s">
        <v>2342</v>
      </c>
      <c r="U163" s="2071"/>
      <c r="V163" s="2071"/>
      <c r="W163" s="2071"/>
      <c r="X163" s="2071"/>
      <c r="Y163" s="2071"/>
      <c r="Z163" s="2071"/>
      <c r="AA163" s="2071"/>
      <c r="AB163" s="2039" t="s">
        <v>2341</v>
      </c>
      <c r="AC163" s="2039"/>
      <c r="AD163" s="2039"/>
      <c r="AE163" s="2039"/>
      <c r="AF163" s="2039"/>
      <c r="AG163" s="204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3" t="s">
        <v>2340</v>
      </c>
      <c r="D164" s="2054"/>
      <c r="E164" s="2054"/>
      <c r="F164" s="2054"/>
      <c r="G164" s="2054"/>
      <c r="H164" s="2054"/>
      <c r="I164" s="2054"/>
      <c r="J164" s="2054"/>
      <c r="K164" s="2054"/>
      <c r="L164" s="2054"/>
      <c r="M164" s="2054"/>
      <c r="N164" s="2054"/>
      <c r="O164" s="2054"/>
      <c r="P164" s="2054"/>
      <c r="Q164" s="1996">
        <v>55</v>
      </c>
      <c r="R164" s="1996"/>
      <c r="S164" s="1996"/>
      <c r="T164" s="2047"/>
      <c r="U164" s="2047"/>
      <c r="V164" s="2047"/>
      <c r="W164" s="2047"/>
      <c r="X164" s="2047"/>
      <c r="Y164" s="2047"/>
      <c r="Z164" s="2047"/>
      <c r="AA164" s="2047"/>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3" t="s">
        <v>2339</v>
      </c>
      <c r="D165" s="2054"/>
      <c r="E165" s="2054"/>
      <c r="F165" s="2054"/>
      <c r="G165" s="2054"/>
      <c r="H165" s="2054"/>
      <c r="I165" s="2054"/>
      <c r="J165" s="2054"/>
      <c r="K165" s="2054"/>
      <c r="L165" s="2054"/>
      <c r="M165" s="2054"/>
      <c r="N165" s="2054"/>
      <c r="O165" s="2054"/>
      <c r="P165" s="2054"/>
      <c r="Q165" s="1996">
        <v>55</v>
      </c>
      <c r="R165" s="1996"/>
      <c r="S165" s="1996"/>
      <c r="T165" s="2056"/>
      <c r="U165" s="2056"/>
      <c r="V165" s="2056"/>
      <c r="W165" s="2056"/>
      <c r="X165" s="2056"/>
      <c r="Y165" s="2056"/>
      <c r="Z165" s="2056"/>
      <c r="AA165" s="20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3" t="s">
        <v>2338</v>
      </c>
      <c r="D166" s="2054"/>
      <c r="E166" s="2054"/>
      <c r="F166" s="2054"/>
      <c r="G166" s="2054"/>
      <c r="H166" s="2054"/>
      <c r="I166" s="2054"/>
      <c r="J166" s="2054"/>
      <c r="K166" s="2054"/>
      <c r="L166" s="2054"/>
      <c r="M166" s="2054"/>
      <c r="N166" s="2054"/>
      <c r="O166" s="2054"/>
      <c r="P166" s="2054"/>
      <c r="Q166" s="1996">
        <v>55</v>
      </c>
      <c r="R166" s="1996"/>
      <c r="S166" s="1996"/>
      <c r="T166" s="2047"/>
      <c r="U166" s="2047"/>
      <c r="V166" s="2047"/>
      <c r="W166" s="2047"/>
      <c r="X166" s="2047"/>
      <c r="Y166" s="2047"/>
      <c r="Z166" s="2047"/>
      <c r="AA166" s="204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3" t="s">
        <v>2337</v>
      </c>
      <c r="D167" s="2054"/>
      <c r="E167" s="2054"/>
      <c r="F167" s="2054"/>
      <c r="G167" s="2054"/>
      <c r="H167" s="2054"/>
      <c r="I167" s="2054"/>
      <c r="J167" s="2054"/>
      <c r="K167" s="2054"/>
      <c r="L167" s="2054"/>
      <c r="M167" s="2054"/>
      <c r="N167" s="2054"/>
      <c r="O167" s="2054"/>
      <c r="P167" s="2054"/>
      <c r="Q167" s="1996">
        <v>55</v>
      </c>
      <c r="R167" s="1996"/>
      <c r="S167" s="1996"/>
      <c r="T167" s="2047"/>
      <c r="U167" s="2047"/>
      <c r="V167" s="2047"/>
      <c r="W167" s="2047"/>
      <c r="X167" s="2047"/>
      <c r="Y167" s="2047"/>
      <c r="Z167" s="2047"/>
      <c r="AA167" s="2047"/>
      <c r="AB167" s="2057">
        <v>0</v>
      </c>
      <c r="AC167" s="2057"/>
      <c r="AD167" s="2057"/>
      <c r="AE167" s="2057"/>
      <c r="AF167" s="2057"/>
      <c r="AG167" s="205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3" t="s">
        <v>169</v>
      </c>
      <c r="D168" s="2054"/>
      <c r="E168" s="2054"/>
      <c r="F168" s="2055" t="s">
        <v>2318</v>
      </c>
      <c r="G168" s="2055"/>
      <c r="H168" s="2055"/>
      <c r="I168" s="2055"/>
      <c r="J168" s="2055"/>
      <c r="K168" s="2055"/>
      <c r="L168" s="2055"/>
      <c r="M168" s="2055"/>
      <c r="N168" s="2055"/>
      <c r="O168" s="2055"/>
      <c r="P168" s="2055"/>
      <c r="Q168" s="1996">
        <v>55</v>
      </c>
      <c r="R168" s="1996"/>
      <c r="S168" s="1996"/>
      <c r="T168" s="2056"/>
      <c r="U168" s="2056"/>
      <c r="V168" s="2056"/>
      <c r="W168" s="2056"/>
      <c r="X168" s="2056"/>
      <c r="Y168" s="2056"/>
      <c r="Z168" s="2056"/>
      <c r="AA168" s="2056"/>
      <c r="AB168" s="2057">
        <v>0</v>
      </c>
      <c r="AC168" s="2057"/>
      <c r="AD168" s="2057"/>
      <c r="AE168" s="2057"/>
      <c r="AF168" s="2057"/>
      <c r="AG168" s="205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3" t="s">
        <v>169</v>
      </c>
      <c r="D169" s="2054"/>
      <c r="E169" s="2054"/>
      <c r="F169" s="2055" t="s">
        <v>2318</v>
      </c>
      <c r="G169" s="2055"/>
      <c r="H169" s="2055"/>
      <c r="I169" s="2055"/>
      <c r="J169" s="2055"/>
      <c r="K169" s="2055"/>
      <c r="L169" s="2055"/>
      <c r="M169" s="2055"/>
      <c r="N169" s="2055"/>
      <c r="O169" s="2055"/>
      <c r="P169" s="2055"/>
      <c r="Q169" s="1996">
        <v>55</v>
      </c>
      <c r="R169" s="1996"/>
      <c r="S169" s="1996"/>
      <c r="T169" s="2056"/>
      <c r="U169" s="2056"/>
      <c r="V169" s="2056"/>
      <c r="W169" s="2056"/>
      <c r="X169" s="2056"/>
      <c r="Y169" s="2056"/>
      <c r="Z169" s="2056"/>
      <c r="AA169" s="2056"/>
      <c r="AB169" s="2057">
        <v>0</v>
      </c>
      <c r="AC169" s="2057"/>
      <c r="AD169" s="2057"/>
      <c r="AE169" s="2057"/>
      <c r="AF169" s="2057"/>
      <c r="AG169" s="2058"/>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9" t="s">
        <v>169</v>
      </c>
      <c r="D170" s="2060"/>
      <c r="E170" s="2060"/>
      <c r="F170" s="2061" t="s">
        <v>2318</v>
      </c>
      <c r="G170" s="2061"/>
      <c r="H170" s="2061"/>
      <c r="I170" s="2061"/>
      <c r="J170" s="2061"/>
      <c r="K170" s="2061"/>
      <c r="L170" s="2061"/>
      <c r="M170" s="2061"/>
      <c r="N170" s="2061"/>
      <c r="O170" s="2061"/>
      <c r="P170" s="2061"/>
      <c r="Q170" s="2062">
        <v>55</v>
      </c>
      <c r="R170" s="2062"/>
      <c r="S170" s="2062"/>
      <c r="T170" s="2063"/>
      <c r="U170" s="2063"/>
      <c r="V170" s="2063"/>
      <c r="W170" s="2063"/>
      <c r="X170" s="2063"/>
      <c r="Y170" s="2063"/>
      <c r="Z170" s="2063"/>
      <c r="AA170" s="2063"/>
      <c r="AB170" s="2064">
        <v>0</v>
      </c>
      <c r="AC170" s="2064"/>
      <c r="AD170" s="2064"/>
      <c r="AE170" s="2064"/>
      <c r="AF170" s="2064"/>
      <c r="AG170" s="20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4" t="s">
        <v>2336</v>
      </c>
      <c r="D172" s="2025"/>
      <c r="E172" s="2025"/>
      <c r="F172" s="2025"/>
      <c r="G172" s="2025"/>
      <c r="H172" s="2025"/>
      <c r="I172" s="2025"/>
      <c r="J172" s="2025"/>
      <c r="K172" s="2025"/>
      <c r="L172" s="2025"/>
      <c r="M172" s="2025"/>
      <c r="N172" s="2034"/>
      <c r="O172" s="1190"/>
      <c r="P172" s="2035" t="s">
        <v>2335</v>
      </c>
      <c r="Q172" s="2036"/>
      <c r="R172" s="2036"/>
      <c r="S172" s="2036"/>
      <c r="T172" s="2036"/>
      <c r="U172" s="2036"/>
      <c r="V172" s="2036"/>
      <c r="W172" s="2036"/>
      <c r="X172" s="2036"/>
      <c r="Y172" s="2036"/>
      <c r="Z172" s="2036"/>
      <c r="AA172" s="2036"/>
      <c r="AB172" s="2036"/>
      <c r="AC172" s="2036"/>
      <c r="AD172" s="2036"/>
      <c r="AE172" s="2036"/>
      <c r="AF172" s="2036"/>
      <c r="AG172" s="2036"/>
      <c r="AH172" s="2036"/>
      <c r="AI172" s="2036"/>
      <c r="AJ172" s="2036"/>
      <c r="AK172" s="2036"/>
      <c r="AL172" s="2036"/>
      <c r="AM172" s="2036"/>
      <c r="AN172" s="2036"/>
      <c r="AO172" s="203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8" t="s">
        <v>2334</v>
      </c>
      <c r="D173" s="2039"/>
      <c r="E173" s="2039"/>
      <c r="F173" s="2039"/>
      <c r="G173" s="2039"/>
      <c r="H173" s="2039"/>
      <c r="I173" s="2039" t="s">
        <v>2333</v>
      </c>
      <c r="J173" s="2039"/>
      <c r="K173" s="2039"/>
      <c r="L173" s="2039"/>
      <c r="M173" s="2039"/>
      <c r="N173" s="2040"/>
      <c r="O173" s="1190"/>
      <c r="P173" s="2041" t="s">
        <v>2332</v>
      </c>
      <c r="Q173" s="2042"/>
      <c r="R173" s="2042"/>
      <c r="S173" s="2042"/>
      <c r="T173" s="2042"/>
      <c r="U173" s="2042"/>
      <c r="V173" s="2042"/>
      <c r="W173" s="2042"/>
      <c r="X173" s="2042"/>
      <c r="Y173" s="2042"/>
      <c r="Z173" s="2042"/>
      <c r="AA173" s="2042"/>
      <c r="AB173" s="2042"/>
      <c r="AC173" s="2042"/>
      <c r="AD173" s="2042"/>
      <c r="AE173" s="2042"/>
      <c r="AF173" s="2042"/>
      <c r="AG173" s="2042"/>
      <c r="AH173" s="2042"/>
      <c r="AI173" s="2042"/>
      <c r="AJ173" s="2042"/>
      <c r="AK173" s="2042"/>
      <c r="AL173" s="2042"/>
      <c r="AM173" s="2042"/>
      <c r="AN173" s="2042"/>
      <c r="AO173" s="204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6"/>
      <c r="D174" s="1987"/>
      <c r="E174" s="1987"/>
      <c r="F174" s="1987"/>
      <c r="G174" s="1987"/>
      <c r="H174" s="1987"/>
      <c r="I174" s="2047"/>
      <c r="J174" s="2047"/>
      <c r="K174" s="2047"/>
      <c r="L174" s="2047"/>
      <c r="M174" s="2047"/>
      <c r="N174" s="2048"/>
      <c r="O174" s="1190"/>
      <c r="P174" s="2041"/>
      <c r="Q174" s="2042"/>
      <c r="R174" s="2042"/>
      <c r="S174" s="2042"/>
      <c r="T174" s="2042"/>
      <c r="U174" s="2042"/>
      <c r="V174" s="2042"/>
      <c r="W174" s="2042"/>
      <c r="X174" s="2042"/>
      <c r="Y174" s="2042"/>
      <c r="Z174" s="2042"/>
      <c r="AA174" s="2042"/>
      <c r="AB174" s="2042"/>
      <c r="AC174" s="2042"/>
      <c r="AD174" s="2042"/>
      <c r="AE174" s="2042"/>
      <c r="AF174" s="2042"/>
      <c r="AG174" s="2042"/>
      <c r="AH174" s="2042"/>
      <c r="AI174" s="2042"/>
      <c r="AJ174" s="2042"/>
      <c r="AK174" s="2042"/>
      <c r="AL174" s="2042"/>
      <c r="AM174" s="2042"/>
      <c r="AN174" s="2042"/>
      <c r="AO174" s="204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6"/>
      <c r="D175" s="1987"/>
      <c r="E175" s="1987"/>
      <c r="F175" s="1987"/>
      <c r="G175" s="1987"/>
      <c r="H175" s="1987"/>
      <c r="I175" s="2047"/>
      <c r="J175" s="2047"/>
      <c r="K175" s="2047"/>
      <c r="L175" s="2047"/>
      <c r="M175" s="2047"/>
      <c r="N175" s="2048"/>
      <c r="O175" s="1190"/>
      <c r="P175" s="2041"/>
      <c r="Q175" s="2042"/>
      <c r="R175" s="2042"/>
      <c r="S175" s="2042"/>
      <c r="T175" s="2042"/>
      <c r="U175" s="2042"/>
      <c r="V175" s="2042"/>
      <c r="W175" s="2042"/>
      <c r="X175" s="2042"/>
      <c r="Y175" s="2042"/>
      <c r="Z175" s="2042"/>
      <c r="AA175" s="2042"/>
      <c r="AB175" s="2042"/>
      <c r="AC175" s="2042"/>
      <c r="AD175" s="2042"/>
      <c r="AE175" s="2042"/>
      <c r="AF175" s="2042"/>
      <c r="AG175" s="2042"/>
      <c r="AH175" s="2042"/>
      <c r="AI175" s="2042"/>
      <c r="AJ175" s="2042"/>
      <c r="AK175" s="2042"/>
      <c r="AL175" s="2042"/>
      <c r="AM175" s="2042"/>
      <c r="AN175" s="2042"/>
      <c r="AO175" s="204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6"/>
      <c r="D176" s="1987"/>
      <c r="E176" s="1987"/>
      <c r="F176" s="1987"/>
      <c r="G176" s="1987"/>
      <c r="H176" s="1987"/>
      <c r="I176" s="2047"/>
      <c r="J176" s="2047"/>
      <c r="K176" s="2047"/>
      <c r="L176" s="2047"/>
      <c r="M176" s="2047"/>
      <c r="N176" s="2048"/>
      <c r="O176" s="1190"/>
      <c r="P176" s="2041"/>
      <c r="Q176" s="2042"/>
      <c r="R176" s="2042"/>
      <c r="S176" s="2042"/>
      <c r="T176" s="2042"/>
      <c r="U176" s="2042"/>
      <c r="V176" s="2042"/>
      <c r="W176" s="2042"/>
      <c r="X176" s="2042"/>
      <c r="Y176" s="2042"/>
      <c r="Z176" s="2042"/>
      <c r="AA176" s="2042"/>
      <c r="AB176" s="2042"/>
      <c r="AC176" s="2042"/>
      <c r="AD176" s="2042"/>
      <c r="AE176" s="2042"/>
      <c r="AF176" s="2042"/>
      <c r="AG176" s="2042"/>
      <c r="AH176" s="2042"/>
      <c r="AI176" s="2042"/>
      <c r="AJ176" s="2042"/>
      <c r="AK176" s="2042"/>
      <c r="AL176" s="2042"/>
      <c r="AM176" s="2042"/>
      <c r="AN176" s="2042"/>
      <c r="AO176" s="204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6"/>
      <c r="D177" s="1987"/>
      <c r="E177" s="1987"/>
      <c r="F177" s="1987"/>
      <c r="G177" s="1987"/>
      <c r="H177" s="1987"/>
      <c r="I177" s="2047"/>
      <c r="J177" s="2047"/>
      <c r="K177" s="2047"/>
      <c r="L177" s="2047"/>
      <c r="M177" s="2047"/>
      <c r="N177" s="2048"/>
      <c r="O177" s="1190"/>
      <c r="P177" s="2041"/>
      <c r="Q177" s="2042"/>
      <c r="R177" s="2042"/>
      <c r="S177" s="2042"/>
      <c r="T177" s="2042"/>
      <c r="U177" s="2042"/>
      <c r="V177" s="2042"/>
      <c r="W177" s="2042"/>
      <c r="X177" s="2042"/>
      <c r="Y177" s="2042"/>
      <c r="Z177" s="2042"/>
      <c r="AA177" s="2042"/>
      <c r="AB177" s="2042"/>
      <c r="AC177" s="2042"/>
      <c r="AD177" s="2042"/>
      <c r="AE177" s="2042"/>
      <c r="AF177" s="2042"/>
      <c r="AG177" s="2042"/>
      <c r="AH177" s="2042"/>
      <c r="AI177" s="2042"/>
      <c r="AJ177" s="2042"/>
      <c r="AK177" s="2042"/>
      <c r="AL177" s="2042"/>
      <c r="AM177" s="2042"/>
      <c r="AN177" s="2042"/>
      <c r="AO177" s="204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6"/>
      <c r="D178" s="1987"/>
      <c r="E178" s="1987"/>
      <c r="F178" s="1987"/>
      <c r="G178" s="1987"/>
      <c r="H178" s="1987"/>
      <c r="I178" s="2047"/>
      <c r="J178" s="2047"/>
      <c r="K178" s="2047"/>
      <c r="L178" s="2047"/>
      <c r="M178" s="2047"/>
      <c r="N178" s="2048"/>
      <c r="O178" s="1190"/>
      <c r="P178" s="2041"/>
      <c r="Q178" s="2042"/>
      <c r="R178" s="2042"/>
      <c r="S178" s="2042"/>
      <c r="T178" s="2042"/>
      <c r="U178" s="2042"/>
      <c r="V178" s="2042"/>
      <c r="W178" s="2042"/>
      <c r="X178" s="2042"/>
      <c r="Y178" s="2042"/>
      <c r="Z178" s="2042"/>
      <c r="AA178" s="2042"/>
      <c r="AB178" s="2042"/>
      <c r="AC178" s="2042"/>
      <c r="AD178" s="2042"/>
      <c r="AE178" s="2042"/>
      <c r="AF178" s="2042"/>
      <c r="AG178" s="2042"/>
      <c r="AH178" s="2042"/>
      <c r="AI178" s="2042"/>
      <c r="AJ178" s="2042"/>
      <c r="AK178" s="2042"/>
      <c r="AL178" s="2042"/>
      <c r="AM178" s="2042"/>
      <c r="AN178" s="2042"/>
      <c r="AO178" s="204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6"/>
      <c r="D179" s="1987"/>
      <c r="E179" s="1987"/>
      <c r="F179" s="1987"/>
      <c r="G179" s="1987"/>
      <c r="H179" s="1987"/>
      <c r="I179" s="2047"/>
      <c r="J179" s="2047"/>
      <c r="K179" s="2047"/>
      <c r="L179" s="2047"/>
      <c r="M179" s="2047"/>
      <c r="N179" s="2048"/>
      <c r="O179" s="1190"/>
      <c r="P179" s="2041"/>
      <c r="Q179" s="2042"/>
      <c r="R179" s="2042"/>
      <c r="S179" s="2042"/>
      <c r="T179" s="2042"/>
      <c r="U179" s="2042"/>
      <c r="V179" s="2042"/>
      <c r="W179" s="2042"/>
      <c r="X179" s="2042"/>
      <c r="Y179" s="2042"/>
      <c r="Z179" s="2042"/>
      <c r="AA179" s="2042"/>
      <c r="AB179" s="2042"/>
      <c r="AC179" s="2042"/>
      <c r="AD179" s="2042"/>
      <c r="AE179" s="2042"/>
      <c r="AF179" s="2042"/>
      <c r="AG179" s="2042"/>
      <c r="AH179" s="2042"/>
      <c r="AI179" s="2042"/>
      <c r="AJ179" s="2042"/>
      <c r="AK179" s="2042"/>
      <c r="AL179" s="2042"/>
      <c r="AM179" s="2042"/>
      <c r="AN179" s="2042"/>
      <c r="AO179" s="204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9"/>
      <c r="D180" s="2050"/>
      <c r="E180" s="2050"/>
      <c r="F180" s="2050"/>
      <c r="G180" s="2050"/>
      <c r="H180" s="2050"/>
      <c r="I180" s="2051"/>
      <c r="J180" s="2051"/>
      <c r="K180" s="2051"/>
      <c r="L180" s="2051"/>
      <c r="M180" s="2051"/>
      <c r="N180" s="2052"/>
      <c r="O180" s="1190"/>
      <c r="P180" s="2044"/>
      <c r="Q180" s="2045"/>
      <c r="R180" s="2045"/>
      <c r="S180" s="2045"/>
      <c r="T180" s="2045"/>
      <c r="U180" s="2045"/>
      <c r="V180" s="2045"/>
      <c r="W180" s="2045"/>
      <c r="X180" s="2045"/>
      <c r="Y180" s="2045"/>
      <c r="Z180" s="2045"/>
      <c r="AA180" s="2045"/>
      <c r="AB180" s="2045"/>
      <c r="AC180" s="2045"/>
      <c r="AD180" s="2045"/>
      <c r="AE180" s="2045"/>
      <c r="AF180" s="2045"/>
      <c r="AG180" s="2045"/>
      <c r="AH180" s="2045"/>
      <c r="AI180" s="2045"/>
      <c r="AJ180" s="2045"/>
      <c r="AK180" s="2045"/>
      <c r="AL180" s="2045"/>
      <c r="AM180" s="2045"/>
      <c r="AN180" s="2045"/>
      <c r="AO180" s="204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5" t="s">
        <v>2331</v>
      </c>
      <c r="D182" s="2016"/>
      <c r="E182" s="2016"/>
      <c r="F182" s="2016"/>
      <c r="G182" s="2016"/>
      <c r="H182" s="2016"/>
      <c r="I182" s="2016"/>
      <c r="J182" s="2016"/>
      <c r="K182" s="2016"/>
      <c r="L182" s="2016"/>
      <c r="M182" s="2016"/>
      <c r="N182" s="2016"/>
      <c r="O182" s="2016"/>
      <c r="P182" s="2016"/>
      <c r="Q182" s="2016"/>
      <c r="R182" s="2016"/>
      <c r="S182" s="2016"/>
      <c r="T182" s="2016"/>
      <c r="U182" s="2016"/>
      <c r="V182" s="2016"/>
      <c r="W182" s="2016"/>
      <c r="X182" s="2016"/>
      <c r="Y182" s="2016"/>
      <c r="Z182" s="2016"/>
      <c r="AA182" s="2016"/>
      <c r="AB182" s="2016"/>
      <c r="AC182" s="2016"/>
      <c r="AD182" s="2016"/>
      <c r="AE182" s="2017"/>
      <c r="AF182" s="1190"/>
      <c r="AG182" s="1190"/>
      <c r="AH182" s="1900"/>
      <c r="AI182" s="1900"/>
      <c r="AJ182" s="1900"/>
      <c r="AK182" s="1900"/>
      <c r="AL182" s="1900"/>
      <c r="AM182" s="1900"/>
      <c r="AN182" s="1900"/>
      <c r="AO182" s="1900"/>
      <c r="AP182" s="1900"/>
      <c r="AQ182" s="1900"/>
      <c r="AR182" s="1900"/>
      <c r="AS182" s="1900"/>
      <c r="AT182" s="1900"/>
      <c r="AU182" s="1900"/>
      <c r="AV182" s="1900"/>
      <c r="AW182" s="1900"/>
      <c r="AX182" s="1900"/>
      <c r="AY182" s="1900"/>
      <c r="AZ182" s="1900"/>
      <c r="BA182" s="1900"/>
      <c r="BB182" s="1900"/>
      <c r="BC182" s="1900"/>
      <c r="BD182" s="1900"/>
      <c r="BE182" s="1900"/>
    </row>
    <row r="183" spans="1:57" ht="15.75" customHeight="1" thickBot="1">
      <c r="A183" s="1190"/>
      <c r="B183" s="1190"/>
      <c r="C183" s="2018"/>
      <c r="D183" s="2019"/>
      <c r="E183" s="2019"/>
      <c r="F183" s="2019"/>
      <c r="G183" s="2019"/>
      <c r="H183" s="2019"/>
      <c r="I183" s="2019"/>
      <c r="J183" s="2019"/>
      <c r="K183" s="2019"/>
      <c r="L183" s="2019"/>
      <c r="M183" s="2019"/>
      <c r="N183" s="2019"/>
      <c r="O183" s="2019"/>
      <c r="P183" s="2019"/>
      <c r="Q183" s="2019"/>
      <c r="R183" s="2019"/>
      <c r="S183" s="2019"/>
      <c r="T183" s="2019"/>
      <c r="U183" s="2019"/>
      <c r="V183" s="2019"/>
      <c r="W183" s="2019"/>
      <c r="X183" s="2019"/>
      <c r="Y183" s="2019"/>
      <c r="Z183" s="2019"/>
      <c r="AA183" s="2019"/>
      <c r="AB183" s="2019"/>
      <c r="AC183" s="2019"/>
      <c r="AD183" s="2019"/>
      <c r="AE183" s="2020"/>
      <c r="AF183" s="1190"/>
      <c r="AG183" s="1190"/>
      <c r="AH183" s="1900"/>
      <c r="AI183" s="1900"/>
      <c r="AJ183" s="1900"/>
      <c r="AK183" s="1900"/>
      <c r="AL183" s="1900"/>
      <c r="AM183" s="1900"/>
      <c r="AN183" s="1900"/>
      <c r="AO183" s="1900"/>
      <c r="AP183" s="1900"/>
      <c r="AQ183" s="1900"/>
      <c r="AR183" s="1900"/>
      <c r="AS183" s="1900"/>
      <c r="AT183" s="1900"/>
      <c r="AU183" s="1900"/>
      <c r="AV183" s="1900"/>
      <c r="AW183" s="1900"/>
      <c r="AX183" s="1900"/>
      <c r="AY183" s="1900"/>
      <c r="AZ183" s="1900"/>
      <c r="BA183" s="1900"/>
      <c r="BB183" s="1900"/>
      <c r="BC183" s="1900"/>
      <c r="BD183" s="1900"/>
      <c r="BE183" s="1900"/>
    </row>
    <row r="184" spans="1:57" ht="15.75" customHeight="1">
      <c r="A184" s="1190"/>
      <c r="B184" s="1190"/>
      <c r="C184" s="2024" t="s">
        <v>2329</v>
      </c>
      <c r="D184" s="2025"/>
      <c r="E184" s="2025"/>
      <c r="F184" s="2025"/>
      <c r="G184" s="2025"/>
      <c r="H184" s="2025"/>
      <c r="I184" s="2025"/>
      <c r="J184" s="2025"/>
      <c r="K184" s="2025"/>
      <c r="L184" s="2025"/>
      <c r="M184" s="2025"/>
      <c r="N184" s="2025" t="s">
        <v>2330</v>
      </c>
      <c r="O184" s="2025"/>
      <c r="P184" s="2025"/>
      <c r="Q184" s="2025"/>
      <c r="R184" s="2025"/>
      <c r="S184" s="2025"/>
      <c r="T184" s="2025"/>
      <c r="U184" s="2026" t="s">
        <v>2329</v>
      </c>
      <c r="V184" s="2026"/>
      <c r="W184" s="2026"/>
      <c r="X184" s="2026"/>
      <c r="Y184" s="2026"/>
      <c r="Z184" s="2026"/>
      <c r="AA184" s="2026"/>
      <c r="AB184" s="2026"/>
      <c r="AC184" s="2026"/>
      <c r="AD184" s="2026"/>
      <c r="AE184" s="2027"/>
      <c r="AF184" s="1190"/>
      <c r="AG184" s="1190"/>
      <c r="AH184" s="1900"/>
      <c r="AI184" s="1900"/>
      <c r="AJ184" s="1900"/>
      <c r="AK184" s="1900"/>
      <c r="AL184" s="1900"/>
      <c r="AM184" s="1900"/>
      <c r="AN184" s="1900"/>
      <c r="AO184" s="1900"/>
      <c r="AP184" s="1900"/>
      <c r="AQ184" s="1900"/>
      <c r="AR184" s="1900"/>
      <c r="AS184" s="1900"/>
      <c r="AT184" s="1900"/>
      <c r="AU184" s="1900"/>
      <c r="AV184" s="1900"/>
      <c r="AW184" s="1900"/>
      <c r="AX184" s="1900"/>
      <c r="AY184" s="1900"/>
      <c r="AZ184" s="1900"/>
      <c r="BA184" s="1900"/>
      <c r="BB184" s="1900"/>
      <c r="BC184" s="1900"/>
      <c r="BD184" s="1900"/>
      <c r="BE184" s="1900"/>
    </row>
    <row r="185" spans="1:57" ht="15.75" customHeight="1">
      <c r="A185" s="1190"/>
      <c r="B185" s="1190"/>
      <c r="C185" s="2003" t="s">
        <v>2328</v>
      </c>
      <c r="D185" s="2004"/>
      <c r="E185" s="2004"/>
      <c r="F185" s="2004"/>
      <c r="G185" s="2004"/>
      <c r="H185" s="2004"/>
      <c r="I185" s="2004"/>
      <c r="J185" s="2004"/>
      <c r="K185" s="2004"/>
      <c r="L185" s="2004"/>
      <c r="M185" s="2004"/>
      <c r="N185" s="2014">
        <f>'Sources and Uses Budget'!B105</f>
        <v>47754257</v>
      </c>
      <c r="O185" s="2014"/>
      <c r="P185" s="2014"/>
      <c r="Q185" s="2014"/>
      <c r="R185" s="2014"/>
      <c r="S185" s="2014"/>
      <c r="T185" s="2014"/>
      <c r="U185" s="2028"/>
      <c r="V185" s="2028"/>
      <c r="W185" s="2028"/>
      <c r="X185" s="2028"/>
      <c r="Y185" s="2028"/>
      <c r="Z185" s="2028"/>
      <c r="AA185" s="2028"/>
      <c r="AB185" s="2028"/>
      <c r="AC185" s="2028"/>
      <c r="AD185" s="2028"/>
      <c r="AE185" s="2029"/>
      <c r="AF185" s="1190"/>
      <c r="AG185" s="1190"/>
      <c r="AH185" s="1900"/>
      <c r="AI185" s="1900"/>
      <c r="AJ185" s="1900"/>
      <c r="AK185" s="1900"/>
      <c r="AL185" s="1900"/>
      <c r="AM185" s="1900"/>
      <c r="AN185" s="1900"/>
      <c r="AO185" s="1900"/>
      <c r="AP185" s="1900"/>
      <c r="AQ185" s="1900"/>
      <c r="AR185" s="1900"/>
      <c r="AS185" s="1900"/>
      <c r="AT185" s="1900"/>
      <c r="AU185" s="1900"/>
      <c r="AV185" s="1900"/>
      <c r="AW185" s="1900"/>
      <c r="AX185" s="1900"/>
      <c r="AY185" s="1900"/>
      <c r="AZ185" s="1900"/>
      <c r="BA185" s="1900"/>
      <c r="BB185" s="1900"/>
      <c r="BC185" s="1900"/>
      <c r="BD185" s="1900"/>
      <c r="BE185" s="1900"/>
    </row>
    <row r="186" spans="1:57" ht="15.75" customHeight="1">
      <c r="A186" s="1190"/>
      <c r="B186" s="1190"/>
      <c r="C186" s="2003" t="s">
        <v>2327</v>
      </c>
      <c r="D186" s="2004"/>
      <c r="E186" s="2004"/>
      <c r="F186" s="2004"/>
      <c r="G186" s="2004"/>
      <c r="H186" s="2004"/>
      <c r="I186" s="2004"/>
      <c r="J186" s="2004"/>
      <c r="K186" s="2004"/>
      <c r="L186" s="2004"/>
      <c r="M186" s="2004"/>
      <c r="N186" s="2014">
        <f>N185/J29</f>
        <v>589558.72839506168</v>
      </c>
      <c r="O186" s="2014"/>
      <c r="P186" s="2014"/>
      <c r="Q186" s="2014"/>
      <c r="R186" s="2014"/>
      <c r="S186" s="2014"/>
      <c r="T186" s="2014"/>
      <c r="U186" s="1228"/>
      <c r="V186" s="1228"/>
      <c r="W186" s="1228"/>
      <c r="X186" s="1228"/>
      <c r="Y186" s="1228"/>
      <c r="Z186" s="1228"/>
      <c r="AA186" s="1228"/>
      <c r="AB186" s="1228"/>
      <c r="AC186" s="1228"/>
      <c r="AD186" s="1228"/>
      <c r="AE186" s="1229"/>
      <c r="AF186" s="1190"/>
      <c r="AG186" s="1190"/>
      <c r="AH186" s="1900"/>
      <c r="AI186" s="1900"/>
      <c r="AJ186" s="1900"/>
      <c r="AK186" s="1900"/>
      <c r="AL186" s="1900"/>
      <c r="AM186" s="1900"/>
      <c r="AN186" s="1900"/>
      <c r="AO186" s="1900"/>
      <c r="AP186" s="1900"/>
      <c r="AQ186" s="1900"/>
      <c r="AR186" s="1900"/>
      <c r="AS186" s="1900"/>
      <c r="AT186" s="1900"/>
      <c r="AU186" s="1900"/>
      <c r="AV186" s="1900"/>
      <c r="AW186" s="1900"/>
      <c r="AX186" s="1900"/>
      <c r="AY186" s="1900"/>
      <c r="AZ186" s="1900"/>
      <c r="BA186" s="1900"/>
      <c r="BB186" s="1900"/>
      <c r="BC186" s="1900"/>
      <c r="BD186" s="1900"/>
      <c r="BE186" s="1900"/>
    </row>
    <row r="187" spans="1:57" ht="15.75" customHeight="1">
      <c r="A187" s="1190"/>
      <c r="B187" s="1190"/>
      <c r="C187" s="2030" t="s">
        <v>2326</v>
      </c>
      <c r="D187" s="2031"/>
      <c r="E187" s="2031"/>
      <c r="F187" s="2031"/>
      <c r="G187" s="2031"/>
      <c r="H187" s="2031"/>
      <c r="I187" s="2031"/>
      <c r="J187" s="2031"/>
      <c r="K187" s="2031"/>
      <c r="L187" s="2031"/>
      <c r="M187" s="2031"/>
      <c r="N187" s="2032">
        <v>0</v>
      </c>
      <c r="O187" s="2032"/>
      <c r="P187" s="2032"/>
      <c r="Q187" s="2032"/>
      <c r="R187" s="2032"/>
      <c r="S187" s="2032"/>
      <c r="T187" s="2032"/>
      <c r="U187" s="1990"/>
      <c r="V187" s="1990"/>
      <c r="W187" s="1990"/>
      <c r="X187" s="1990"/>
      <c r="Y187" s="1990"/>
      <c r="Z187" s="1990"/>
      <c r="AA187" s="1990"/>
      <c r="AB187" s="1990"/>
      <c r="AC187" s="1990"/>
      <c r="AD187" s="1990"/>
      <c r="AE187" s="1991"/>
      <c r="AF187" s="1190"/>
      <c r="AG187" s="1190"/>
      <c r="AH187" s="1900"/>
      <c r="AI187" s="1900"/>
      <c r="AJ187" s="1900"/>
      <c r="AK187" s="1900"/>
      <c r="AL187" s="1900"/>
      <c r="AM187" s="1900"/>
      <c r="AN187" s="1900"/>
      <c r="AO187" s="1900"/>
      <c r="AP187" s="1900"/>
      <c r="AQ187" s="1900"/>
      <c r="AR187" s="1900"/>
      <c r="AS187" s="1900"/>
      <c r="AT187" s="1900"/>
      <c r="AU187" s="1900"/>
      <c r="AV187" s="1900"/>
      <c r="AW187" s="1900"/>
      <c r="AX187" s="1900"/>
      <c r="AY187" s="1900"/>
      <c r="AZ187" s="1900"/>
      <c r="BA187" s="1900"/>
      <c r="BB187" s="1900"/>
      <c r="BC187" s="1900"/>
      <c r="BD187" s="1900"/>
      <c r="BE187" s="1900"/>
    </row>
    <row r="188" spans="1:57" ht="15.75" customHeight="1" thickBot="1">
      <c r="A188" s="1190"/>
      <c r="B188" s="1190"/>
      <c r="C188" s="2003" t="s">
        <v>2325</v>
      </c>
      <c r="D188" s="2004"/>
      <c r="E188" s="2004"/>
      <c r="F188" s="2004"/>
      <c r="G188" s="2004"/>
      <c r="H188" s="2004"/>
      <c r="I188" s="2004"/>
      <c r="J188" s="2004"/>
      <c r="K188" s="2004"/>
      <c r="L188" s="2004"/>
      <c r="M188" s="2004"/>
      <c r="N188" s="2033">
        <f>SUM('Sources and Uses Budget'!B85:B86)</f>
        <v>3038343</v>
      </c>
      <c r="O188" s="2033"/>
      <c r="P188" s="2033"/>
      <c r="Q188" s="2033"/>
      <c r="R188" s="2033"/>
      <c r="S188" s="2033"/>
      <c r="T188" s="2033"/>
      <c r="U188" s="1990"/>
      <c r="V188" s="1990"/>
      <c r="W188" s="1990"/>
      <c r="X188" s="1990"/>
      <c r="Y188" s="1990"/>
      <c r="Z188" s="1990"/>
      <c r="AA188" s="1990"/>
      <c r="AB188" s="1990"/>
      <c r="AC188" s="1990"/>
      <c r="AD188" s="1990"/>
      <c r="AE188" s="1991"/>
      <c r="AF188" s="1190"/>
      <c r="AG188" s="1190"/>
      <c r="AH188" s="1900"/>
      <c r="AI188" s="1900"/>
      <c r="AJ188" s="1900"/>
      <c r="AK188" s="1900"/>
      <c r="AL188" s="1900"/>
      <c r="AM188" s="1900"/>
      <c r="AN188" s="1900"/>
      <c r="AO188" s="1900"/>
      <c r="AP188" s="1900"/>
      <c r="AQ188" s="1900"/>
      <c r="AR188" s="1900"/>
      <c r="AS188" s="1900"/>
      <c r="AT188" s="1900"/>
      <c r="AU188" s="1900"/>
      <c r="AV188" s="1900"/>
      <c r="AW188" s="1900"/>
      <c r="AX188" s="1900"/>
      <c r="AY188" s="1900"/>
      <c r="AZ188" s="1900"/>
      <c r="BA188" s="1900"/>
      <c r="BB188" s="1900"/>
      <c r="BC188" s="1900"/>
      <c r="BD188" s="1900"/>
      <c r="BE188" s="1900"/>
    </row>
    <row r="189" spans="1:57" ht="15.75" customHeight="1" thickBot="1">
      <c r="A189" s="1190"/>
      <c r="B189" s="1190"/>
      <c r="C189" s="2003" t="s">
        <v>2324</v>
      </c>
      <c r="D189" s="2004"/>
      <c r="E189" s="2004"/>
      <c r="F189" s="2004"/>
      <c r="G189" s="2004"/>
      <c r="H189" s="2004"/>
      <c r="I189" s="2004"/>
      <c r="J189" s="2004"/>
      <c r="K189" s="2004"/>
      <c r="L189" s="2004"/>
      <c r="M189" s="2004"/>
      <c r="N189" s="2033">
        <f>'Sources and Uses Budget'!B8</f>
        <v>1650000</v>
      </c>
      <c r="O189" s="2033"/>
      <c r="P189" s="2033"/>
      <c r="Q189" s="2033"/>
      <c r="R189" s="2033"/>
      <c r="S189" s="2033"/>
      <c r="T189" s="2033"/>
      <c r="U189" s="1990"/>
      <c r="V189" s="1990"/>
      <c r="W189" s="1990"/>
      <c r="X189" s="1990"/>
      <c r="Y189" s="1990"/>
      <c r="Z189" s="1990"/>
      <c r="AA189" s="1990"/>
      <c r="AB189" s="1990"/>
      <c r="AC189" s="1990"/>
      <c r="AD189" s="1990"/>
      <c r="AE189" s="1991"/>
      <c r="AF189" s="1190"/>
      <c r="AG189" s="1190"/>
      <c r="AH189" s="2000" t="s">
        <v>2322</v>
      </c>
      <c r="AI189" s="2001"/>
      <c r="AJ189" s="2001"/>
      <c r="AK189" s="2001"/>
      <c r="AL189" s="2001"/>
      <c r="AM189" s="2001"/>
      <c r="AN189" s="2001"/>
      <c r="AO189" s="2001"/>
      <c r="AP189" s="2001"/>
      <c r="AQ189" s="2001"/>
      <c r="AR189" s="2001"/>
      <c r="AS189" s="2001"/>
      <c r="AT189" s="2001"/>
      <c r="AU189" s="2001"/>
      <c r="AV189" s="2001"/>
      <c r="AW189" s="2001"/>
      <c r="AX189" s="2001"/>
      <c r="AY189" s="2001"/>
      <c r="AZ189" s="2001"/>
      <c r="BA189" s="2001"/>
      <c r="BB189" s="2001"/>
      <c r="BC189" s="2001"/>
      <c r="BD189" s="2001"/>
      <c r="BE189" s="2002"/>
    </row>
    <row r="190" spans="1:57" ht="15.75" customHeight="1">
      <c r="A190" s="1190"/>
      <c r="B190" s="1190"/>
      <c r="C190" s="2003" t="s">
        <v>2323</v>
      </c>
      <c r="D190" s="2004"/>
      <c r="E190" s="2004"/>
      <c r="F190" s="2004"/>
      <c r="G190" s="2004"/>
      <c r="H190" s="2004"/>
      <c r="I190" s="2004"/>
      <c r="J190" s="2004"/>
      <c r="K190" s="2004"/>
      <c r="L190" s="2004"/>
      <c r="M190" s="2004"/>
      <c r="N190" s="1989">
        <v>0</v>
      </c>
      <c r="O190" s="1989"/>
      <c r="P190" s="1989"/>
      <c r="Q190" s="1989"/>
      <c r="R190" s="1989"/>
      <c r="S190" s="1989"/>
      <c r="T190" s="1989"/>
      <c r="U190" s="1990"/>
      <c r="V190" s="1990"/>
      <c r="W190" s="1990"/>
      <c r="X190" s="1990"/>
      <c r="Y190" s="1990"/>
      <c r="Z190" s="1990"/>
      <c r="AA190" s="1990"/>
      <c r="AB190" s="1990"/>
      <c r="AC190" s="1990"/>
      <c r="AD190" s="1990"/>
      <c r="AE190" s="1991"/>
      <c r="AF190" s="1190"/>
      <c r="AG190" s="1190"/>
      <c r="AH190" s="2005" t="s">
        <v>2322</v>
      </c>
      <c r="AI190" s="2006"/>
      <c r="AJ190" s="2006"/>
      <c r="AK190" s="2006"/>
      <c r="AL190" s="2006"/>
      <c r="AM190" s="2006"/>
      <c r="AN190" s="2006"/>
      <c r="AO190" s="2006"/>
      <c r="AP190" s="2006"/>
      <c r="AQ190" s="2006"/>
      <c r="AR190" s="2006"/>
      <c r="AS190" s="2006"/>
      <c r="AT190" s="2006"/>
      <c r="AU190" s="2007">
        <v>0</v>
      </c>
      <c r="AV190" s="2007"/>
      <c r="AW190" s="2007"/>
      <c r="AX190" s="2007"/>
      <c r="AY190" s="2007"/>
      <c r="AZ190" s="2007"/>
      <c r="BA190" s="2007"/>
      <c r="BB190" s="2007"/>
      <c r="BC190" s="2008"/>
      <c r="BD190" s="2009"/>
      <c r="BE190" s="2010"/>
    </row>
    <row r="191" spans="1:57" ht="15.75" customHeight="1">
      <c r="A191" s="1190"/>
      <c r="B191" s="1190"/>
      <c r="C191" s="2003" t="s">
        <v>2321</v>
      </c>
      <c r="D191" s="2004"/>
      <c r="E191" s="2004"/>
      <c r="F191" s="2004"/>
      <c r="G191" s="2004"/>
      <c r="H191" s="2004"/>
      <c r="I191" s="2004"/>
      <c r="J191" s="2004"/>
      <c r="K191" s="2004"/>
      <c r="L191" s="2004"/>
      <c r="M191" s="2004"/>
      <c r="N191" s="1989">
        <v>0</v>
      </c>
      <c r="O191" s="1989"/>
      <c r="P191" s="1989"/>
      <c r="Q191" s="1989"/>
      <c r="R191" s="1989"/>
      <c r="S191" s="1989"/>
      <c r="T191" s="1989"/>
      <c r="U191" s="1990"/>
      <c r="V191" s="1990"/>
      <c r="W191" s="1990"/>
      <c r="X191" s="1990"/>
      <c r="Y191" s="1990"/>
      <c r="Z191" s="1990"/>
      <c r="AA191" s="1990"/>
      <c r="AB191" s="1990"/>
      <c r="AC191" s="1990"/>
      <c r="AD191" s="1990"/>
      <c r="AE191" s="1991"/>
      <c r="AF191" s="1190"/>
      <c r="AG191" s="1190"/>
      <c r="AH191" s="2021" t="s">
        <v>2320</v>
      </c>
      <c r="AI191" s="2022"/>
      <c r="AJ191" s="2022"/>
      <c r="AK191" s="2022"/>
      <c r="AL191" s="2022"/>
      <c r="AM191" s="2022"/>
      <c r="AN191" s="2022"/>
      <c r="AO191" s="2022"/>
      <c r="AP191" s="2022"/>
      <c r="AQ191" s="2022"/>
      <c r="AR191" s="2022"/>
      <c r="AS191" s="2022"/>
      <c r="AT191" s="2022"/>
      <c r="AU191" s="2023"/>
      <c r="AV191" s="2023"/>
      <c r="AW191" s="2023"/>
      <c r="AX191" s="2023"/>
      <c r="AY191" s="2023"/>
      <c r="AZ191" s="2023"/>
      <c r="BA191" s="2023"/>
      <c r="BB191" s="2023"/>
      <c r="BC191" s="2011"/>
      <c r="BD191" s="2012"/>
      <c r="BE191" s="2013"/>
    </row>
    <row r="192" spans="1:57" ht="15.75" customHeight="1">
      <c r="A192" s="1190"/>
      <c r="B192" s="1190"/>
      <c r="C192" s="1995" t="s">
        <v>299</v>
      </c>
      <c r="D192" s="1996"/>
      <c r="E192" s="1988" t="s">
        <v>2318</v>
      </c>
      <c r="F192" s="1988"/>
      <c r="G192" s="1988"/>
      <c r="H192" s="1988"/>
      <c r="I192" s="1988"/>
      <c r="J192" s="1988"/>
      <c r="K192" s="1988"/>
      <c r="L192" s="1988"/>
      <c r="M192" s="1988"/>
      <c r="N192" s="1989">
        <v>0</v>
      </c>
      <c r="O192" s="1989"/>
      <c r="P192" s="1989"/>
      <c r="Q192" s="1989"/>
      <c r="R192" s="1989"/>
      <c r="S192" s="1989"/>
      <c r="T192" s="1989"/>
      <c r="U192" s="1990"/>
      <c r="V192" s="1990"/>
      <c r="W192" s="1990"/>
      <c r="X192" s="1990"/>
      <c r="Y192" s="1990"/>
      <c r="Z192" s="1990"/>
      <c r="AA192" s="1990"/>
      <c r="AB192" s="1990"/>
      <c r="AC192" s="1990"/>
      <c r="AD192" s="1990"/>
      <c r="AE192" s="1991"/>
      <c r="AF192" s="1190"/>
      <c r="AG192" s="1190"/>
      <c r="AH192" s="1997" t="s">
        <v>2319</v>
      </c>
      <c r="AI192" s="1998"/>
      <c r="AJ192" s="1998"/>
      <c r="AK192" s="1998"/>
      <c r="AL192" s="1998"/>
      <c r="AM192" s="1998"/>
      <c r="AN192" s="1998"/>
      <c r="AO192" s="1998"/>
      <c r="AP192" s="1998"/>
      <c r="AQ192" s="1998"/>
      <c r="AR192" s="1998"/>
      <c r="AS192" s="1998"/>
      <c r="AT192" s="1998"/>
      <c r="AU192" s="1999">
        <f>SUM(AU190:BB191)</f>
        <v>0</v>
      </c>
      <c r="AV192" s="1999"/>
      <c r="AW192" s="1999"/>
      <c r="AX192" s="1999"/>
      <c r="AY192" s="1999"/>
      <c r="AZ192" s="1999"/>
      <c r="BA192" s="1999"/>
      <c r="BB192" s="1999"/>
      <c r="BC192" s="2011"/>
      <c r="BD192" s="2012"/>
      <c r="BE192" s="2013"/>
    </row>
    <row r="193" spans="1:57" ht="15.75" customHeight="1" thickBot="1">
      <c r="A193" s="1190"/>
      <c r="B193" s="1190"/>
      <c r="C193" s="1986" t="s">
        <v>299</v>
      </c>
      <c r="D193" s="1987"/>
      <c r="E193" s="1988" t="s">
        <v>2318</v>
      </c>
      <c r="F193" s="1988"/>
      <c r="G193" s="1988"/>
      <c r="H193" s="1988"/>
      <c r="I193" s="1988"/>
      <c r="J193" s="1988"/>
      <c r="K193" s="1988"/>
      <c r="L193" s="1988"/>
      <c r="M193" s="1988"/>
      <c r="N193" s="1989">
        <v>0</v>
      </c>
      <c r="O193" s="1989"/>
      <c r="P193" s="1989"/>
      <c r="Q193" s="1989"/>
      <c r="R193" s="1989"/>
      <c r="S193" s="1989"/>
      <c r="T193" s="1989"/>
      <c r="U193" s="1990"/>
      <c r="V193" s="1990"/>
      <c r="W193" s="1990"/>
      <c r="X193" s="1990"/>
      <c r="Y193" s="1990"/>
      <c r="Z193" s="1990"/>
      <c r="AA193" s="1990"/>
      <c r="AB193" s="1990"/>
      <c r="AC193" s="1990"/>
      <c r="AD193" s="1990"/>
      <c r="AE193" s="199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2"/>
      <c r="BD193" s="1993"/>
      <c r="BE193" s="1994"/>
    </row>
    <row r="194" spans="1:57" ht="15.75" customHeight="1" thickBot="1">
      <c r="A194" s="1190"/>
      <c r="B194" s="1190"/>
      <c r="C194" s="1974" t="s">
        <v>299</v>
      </c>
      <c r="D194" s="1975"/>
      <c r="E194" s="1976" t="s">
        <v>2318</v>
      </c>
      <c r="F194" s="1976"/>
      <c r="G194" s="1976"/>
      <c r="H194" s="1976"/>
      <c r="I194" s="1976"/>
      <c r="J194" s="1976"/>
      <c r="K194" s="1976"/>
      <c r="L194" s="1976"/>
      <c r="M194" s="1977"/>
      <c r="N194" s="1978">
        <v>0</v>
      </c>
      <c r="O194" s="1978"/>
      <c r="P194" s="1978"/>
      <c r="Q194" s="1978"/>
      <c r="R194" s="1978"/>
      <c r="S194" s="1978"/>
      <c r="T194" s="1979"/>
      <c r="U194" s="1980"/>
      <c r="V194" s="1981"/>
      <c r="W194" s="1981"/>
      <c r="X194" s="1981"/>
      <c r="Y194" s="1981"/>
      <c r="Z194" s="1981"/>
      <c r="AA194" s="1981"/>
      <c r="AB194" s="1981"/>
      <c r="AC194" s="1981"/>
      <c r="AD194" s="1981"/>
      <c r="AE194" s="1982"/>
      <c r="AF194" s="1190"/>
      <c r="AG194" s="1190"/>
      <c r="AH194" s="1983" t="s">
        <v>2317</v>
      </c>
      <c r="AI194" s="1984"/>
      <c r="AJ194" s="1984"/>
      <c r="AK194" s="1984"/>
      <c r="AL194" s="1984"/>
      <c r="AM194" s="1984"/>
      <c r="AN194" s="1984"/>
      <c r="AO194" s="1984"/>
      <c r="AP194" s="1984"/>
      <c r="AQ194" s="1984"/>
      <c r="AR194" s="1984"/>
      <c r="AS194" s="1984"/>
      <c r="AT194" s="1984"/>
      <c r="AU194" s="1985"/>
      <c r="AV194" s="1985"/>
      <c r="AW194" s="1985"/>
      <c r="AX194" s="1985"/>
      <c r="AY194" s="1985"/>
      <c r="AZ194" s="1985"/>
      <c r="BA194" s="1985"/>
      <c r="BB194" s="1985"/>
      <c r="BC194" s="1171"/>
      <c r="BD194" s="1171"/>
      <c r="BE194" s="1232"/>
    </row>
    <row r="195" spans="1:57" ht="15.75" customHeight="1">
      <c r="A195" s="1190"/>
      <c r="B195" s="1190"/>
      <c r="C195" s="1957" t="s">
        <v>2316</v>
      </c>
      <c r="D195" s="1958"/>
      <c r="E195" s="1958"/>
      <c r="F195" s="1958"/>
      <c r="G195" s="1958"/>
      <c r="H195" s="1958"/>
      <c r="I195" s="1958"/>
      <c r="J195" s="1958"/>
      <c r="K195" s="1958"/>
      <c r="L195" s="1958"/>
      <c r="M195" s="1958"/>
      <c r="N195" s="1959">
        <f>SUM(N187:T194)</f>
        <v>4688343</v>
      </c>
      <c r="O195" s="1959"/>
      <c r="P195" s="1959"/>
      <c r="Q195" s="1959"/>
      <c r="R195" s="1959"/>
      <c r="S195" s="1959"/>
      <c r="T195" s="1960"/>
      <c r="U195" s="1190"/>
      <c r="V195" s="1190"/>
      <c r="W195" s="1190"/>
      <c r="X195" s="1190"/>
      <c r="Y195" s="1190"/>
      <c r="Z195" s="1190"/>
      <c r="AA195" s="1190"/>
      <c r="AB195" s="1190"/>
      <c r="AC195" s="1190"/>
      <c r="AD195" s="1190"/>
      <c r="AE195" s="1190"/>
      <c r="AF195" s="1190"/>
      <c r="AG195" s="1190"/>
      <c r="AH195" s="1961" t="s">
        <v>2315</v>
      </c>
      <c r="AI195" s="1962"/>
      <c r="AJ195" s="1962"/>
      <c r="AK195" s="1962"/>
      <c r="AL195" s="1962"/>
      <c r="AM195" s="1962"/>
      <c r="AN195" s="1962"/>
      <c r="AO195" s="1962"/>
      <c r="AP195" s="1962"/>
      <c r="AQ195" s="1962"/>
      <c r="AR195" s="1962"/>
      <c r="AS195" s="1962"/>
      <c r="AT195" s="1962"/>
      <c r="AU195" s="1962"/>
      <c r="AV195" s="1962"/>
      <c r="AW195" s="1962"/>
      <c r="AX195" s="1962"/>
      <c r="AY195" s="1962"/>
      <c r="AZ195" s="1962"/>
      <c r="BA195" s="1962"/>
      <c r="BB195" s="1962"/>
      <c r="BC195" s="1962"/>
      <c r="BD195" s="1962"/>
      <c r="BE195" s="1963"/>
    </row>
    <row r="196" spans="1:57" ht="15.75" customHeight="1" thickBot="1">
      <c r="A196" s="1190"/>
      <c r="B196" s="1190"/>
      <c r="C196" s="1967" t="s">
        <v>2314</v>
      </c>
      <c r="D196" s="1968"/>
      <c r="E196" s="1968"/>
      <c r="F196" s="1968"/>
      <c r="G196" s="1968"/>
      <c r="H196" s="1968"/>
      <c r="I196" s="1968"/>
      <c r="J196" s="1968"/>
      <c r="K196" s="1968"/>
      <c r="L196" s="1968"/>
      <c r="M196" s="1968"/>
      <c r="N196" s="1969">
        <f>(N185-N195)/J29</f>
        <v>531677.95061728393</v>
      </c>
      <c r="O196" s="1970"/>
      <c r="P196" s="1970"/>
      <c r="Q196" s="1970"/>
      <c r="R196" s="1970"/>
      <c r="S196" s="1970"/>
      <c r="T196" s="1971"/>
      <c r="U196" s="1195"/>
      <c r="V196" s="1190"/>
      <c r="W196" s="1190"/>
      <c r="X196" s="1190"/>
      <c r="Y196" s="1190"/>
      <c r="Z196" s="1190"/>
      <c r="AA196" s="1190"/>
      <c r="AB196" s="1190"/>
      <c r="AC196" s="1190"/>
      <c r="AD196" s="1190"/>
      <c r="AE196" s="1190"/>
      <c r="AF196" s="1190"/>
      <c r="AG196" s="1190"/>
      <c r="AH196" s="1964"/>
      <c r="AI196" s="1965"/>
      <c r="AJ196" s="1965"/>
      <c r="AK196" s="1965"/>
      <c r="AL196" s="1965"/>
      <c r="AM196" s="1965"/>
      <c r="AN196" s="1965"/>
      <c r="AO196" s="1965"/>
      <c r="AP196" s="1965"/>
      <c r="AQ196" s="1965"/>
      <c r="AR196" s="1965"/>
      <c r="AS196" s="1965"/>
      <c r="AT196" s="1965"/>
      <c r="AU196" s="1965"/>
      <c r="AV196" s="1965"/>
      <c r="AW196" s="1965"/>
      <c r="AX196" s="1965"/>
      <c r="AY196" s="1965"/>
      <c r="AZ196" s="1965"/>
      <c r="BA196" s="1965"/>
      <c r="BB196" s="1965"/>
      <c r="BC196" s="1965"/>
      <c r="BD196" s="1965"/>
      <c r="BE196" s="196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2"/>
      <c r="AI197" s="1972"/>
      <c r="AJ197" s="1972"/>
      <c r="AK197" s="1972"/>
      <c r="AL197" s="1972"/>
      <c r="AM197" s="1972"/>
      <c r="AN197" s="1972"/>
      <c r="AO197" s="1972"/>
      <c r="AP197" s="1972"/>
      <c r="AQ197" s="1972"/>
      <c r="AR197" s="1972"/>
      <c r="AS197" s="1973"/>
      <c r="AT197" s="1973"/>
      <c r="AU197" s="1973"/>
      <c r="AV197" s="1973"/>
      <c r="AW197" s="1973"/>
      <c r="AX197" s="1973"/>
      <c r="AY197" s="1973"/>
      <c r="AZ197" s="1973"/>
      <c r="BA197" s="1973"/>
      <c r="BB197" s="1973"/>
      <c r="BC197" s="1973"/>
      <c r="BD197" s="197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2" t="s">
        <v>2313</v>
      </c>
      <c r="D199" s="1953"/>
      <c r="E199" s="1953"/>
      <c r="F199" s="1953"/>
      <c r="G199" s="1953"/>
      <c r="H199" s="1953"/>
      <c r="I199" s="1953"/>
      <c r="J199" s="1953"/>
      <c r="K199" s="1953"/>
      <c r="L199" s="1953"/>
      <c r="M199" s="1953"/>
      <c r="N199" s="1953"/>
      <c r="O199" s="1953"/>
      <c r="P199" s="1953"/>
      <c r="Q199" s="1953"/>
      <c r="R199" s="1953"/>
      <c r="S199" s="1953"/>
      <c r="T199" s="1953"/>
      <c r="U199" s="1953"/>
      <c r="V199" s="1953"/>
      <c r="W199" s="1953"/>
      <c r="X199" s="1953"/>
      <c r="Y199" s="1953"/>
      <c r="Z199" s="1953"/>
      <c r="AA199" s="1953"/>
      <c r="AB199" s="1953"/>
      <c r="AC199" s="1953"/>
      <c r="AD199" s="1953"/>
      <c r="AE199" s="19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5" t="s">
        <v>2312</v>
      </c>
      <c r="D200" s="1955"/>
      <c r="E200" s="1955"/>
      <c r="F200" s="1955"/>
      <c r="G200" s="1955"/>
      <c r="H200" s="1955"/>
      <c r="I200" s="1955"/>
      <c r="J200" s="1955"/>
      <c r="K200" s="1955"/>
      <c r="L200" s="1955"/>
      <c r="M200" s="1955"/>
      <c r="N200" s="1955"/>
      <c r="O200" s="1956" t="s">
        <v>2311</v>
      </c>
      <c r="P200" s="1956"/>
      <c r="Q200" s="1956"/>
      <c r="R200" s="1956"/>
      <c r="S200" s="1956"/>
      <c r="T200" s="1956"/>
      <c r="U200" s="1956"/>
      <c r="V200" s="1956"/>
      <c r="W200" s="1956"/>
      <c r="X200" s="1956" t="s">
        <v>2310</v>
      </c>
      <c r="Y200" s="1956"/>
      <c r="Z200" s="1956"/>
      <c r="AA200" s="1956"/>
      <c r="AB200" s="1956"/>
      <c r="AC200" s="1956"/>
      <c r="AD200" s="1956"/>
      <c r="AE200" s="19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7" t="s">
        <v>2309</v>
      </c>
      <c r="D201" s="1947"/>
      <c r="E201" s="1947"/>
      <c r="F201" s="1947"/>
      <c r="G201" s="1947"/>
      <c r="H201" s="1947"/>
      <c r="I201" s="1947"/>
      <c r="J201" s="1947"/>
      <c r="K201" s="1947"/>
      <c r="L201" s="1947"/>
      <c r="M201" s="1947"/>
      <c r="N201" s="1947"/>
      <c r="O201" s="1948" t="s">
        <v>2308</v>
      </c>
      <c r="P201" s="1948"/>
      <c r="Q201" s="1948"/>
      <c r="R201" s="1948"/>
      <c r="S201" s="1948"/>
      <c r="T201" s="1948"/>
      <c r="U201" s="1948"/>
      <c r="V201" s="1948"/>
      <c r="W201" s="1948"/>
      <c r="X201" s="1949">
        <v>0.03</v>
      </c>
      <c r="Y201" s="1949"/>
      <c r="Z201" s="1949"/>
      <c r="AA201" s="1949"/>
      <c r="AB201" s="1949"/>
      <c r="AC201" s="1949"/>
      <c r="AD201" s="1949"/>
      <c r="AE201" s="19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7" t="s">
        <v>854</v>
      </c>
      <c r="D202" s="1947"/>
      <c r="E202" s="1947"/>
      <c r="F202" s="1947"/>
      <c r="G202" s="1947"/>
      <c r="H202" s="1947"/>
      <c r="I202" s="1947"/>
      <c r="J202" s="1947"/>
      <c r="K202" s="1947"/>
      <c r="L202" s="1947"/>
      <c r="M202" s="1947"/>
      <c r="N202" s="1947"/>
      <c r="O202" s="1948" t="s">
        <v>2308</v>
      </c>
      <c r="P202" s="1948"/>
      <c r="Q202" s="1948"/>
      <c r="R202" s="1948"/>
      <c r="S202" s="1948"/>
      <c r="T202" s="1948"/>
      <c r="U202" s="1948"/>
      <c r="V202" s="1948"/>
      <c r="W202" s="1948"/>
      <c r="X202" s="1949">
        <v>0.03</v>
      </c>
      <c r="Y202" s="1949"/>
      <c r="Z202" s="1949"/>
      <c r="AA202" s="1949"/>
      <c r="AB202" s="1949"/>
      <c r="AC202" s="1949"/>
      <c r="AD202" s="1949"/>
      <c r="AE202" s="19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7" t="s">
        <v>2307</v>
      </c>
      <c r="D203" s="1947"/>
      <c r="E203" s="1947"/>
      <c r="F203" s="1947"/>
      <c r="G203" s="1947"/>
      <c r="H203" s="1947"/>
      <c r="I203" s="1947"/>
      <c r="J203" s="1947"/>
      <c r="K203" s="1947"/>
      <c r="L203" s="1947"/>
      <c r="M203" s="1947"/>
      <c r="N203" s="1947"/>
      <c r="O203" s="1950">
        <f>SUM(O201:W202)</f>
        <v>0</v>
      </c>
      <c r="P203" s="1951"/>
      <c r="Q203" s="1951"/>
      <c r="R203" s="1951"/>
      <c r="S203" s="1951"/>
      <c r="T203" s="1951"/>
      <c r="U203" s="1951"/>
      <c r="V203" s="1951"/>
      <c r="W203" s="1951"/>
      <c r="X203" s="1951" t="s">
        <v>2306</v>
      </c>
      <c r="Y203" s="1951"/>
      <c r="Z203" s="1951"/>
      <c r="AA203" s="1951"/>
      <c r="AB203" s="1951"/>
      <c r="AC203" s="1951"/>
      <c r="AD203" s="1951"/>
      <c r="AE203" s="19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1" t="s">
        <v>2305</v>
      </c>
      <c r="D204" s="1921"/>
      <c r="E204" s="1921"/>
      <c r="F204" s="1921"/>
      <c r="G204" s="1921"/>
      <c r="H204" s="1921"/>
      <c r="I204" s="1921"/>
      <c r="J204" s="1921"/>
      <c r="K204" s="1921"/>
      <c r="L204" s="1921"/>
      <c r="M204" s="1921"/>
      <c r="N204" s="1921"/>
      <c r="O204" s="1921"/>
      <c r="P204" s="1921"/>
      <c r="Q204" s="1921"/>
      <c r="R204" s="1921"/>
      <c r="S204" s="1921"/>
      <c r="T204" s="1921"/>
      <c r="U204" s="1921"/>
      <c r="V204" s="1921"/>
      <c r="W204" s="1921"/>
      <c r="X204" s="1921"/>
      <c r="Y204" s="1921"/>
      <c r="Z204" s="1921"/>
      <c r="AA204" s="1921"/>
      <c r="AB204" s="1921"/>
      <c r="AC204" s="1921"/>
      <c r="AD204" s="1921"/>
      <c r="AE204" s="192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2" t="s">
        <v>2304</v>
      </c>
      <c r="D206" s="1923"/>
      <c r="E206" s="1923"/>
      <c r="F206" s="1923"/>
      <c r="G206" s="1923"/>
      <c r="H206" s="1923"/>
      <c r="I206" s="1923"/>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3"/>
      <c r="AJ206" s="1923"/>
      <c r="AK206" s="192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5" t="s">
        <v>2303</v>
      </c>
      <c r="D207" s="1926"/>
      <c r="E207" s="1926"/>
      <c r="F207" s="1927"/>
      <c r="G207" s="1931" t="s">
        <v>2302</v>
      </c>
      <c r="H207" s="1926"/>
      <c r="I207" s="1926"/>
      <c r="J207" s="1926"/>
      <c r="K207" s="1926"/>
      <c r="L207" s="1926"/>
      <c r="M207" s="1926"/>
      <c r="N207" s="1926"/>
      <c r="O207" s="1927"/>
      <c r="P207" s="1933" t="s">
        <v>2301</v>
      </c>
      <c r="Q207" s="1934"/>
      <c r="R207" s="1934"/>
      <c r="S207" s="1934"/>
      <c r="T207" s="1935"/>
      <c r="U207" s="1939" t="s">
        <v>2300</v>
      </c>
      <c r="V207" s="1940"/>
      <c r="W207" s="1940"/>
      <c r="X207" s="1941"/>
      <c r="Y207" s="1939" t="s">
        <v>2299</v>
      </c>
      <c r="Z207" s="1940"/>
      <c r="AA207" s="1940"/>
      <c r="AB207" s="1941"/>
      <c r="AC207" s="1939" t="s">
        <v>2298</v>
      </c>
      <c r="AD207" s="1940"/>
      <c r="AE207" s="1940"/>
      <c r="AF207" s="1941"/>
      <c r="AG207" s="1931" t="s">
        <v>2297</v>
      </c>
      <c r="AH207" s="1926"/>
      <c r="AI207" s="1926"/>
      <c r="AJ207" s="1926"/>
      <c r="AK207" s="194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8"/>
      <c r="D208" s="1929"/>
      <c r="E208" s="1929"/>
      <c r="F208" s="1930"/>
      <c r="G208" s="1932"/>
      <c r="H208" s="1929"/>
      <c r="I208" s="1929"/>
      <c r="J208" s="1929"/>
      <c r="K208" s="1929"/>
      <c r="L208" s="1929"/>
      <c r="M208" s="1929"/>
      <c r="N208" s="1929"/>
      <c r="O208" s="1930"/>
      <c r="P208" s="1936"/>
      <c r="Q208" s="1937"/>
      <c r="R208" s="1937"/>
      <c r="S208" s="1937"/>
      <c r="T208" s="1938"/>
      <c r="U208" s="1942"/>
      <c r="V208" s="1943"/>
      <c r="W208" s="1943"/>
      <c r="X208" s="1944"/>
      <c r="Y208" s="1942"/>
      <c r="Z208" s="1943"/>
      <c r="AA208" s="1943"/>
      <c r="AB208" s="1944"/>
      <c r="AC208" s="1942"/>
      <c r="AD208" s="1943"/>
      <c r="AE208" s="1943"/>
      <c r="AF208" s="1944"/>
      <c r="AG208" s="1932"/>
      <c r="AH208" s="1929"/>
      <c r="AI208" s="1929"/>
      <c r="AJ208" s="1929"/>
      <c r="AK208" s="194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4">
        <v>1</v>
      </c>
      <c r="D209" s="1915"/>
      <c r="E209" s="1915"/>
      <c r="F209" s="1915"/>
      <c r="G209" s="1916" t="s">
        <v>1885</v>
      </c>
      <c r="H209" s="1916"/>
      <c r="I209" s="1916"/>
      <c r="J209" s="1916"/>
      <c r="K209" s="1916"/>
      <c r="L209" s="1916"/>
      <c r="M209" s="1916"/>
      <c r="N209" s="1916"/>
      <c r="O209" s="1916"/>
      <c r="P209" s="1917"/>
      <c r="Q209" s="1920"/>
      <c r="R209" s="1920"/>
      <c r="S209" s="1920"/>
      <c r="T209" s="1920"/>
      <c r="U209" s="1918" t="s">
        <v>1885</v>
      </c>
      <c r="V209" s="1918"/>
      <c r="W209" s="1918"/>
      <c r="X209" s="1918"/>
      <c r="Y209" s="1918" t="s">
        <v>1885</v>
      </c>
      <c r="Z209" s="1918"/>
      <c r="AA209" s="1918"/>
      <c r="AB209" s="1918"/>
      <c r="AC209" s="1919" t="s">
        <v>1885</v>
      </c>
      <c r="AD209" s="1919"/>
      <c r="AE209" s="1919"/>
      <c r="AF209" s="1919"/>
      <c r="AG209" s="1903"/>
      <c r="AH209" s="1904"/>
      <c r="AI209" s="1904"/>
      <c r="AJ209" s="1904"/>
      <c r="AK209" s="190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4">
        <v>2</v>
      </c>
      <c r="D210" s="1915"/>
      <c r="E210" s="1915"/>
      <c r="F210" s="1915"/>
      <c r="G210" s="1916" t="s">
        <v>1885</v>
      </c>
      <c r="H210" s="1916"/>
      <c r="I210" s="1916"/>
      <c r="J210" s="1916"/>
      <c r="K210" s="1916"/>
      <c r="L210" s="1916"/>
      <c r="M210" s="1916"/>
      <c r="N210" s="1916"/>
      <c r="O210" s="1916"/>
      <c r="P210" s="1917"/>
      <c r="Q210" s="1917"/>
      <c r="R210" s="1917"/>
      <c r="S210" s="1917"/>
      <c r="T210" s="1917"/>
      <c r="U210" s="1918" t="s">
        <v>1885</v>
      </c>
      <c r="V210" s="1918"/>
      <c r="W210" s="1918"/>
      <c r="X210" s="1918"/>
      <c r="Y210" s="1918" t="s">
        <v>1885</v>
      </c>
      <c r="Z210" s="1918"/>
      <c r="AA210" s="1918"/>
      <c r="AB210" s="1918"/>
      <c r="AC210" s="1919" t="s">
        <v>1885</v>
      </c>
      <c r="AD210" s="1919"/>
      <c r="AE210" s="1919"/>
      <c r="AF210" s="1919"/>
      <c r="AG210" s="1903"/>
      <c r="AH210" s="1904"/>
      <c r="AI210" s="1904"/>
      <c r="AJ210" s="1904"/>
      <c r="AK210" s="190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4">
        <v>3</v>
      </c>
      <c r="D211" s="1915"/>
      <c r="E211" s="1915"/>
      <c r="F211" s="1915"/>
      <c r="G211" s="1916" t="s">
        <v>1885</v>
      </c>
      <c r="H211" s="1916"/>
      <c r="I211" s="1916"/>
      <c r="J211" s="1916"/>
      <c r="K211" s="1916"/>
      <c r="L211" s="1916"/>
      <c r="M211" s="1916"/>
      <c r="N211" s="1916"/>
      <c r="O211" s="1916"/>
      <c r="P211" s="1917"/>
      <c r="Q211" s="1917"/>
      <c r="R211" s="1917"/>
      <c r="S211" s="1917"/>
      <c r="T211" s="1917"/>
      <c r="U211" s="1918" t="s">
        <v>1885</v>
      </c>
      <c r="V211" s="1918"/>
      <c r="W211" s="1918"/>
      <c r="X211" s="1918"/>
      <c r="Y211" s="1918" t="s">
        <v>1885</v>
      </c>
      <c r="Z211" s="1918"/>
      <c r="AA211" s="1918"/>
      <c r="AB211" s="1918"/>
      <c r="AC211" s="1919" t="s">
        <v>1885</v>
      </c>
      <c r="AD211" s="1919"/>
      <c r="AE211" s="1919"/>
      <c r="AF211" s="1919"/>
      <c r="AG211" s="1903"/>
      <c r="AH211" s="1904"/>
      <c r="AI211" s="1904"/>
      <c r="AJ211" s="1904"/>
      <c r="AK211" s="190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4">
        <v>4</v>
      </c>
      <c r="D212" s="1915"/>
      <c r="E212" s="1915"/>
      <c r="F212" s="1915"/>
      <c r="G212" s="1916" t="s">
        <v>1885</v>
      </c>
      <c r="H212" s="1916"/>
      <c r="I212" s="1916"/>
      <c r="J212" s="1916"/>
      <c r="K212" s="1916"/>
      <c r="L212" s="1916"/>
      <c r="M212" s="1916"/>
      <c r="N212" s="1916"/>
      <c r="O212" s="1916"/>
      <c r="P212" s="1917"/>
      <c r="Q212" s="1917"/>
      <c r="R212" s="1917"/>
      <c r="S212" s="1917"/>
      <c r="T212" s="1917"/>
      <c r="U212" s="1918" t="s">
        <v>1885</v>
      </c>
      <c r="V212" s="1918"/>
      <c r="W212" s="1918"/>
      <c r="X212" s="1918"/>
      <c r="Y212" s="1918" t="s">
        <v>1885</v>
      </c>
      <c r="Z212" s="1918"/>
      <c r="AA212" s="1918"/>
      <c r="AB212" s="1918"/>
      <c r="AC212" s="1919" t="s">
        <v>1885</v>
      </c>
      <c r="AD212" s="1919"/>
      <c r="AE212" s="1919"/>
      <c r="AF212" s="1919"/>
      <c r="AG212" s="1903"/>
      <c r="AH212" s="1904"/>
      <c r="AI212" s="1904"/>
      <c r="AJ212" s="1904"/>
      <c r="AK212" s="190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4">
        <v>5</v>
      </c>
      <c r="D213" s="1915"/>
      <c r="E213" s="1915"/>
      <c r="F213" s="1915"/>
      <c r="G213" s="1916" t="s">
        <v>1885</v>
      </c>
      <c r="H213" s="1916"/>
      <c r="I213" s="1916"/>
      <c r="J213" s="1916"/>
      <c r="K213" s="1916"/>
      <c r="L213" s="1916"/>
      <c r="M213" s="1916"/>
      <c r="N213" s="1916"/>
      <c r="O213" s="1916"/>
      <c r="P213" s="1917"/>
      <c r="Q213" s="1917"/>
      <c r="R213" s="1917"/>
      <c r="S213" s="1917"/>
      <c r="T213" s="1917"/>
      <c r="U213" s="1918" t="s">
        <v>1885</v>
      </c>
      <c r="V213" s="1918"/>
      <c r="W213" s="1918"/>
      <c r="X213" s="1918"/>
      <c r="Y213" s="1918" t="s">
        <v>1885</v>
      </c>
      <c r="Z213" s="1918"/>
      <c r="AA213" s="1918"/>
      <c r="AB213" s="1918"/>
      <c r="AC213" s="1919" t="s">
        <v>1885</v>
      </c>
      <c r="AD213" s="1919"/>
      <c r="AE213" s="1919"/>
      <c r="AF213" s="1919"/>
      <c r="AG213" s="1903"/>
      <c r="AH213" s="1904"/>
      <c r="AI213" s="1904"/>
      <c r="AJ213" s="1904"/>
      <c r="AK213" s="190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4">
        <v>6</v>
      </c>
      <c r="D214" s="1915"/>
      <c r="E214" s="1915"/>
      <c r="F214" s="1915"/>
      <c r="G214" s="1916" t="s">
        <v>1885</v>
      </c>
      <c r="H214" s="1916"/>
      <c r="I214" s="1916"/>
      <c r="J214" s="1916"/>
      <c r="K214" s="1916"/>
      <c r="L214" s="1916"/>
      <c r="M214" s="1916"/>
      <c r="N214" s="1916"/>
      <c r="O214" s="1916"/>
      <c r="P214" s="1917"/>
      <c r="Q214" s="1917"/>
      <c r="R214" s="1917"/>
      <c r="S214" s="1917"/>
      <c r="T214" s="1917"/>
      <c r="U214" s="1918"/>
      <c r="V214" s="1918"/>
      <c r="W214" s="1918"/>
      <c r="X214" s="1918"/>
      <c r="Y214" s="1918"/>
      <c r="Z214" s="1918"/>
      <c r="AA214" s="1918"/>
      <c r="AB214" s="1918"/>
      <c r="AC214" s="1919" t="s">
        <v>1885</v>
      </c>
      <c r="AD214" s="1919"/>
      <c r="AE214" s="1919"/>
      <c r="AF214" s="1919"/>
      <c r="AG214" s="1903"/>
      <c r="AH214" s="1904"/>
      <c r="AI214" s="1904"/>
      <c r="AJ214" s="1904"/>
      <c r="AK214" s="190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4">
        <v>7</v>
      </c>
      <c r="D215" s="1915"/>
      <c r="E215" s="1915"/>
      <c r="F215" s="1915"/>
      <c r="G215" s="1916"/>
      <c r="H215" s="1916"/>
      <c r="I215" s="1916"/>
      <c r="J215" s="1916"/>
      <c r="K215" s="1916"/>
      <c r="L215" s="1916"/>
      <c r="M215" s="1916"/>
      <c r="N215" s="1916"/>
      <c r="O215" s="1916"/>
      <c r="P215" s="1917"/>
      <c r="Q215" s="1917"/>
      <c r="R215" s="1917"/>
      <c r="S215" s="1917"/>
      <c r="T215" s="1917"/>
      <c r="U215" s="1918"/>
      <c r="V215" s="1918"/>
      <c r="W215" s="1918"/>
      <c r="X215" s="1918"/>
      <c r="Y215" s="1918"/>
      <c r="Z215" s="1918"/>
      <c r="AA215" s="1918"/>
      <c r="AB215" s="1918"/>
      <c r="AC215" s="1919" t="s">
        <v>1885</v>
      </c>
      <c r="AD215" s="1919"/>
      <c r="AE215" s="1919"/>
      <c r="AF215" s="1919"/>
      <c r="AG215" s="1903"/>
      <c r="AH215" s="1904"/>
      <c r="AI215" s="1904"/>
      <c r="AJ215" s="1904"/>
      <c r="AK215" s="190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6" t="s">
        <v>2296</v>
      </c>
      <c r="D216" s="1907"/>
      <c r="E216" s="1907"/>
      <c r="F216" s="1907"/>
      <c r="G216" s="1907"/>
      <c r="H216" s="1907"/>
      <c r="I216" s="1907"/>
      <c r="J216" s="1907"/>
      <c r="K216" s="1907"/>
      <c r="L216" s="1907"/>
      <c r="M216" s="1907"/>
      <c r="N216" s="1907"/>
      <c r="O216" s="1907"/>
      <c r="P216" s="1908"/>
      <c r="Q216" s="1908"/>
      <c r="R216" s="1908"/>
      <c r="S216" s="1908"/>
      <c r="T216" s="1908"/>
      <c r="U216" s="1909">
        <f>-SUM(U209:U215)</f>
        <v>0</v>
      </c>
      <c r="V216" s="1909"/>
      <c r="W216" s="1909"/>
      <c r="X216" s="1909"/>
      <c r="Y216" s="1909">
        <f>-SUM(Y209:Y215)</f>
        <v>0</v>
      </c>
      <c r="Z216" s="1909"/>
      <c r="AA216" s="1909"/>
      <c r="AB216" s="1909"/>
      <c r="AC216" s="1910">
        <f>-SUM(AC209:AC215)</f>
        <v>0</v>
      </c>
      <c r="AD216" s="1910"/>
      <c r="AE216" s="1910"/>
      <c r="AF216" s="1910"/>
      <c r="AG216" s="1911"/>
      <c r="AH216" s="1912"/>
      <c r="AI216" s="1912"/>
      <c r="AJ216" s="1912"/>
      <c r="AK216" s="19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0" t="s">
        <v>2294</v>
      </c>
      <c r="C221" s="1891"/>
      <c r="D221" s="1891"/>
      <c r="E221" s="1891"/>
      <c r="F221" s="1891"/>
      <c r="G221" s="1891"/>
      <c r="H221" s="1891"/>
      <c r="I221" s="1891"/>
      <c r="J221" s="1891"/>
      <c r="K221" s="1891"/>
      <c r="L221" s="1891"/>
      <c r="M221" s="1891"/>
      <c r="N221" s="1891"/>
      <c r="O221" s="1891"/>
      <c r="P221" s="1891"/>
      <c r="Q221" s="1891"/>
      <c r="R221" s="1891"/>
      <c r="S221" s="1891"/>
      <c r="T221" s="1891"/>
      <c r="U221" s="1891"/>
      <c r="V221" s="1891"/>
      <c r="W221" s="1891"/>
      <c r="X221" s="1891"/>
      <c r="Y221" s="1891"/>
      <c r="Z221" s="1891"/>
      <c r="AA221" s="1891"/>
      <c r="AB221" s="1891"/>
      <c r="AC221" s="1891"/>
      <c r="AD221" s="1891"/>
      <c r="AE221" s="1891"/>
      <c r="AF221" s="1891"/>
      <c r="AG221" s="1891"/>
      <c r="AH221" s="1891"/>
      <c r="AI221" s="1891"/>
      <c r="AJ221" s="1891"/>
      <c r="AK221" s="1891"/>
      <c r="AL221" s="1891"/>
      <c r="AM221" s="1891"/>
      <c r="AN221" s="1891"/>
      <c r="AO221" s="1891"/>
      <c r="AP221" s="1891"/>
      <c r="AQ221" s="1891"/>
      <c r="AR221" s="1891"/>
      <c r="AS221" s="1891"/>
      <c r="AT221" s="1891"/>
      <c r="AU221" s="1891"/>
      <c r="AV221" s="1891"/>
      <c r="AW221" s="1891"/>
      <c r="AX221" s="1891"/>
      <c r="AY221" s="1891"/>
      <c r="AZ221" s="1891"/>
      <c r="BA221" s="1891"/>
      <c r="BB221" s="1891"/>
      <c r="BC221" s="1891"/>
      <c r="BD221" s="1892"/>
      <c r="BE221" s="1194"/>
    </row>
    <row r="222" spans="1:57" ht="15.75" customHeight="1">
      <c r="A222" s="1190"/>
      <c r="B222" s="1893"/>
      <c r="C222" s="1894"/>
      <c r="D222" s="1894"/>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c r="AH222" s="1894"/>
      <c r="AI222" s="1894"/>
      <c r="AJ222" s="1894"/>
      <c r="AK222" s="1894"/>
      <c r="AL222" s="1894"/>
      <c r="AM222" s="1894"/>
      <c r="AN222" s="1894"/>
      <c r="AO222" s="1894"/>
      <c r="AP222" s="1894"/>
      <c r="AQ222" s="1894"/>
      <c r="AR222" s="1894"/>
      <c r="AS222" s="1894"/>
      <c r="AT222" s="1894"/>
      <c r="AU222" s="1894"/>
      <c r="AV222" s="1894"/>
      <c r="AW222" s="1894"/>
      <c r="AX222" s="1894"/>
      <c r="AY222" s="1894"/>
      <c r="AZ222" s="1894"/>
      <c r="BA222" s="1894"/>
      <c r="BB222" s="1894"/>
      <c r="BC222" s="1894"/>
      <c r="BD222" s="1895"/>
      <c r="BE222" s="1194"/>
    </row>
    <row r="223" spans="1:57" ht="15.75" customHeight="1">
      <c r="A223" s="1190"/>
      <c r="B223" s="1896" t="s">
        <v>2293</v>
      </c>
      <c r="C223" s="1897"/>
      <c r="D223" s="1897"/>
      <c r="E223" s="1897"/>
      <c r="F223" s="1897"/>
      <c r="G223" s="1897"/>
      <c r="H223" s="1897"/>
      <c r="I223" s="1897"/>
      <c r="J223" s="1897"/>
      <c r="K223" s="1897"/>
      <c r="L223" s="1897"/>
      <c r="M223" s="1897"/>
      <c r="N223" s="1897"/>
      <c r="O223" s="1897"/>
      <c r="P223" s="1897"/>
      <c r="Q223" s="1897"/>
      <c r="R223" s="1897"/>
      <c r="S223" s="1897"/>
      <c r="T223" s="1897"/>
      <c r="U223" s="1897"/>
      <c r="V223" s="1897"/>
      <c r="W223" s="1897"/>
      <c r="X223" s="1897"/>
      <c r="Y223" s="1897"/>
      <c r="Z223" s="1897"/>
      <c r="AA223" s="1897"/>
      <c r="AB223" s="1897"/>
      <c r="AC223" s="1897"/>
      <c r="AD223" s="1897"/>
      <c r="AE223" s="1897"/>
      <c r="AF223" s="1897"/>
      <c r="AG223" s="1897"/>
      <c r="AH223" s="1897"/>
      <c r="AI223" s="1897"/>
      <c r="AJ223" s="1897"/>
      <c r="AK223" s="1897"/>
      <c r="AL223" s="1897"/>
      <c r="AM223" s="1897"/>
      <c r="AN223" s="1897"/>
      <c r="AO223" s="1897"/>
      <c r="AP223" s="1897"/>
      <c r="AQ223" s="1897"/>
      <c r="AR223" s="1897"/>
      <c r="AS223" s="1897"/>
      <c r="AT223" s="1897"/>
      <c r="AU223" s="1897"/>
      <c r="AV223" s="1897"/>
      <c r="AW223" s="1897"/>
      <c r="AX223" s="1897"/>
      <c r="AY223" s="1897"/>
      <c r="AZ223" s="1897"/>
      <c r="BA223" s="1897"/>
      <c r="BB223" s="1897"/>
      <c r="BC223" s="1897"/>
      <c r="BD223" s="1898"/>
      <c r="BE223" s="1194"/>
    </row>
    <row r="224" spans="1:57" ht="15.75" customHeight="1">
      <c r="A224" s="1190"/>
      <c r="B224" s="1896" t="s">
        <v>2292</v>
      </c>
      <c r="C224" s="1897"/>
      <c r="D224" s="1897"/>
      <c r="E224" s="1897"/>
      <c r="F224" s="1897"/>
      <c r="G224" s="1897"/>
      <c r="H224" s="1897"/>
      <c r="I224" s="1897"/>
      <c r="J224" s="1897"/>
      <c r="K224" s="1897"/>
      <c r="L224" s="1897"/>
      <c r="M224" s="1897"/>
      <c r="N224" s="1897"/>
      <c r="O224" s="1897"/>
      <c r="P224" s="1897"/>
      <c r="Q224" s="1897"/>
      <c r="R224" s="1897"/>
      <c r="S224" s="1897"/>
      <c r="T224" s="1897"/>
      <c r="U224" s="1897"/>
      <c r="V224" s="1897"/>
      <c r="W224" s="1897"/>
      <c r="X224" s="1897"/>
      <c r="Y224" s="1897"/>
      <c r="Z224" s="1897"/>
      <c r="AA224" s="1897"/>
      <c r="AB224" s="1897"/>
      <c r="AC224" s="1897"/>
      <c r="AD224" s="1897"/>
      <c r="AE224" s="1897"/>
      <c r="AF224" s="1897"/>
      <c r="AG224" s="1897"/>
      <c r="AH224" s="1897"/>
      <c r="AI224" s="1897"/>
      <c r="AJ224" s="1897"/>
      <c r="AK224" s="1897"/>
      <c r="AL224" s="1897"/>
      <c r="AM224" s="1897"/>
      <c r="AN224" s="1897"/>
      <c r="AO224" s="1897"/>
      <c r="AP224" s="1897"/>
      <c r="AQ224" s="1897"/>
      <c r="AR224" s="1897"/>
      <c r="AS224" s="1897"/>
      <c r="AT224" s="1897"/>
      <c r="AU224" s="1897"/>
      <c r="AV224" s="1897"/>
      <c r="AW224" s="1897"/>
      <c r="AX224" s="1897"/>
      <c r="AY224" s="1897"/>
      <c r="AZ224" s="1897"/>
      <c r="BA224" s="1897"/>
      <c r="BB224" s="1897"/>
      <c r="BC224" s="1897"/>
      <c r="BD224" s="189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9" t="s">
        <v>2291</v>
      </c>
      <c r="C226" s="1900"/>
      <c r="D226" s="1900"/>
      <c r="E226" s="1900"/>
      <c r="F226" s="1900"/>
      <c r="G226" s="1900"/>
      <c r="H226" s="1900"/>
      <c r="I226" s="1900"/>
      <c r="J226" s="1900"/>
      <c r="K226" s="1900"/>
      <c r="L226" s="1900"/>
      <c r="M226" s="1900"/>
      <c r="N226" s="1900"/>
      <c r="O226" s="1900"/>
      <c r="P226" s="1900"/>
      <c r="Q226" s="1900"/>
      <c r="R226" s="1900"/>
      <c r="S226" s="1900"/>
      <c r="T226" s="1900"/>
      <c r="U226" s="1900"/>
      <c r="V226" s="1900"/>
      <c r="W226" s="1900"/>
      <c r="X226" s="1900"/>
      <c r="Y226" s="1900"/>
      <c r="Z226" s="1900"/>
      <c r="AA226" s="1900"/>
      <c r="AB226" s="1900"/>
      <c r="AC226" s="1900"/>
      <c r="AD226" s="1900"/>
      <c r="AE226" s="1900"/>
      <c r="AF226" s="1900"/>
      <c r="AG226" s="1900"/>
      <c r="AH226" s="1900"/>
      <c r="AI226" s="1900"/>
      <c r="AJ226" s="1900"/>
      <c r="AK226" s="1900"/>
      <c r="AL226" s="1900"/>
      <c r="AM226" s="1900"/>
      <c r="AN226" s="1900"/>
      <c r="AO226" s="1900"/>
      <c r="AP226" s="1900"/>
      <c r="AQ226" s="1900"/>
      <c r="AR226" s="1900"/>
      <c r="AS226" s="1900"/>
      <c r="AT226" s="1900"/>
      <c r="AU226" s="1900"/>
      <c r="AV226" s="1900"/>
      <c r="AW226" s="1900"/>
      <c r="AX226" s="1900"/>
      <c r="AY226" s="1900"/>
      <c r="AZ226" s="1900"/>
      <c r="BA226" s="1900"/>
      <c r="BB226" s="1900"/>
      <c r="BC226" s="1900"/>
      <c r="BD226" s="19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2" t="s">
        <v>2289</v>
      </c>
      <c r="I230" s="1902"/>
      <c r="J230" s="1902"/>
      <c r="K230" s="1902"/>
      <c r="L230" s="1902"/>
      <c r="M230" s="1902"/>
      <c r="N230" s="1902"/>
      <c r="O230" s="1902"/>
      <c r="P230" s="1902"/>
      <c r="Q230" s="1902"/>
      <c r="R230" s="1902"/>
      <c r="S230" s="1902"/>
      <c r="T230" s="1902"/>
      <c r="U230" s="1902"/>
      <c r="V230" s="1902"/>
      <c r="W230" s="1902"/>
      <c r="X230" s="1902"/>
      <c r="Y230" s="1902"/>
      <c r="Z230" s="1902"/>
      <c r="AA230" s="1902"/>
      <c r="AB230" s="1902"/>
      <c r="AC230" s="1902"/>
      <c r="AD230" s="1902"/>
      <c r="AE230" s="1902"/>
      <c r="AF230" s="1902"/>
      <c r="AG230" s="1902"/>
      <c r="AH230" s="1902"/>
      <c r="AI230" s="1902"/>
      <c r="AJ230" s="1902"/>
      <c r="AK230" s="1902"/>
      <c r="AL230" s="1902"/>
      <c r="AM230" s="1902"/>
      <c r="AN230" s="1902"/>
      <c r="AO230" s="1902"/>
      <c r="AP230" s="1902"/>
      <c r="AQ230" s="1902"/>
      <c r="AR230" s="1902"/>
      <c r="AS230" s="1902"/>
      <c r="AT230" s="1902"/>
      <c r="AU230" s="1902"/>
      <c r="AV230" s="1902"/>
      <c r="AW230" s="1902"/>
      <c r="AX230" s="1902"/>
      <c r="AY230" s="19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5" t="s">
        <v>2288</v>
      </c>
      <c r="I232" s="1885"/>
      <c r="J232" s="1885"/>
      <c r="K232" s="1885"/>
      <c r="L232" s="1885"/>
      <c r="M232" s="1885"/>
      <c r="N232" s="1885"/>
      <c r="O232" s="1885"/>
      <c r="P232" s="1885"/>
      <c r="Q232" s="1885"/>
      <c r="R232" s="1885"/>
      <c r="S232" s="1885"/>
      <c r="T232" s="1885"/>
      <c r="U232" s="1885"/>
      <c r="V232" s="1885"/>
      <c r="W232" s="1885"/>
      <c r="X232" s="1885"/>
      <c r="Y232" s="1885"/>
      <c r="Z232" s="1885"/>
      <c r="AA232" s="1885"/>
      <c r="AB232" s="1885"/>
      <c r="AC232" s="1885"/>
      <c r="AD232" s="1885"/>
      <c r="AE232" s="1885"/>
      <c r="AF232" s="1885"/>
      <c r="AG232" s="1885"/>
      <c r="AH232" s="1885"/>
      <c r="AI232" s="1885"/>
      <c r="AJ232" s="1885"/>
      <c r="AK232" s="1885"/>
      <c r="AL232" s="1885"/>
      <c r="AM232" s="1885"/>
      <c r="AN232" s="1885"/>
      <c r="AO232" s="1885"/>
      <c r="AP232" s="1885"/>
      <c r="AQ232" s="1885"/>
      <c r="AR232" s="1885"/>
      <c r="AS232" s="1885"/>
      <c r="AT232" s="1885"/>
      <c r="AU232" s="1885"/>
      <c r="AV232" s="1885"/>
      <c r="AW232" s="1885"/>
      <c r="AX232" s="1885"/>
      <c r="AY232" s="1885"/>
      <c r="AZ232" s="1885"/>
      <c r="BA232" s="1190"/>
      <c r="BB232" s="1190"/>
      <c r="BC232" s="1190"/>
      <c r="BD232" s="1194"/>
      <c r="BE232" s="1194"/>
    </row>
    <row r="233" spans="1:57" ht="15.75" customHeight="1">
      <c r="A233" s="1190"/>
      <c r="B233" s="1189"/>
      <c r="C233" s="1190"/>
      <c r="D233" s="1190"/>
      <c r="E233" s="1190"/>
      <c r="F233" s="1190"/>
      <c r="G233" s="1190"/>
      <c r="H233" s="1885"/>
      <c r="I233" s="1885"/>
      <c r="J233" s="1885"/>
      <c r="K233" s="1885"/>
      <c r="L233" s="1885"/>
      <c r="M233" s="1885"/>
      <c r="N233" s="1885"/>
      <c r="O233" s="1885"/>
      <c r="P233" s="1885"/>
      <c r="Q233" s="1885"/>
      <c r="R233" s="1885"/>
      <c r="S233" s="1885"/>
      <c r="T233" s="1885"/>
      <c r="U233" s="1885"/>
      <c r="V233" s="1885"/>
      <c r="W233" s="1885"/>
      <c r="X233" s="1885"/>
      <c r="Y233" s="1885"/>
      <c r="Z233" s="1885"/>
      <c r="AA233" s="1885"/>
      <c r="AB233" s="1885"/>
      <c r="AC233" s="1885"/>
      <c r="AD233" s="1885"/>
      <c r="AE233" s="1885"/>
      <c r="AF233" s="1885"/>
      <c r="AG233" s="1885"/>
      <c r="AH233" s="1885"/>
      <c r="AI233" s="1885"/>
      <c r="AJ233" s="1885"/>
      <c r="AK233" s="1885"/>
      <c r="AL233" s="1885"/>
      <c r="AM233" s="1885"/>
      <c r="AN233" s="1885"/>
      <c r="AO233" s="1885"/>
      <c r="AP233" s="1885"/>
      <c r="AQ233" s="1885"/>
      <c r="AR233" s="1885"/>
      <c r="AS233" s="1885"/>
      <c r="AT233" s="1885"/>
      <c r="AU233" s="1885"/>
      <c r="AV233" s="1885"/>
      <c r="AW233" s="1885"/>
      <c r="AX233" s="1885"/>
      <c r="AY233" s="1885"/>
      <c r="AZ233" s="1885"/>
      <c r="BA233" s="1190"/>
      <c r="BB233" s="1190"/>
      <c r="BC233" s="1190"/>
      <c r="BD233" s="1194"/>
      <c r="BE233" s="1194"/>
    </row>
    <row r="234" spans="1:57" ht="15.75" customHeight="1">
      <c r="A234" s="1190"/>
      <c r="B234" s="1189"/>
      <c r="C234" s="1190"/>
      <c r="D234" s="1190"/>
      <c r="E234" s="1190"/>
      <c r="F234" s="1190"/>
      <c r="G234" s="1190"/>
      <c r="H234" s="1885"/>
      <c r="I234" s="1885"/>
      <c r="J234" s="1885"/>
      <c r="K234" s="1885"/>
      <c r="L234" s="1885"/>
      <c r="M234" s="1885"/>
      <c r="N234" s="1885"/>
      <c r="O234" s="1885"/>
      <c r="P234" s="1885"/>
      <c r="Q234" s="1885"/>
      <c r="R234" s="1885"/>
      <c r="S234" s="1885"/>
      <c r="T234" s="1885"/>
      <c r="U234" s="1885"/>
      <c r="V234" s="1885"/>
      <c r="W234" s="1885"/>
      <c r="X234" s="1885"/>
      <c r="Y234" s="1885"/>
      <c r="Z234" s="1885"/>
      <c r="AA234" s="1885"/>
      <c r="AB234" s="1885"/>
      <c r="AC234" s="1885"/>
      <c r="AD234" s="1885"/>
      <c r="AE234" s="1885"/>
      <c r="AF234" s="1885"/>
      <c r="AG234" s="1885"/>
      <c r="AH234" s="1885"/>
      <c r="AI234" s="1885"/>
      <c r="AJ234" s="1885"/>
      <c r="AK234" s="1885"/>
      <c r="AL234" s="1885"/>
      <c r="AM234" s="1885"/>
      <c r="AN234" s="1885"/>
      <c r="AO234" s="1885"/>
      <c r="AP234" s="1885"/>
      <c r="AQ234" s="1885"/>
      <c r="AR234" s="1885"/>
      <c r="AS234" s="1885"/>
      <c r="AT234" s="1885"/>
      <c r="AU234" s="1885"/>
      <c r="AV234" s="1885"/>
      <c r="AW234" s="1885"/>
      <c r="AX234" s="1885"/>
      <c r="AY234" s="1885"/>
      <c r="AZ234" s="1885"/>
      <c r="BA234" s="1190"/>
      <c r="BB234" s="1190"/>
      <c r="BC234" s="1190"/>
      <c r="BD234" s="1194"/>
      <c r="BE234" s="1194"/>
    </row>
    <row r="235" spans="1:57" ht="15.75" customHeight="1">
      <c r="A235" s="1190"/>
      <c r="B235" s="1189"/>
      <c r="C235" s="1190"/>
      <c r="D235" s="1190"/>
      <c r="E235" s="1190"/>
      <c r="F235" s="1190"/>
      <c r="G235" s="1190"/>
      <c r="H235" s="1885"/>
      <c r="I235" s="1885"/>
      <c r="J235" s="1885"/>
      <c r="K235" s="1885"/>
      <c r="L235" s="1885"/>
      <c r="M235" s="1885"/>
      <c r="N235" s="1885"/>
      <c r="O235" s="1885"/>
      <c r="P235" s="1885"/>
      <c r="Q235" s="1885"/>
      <c r="R235" s="1885"/>
      <c r="S235" s="1885"/>
      <c r="T235" s="1885"/>
      <c r="U235" s="1885"/>
      <c r="V235" s="1885"/>
      <c r="W235" s="1885"/>
      <c r="X235" s="1885"/>
      <c r="Y235" s="1885"/>
      <c r="Z235" s="1885"/>
      <c r="AA235" s="1885"/>
      <c r="AB235" s="1885"/>
      <c r="AC235" s="1885"/>
      <c r="AD235" s="1885"/>
      <c r="AE235" s="1885"/>
      <c r="AF235" s="1885"/>
      <c r="AG235" s="1885"/>
      <c r="AH235" s="1885"/>
      <c r="AI235" s="1885"/>
      <c r="AJ235" s="1885"/>
      <c r="AK235" s="1885"/>
      <c r="AL235" s="1885"/>
      <c r="AM235" s="1885"/>
      <c r="AN235" s="1885"/>
      <c r="AO235" s="1885"/>
      <c r="AP235" s="1885"/>
      <c r="AQ235" s="1885"/>
      <c r="AR235" s="1885"/>
      <c r="AS235" s="1885"/>
      <c r="AT235" s="1885"/>
      <c r="AU235" s="1885"/>
      <c r="AV235" s="1885"/>
      <c r="AW235" s="1885"/>
      <c r="AX235" s="1885"/>
      <c r="AY235" s="1885"/>
      <c r="AZ235" s="188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6" t="s">
        <v>2287</v>
      </c>
      <c r="I237" s="1886"/>
      <c r="J237" s="1886"/>
      <c r="K237" s="1886"/>
      <c r="L237" s="1886"/>
      <c r="M237" s="1886"/>
      <c r="N237" s="1886"/>
      <c r="O237" s="1886"/>
      <c r="P237" s="1886"/>
      <c r="Q237" s="1886"/>
      <c r="R237" s="1886"/>
      <c r="S237" s="1886"/>
      <c r="T237" s="1886"/>
      <c r="U237" s="1886"/>
      <c r="V237" s="1886"/>
      <c r="W237" s="1886"/>
      <c r="X237" s="1886"/>
      <c r="Y237" s="1886"/>
      <c r="Z237" s="1886"/>
      <c r="AA237" s="1886"/>
      <c r="AB237" s="1886"/>
      <c r="AC237" s="1886"/>
      <c r="AD237" s="1886"/>
      <c r="AE237" s="1886"/>
      <c r="AF237" s="1886"/>
      <c r="AG237" s="1886"/>
      <c r="AH237" s="1886"/>
      <c r="AI237" s="1886"/>
      <c r="AJ237" s="1886"/>
      <c r="AK237" s="1886"/>
      <c r="AL237" s="1886"/>
      <c r="AM237" s="1886"/>
      <c r="AN237" s="1886"/>
      <c r="AO237" s="1886"/>
      <c r="AP237" s="1886"/>
      <c r="AQ237" s="1886"/>
      <c r="AR237" s="1886"/>
      <c r="AS237" s="1886"/>
      <c r="AT237" s="1886"/>
      <c r="AU237" s="1886"/>
      <c r="AV237" s="188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6" t="s">
        <v>2286</v>
      </c>
      <c r="I239" s="1876"/>
      <c r="J239" s="1876"/>
      <c r="K239" s="1876"/>
      <c r="L239" s="1239"/>
      <c r="M239" s="1239"/>
      <c r="N239" s="1239"/>
      <c r="O239" s="1239"/>
      <c r="P239" s="1239"/>
      <c r="Q239" s="1239"/>
      <c r="R239" s="1239"/>
      <c r="S239" s="1887"/>
      <c r="T239" s="1888"/>
      <c r="U239" s="1888"/>
      <c r="V239" s="1888"/>
      <c r="W239" s="1888"/>
      <c r="X239" s="1888"/>
      <c r="Y239" s="1888"/>
      <c r="Z239" s="1888"/>
      <c r="AA239" s="1888"/>
      <c r="AB239" s="1888"/>
      <c r="AC239" s="1888"/>
      <c r="AD239" s="1888"/>
      <c r="AE239" s="1888"/>
      <c r="AF239" s="1888"/>
      <c r="AG239" s="1888"/>
      <c r="AH239" s="1888"/>
      <c r="AI239" s="1888"/>
      <c r="AJ239" s="188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6" t="s">
        <v>2285</v>
      </c>
      <c r="I241" s="1876"/>
      <c r="J241" s="1876"/>
      <c r="K241" s="1241"/>
      <c r="L241" s="1239"/>
      <c r="M241" s="1239"/>
      <c r="N241" s="1239"/>
      <c r="O241" s="1239"/>
      <c r="P241" s="1239"/>
      <c r="Q241" s="1239"/>
      <c r="R241" s="1239"/>
      <c r="S241" s="1877"/>
      <c r="T241" s="1878"/>
      <c r="U241" s="1878"/>
      <c r="V241" s="1878"/>
      <c r="W241" s="1878"/>
      <c r="X241" s="1878"/>
      <c r="Y241" s="1878"/>
      <c r="Z241" s="1878"/>
      <c r="AA241" s="1878"/>
      <c r="AB241" s="1878"/>
      <c r="AC241" s="1878"/>
      <c r="AD241" s="1878"/>
      <c r="AE241" s="1878"/>
      <c r="AF241" s="1878"/>
      <c r="AG241" s="1878"/>
      <c r="AH241" s="1878"/>
      <c r="AI241" s="1878"/>
      <c r="AJ241" s="187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6" t="s">
        <v>441</v>
      </c>
      <c r="I243" s="1876"/>
      <c r="J243" s="1241"/>
      <c r="K243" s="1241"/>
      <c r="L243" s="1239"/>
      <c r="M243" s="1239"/>
      <c r="N243" s="1239"/>
      <c r="O243" s="1239"/>
      <c r="P243" s="1239"/>
      <c r="Q243" s="1239"/>
      <c r="R243" s="1239"/>
      <c r="S243" s="1877"/>
      <c r="T243" s="1878"/>
      <c r="U243" s="1878"/>
      <c r="V243" s="1878"/>
      <c r="W243" s="1878"/>
      <c r="X243" s="1878"/>
      <c r="Y243" s="1878"/>
      <c r="Z243" s="1878"/>
      <c r="AA243" s="1878"/>
      <c r="AB243" s="1878"/>
      <c r="AC243" s="1878"/>
      <c r="AD243" s="1878"/>
      <c r="AE243" s="1878"/>
      <c r="AF243" s="1878"/>
      <c r="AG243" s="1878"/>
      <c r="AH243" s="1878"/>
      <c r="AI243" s="1878"/>
      <c r="AJ243" s="187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0" t="s">
        <v>2284</v>
      </c>
      <c r="I245" s="1880"/>
      <c r="J245" s="1880"/>
      <c r="K245" s="1880"/>
      <c r="L245" s="1880"/>
      <c r="M245" s="1880"/>
      <c r="N245" s="1880"/>
      <c r="O245" s="1880"/>
      <c r="P245" s="1239"/>
      <c r="Q245" s="1239"/>
      <c r="R245" s="1239"/>
      <c r="S245" s="1877"/>
      <c r="T245" s="1878"/>
      <c r="U245" s="1878"/>
      <c r="V245" s="1878"/>
      <c r="W245" s="1878"/>
      <c r="X245" s="1878"/>
      <c r="Y245" s="1878"/>
      <c r="Z245" s="1878"/>
      <c r="AA245" s="1878"/>
      <c r="AB245" s="1878"/>
      <c r="AC245" s="1878"/>
      <c r="AD245" s="1878"/>
      <c r="AE245" s="1878"/>
      <c r="AF245" s="1878"/>
      <c r="AG245" s="1878"/>
      <c r="AH245" s="1878"/>
      <c r="AI245" s="1878"/>
      <c r="AJ245" s="187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1" t="s">
        <v>2283</v>
      </c>
      <c r="I247" s="1881"/>
      <c r="J247" s="1239"/>
      <c r="K247" s="1239"/>
      <c r="L247" s="1239"/>
      <c r="M247" s="1239"/>
      <c r="N247" s="1239"/>
      <c r="O247" s="1239"/>
      <c r="P247" s="1239"/>
      <c r="Q247" s="1239"/>
      <c r="R247" s="1239"/>
      <c r="S247" s="1882"/>
      <c r="T247" s="1883"/>
      <c r="U247" s="1883"/>
      <c r="V247" s="1883"/>
      <c r="W247" s="1883"/>
      <c r="X247" s="1883"/>
      <c r="Y247" s="1883"/>
      <c r="Z247" s="1883"/>
      <c r="AA247" s="1883"/>
      <c r="AB247" s="1883"/>
      <c r="AC247" s="1883"/>
      <c r="AD247" s="1883"/>
      <c r="AE247" s="1883"/>
      <c r="AF247" s="1883"/>
      <c r="AG247" s="1883"/>
      <c r="AH247" s="1883"/>
      <c r="AI247" s="1883"/>
      <c r="AJ247" s="188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K53" sqref="AK53"/>
    </sheetView>
  </sheetViews>
  <sheetFormatPr defaultColWidth="0" defaultRowHeight="12.95" customHeight="1"/>
  <cols>
    <col min="1" max="1" width="1.59765625" style="402" customWidth="1"/>
    <col min="2" max="2" width="0.86328125" style="402" customWidth="1"/>
    <col min="3" max="18" width="2.59765625" style="402" customWidth="1"/>
    <col min="19" max="19" width="6.265625" style="402" customWidth="1"/>
    <col min="20" max="39" width="2.73046875" style="402" customWidth="1"/>
    <col min="40" max="40" width="1.59765625" style="402" customWidth="1"/>
    <col min="41" max="256" width="2.59765625" style="402" hidden="1"/>
    <col min="257" max="257" width="1.59765625" style="402" hidden="1" customWidth="1"/>
    <col min="258" max="258" width="0.86328125" style="402" hidden="1" customWidth="1"/>
    <col min="259" max="274" width="2.59765625" style="402" hidden="1" customWidth="1"/>
    <col min="275" max="275" width="4" style="402" hidden="1" customWidth="1"/>
    <col min="276" max="279" width="2.59765625" style="402" hidden="1" customWidth="1"/>
    <col min="280" max="280" width="2.3984375" style="402" hidden="1" customWidth="1"/>
    <col min="281" max="284" width="2.59765625" style="402" hidden="1" customWidth="1"/>
    <col min="285" max="285" width="2.3984375" style="402" hidden="1" customWidth="1"/>
    <col min="286" max="289" width="2.59765625" style="402" hidden="1" customWidth="1"/>
    <col min="290" max="295" width="2.3984375" style="402" hidden="1" customWidth="1"/>
    <col min="296" max="296" width="1.59765625" style="402" hidden="1" customWidth="1"/>
    <col min="297" max="512" width="2.59765625" style="402" hidden="1"/>
    <col min="513" max="513" width="1.59765625" style="402" hidden="1" customWidth="1"/>
    <col min="514" max="514" width="0.86328125" style="402" hidden="1" customWidth="1"/>
    <col min="515" max="530" width="2.59765625" style="402" hidden="1" customWidth="1"/>
    <col min="531" max="531" width="4" style="402" hidden="1" customWidth="1"/>
    <col min="532" max="535" width="2.59765625" style="402" hidden="1" customWidth="1"/>
    <col min="536" max="536" width="2.3984375" style="402" hidden="1" customWidth="1"/>
    <col min="537" max="540" width="2.59765625" style="402" hidden="1" customWidth="1"/>
    <col min="541" max="541" width="2.3984375" style="402" hidden="1" customWidth="1"/>
    <col min="542" max="545" width="2.59765625" style="402" hidden="1" customWidth="1"/>
    <col min="546" max="551" width="2.3984375" style="402" hidden="1" customWidth="1"/>
    <col min="552" max="552" width="1.59765625" style="402" hidden="1" customWidth="1"/>
    <col min="553" max="768" width="2.59765625" style="402" hidden="1"/>
    <col min="769" max="769" width="1.59765625" style="402" hidden="1" customWidth="1"/>
    <col min="770" max="770" width="0.86328125" style="402" hidden="1" customWidth="1"/>
    <col min="771" max="786" width="2.59765625" style="402" hidden="1" customWidth="1"/>
    <col min="787" max="787" width="4" style="402" hidden="1" customWidth="1"/>
    <col min="788" max="791" width="2.59765625" style="402" hidden="1" customWidth="1"/>
    <col min="792" max="792" width="2.3984375" style="402" hidden="1" customWidth="1"/>
    <col min="793" max="796" width="2.59765625" style="402" hidden="1" customWidth="1"/>
    <col min="797" max="797" width="2.3984375" style="402" hidden="1" customWidth="1"/>
    <col min="798" max="801" width="2.59765625" style="402" hidden="1" customWidth="1"/>
    <col min="802" max="807" width="2.3984375" style="402" hidden="1" customWidth="1"/>
    <col min="808" max="808" width="1.59765625" style="402" hidden="1" customWidth="1"/>
    <col min="809" max="1024" width="2.59765625" style="402" hidden="1"/>
    <col min="1025" max="1025" width="1.59765625" style="402" hidden="1" customWidth="1"/>
    <col min="1026" max="1026" width="0.86328125" style="402" hidden="1" customWidth="1"/>
    <col min="1027" max="1042" width="2.59765625" style="402" hidden="1" customWidth="1"/>
    <col min="1043" max="1043" width="4" style="402" hidden="1" customWidth="1"/>
    <col min="1044" max="1047" width="2.59765625" style="402" hidden="1" customWidth="1"/>
    <col min="1048" max="1048" width="2.3984375" style="402" hidden="1" customWidth="1"/>
    <col min="1049" max="1052" width="2.59765625" style="402" hidden="1" customWidth="1"/>
    <col min="1053" max="1053" width="2.3984375" style="402" hidden="1" customWidth="1"/>
    <col min="1054" max="1057" width="2.59765625" style="402" hidden="1" customWidth="1"/>
    <col min="1058" max="1063" width="2.3984375" style="402" hidden="1" customWidth="1"/>
    <col min="1064" max="1064" width="1.59765625" style="402" hidden="1" customWidth="1"/>
    <col min="1065" max="1280" width="2.59765625" style="402" hidden="1"/>
    <col min="1281" max="1281" width="1.59765625" style="402" hidden="1" customWidth="1"/>
    <col min="1282" max="1282" width="0.86328125" style="402" hidden="1" customWidth="1"/>
    <col min="1283" max="1298" width="2.59765625" style="402" hidden="1" customWidth="1"/>
    <col min="1299" max="1299" width="4" style="402" hidden="1" customWidth="1"/>
    <col min="1300" max="1303" width="2.59765625" style="402" hidden="1" customWidth="1"/>
    <col min="1304" max="1304" width="2.3984375" style="402" hidden="1" customWidth="1"/>
    <col min="1305" max="1308" width="2.59765625" style="402" hidden="1" customWidth="1"/>
    <col min="1309" max="1309" width="2.3984375" style="402" hidden="1" customWidth="1"/>
    <col min="1310" max="1313" width="2.59765625" style="402" hidden="1" customWidth="1"/>
    <col min="1314" max="1319" width="2.3984375" style="402" hidden="1" customWidth="1"/>
    <col min="1320" max="1320" width="1.59765625" style="402" hidden="1" customWidth="1"/>
    <col min="1321" max="1536" width="2.59765625" style="402" hidden="1"/>
    <col min="1537" max="1537" width="1.59765625" style="402" hidden="1" customWidth="1"/>
    <col min="1538" max="1538" width="0.86328125" style="402" hidden="1" customWidth="1"/>
    <col min="1539" max="1554" width="2.59765625" style="402" hidden="1" customWidth="1"/>
    <col min="1555" max="1555" width="4" style="402" hidden="1" customWidth="1"/>
    <col min="1556" max="1559" width="2.59765625" style="402" hidden="1" customWidth="1"/>
    <col min="1560" max="1560" width="2.3984375" style="402" hidden="1" customWidth="1"/>
    <col min="1561" max="1564" width="2.59765625" style="402" hidden="1" customWidth="1"/>
    <col min="1565" max="1565" width="2.3984375" style="402" hidden="1" customWidth="1"/>
    <col min="1566" max="1569" width="2.59765625" style="402" hidden="1" customWidth="1"/>
    <col min="1570" max="1575" width="2.3984375" style="402" hidden="1" customWidth="1"/>
    <col min="1576" max="1576" width="1.59765625" style="402" hidden="1" customWidth="1"/>
    <col min="1577" max="1792" width="2.59765625" style="402" hidden="1"/>
    <col min="1793" max="1793" width="1.59765625" style="402" hidden="1" customWidth="1"/>
    <col min="1794" max="1794" width="0.86328125" style="402" hidden="1" customWidth="1"/>
    <col min="1795" max="1810" width="2.59765625" style="402" hidden="1" customWidth="1"/>
    <col min="1811" max="1811" width="4" style="402" hidden="1" customWidth="1"/>
    <col min="1812" max="1815" width="2.59765625" style="402" hidden="1" customWidth="1"/>
    <col min="1816" max="1816" width="2.3984375" style="402" hidden="1" customWidth="1"/>
    <col min="1817" max="1820" width="2.59765625" style="402" hidden="1" customWidth="1"/>
    <col min="1821" max="1821" width="2.3984375" style="402" hidden="1" customWidth="1"/>
    <col min="1822" max="1825" width="2.59765625" style="402" hidden="1" customWidth="1"/>
    <col min="1826" max="1831" width="2.3984375" style="402" hidden="1" customWidth="1"/>
    <col min="1832" max="1832" width="1.59765625" style="402" hidden="1" customWidth="1"/>
    <col min="1833" max="2048" width="2.59765625" style="402" hidden="1"/>
    <col min="2049" max="2049" width="1.59765625" style="402" hidden="1" customWidth="1"/>
    <col min="2050" max="2050" width="0.86328125" style="402" hidden="1" customWidth="1"/>
    <col min="2051" max="2066" width="2.59765625" style="402" hidden="1" customWidth="1"/>
    <col min="2067" max="2067" width="4" style="402" hidden="1" customWidth="1"/>
    <col min="2068" max="2071" width="2.59765625" style="402" hidden="1" customWidth="1"/>
    <col min="2072" max="2072" width="2.3984375" style="402" hidden="1" customWidth="1"/>
    <col min="2073" max="2076" width="2.59765625" style="402" hidden="1" customWidth="1"/>
    <col min="2077" max="2077" width="2.3984375" style="402" hidden="1" customWidth="1"/>
    <col min="2078" max="2081" width="2.59765625" style="402" hidden="1" customWidth="1"/>
    <col min="2082" max="2087" width="2.3984375" style="402" hidden="1" customWidth="1"/>
    <col min="2088" max="2088" width="1.59765625" style="402" hidden="1" customWidth="1"/>
    <col min="2089" max="2304" width="2.59765625" style="402" hidden="1"/>
    <col min="2305" max="2305" width="1.59765625" style="402" hidden="1" customWidth="1"/>
    <col min="2306" max="2306" width="0.86328125" style="402" hidden="1" customWidth="1"/>
    <col min="2307" max="2322" width="2.59765625" style="402" hidden="1" customWidth="1"/>
    <col min="2323" max="2323" width="4" style="402" hidden="1" customWidth="1"/>
    <col min="2324" max="2327" width="2.59765625" style="402" hidden="1" customWidth="1"/>
    <col min="2328" max="2328" width="2.3984375" style="402" hidden="1" customWidth="1"/>
    <col min="2329" max="2332" width="2.59765625" style="402" hidden="1" customWidth="1"/>
    <col min="2333" max="2333" width="2.3984375" style="402" hidden="1" customWidth="1"/>
    <col min="2334" max="2337" width="2.59765625" style="402" hidden="1" customWidth="1"/>
    <col min="2338" max="2343" width="2.3984375" style="402" hidden="1" customWidth="1"/>
    <col min="2344" max="2344" width="1.59765625" style="402" hidden="1" customWidth="1"/>
    <col min="2345" max="2560" width="2.59765625" style="402" hidden="1"/>
    <col min="2561" max="2561" width="1.59765625" style="402" hidden="1" customWidth="1"/>
    <col min="2562" max="2562" width="0.86328125" style="402" hidden="1" customWidth="1"/>
    <col min="2563" max="2578" width="2.59765625" style="402" hidden="1" customWidth="1"/>
    <col min="2579" max="2579" width="4" style="402" hidden="1" customWidth="1"/>
    <col min="2580" max="2583" width="2.59765625" style="402" hidden="1" customWidth="1"/>
    <col min="2584" max="2584" width="2.3984375" style="402" hidden="1" customWidth="1"/>
    <col min="2585" max="2588" width="2.59765625" style="402" hidden="1" customWidth="1"/>
    <col min="2589" max="2589" width="2.3984375" style="402" hidden="1" customWidth="1"/>
    <col min="2590" max="2593" width="2.59765625" style="402" hidden="1" customWidth="1"/>
    <col min="2594" max="2599" width="2.3984375" style="402" hidden="1" customWidth="1"/>
    <col min="2600" max="2600" width="1.59765625" style="402" hidden="1" customWidth="1"/>
    <col min="2601" max="2816" width="2.59765625" style="402" hidden="1"/>
    <col min="2817" max="2817" width="1.59765625" style="402" hidden="1" customWidth="1"/>
    <col min="2818" max="2818" width="0.86328125" style="402" hidden="1" customWidth="1"/>
    <col min="2819" max="2834" width="2.59765625" style="402" hidden="1" customWidth="1"/>
    <col min="2835" max="2835" width="4" style="402" hidden="1" customWidth="1"/>
    <col min="2836" max="2839" width="2.59765625" style="402" hidden="1" customWidth="1"/>
    <col min="2840" max="2840" width="2.3984375" style="402" hidden="1" customWidth="1"/>
    <col min="2841" max="2844" width="2.59765625" style="402" hidden="1" customWidth="1"/>
    <col min="2845" max="2845" width="2.3984375" style="402" hidden="1" customWidth="1"/>
    <col min="2846" max="2849" width="2.59765625" style="402" hidden="1" customWidth="1"/>
    <col min="2850" max="2855" width="2.3984375" style="402" hidden="1" customWidth="1"/>
    <col min="2856" max="2856" width="1.59765625" style="402" hidden="1" customWidth="1"/>
    <col min="2857" max="3072" width="2.59765625" style="402" hidden="1"/>
    <col min="3073" max="3073" width="1.59765625" style="402" hidden="1" customWidth="1"/>
    <col min="3074" max="3074" width="0.86328125" style="402" hidden="1" customWidth="1"/>
    <col min="3075" max="3090" width="2.59765625" style="402" hidden="1" customWidth="1"/>
    <col min="3091" max="3091" width="4" style="402" hidden="1" customWidth="1"/>
    <col min="3092" max="3095" width="2.59765625" style="402" hidden="1" customWidth="1"/>
    <col min="3096" max="3096" width="2.3984375" style="402" hidden="1" customWidth="1"/>
    <col min="3097" max="3100" width="2.59765625" style="402" hidden="1" customWidth="1"/>
    <col min="3101" max="3101" width="2.3984375" style="402" hidden="1" customWidth="1"/>
    <col min="3102" max="3105" width="2.59765625" style="402" hidden="1" customWidth="1"/>
    <col min="3106" max="3111" width="2.3984375" style="402" hidden="1" customWidth="1"/>
    <col min="3112" max="3112" width="1.59765625" style="402" hidden="1" customWidth="1"/>
    <col min="3113" max="3328" width="2.59765625" style="402" hidden="1"/>
    <col min="3329" max="3329" width="1.59765625" style="402" hidden="1" customWidth="1"/>
    <col min="3330" max="3330" width="0.86328125" style="402" hidden="1" customWidth="1"/>
    <col min="3331" max="3346" width="2.59765625" style="402" hidden="1" customWidth="1"/>
    <col min="3347" max="3347" width="4" style="402" hidden="1" customWidth="1"/>
    <col min="3348" max="3351" width="2.59765625" style="402" hidden="1" customWidth="1"/>
    <col min="3352" max="3352" width="2.3984375" style="402" hidden="1" customWidth="1"/>
    <col min="3353" max="3356" width="2.59765625" style="402" hidden="1" customWidth="1"/>
    <col min="3357" max="3357" width="2.3984375" style="402" hidden="1" customWidth="1"/>
    <col min="3358" max="3361" width="2.59765625" style="402" hidden="1" customWidth="1"/>
    <col min="3362" max="3367" width="2.3984375" style="402" hidden="1" customWidth="1"/>
    <col min="3368" max="3368" width="1.59765625" style="402" hidden="1" customWidth="1"/>
    <col min="3369" max="3584" width="2.59765625" style="402" hidden="1"/>
    <col min="3585" max="3585" width="1.59765625" style="402" hidden="1" customWidth="1"/>
    <col min="3586" max="3586" width="0.86328125" style="402" hidden="1" customWidth="1"/>
    <col min="3587" max="3602" width="2.59765625" style="402" hidden="1" customWidth="1"/>
    <col min="3603" max="3603" width="4" style="402" hidden="1" customWidth="1"/>
    <col min="3604" max="3607" width="2.59765625" style="402" hidden="1" customWidth="1"/>
    <col min="3608" max="3608" width="2.3984375" style="402" hidden="1" customWidth="1"/>
    <col min="3609" max="3612" width="2.59765625" style="402" hidden="1" customWidth="1"/>
    <col min="3613" max="3613" width="2.3984375" style="402" hidden="1" customWidth="1"/>
    <col min="3614" max="3617" width="2.59765625" style="402" hidden="1" customWidth="1"/>
    <col min="3618" max="3623" width="2.3984375" style="402" hidden="1" customWidth="1"/>
    <col min="3624" max="3624" width="1.59765625" style="402" hidden="1" customWidth="1"/>
    <col min="3625" max="3840" width="2.59765625" style="402" hidden="1"/>
    <col min="3841" max="3841" width="1.59765625" style="402" hidden="1" customWidth="1"/>
    <col min="3842" max="3842" width="0.86328125" style="402" hidden="1" customWidth="1"/>
    <col min="3843" max="3858" width="2.59765625" style="402" hidden="1" customWidth="1"/>
    <col min="3859" max="3859" width="4" style="402" hidden="1" customWidth="1"/>
    <col min="3860" max="3863" width="2.59765625" style="402" hidden="1" customWidth="1"/>
    <col min="3864" max="3864" width="2.3984375" style="402" hidden="1" customWidth="1"/>
    <col min="3865" max="3868" width="2.59765625" style="402" hidden="1" customWidth="1"/>
    <col min="3869" max="3869" width="2.3984375" style="402" hidden="1" customWidth="1"/>
    <col min="3870" max="3873" width="2.59765625" style="402" hidden="1" customWidth="1"/>
    <col min="3874" max="3879" width="2.3984375" style="402" hidden="1" customWidth="1"/>
    <col min="3880" max="3880" width="1.59765625" style="402" hidden="1" customWidth="1"/>
    <col min="3881" max="4096" width="2.59765625" style="402" hidden="1"/>
    <col min="4097" max="4097" width="1.59765625" style="402" hidden="1" customWidth="1"/>
    <col min="4098" max="4098" width="0.86328125" style="402" hidden="1" customWidth="1"/>
    <col min="4099" max="4114" width="2.59765625" style="402" hidden="1" customWidth="1"/>
    <col min="4115" max="4115" width="4" style="402" hidden="1" customWidth="1"/>
    <col min="4116" max="4119" width="2.59765625" style="402" hidden="1" customWidth="1"/>
    <col min="4120" max="4120" width="2.3984375" style="402" hidden="1" customWidth="1"/>
    <col min="4121" max="4124" width="2.59765625" style="402" hidden="1" customWidth="1"/>
    <col min="4125" max="4125" width="2.3984375" style="402" hidden="1" customWidth="1"/>
    <col min="4126" max="4129" width="2.59765625" style="402" hidden="1" customWidth="1"/>
    <col min="4130" max="4135" width="2.3984375" style="402" hidden="1" customWidth="1"/>
    <col min="4136" max="4136" width="1.59765625" style="402" hidden="1" customWidth="1"/>
    <col min="4137" max="4352" width="2.59765625" style="402" hidden="1"/>
    <col min="4353" max="4353" width="1.59765625" style="402" hidden="1" customWidth="1"/>
    <col min="4354" max="4354" width="0.86328125" style="402" hidden="1" customWidth="1"/>
    <col min="4355" max="4370" width="2.59765625" style="402" hidden="1" customWidth="1"/>
    <col min="4371" max="4371" width="4" style="402" hidden="1" customWidth="1"/>
    <col min="4372" max="4375" width="2.59765625" style="402" hidden="1" customWidth="1"/>
    <col min="4376" max="4376" width="2.3984375" style="402" hidden="1" customWidth="1"/>
    <col min="4377" max="4380" width="2.59765625" style="402" hidden="1" customWidth="1"/>
    <col min="4381" max="4381" width="2.3984375" style="402" hidden="1" customWidth="1"/>
    <col min="4382" max="4385" width="2.59765625" style="402" hidden="1" customWidth="1"/>
    <col min="4386" max="4391" width="2.3984375" style="402" hidden="1" customWidth="1"/>
    <col min="4392" max="4392" width="1.59765625" style="402" hidden="1" customWidth="1"/>
    <col min="4393" max="4608" width="2.59765625" style="402" hidden="1"/>
    <col min="4609" max="4609" width="1.59765625" style="402" hidden="1" customWidth="1"/>
    <col min="4610" max="4610" width="0.86328125" style="402" hidden="1" customWidth="1"/>
    <col min="4611" max="4626" width="2.59765625" style="402" hidden="1" customWidth="1"/>
    <col min="4627" max="4627" width="4" style="402" hidden="1" customWidth="1"/>
    <col min="4628" max="4631" width="2.59765625" style="402" hidden="1" customWidth="1"/>
    <col min="4632" max="4632" width="2.3984375" style="402" hidden="1" customWidth="1"/>
    <col min="4633" max="4636" width="2.59765625" style="402" hidden="1" customWidth="1"/>
    <col min="4637" max="4637" width="2.3984375" style="402" hidden="1" customWidth="1"/>
    <col min="4638" max="4641" width="2.59765625" style="402" hidden="1" customWidth="1"/>
    <col min="4642" max="4647" width="2.3984375" style="402" hidden="1" customWidth="1"/>
    <col min="4648" max="4648" width="1.59765625" style="402" hidden="1" customWidth="1"/>
    <col min="4649" max="4864" width="2.59765625" style="402" hidden="1"/>
    <col min="4865" max="4865" width="1.59765625" style="402" hidden="1" customWidth="1"/>
    <col min="4866" max="4866" width="0.86328125" style="402" hidden="1" customWidth="1"/>
    <col min="4867" max="4882" width="2.59765625" style="402" hidden="1" customWidth="1"/>
    <col min="4883" max="4883" width="4" style="402" hidden="1" customWidth="1"/>
    <col min="4884" max="4887" width="2.59765625" style="402" hidden="1" customWidth="1"/>
    <col min="4888" max="4888" width="2.3984375" style="402" hidden="1" customWidth="1"/>
    <col min="4889" max="4892" width="2.59765625" style="402" hidden="1" customWidth="1"/>
    <col min="4893" max="4893" width="2.3984375" style="402" hidden="1" customWidth="1"/>
    <col min="4894" max="4897" width="2.59765625" style="402" hidden="1" customWidth="1"/>
    <col min="4898" max="4903" width="2.3984375" style="402" hidden="1" customWidth="1"/>
    <col min="4904" max="4904" width="1.59765625" style="402" hidden="1" customWidth="1"/>
    <col min="4905" max="5120" width="2.59765625" style="402" hidden="1"/>
    <col min="5121" max="5121" width="1.59765625" style="402" hidden="1" customWidth="1"/>
    <col min="5122" max="5122" width="0.86328125" style="402" hidden="1" customWidth="1"/>
    <col min="5123" max="5138" width="2.59765625" style="402" hidden="1" customWidth="1"/>
    <col min="5139" max="5139" width="4" style="402" hidden="1" customWidth="1"/>
    <col min="5140" max="5143" width="2.59765625" style="402" hidden="1" customWidth="1"/>
    <col min="5144" max="5144" width="2.3984375" style="402" hidden="1" customWidth="1"/>
    <col min="5145" max="5148" width="2.59765625" style="402" hidden="1" customWidth="1"/>
    <col min="5149" max="5149" width="2.3984375" style="402" hidden="1" customWidth="1"/>
    <col min="5150" max="5153" width="2.59765625" style="402" hidden="1" customWidth="1"/>
    <col min="5154" max="5159" width="2.3984375" style="402" hidden="1" customWidth="1"/>
    <col min="5160" max="5160" width="1.59765625" style="402" hidden="1" customWidth="1"/>
    <col min="5161" max="5376" width="2.59765625" style="402" hidden="1"/>
    <col min="5377" max="5377" width="1.59765625" style="402" hidden="1" customWidth="1"/>
    <col min="5378" max="5378" width="0.86328125" style="402" hidden="1" customWidth="1"/>
    <col min="5379" max="5394" width="2.59765625" style="402" hidden="1" customWidth="1"/>
    <col min="5395" max="5395" width="4" style="402" hidden="1" customWidth="1"/>
    <col min="5396" max="5399" width="2.59765625" style="402" hidden="1" customWidth="1"/>
    <col min="5400" max="5400" width="2.3984375" style="402" hidden="1" customWidth="1"/>
    <col min="5401" max="5404" width="2.59765625" style="402" hidden="1" customWidth="1"/>
    <col min="5405" max="5405" width="2.3984375" style="402" hidden="1" customWidth="1"/>
    <col min="5406" max="5409" width="2.59765625" style="402" hidden="1" customWidth="1"/>
    <col min="5410" max="5415" width="2.3984375" style="402" hidden="1" customWidth="1"/>
    <col min="5416" max="5416" width="1.59765625" style="402" hidden="1" customWidth="1"/>
    <col min="5417" max="5632" width="2.59765625" style="402" hidden="1"/>
    <col min="5633" max="5633" width="1.59765625" style="402" hidden="1" customWidth="1"/>
    <col min="5634" max="5634" width="0.86328125" style="402" hidden="1" customWidth="1"/>
    <col min="5635" max="5650" width="2.59765625" style="402" hidden="1" customWidth="1"/>
    <col min="5651" max="5651" width="4" style="402" hidden="1" customWidth="1"/>
    <col min="5652" max="5655" width="2.59765625" style="402" hidden="1" customWidth="1"/>
    <col min="5656" max="5656" width="2.3984375" style="402" hidden="1" customWidth="1"/>
    <col min="5657" max="5660" width="2.59765625" style="402" hidden="1" customWidth="1"/>
    <col min="5661" max="5661" width="2.3984375" style="402" hidden="1" customWidth="1"/>
    <col min="5662" max="5665" width="2.59765625" style="402" hidden="1" customWidth="1"/>
    <col min="5666" max="5671" width="2.3984375" style="402" hidden="1" customWidth="1"/>
    <col min="5672" max="5672" width="1.59765625" style="402" hidden="1" customWidth="1"/>
    <col min="5673" max="5888" width="2.59765625" style="402" hidden="1"/>
    <col min="5889" max="5889" width="1.59765625" style="402" hidden="1" customWidth="1"/>
    <col min="5890" max="5890" width="0.86328125" style="402" hidden="1" customWidth="1"/>
    <col min="5891" max="5906" width="2.59765625" style="402" hidden="1" customWidth="1"/>
    <col min="5907" max="5907" width="4" style="402" hidden="1" customWidth="1"/>
    <col min="5908" max="5911" width="2.59765625" style="402" hidden="1" customWidth="1"/>
    <col min="5912" max="5912" width="2.3984375" style="402" hidden="1" customWidth="1"/>
    <col min="5913" max="5916" width="2.59765625" style="402" hidden="1" customWidth="1"/>
    <col min="5917" max="5917" width="2.3984375" style="402" hidden="1" customWidth="1"/>
    <col min="5918" max="5921" width="2.59765625" style="402" hidden="1" customWidth="1"/>
    <col min="5922" max="5927" width="2.3984375" style="402" hidden="1" customWidth="1"/>
    <col min="5928" max="5928" width="1.59765625" style="402" hidden="1" customWidth="1"/>
    <col min="5929" max="6144" width="2.59765625" style="402" hidden="1"/>
    <col min="6145" max="6145" width="1.59765625" style="402" hidden="1" customWidth="1"/>
    <col min="6146" max="6146" width="0.86328125" style="402" hidden="1" customWidth="1"/>
    <col min="6147" max="6162" width="2.59765625" style="402" hidden="1" customWidth="1"/>
    <col min="6163" max="6163" width="4" style="402" hidden="1" customWidth="1"/>
    <col min="6164" max="6167" width="2.59765625" style="402" hidden="1" customWidth="1"/>
    <col min="6168" max="6168" width="2.3984375" style="402" hidden="1" customWidth="1"/>
    <col min="6169" max="6172" width="2.59765625" style="402" hidden="1" customWidth="1"/>
    <col min="6173" max="6173" width="2.3984375" style="402" hidden="1" customWidth="1"/>
    <col min="6174" max="6177" width="2.59765625" style="402" hidden="1" customWidth="1"/>
    <col min="6178" max="6183" width="2.3984375" style="402" hidden="1" customWidth="1"/>
    <col min="6184" max="6184" width="1.59765625" style="402" hidden="1" customWidth="1"/>
    <col min="6185" max="6400" width="2.59765625" style="402" hidden="1"/>
    <col min="6401" max="6401" width="1.59765625" style="402" hidden="1" customWidth="1"/>
    <col min="6402" max="6402" width="0.86328125" style="402" hidden="1" customWidth="1"/>
    <col min="6403" max="6418" width="2.59765625" style="402" hidden="1" customWidth="1"/>
    <col min="6419" max="6419" width="4" style="402" hidden="1" customWidth="1"/>
    <col min="6420" max="6423" width="2.59765625" style="402" hidden="1" customWidth="1"/>
    <col min="6424" max="6424" width="2.3984375" style="402" hidden="1" customWidth="1"/>
    <col min="6425" max="6428" width="2.59765625" style="402" hidden="1" customWidth="1"/>
    <col min="6429" max="6429" width="2.3984375" style="402" hidden="1" customWidth="1"/>
    <col min="6430" max="6433" width="2.59765625" style="402" hidden="1" customWidth="1"/>
    <col min="6434" max="6439" width="2.3984375" style="402" hidden="1" customWidth="1"/>
    <col min="6440" max="6440" width="1.59765625" style="402" hidden="1" customWidth="1"/>
    <col min="6441" max="6656" width="2.59765625" style="402" hidden="1"/>
    <col min="6657" max="6657" width="1.59765625" style="402" hidden="1" customWidth="1"/>
    <col min="6658" max="6658" width="0.86328125" style="402" hidden="1" customWidth="1"/>
    <col min="6659" max="6674" width="2.59765625" style="402" hidden="1" customWidth="1"/>
    <col min="6675" max="6675" width="4" style="402" hidden="1" customWidth="1"/>
    <col min="6676" max="6679" width="2.59765625" style="402" hidden="1" customWidth="1"/>
    <col min="6680" max="6680" width="2.3984375" style="402" hidden="1" customWidth="1"/>
    <col min="6681" max="6684" width="2.59765625" style="402" hidden="1" customWidth="1"/>
    <col min="6685" max="6685" width="2.3984375" style="402" hidden="1" customWidth="1"/>
    <col min="6686" max="6689" width="2.59765625" style="402" hidden="1" customWidth="1"/>
    <col min="6690" max="6695" width="2.3984375" style="402" hidden="1" customWidth="1"/>
    <col min="6696" max="6696" width="1.59765625" style="402" hidden="1" customWidth="1"/>
    <col min="6697" max="6912" width="2.59765625" style="402" hidden="1"/>
    <col min="6913" max="6913" width="1.59765625" style="402" hidden="1" customWidth="1"/>
    <col min="6914" max="6914" width="0.86328125" style="402" hidden="1" customWidth="1"/>
    <col min="6915" max="6930" width="2.59765625" style="402" hidden="1" customWidth="1"/>
    <col min="6931" max="6931" width="4" style="402" hidden="1" customWidth="1"/>
    <col min="6932" max="6935" width="2.59765625" style="402" hidden="1" customWidth="1"/>
    <col min="6936" max="6936" width="2.3984375" style="402" hidden="1" customWidth="1"/>
    <col min="6937" max="6940" width="2.59765625" style="402" hidden="1" customWidth="1"/>
    <col min="6941" max="6941" width="2.3984375" style="402" hidden="1" customWidth="1"/>
    <col min="6942" max="6945" width="2.59765625" style="402" hidden="1" customWidth="1"/>
    <col min="6946" max="6951" width="2.3984375" style="402" hidden="1" customWidth="1"/>
    <col min="6952" max="6952" width="1.59765625" style="402" hidden="1" customWidth="1"/>
    <col min="6953" max="7168" width="2.59765625" style="402" hidden="1"/>
    <col min="7169" max="7169" width="1.59765625" style="402" hidden="1" customWidth="1"/>
    <col min="7170" max="7170" width="0.86328125" style="402" hidden="1" customWidth="1"/>
    <col min="7171" max="7186" width="2.59765625" style="402" hidden="1" customWidth="1"/>
    <col min="7187" max="7187" width="4" style="402" hidden="1" customWidth="1"/>
    <col min="7188" max="7191" width="2.59765625" style="402" hidden="1" customWidth="1"/>
    <col min="7192" max="7192" width="2.3984375" style="402" hidden="1" customWidth="1"/>
    <col min="7193" max="7196" width="2.59765625" style="402" hidden="1" customWidth="1"/>
    <col min="7197" max="7197" width="2.3984375" style="402" hidden="1" customWidth="1"/>
    <col min="7198" max="7201" width="2.59765625" style="402" hidden="1" customWidth="1"/>
    <col min="7202" max="7207" width="2.3984375" style="402" hidden="1" customWidth="1"/>
    <col min="7208" max="7208" width="1.59765625" style="402" hidden="1" customWidth="1"/>
    <col min="7209" max="7424" width="2.59765625" style="402" hidden="1"/>
    <col min="7425" max="7425" width="1.59765625" style="402" hidden="1" customWidth="1"/>
    <col min="7426" max="7426" width="0.86328125" style="402" hidden="1" customWidth="1"/>
    <col min="7427" max="7442" width="2.59765625" style="402" hidden="1" customWidth="1"/>
    <col min="7443" max="7443" width="4" style="402" hidden="1" customWidth="1"/>
    <col min="7444" max="7447" width="2.59765625" style="402" hidden="1" customWidth="1"/>
    <col min="7448" max="7448" width="2.3984375" style="402" hidden="1" customWidth="1"/>
    <col min="7449" max="7452" width="2.59765625" style="402" hidden="1" customWidth="1"/>
    <col min="7453" max="7453" width="2.3984375" style="402" hidden="1" customWidth="1"/>
    <col min="7454" max="7457" width="2.59765625" style="402" hidden="1" customWidth="1"/>
    <col min="7458" max="7463" width="2.3984375" style="402" hidden="1" customWidth="1"/>
    <col min="7464" max="7464" width="1.59765625" style="402" hidden="1" customWidth="1"/>
    <col min="7465" max="7680" width="2.59765625" style="402" hidden="1"/>
    <col min="7681" max="7681" width="1.59765625" style="402" hidden="1" customWidth="1"/>
    <col min="7682" max="7682" width="0.86328125" style="402" hidden="1" customWidth="1"/>
    <col min="7683" max="7698" width="2.59765625" style="402" hidden="1" customWidth="1"/>
    <col min="7699" max="7699" width="4" style="402" hidden="1" customWidth="1"/>
    <col min="7700" max="7703" width="2.59765625" style="402" hidden="1" customWidth="1"/>
    <col min="7704" max="7704" width="2.3984375" style="402" hidden="1" customWidth="1"/>
    <col min="7705" max="7708" width="2.59765625" style="402" hidden="1" customWidth="1"/>
    <col min="7709" max="7709" width="2.3984375" style="402" hidden="1" customWidth="1"/>
    <col min="7710" max="7713" width="2.59765625" style="402" hidden="1" customWidth="1"/>
    <col min="7714" max="7719" width="2.3984375" style="402" hidden="1" customWidth="1"/>
    <col min="7720" max="7720" width="1.59765625" style="402" hidden="1" customWidth="1"/>
    <col min="7721" max="7936" width="2.59765625" style="402" hidden="1"/>
    <col min="7937" max="7937" width="1.59765625" style="402" hidden="1" customWidth="1"/>
    <col min="7938" max="7938" width="0.86328125" style="402" hidden="1" customWidth="1"/>
    <col min="7939" max="7954" width="2.59765625" style="402" hidden="1" customWidth="1"/>
    <col min="7955" max="7955" width="4" style="402" hidden="1" customWidth="1"/>
    <col min="7956" max="7959" width="2.59765625" style="402" hidden="1" customWidth="1"/>
    <col min="7960" max="7960" width="2.3984375" style="402" hidden="1" customWidth="1"/>
    <col min="7961" max="7964" width="2.59765625" style="402" hidden="1" customWidth="1"/>
    <col min="7965" max="7965" width="2.3984375" style="402" hidden="1" customWidth="1"/>
    <col min="7966" max="7969" width="2.59765625" style="402" hidden="1" customWidth="1"/>
    <col min="7970" max="7975" width="2.3984375" style="402" hidden="1" customWidth="1"/>
    <col min="7976" max="7976" width="1.59765625" style="402" hidden="1" customWidth="1"/>
    <col min="7977" max="8192" width="2.59765625" style="402" hidden="1"/>
    <col min="8193" max="8193" width="1.59765625" style="402" hidden="1" customWidth="1"/>
    <col min="8194" max="8194" width="0.86328125" style="402" hidden="1" customWidth="1"/>
    <col min="8195" max="8210" width="2.59765625" style="402" hidden="1" customWidth="1"/>
    <col min="8211" max="8211" width="4" style="402" hidden="1" customWidth="1"/>
    <col min="8212" max="8215" width="2.59765625" style="402" hidden="1" customWidth="1"/>
    <col min="8216" max="8216" width="2.3984375" style="402" hidden="1" customWidth="1"/>
    <col min="8217" max="8220" width="2.59765625" style="402" hidden="1" customWidth="1"/>
    <col min="8221" max="8221" width="2.3984375" style="402" hidden="1" customWidth="1"/>
    <col min="8222" max="8225" width="2.59765625" style="402" hidden="1" customWidth="1"/>
    <col min="8226" max="8231" width="2.3984375" style="402" hidden="1" customWidth="1"/>
    <col min="8232" max="8232" width="1.59765625" style="402" hidden="1" customWidth="1"/>
    <col min="8233" max="8448" width="2.59765625" style="402" hidden="1"/>
    <col min="8449" max="8449" width="1.59765625" style="402" hidden="1" customWidth="1"/>
    <col min="8450" max="8450" width="0.86328125" style="402" hidden="1" customWidth="1"/>
    <col min="8451" max="8466" width="2.59765625" style="402" hidden="1" customWidth="1"/>
    <col min="8467" max="8467" width="4" style="402" hidden="1" customWidth="1"/>
    <col min="8468" max="8471" width="2.59765625" style="402" hidden="1" customWidth="1"/>
    <col min="8472" max="8472" width="2.3984375" style="402" hidden="1" customWidth="1"/>
    <col min="8473" max="8476" width="2.59765625" style="402" hidden="1" customWidth="1"/>
    <col min="8477" max="8477" width="2.3984375" style="402" hidden="1" customWidth="1"/>
    <col min="8478" max="8481" width="2.59765625" style="402" hidden="1" customWidth="1"/>
    <col min="8482" max="8487" width="2.3984375" style="402" hidden="1" customWidth="1"/>
    <col min="8488" max="8488" width="1.59765625" style="402" hidden="1" customWidth="1"/>
    <col min="8489" max="8704" width="2.59765625" style="402" hidden="1"/>
    <col min="8705" max="8705" width="1.59765625" style="402" hidden="1" customWidth="1"/>
    <col min="8706" max="8706" width="0.86328125" style="402" hidden="1" customWidth="1"/>
    <col min="8707" max="8722" width="2.59765625" style="402" hidden="1" customWidth="1"/>
    <col min="8723" max="8723" width="4" style="402" hidden="1" customWidth="1"/>
    <col min="8724" max="8727" width="2.59765625" style="402" hidden="1" customWidth="1"/>
    <col min="8728" max="8728" width="2.3984375" style="402" hidden="1" customWidth="1"/>
    <col min="8729" max="8732" width="2.59765625" style="402" hidden="1" customWidth="1"/>
    <col min="8733" max="8733" width="2.3984375" style="402" hidden="1" customWidth="1"/>
    <col min="8734" max="8737" width="2.59765625" style="402" hidden="1" customWidth="1"/>
    <col min="8738" max="8743" width="2.3984375" style="402" hidden="1" customWidth="1"/>
    <col min="8744" max="8744" width="1.59765625" style="402" hidden="1" customWidth="1"/>
    <col min="8745" max="8960" width="2.59765625" style="402" hidden="1"/>
    <col min="8961" max="8961" width="1.59765625" style="402" hidden="1" customWidth="1"/>
    <col min="8962" max="8962" width="0.86328125" style="402" hidden="1" customWidth="1"/>
    <col min="8963" max="8978" width="2.59765625" style="402" hidden="1" customWidth="1"/>
    <col min="8979" max="8979" width="4" style="402" hidden="1" customWidth="1"/>
    <col min="8980" max="8983" width="2.59765625" style="402" hidden="1" customWidth="1"/>
    <col min="8984" max="8984" width="2.3984375" style="402" hidden="1" customWidth="1"/>
    <col min="8985" max="8988" width="2.59765625" style="402" hidden="1" customWidth="1"/>
    <col min="8989" max="8989" width="2.3984375" style="402" hidden="1" customWidth="1"/>
    <col min="8990" max="8993" width="2.59765625" style="402" hidden="1" customWidth="1"/>
    <col min="8994" max="8999" width="2.3984375" style="402" hidden="1" customWidth="1"/>
    <col min="9000" max="9000" width="1.59765625" style="402" hidden="1" customWidth="1"/>
    <col min="9001" max="9216" width="2.59765625" style="402" hidden="1"/>
    <col min="9217" max="9217" width="1.59765625" style="402" hidden="1" customWidth="1"/>
    <col min="9218" max="9218" width="0.86328125" style="402" hidden="1" customWidth="1"/>
    <col min="9219" max="9234" width="2.59765625" style="402" hidden="1" customWidth="1"/>
    <col min="9235" max="9235" width="4" style="402" hidden="1" customWidth="1"/>
    <col min="9236" max="9239" width="2.59765625" style="402" hidden="1" customWidth="1"/>
    <col min="9240" max="9240" width="2.3984375" style="402" hidden="1" customWidth="1"/>
    <col min="9241" max="9244" width="2.59765625" style="402" hidden="1" customWidth="1"/>
    <col min="9245" max="9245" width="2.3984375" style="402" hidden="1" customWidth="1"/>
    <col min="9246" max="9249" width="2.59765625" style="402" hidden="1" customWidth="1"/>
    <col min="9250" max="9255" width="2.3984375" style="402" hidden="1" customWidth="1"/>
    <col min="9256" max="9256" width="1.59765625" style="402" hidden="1" customWidth="1"/>
    <col min="9257" max="9472" width="2.59765625" style="402" hidden="1"/>
    <col min="9473" max="9473" width="1.59765625" style="402" hidden="1" customWidth="1"/>
    <col min="9474" max="9474" width="0.86328125" style="402" hidden="1" customWidth="1"/>
    <col min="9475" max="9490" width="2.59765625" style="402" hidden="1" customWidth="1"/>
    <col min="9491" max="9491" width="4" style="402" hidden="1" customWidth="1"/>
    <col min="9492" max="9495" width="2.59765625" style="402" hidden="1" customWidth="1"/>
    <col min="9496" max="9496" width="2.3984375" style="402" hidden="1" customWidth="1"/>
    <col min="9497" max="9500" width="2.59765625" style="402" hidden="1" customWidth="1"/>
    <col min="9501" max="9501" width="2.3984375" style="402" hidden="1" customWidth="1"/>
    <col min="9502" max="9505" width="2.59765625" style="402" hidden="1" customWidth="1"/>
    <col min="9506" max="9511" width="2.3984375" style="402" hidden="1" customWidth="1"/>
    <col min="9512" max="9512" width="1.59765625" style="402" hidden="1" customWidth="1"/>
    <col min="9513" max="9728" width="2.59765625" style="402" hidden="1"/>
    <col min="9729" max="9729" width="1.59765625" style="402" hidden="1" customWidth="1"/>
    <col min="9730" max="9730" width="0.86328125" style="402" hidden="1" customWidth="1"/>
    <col min="9731" max="9746" width="2.59765625" style="402" hidden="1" customWidth="1"/>
    <col min="9747" max="9747" width="4" style="402" hidden="1" customWidth="1"/>
    <col min="9748" max="9751" width="2.59765625" style="402" hidden="1" customWidth="1"/>
    <col min="9752" max="9752" width="2.3984375" style="402" hidden="1" customWidth="1"/>
    <col min="9753" max="9756" width="2.59765625" style="402" hidden="1" customWidth="1"/>
    <col min="9757" max="9757" width="2.3984375" style="402" hidden="1" customWidth="1"/>
    <col min="9758" max="9761" width="2.59765625" style="402" hidden="1" customWidth="1"/>
    <col min="9762" max="9767" width="2.3984375" style="402" hidden="1" customWidth="1"/>
    <col min="9768" max="9768" width="1.59765625" style="402" hidden="1" customWidth="1"/>
    <col min="9769" max="9984" width="2.59765625" style="402" hidden="1"/>
    <col min="9985" max="9985" width="1.59765625" style="402" hidden="1" customWidth="1"/>
    <col min="9986" max="9986" width="0.86328125" style="402" hidden="1" customWidth="1"/>
    <col min="9987" max="10002" width="2.59765625" style="402" hidden="1" customWidth="1"/>
    <col min="10003" max="10003" width="4" style="402" hidden="1" customWidth="1"/>
    <col min="10004" max="10007" width="2.59765625" style="402" hidden="1" customWidth="1"/>
    <col min="10008" max="10008" width="2.3984375" style="402" hidden="1" customWidth="1"/>
    <col min="10009" max="10012" width="2.59765625" style="402" hidden="1" customWidth="1"/>
    <col min="10013" max="10013" width="2.3984375" style="402" hidden="1" customWidth="1"/>
    <col min="10014" max="10017" width="2.59765625" style="402" hidden="1" customWidth="1"/>
    <col min="10018" max="10023" width="2.3984375" style="402" hidden="1" customWidth="1"/>
    <col min="10024" max="10024" width="1.59765625" style="402" hidden="1" customWidth="1"/>
    <col min="10025" max="10240" width="2.59765625" style="402" hidden="1"/>
    <col min="10241" max="10241" width="1.59765625" style="402" hidden="1" customWidth="1"/>
    <col min="10242" max="10242" width="0.86328125" style="402" hidden="1" customWidth="1"/>
    <col min="10243" max="10258" width="2.59765625" style="402" hidden="1" customWidth="1"/>
    <col min="10259" max="10259" width="4" style="402" hidden="1" customWidth="1"/>
    <col min="10260" max="10263" width="2.59765625" style="402" hidden="1" customWidth="1"/>
    <col min="10264" max="10264" width="2.3984375" style="402" hidden="1" customWidth="1"/>
    <col min="10265" max="10268" width="2.59765625" style="402" hidden="1" customWidth="1"/>
    <col min="10269" max="10269" width="2.3984375" style="402" hidden="1" customWidth="1"/>
    <col min="10270" max="10273" width="2.59765625" style="402" hidden="1" customWidth="1"/>
    <col min="10274" max="10279" width="2.3984375" style="402" hidden="1" customWidth="1"/>
    <col min="10280" max="10280" width="1.59765625" style="402" hidden="1" customWidth="1"/>
    <col min="10281" max="10496" width="2.59765625" style="402" hidden="1"/>
    <col min="10497" max="10497" width="1.59765625" style="402" hidden="1" customWidth="1"/>
    <col min="10498" max="10498" width="0.86328125" style="402" hidden="1" customWidth="1"/>
    <col min="10499" max="10514" width="2.59765625" style="402" hidden="1" customWidth="1"/>
    <col min="10515" max="10515" width="4" style="402" hidden="1" customWidth="1"/>
    <col min="10516" max="10519" width="2.59765625" style="402" hidden="1" customWidth="1"/>
    <col min="10520" max="10520" width="2.3984375" style="402" hidden="1" customWidth="1"/>
    <col min="10521" max="10524" width="2.59765625" style="402" hidden="1" customWidth="1"/>
    <col min="10525" max="10525" width="2.3984375" style="402" hidden="1" customWidth="1"/>
    <col min="10526" max="10529" width="2.59765625" style="402" hidden="1" customWidth="1"/>
    <col min="10530" max="10535" width="2.3984375" style="402" hidden="1" customWidth="1"/>
    <col min="10536" max="10536" width="1.59765625" style="402" hidden="1" customWidth="1"/>
    <col min="10537" max="10752" width="2.59765625" style="402" hidden="1"/>
    <col min="10753" max="10753" width="1.59765625" style="402" hidden="1" customWidth="1"/>
    <col min="10754" max="10754" width="0.86328125" style="402" hidden="1" customWidth="1"/>
    <col min="10755" max="10770" width="2.59765625" style="402" hidden="1" customWidth="1"/>
    <col min="10771" max="10771" width="4" style="402" hidden="1" customWidth="1"/>
    <col min="10772" max="10775" width="2.59765625" style="402" hidden="1" customWidth="1"/>
    <col min="10776" max="10776" width="2.3984375" style="402" hidden="1" customWidth="1"/>
    <col min="10777" max="10780" width="2.59765625" style="402" hidden="1" customWidth="1"/>
    <col min="10781" max="10781" width="2.3984375" style="402" hidden="1" customWidth="1"/>
    <col min="10782" max="10785" width="2.59765625" style="402" hidden="1" customWidth="1"/>
    <col min="10786" max="10791" width="2.3984375" style="402" hidden="1" customWidth="1"/>
    <col min="10792" max="10792" width="1.59765625" style="402" hidden="1" customWidth="1"/>
    <col min="10793" max="11008" width="2.59765625" style="402" hidden="1"/>
    <col min="11009" max="11009" width="1.59765625" style="402" hidden="1" customWidth="1"/>
    <col min="11010" max="11010" width="0.86328125" style="402" hidden="1" customWidth="1"/>
    <col min="11011" max="11026" width="2.59765625" style="402" hidden="1" customWidth="1"/>
    <col min="11027" max="11027" width="4" style="402" hidden="1" customWidth="1"/>
    <col min="11028" max="11031" width="2.59765625" style="402" hidden="1" customWidth="1"/>
    <col min="11032" max="11032" width="2.3984375" style="402" hidden="1" customWidth="1"/>
    <col min="11033" max="11036" width="2.59765625" style="402" hidden="1" customWidth="1"/>
    <col min="11037" max="11037" width="2.3984375" style="402" hidden="1" customWidth="1"/>
    <col min="11038" max="11041" width="2.59765625" style="402" hidden="1" customWidth="1"/>
    <col min="11042" max="11047" width="2.3984375" style="402" hidden="1" customWidth="1"/>
    <col min="11048" max="11048" width="1.59765625" style="402" hidden="1" customWidth="1"/>
    <col min="11049" max="11264" width="2.59765625" style="402" hidden="1"/>
    <col min="11265" max="11265" width="1.59765625" style="402" hidden="1" customWidth="1"/>
    <col min="11266" max="11266" width="0.86328125" style="402" hidden="1" customWidth="1"/>
    <col min="11267" max="11282" width="2.59765625" style="402" hidden="1" customWidth="1"/>
    <col min="11283" max="11283" width="4" style="402" hidden="1" customWidth="1"/>
    <col min="11284" max="11287" width="2.59765625" style="402" hidden="1" customWidth="1"/>
    <col min="11288" max="11288" width="2.3984375" style="402" hidden="1" customWidth="1"/>
    <col min="11289" max="11292" width="2.59765625" style="402" hidden="1" customWidth="1"/>
    <col min="11293" max="11293" width="2.3984375" style="402" hidden="1" customWidth="1"/>
    <col min="11294" max="11297" width="2.59765625" style="402" hidden="1" customWidth="1"/>
    <col min="11298" max="11303" width="2.3984375" style="402" hidden="1" customWidth="1"/>
    <col min="11304" max="11304" width="1.59765625" style="402" hidden="1" customWidth="1"/>
    <col min="11305" max="11520" width="2.59765625" style="402" hidden="1"/>
    <col min="11521" max="11521" width="1.59765625" style="402" hidden="1" customWidth="1"/>
    <col min="11522" max="11522" width="0.86328125" style="402" hidden="1" customWidth="1"/>
    <col min="11523" max="11538" width="2.59765625" style="402" hidden="1" customWidth="1"/>
    <col min="11539" max="11539" width="4" style="402" hidden="1" customWidth="1"/>
    <col min="11540" max="11543" width="2.59765625" style="402" hidden="1" customWidth="1"/>
    <col min="11544" max="11544" width="2.3984375" style="402" hidden="1" customWidth="1"/>
    <col min="11545" max="11548" width="2.59765625" style="402" hidden="1" customWidth="1"/>
    <col min="11549" max="11549" width="2.3984375" style="402" hidden="1" customWidth="1"/>
    <col min="11550" max="11553" width="2.59765625" style="402" hidden="1" customWidth="1"/>
    <col min="11554" max="11559" width="2.3984375" style="402" hidden="1" customWidth="1"/>
    <col min="11560" max="11560" width="1.59765625" style="402" hidden="1" customWidth="1"/>
    <col min="11561" max="11776" width="2.59765625" style="402" hidden="1"/>
    <col min="11777" max="11777" width="1.59765625" style="402" hidden="1" customWidth="1"/>
    <col min="11778" max="11778" width="0.86328125" style="402" hidden="1" customWidth="1"/>
    <col min="11779" max="11794" width="2.59765625" style="402" hidden="1" customWidth="1"/>
    <col min="11795" max="11795" width="4" style="402" hidden="1" customWidth="1"/>
    <col min="11796" max="11799" width="2.59765625" style="402" hidden="1" customWidth="1"/>
    <col min="11800" max="11800" width="2.3984375" style="402" hidden="1" customWidth="1"/>
    <col min="11801" max="11804" width="2.59765625" style="402" hidden="1" customWidth="1"/>
    <col min="11805" max="11805" width="2.3984375" style="402" hidden="1" customWidth="1"/>
    <col min="11806" max="11809" width="2.59765625" style="402" hidden="1" customWidth="1"/>
    <col min="11810" max="11815" width="2.3984375" style="402" hidden="1" customWidth="1"/>
    <col min="11816" max="11816" width="1.59765625" style="402" hidden="1" customWidth="1"/>
    <col min="11817" max="12032" width="2.59765625" style="402" hidden="1"/>
    <col min="12033" max="12033" width="1.59765625" style="402" hidden="1" customWidth="1"/>
    <col min="12034" max="12034" width="0.86328125" style="402" hidden="1" customWidth="1"/>
    <col min="12035" max="12050" width="2.59765625" style="402" hidden="1" customWidth="1"/>
    <col min="12051" max="12051" width="4" style="402" hidden="1" customWidth="1"/>
    <col min="12052" max="12055" width="2.59765625" style="402" hidden="1" customWidth="1"/>
    <col min="12056" max="12056" width="2.3984375" style="402" hidden="1" customWidth="1"/>
    <col min="12057" max="12060" width="2.59765625" style="402" hidden="1" customWidth="1"/>
    <col min="12061" max="12061" width="2.3984375" style="402" hidden="1" customWidth="1"/>
    <col min="12062" max="12065" width="2.59765625" style="402" hidden="1" customWidth="1"/>
    <col min="12066" max="12071" width="2.3984375" style="402" hidden="1" customWidth="1"/>
    <col min="12072" max="12072" width="1.59765625" style="402" hidden="1" customWidth="1"/>
    <col min="12073" max="12288" width="2.59765625" style="402" hidden="1"/>
    <col min="12289" max="12289" width="1.59765625" style="402" hidden="1" customWidth="1"/>
    <col min="12290" max="12290" width="0.86328125" style="402" hidden="1" customWidth="1"/>
    <col min="12291" max="12306" width="2.59765625" style="402" hidden="1" customWidth="1"/>
    <col min="12307" max="12307" width="4" style="402" hidden="1" customWidth="1"/>
    <col min="12308" max="12311" width="2.59765625" style="402" hidden="1" customWidth="1"/>
    <col min="12312" max="12312" width="2.3984375" style="402" hidden="1" customWidth="1"/>
    <col min="12313" max="12316" width="2.59765625" style="402" hidden="1" customWidth="1"/>
    <col min="12317" max="12317" width="2.3984375" style="402" hidden="1" customWidth="1"/>
    <col min="12318" max="12321" width="2.59765625" style="402" hidden="1" customWidth="1"/>
    <col min="12322" max="12327" width="2.3984375" style="402" hidden="1" customWidth="1"/>
    <col min="12328" max="12328" width="1.59765625" style="402" hidden="1" customWidth="1"/>
    <col min="12329" max="12544" width="2.59765625" style="402" hidden="1"/>
    <col min="12545" max="12545" width="1.59765625" style="402" hidden="1" customWidth="1"/>
    <col min="12546" max="12546" width="0.86328125" style="402" hidden="1" customWidth="1"/>
    <col min="12547" max="12562" width="2.59765625" style="402" hidden="1" customWidth="1"/>
    <col min="12563" max="12563" width="4" style="402" hidden="1" customWidth="1"/>
    <col min="12564" max="12567" width="2.59765625" style="402" hidden="1" customWidth="1"/>
    <col min="12568" max="12568" width="2.3984375" style="402" hidden="1" customWidth="1"/>
    <col min="12569" max="12572" width="2.59765625" style="402" hidden="1" customWidth="1"/>
    <col min="12573" max="12573" width="2.3984375" style="402" hidden="1" customWidth="1"/>
    <col min="12574" max="12577" width="2.59765625" style="402" hidden="1" customWidth="1"/>
    <col min="12578" max="12583" width="2.3984375" style="402" hidden="1" customWidth="1"/>
    <col min="12584" max="12584" width="1.59765625" style="402" hidden="1" customWidth="1"/>
    <col min="12585" max="12800" width="2.59765625" style="402" hidden="1"/>
    <col min="12801" max="12801" width="1.59765625" style="402" hidden="1" customWidth="1"/>
    <col min="12802" max="12802" width="0.86328125" style="402" hidden="1" customWidth="1"/>
    <col min="12803" max="12818" width="2.59765625" style="402" hidden="1" customWidth="1"/>
    <col min="12819" max="12819" width="4" style="402" hidden="1" customWidth="1"/>
    <col min="12820" max="12823" width="2.59765625" style="402" hidden="1" customWidth="1"/>
    <col min="12824" max="12824" width="2.3984375" style="402" hidden="1" customWidth="1"/>
    <col min="12825" max="12828" width="2.59765625" style="402" hidden="1" customWidth="1"/>
    <col min="12829" max="12829" width="2.3984375" style="402" hidden="1" customWidth="1"/>
    <col min="12830" max="12833" width="2.59765625" style="402" hidden="1" customWidth="1"/>
    <col min="12834" max="12839" width="2.3984375" style="402" hidden="1" customWidth="1"/>
    <col min="12840" max="12840" width="1.59765625" style="402" hidden="1" customWidth="1"/>
    <col min="12841" max="13056" width="2.59765625" style="402" hidden="1"/>
    <col min="13057" max="13057" width="1.59765625" style="402" hidden="1" customWidth="1"/>
    <col min="13058" max="13058" width="0.86328125" style="402" hidden="1" customWidth="1"/>
    <col min="13059" max="13074" width="2.59765625" style="402" hidden="1" customWidth="1"/>
    <col min="13075" max="13075" width="4" style="402" hidden="1" customWidth="1"/>
    <col min="13076" max="13079" width="2.59765625" style="402" hidden="1" customWidth="1"/>
    <col min="13080" max="13080" width="2.3984375" style="402" hidden="1" customWidth="1"/>
    <col min="13081" max="13084" width="2.59765625" style="402" hidden="1" customWidth="1"/>
    <col min="13085" max="13085" width="2.3984375" style="402" hidden="1" customWidth="1"/>
    <col min="13086" max="13089" width="2.59765625" style="402" hidden="1" customWidth="1"/>
    <col min="13090" max="13095" width="2.3984375" style="402" hidden="1" customWidth="1"/>
    <col min="13096" max="13096" width="1.59765625" style="402" hidden="1" customWidth="1"/>
    <col min="13097" max="13312" width="2.59765625" style="402" hidden="1"/>
    <col min="13313" max="13313" width="1.59765625" style="402" hidden="1" customWidth="1"/>
    <col min="13314" max="13314" width="0.86328125" style="402" hidden="1" customWidth="1"/>
    <col min="13315" max="13330" width="2.59765625" style="402" hidden="1" customWidth="1"/>
    <col min="13331" max="13331" width="4" style="402" hidden="1" customWidth="1"/>
    <col min="13332" max="13335" width="2.59765625" style="402" hidden="1" customWidth="1"/>
    <col min="13336" max="13336" width="2.3984375" style="402" hidden="1" customWidth="1"/>
    <col min="13337" max="13340" width="2.59765625" style="402" hidden="1" customWidth="1"/>
    <col min="13341" max="13341" width="2.3984375" style="402" hidden="1" customWidth="1"/>
    <col min="13342" max="13345" width="2.59765625" style="402" hidden="1" customWidth="1"/>
    <col min="13346" max="13351" width="2.3984375" style="402" hidden="1" customWidth="1"/>
    <col min="13352" max="13352" width="1.59765625" style="402" hidden="1" customWidth="1"/>
    <col min="13353" max="13568" width="2.59765625" style="402" hidden="1"/>
    <col min="13569" max="13569" width="1.59765625" style="402" hidden="1" customWidth="1"/>
    <col min="13570" max="13570" width="0.86328125" style="402" hidden="1" customWidth="1"/>
    <col min="13571" max="13586" width="2.59765625" style="402" hidden="1" customWidth="1"/>
    <col min="13587" max="13587" width="4" style="402" hidden="1" customWidth="1"/>
    <col min="13588" max="13591" width="2.59765625" style="402" hidden="1" customWidth="1"/>
    <col min="13592" max="13592" width="2.3984375" style="402" hidden="1" customWidth="1"/>
    <col min="13593" max="13596" width="2.59765625" style="402" hidden="1" customWidth="1"/>
    <col min="13597" max="13597" width="2.3984375" style="402" hidden="1" customWidth="1"/>
    <col min="13598" max="13601" width="2.59765625" style="402" hidden="1" customWidth="1"/>
    <col min="13602" max="13607" width="2.3984375" style="402" hidden="1" customWidth="1"/>
    <col min="13608" max="13608" width="1.59765625" style="402" hidden="1" customWidth="1"/>
    <col min="13609" max="13824" width="2.59765625" style="402" hidden="1"/>
    <col min="13825" max="13825" width="1.59765625" style="402" hidden="1" customWidth="1"/>
    <col min="13826" max="13826" width="0.86328125" style="402" hidden="1" customWidth="1"/>
    <col min="13827" max="13842" width="2.59765625" style="402" hidden="1" customWidth="1"/>
    <col min="13843" max="13843" width="4" style="402" hidden="1" customWidth="1"/>
    <col min="13844" max="13847" width="2.59765625" style="402" hidden="1" customWidth="1"/>
    <col min="13848" max="13848" width="2.3984375" style="402" hidden="1" customWidth="1"/>
    <col min="13849" max="13852" width="2.59765625" style="402" hidden="1" customWidth="1"/>
    <col min="13853" max="13853" width="2.3984375" style="402" hidden="1" customWidth="1"/>
    <col min="13854" max="13857" width="2.59765625" style="402" hidden="1" customWidth="1"/>
    <col min="13858" max="13863" width="2.3984375" style="402" hidden="1" customWidth="1"/>
    <col min="13864" max="13864" width="1.59765625" style="402" hidden="1" customWidth="1"/>
    <col min="13865" max="14080" width="2.59765625" style="402" hidden="1"/>
    <col min="14081" max="14081" width="1.59765625" style="402" hidden="1" customWidth="1"/>
    <col min="14082" max="14082" width="0.86328125" style="402" hidden="1" customWidth="1"/>
    <col min="14083" max="14098" width="2.59765625" style="402" hidden="1" customWidth="1"/>
    <col min="14099" max="14099" width="4" style="402" hidden="1" customWidth="1"/>
    <col min="14100" max="14103" width="2.59765625" style="402" hidden="1" customWidth="1"/>
    <col min="14104" max="14104" width="2.3984375" style="402" hidden="1" customWidth="1"/>
    <col min="14105" max="14108" width="2.59765625" style="402" hidden="1" customWidth="1"/>
    <col min="14109" max="14109" width="2.3984375" style="402" hidden="1" customWidth="1"/>
    <col min="14110" max="14113" width="2.59765625" style="402" hidden="1" customWidth="1"/>
    <col min="14114" max="14119" width="2.3984375" style="402" hidden="1" customWidth="1"/>
    <col min="14120" max="14120" width="1.59765625" style="402" hidden="1" customWidth="1"/>
    <col min="14121" max="14336" width="2.59765625" style="402" hidden="1"/>
    <col min="14337" max="14337" width="1.59765625" style="402" hidden="1" customWidth="1"/>
    <col min="14338" max="14338" width="0.86328125" style="402" hidden="1" customWidth="1"/>
    <col min="14339" max="14354" width="2.59765625" style="402" hidden="1" customWidth="1"/>
    <col min="14355" max="14355" width="4" style="402" hidden="1" customWidth="1"/>
    <col min="14356" max="14359" width="2.59765625" style="402" hidden="1" customWidth="1"/>
    <col min="14360" max="14360" width="2.3984375" style="402" hidden="1" customWidth="1"/>
    <col min="14361" max="14364" width="2.59765625" style="402" hidden="1" customWidth="1"/>
    <col min="14365" max="14365" width="2.3984375" style="402" hidden="1" customWidth="1"/>
    <col min="14366" max="14369" width="2.59765625" style="402" hidden="1" customWidth="1"/>
    <col min="14370" max="14375" width="2.3984375" style="402" hidden="1" customWidth="1"/>
    <col min="14376" max="14376" width="1.59765625" style="402" hidden="1" customWidth="1"/>
    <col min="14377" max="14592" width="2.59765625" style="402" hidden="1"/>
    <col min="14593" max="14593" width="1.59765625" style="402" hidden="1" customWidth="1"/>
    <col min="14594" max="14594" width="0.86328125" style="402" hidden="1" customWidth="1"/>
    <col min="14595" max="14610" width="2.59765625" style="402" hidden="1" customWidth="1"/>
    <col min="14611" max="14611" width="4" style="402" hidden="1" customWidth="1"/>
    <col min="14612" max="14615" width="2.59765625" style="402" hidden="1" customWidth="1"/>
    <col min="14616" max="14616" width="2.3984375" style="402" hidden="1" customWidth="1"/>
    <col min="14617" max="14620" width="2.59765625" style="402" hidden="1" customWidth="1"/>
    <col min="14621" max="14621" width="2.3984375" style="402" hidden="1" customWidth="1"/>
    <col min="14622" max="14625" width="2.59765625" style="402" hidden="1" customWidth="1"/>
    <col min="14626" max="14631" width="2.3984375" style="402" hidden="1" customWidth="1"/>
    <col min="14632" max="14632" width="1.59765625" style="402" hidden="1" customWidth="1"/>
    <col min="14633" max="14848" width="2.59765625" style="402" hidden="1"/>
    <col min="14849" max="14849" width="1.59765625" style="402" hidden="1" customWidth="1"/>
    <col min="14850" max="14850" width="0.86328125" style="402" hidden="1" customWidth="1"/>
    <col min="14851" max="14866" width="2.59765625" style="402" hidden="1" customWidth="1"/>
    <col min="14867" max="14867" width="4" style="402" hidden="1" customWidth="1"/>
    <col min="14868" max="14871" width="2.59765625" style="402" hidden="1" customWidth="1"/>
    <col min="14872" max="14872" width="2.3984375" style="402" hidden="1" customWidth="1"/>
    <col min="14873" max="14876" width="2.59765625" style="402" hidden="1" customWidth="1"/>
    <col min="14877" max="14877" width="2.3984375" style="402" hidden="1" customWidth="1"/>
    <col min="14878" max="14881" width="2.59765625" style="402" hidden="1" customWidth="1"/>
    <col min="14882" max="14887" width="2.3984375" style="402" hidden="1" customWidth="1"/>
    <col min="14888" max="14888" width="1.59765625" style="402" hidden="1" customWidth="1"/>
    <col min="14889" max="15104" width="2.59765625" style="402" hidden="1"/>
    <col min="15105" max="15105" width="1.59765625" style="402" hidden="1" customWidth="1"/>
    <col min="15106" max="15106" width="0.86328125" style="402" hidden="1" customWidth="1"/>
    <col min="15107" max="15122" width="2.59765625" style="402" hidden="1" customWidth="1"/>
    <col min="15123" max="15123" width="4" style="402" hidden="1" customWidth="1"/>
    <col min="15124" max="15127" width="2.59765625" style="402" hidden="1" customWidth="1"/>
    <col min="15128" max="15128" width="2.3984375" style="402" hidden="1" customWidth="1"/>
    <col min="15129" max="15132" width="2.59765625" style="402" hidden="1" customWidth="1"/>
    <col min="15133" max="15133" width="2.3984375" style="402" hidden="1" customWidth="1"/>
    <col min="15134" max="15137" width="2.59765625" style="402" hidden="1" customWidth="1"/>
    <col min="15138" max="15143" width="2.3984375" style="402" hidden="1" customWidth="1"/>
    <col min="15144" max="15144" width="1.59765625" style="402" hidden="1" customWidth="1"/>
    <col min="15145" max="15360" width="2.59765625" style="402" hidden="1"/>
    <col min="15361" max="15361" width="1.59765625" style="402" hidden="1" customWidth="1"/>
    <col min="15362" max="15362" width="0.86328125" style="402" hidden="1" customWidth="1"/>
    <col min="15363" max="15378" width="2.59765625" style="402" hidden="1" customWidth="1"/>
    <col min="15379" max="15379" width="4" style="402" hidden="1" customWidth="1"/>
    <col min="15380" max="15383" width="2.59765625" style="402" hidden="1" customWidth="1"/>
    <col min="15384" max="15384" width="2.3984375" style="402" hidden="1" customWidth="1"/>
    <col min="15385" max="15388" width="2.59765625" style="402" hidden="1" customWidth="1"/>
    <col min="15389" max="15389" width="2.3984375" style="402" hidden="1" customWidth="1"/>
    <col min="15390" max="15393" width="2.59765625" style="402" hidden="1" customWidth="1"/>
    <col min="15394" max="15399" width="2.3984375" style="402" hidden="1" customWidth="1"/>
    <col min="15400" max="15400" width="1.59765625" style="402" hidden="1" customWidth="1"/>
    <col min="15401" max="15616" width="2.59765625" style="402" hidden="1"/>
    <col min="15617" max="15617" width="1.59765625" style="402" hidden="1" customWidth="1"/>
    <col min="15618" max="15618" width="0.86328125" style="402" hidden="1" customWidth="1"/>
    <col min="15619" max="15634" width="2.59765625" style="402" hidden="1" customWidth="1"/>
    <col min="15635" max="15635" width="4" style="402" hidden="1" customWidth="1"/>
    <col min="15636" max="15639" width="2.59765625" style="402" hidden="1" customWidth="1"/>
    <col min="15640" max="15640" width="2.3984375" style="402" hidden="1" customWidth="1"/>
    <col min="15641" max="15644" width="2.59765625" style="402" hidden="1" customWidth="1"/>
    <col min="15645" max="15645" width="2.3984375" style="402" hidden="1" customWidth="1"/>
    <col min="15646" max="15649" width="2.59765625" style="402" hidden="1" customWidth="1"/>
    <col min="15650" max="15655" width="2.3984375" style="402" hidden="1" customWidth="1"/>
    <col min="15656" max="15656" width="1.59765625" style="402" hidden="1" customWidth="1"/>
    <col min="15657" max="15872" width="2.59765625" style="402" hidden="1"/>
    <col min="15873" max="15873" width="1.59765625" style="402" hidden="1" customWidth="1"/>
    <col min="15874" max="15874" width="0.86328125" style="402" hidden="1" customWidth="1"/>
    <col min="15875" max="15890" width="2.59765625" style="402" hidden="1" customWidth="1"/>
    <col min="15891" max="15891" width="4" style="402" hidden="1" customWidth="1"/>
    <col min="15892" max="15895" width="2.59765625" style="402" hidden="1" customWidth="1"/>
    <col min="15896" max="15896" width="2.3984375" style="402" hidden="1" customWidth="1"/>
    <col min="15897" max="15900" width="2.59765625" style="402" hidden="1" customWidth="1"/>
    <col min="15901" max="15901" width="2.3984375" style="402" hidden="1" customWidth="1"/>
    <col min="15902" max="15905" width="2.59765625" style="402" hidden="1" customWidth="1"/>
    <col min="15906" max="15911" width="2.3984375" style="402" hidden="1" customWidth="1"/>
    <col min="15912" max="15912" width="1.59765625" style="402" hidden="1" customWidth="1"/>
    <col min="15913" max="16128" width="2.59765625" style="402" hidden="1"/>
    <col min="16129" max="16129" width="1.59765625" style="402" hidden="1" customWidth="1"/>
    <col min="16130" max="16130" width="0.86328125" style="402" hidden="1" customWidth="1"/>
    <col min="16131" max="16146" width="2.59765625" style="402" hidden="1" customWidth="1"/>
    <col min="16147" max="16147" width="4" style="402" hidden="1" customWidth="1"/>
    <col min="16148" max="16151" width="2.59765625" style="402" hidden="1" customWidth="1"/>
    <col min="16152" max="16152" width="2.3984375" style="402" hidden="1" customWidth="1"/>
    <col min="16153" max="16156" width="2.59765625" style="402" hidden="1" customWidth="1"/>
    <col min="16157" max="16157" width="2.3984375" style="402" hidden="1" customWidth="1"/>
    <col min="16158" max="16161" width="2.59765625" style="402" hidden="1" customWidth="1"/>
    <col min="16162" max="16167" width="2.3984375" style="402" hidden="1" customWidth="1"/>
    <col min="16168" max="16168" width="1.59765625" style="402" hidden="1" customWidth="1"/>
    <col min="16169" max="16384" width="2.59765625" style="402" hidden="1"/>
  </cols>
  <sheetData>
    <row r="1" spans="1:40" ht="12.95" customHeight="1">
      <c r="A1" s="2374" t="s">
        <v>1280</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2.95"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4" t="str">
        <f xml:space="preserve"> IF(T25=100%,'Sources and Basis Breakdown'!G2,'Sources and Basis Breakdown'!F2)</f>
        <v>30% PVC for New Const/
Rehabilitation
DDA/QCT
Building(s)</v>
      </c>
      <c r="U7" s="2354"/>
      <c r="V7" s="2354"/>
      <c r="W7" s="2354"/>
      <c r="X7" s="2354"/>
      <c r="Y7" s="2354" t="str">
        <f>IF(T25=100%,"",'Sources and Basis Breakdown'!G2)</f>
        <v>30% PVC for New Const/
Rehabilitation
NON-DDA/
NON-QCT Building(s)</v>
      </c>
      <c r="Z7" s="2354"/>
      <c r="AA7" s="2354"/>
      <c r="AB7" s="2354"/>
      <c r="AC7" s="2354"/>
      <c r="AD7" s="2354" t="str">
        <f xml:space="preserve"> IF(T25=100%, 'Sources and Basis Breakdown'!J2,'Sources and Basis Breakdown'!I2)</f>
        <v>30% PVC for Acquisition
DDA/QCT Building(s)</v>
      </c>
      <c r="AE7" s="2354"/>
      <c r="AF7" s="2354"/>
      <c r="AG7" s="2354"/>
      <c r="AH7" s="2354"/>
      <c r="AI7" s="2354" t="str">
        <f>IF(T25=100%,"",'Sources and Basis Breakdown'!J2)</f>
        <v>30% PVC for Acquisition
NON-DDA/
NON-QCT Building(s)</v>
      </c>
      <c r="AJ7" s="2354"/>
      <c r="AK7" s="2354"/>
      <c r="AL7" s="2354"/>
      <c r="AM7" s="2354"/>
    </row>
    <row r="8" spans="1:40" ht="12.95" customHeight="1">
      <c r="B8" s="407"/>
      <c r="T8" s="2354"/>
      <c r="U8" s="2354"/>
      <c r="V8" s="2354"/>
      <c r="W8" s="2354"/>
      <c r="X8" s="2354"/>
      <c r="Y8" s="2354"/>
      <c r="Z8" s="2354"/>
      <c r="AA8" s="2354"/>
      <c r="AB8" s="2354"/>
      <c r="AC8" s="2354"/>
      <c r="AD8" s="2354"/>
      <c r="AE8" s="2354"/>
      <c r="AF8" s="2354"/>
      <c r="AG8" s="2354"/>
      <c r="AH8" s="2354"/>
      <c r="AI8" s="2354"/>
      <c r="AJ8" s="2354"/>
      <c r="AK8" s="2354"/>
      <c r="AL8" s="2354"/>
      <c r="AM8" s="2354"/>
    </row>
    <row r="9" spans="1:40" ht="12.95" customHeight="1">
      <c r="B9" s="407"/>
      <c r="T9" s="2354"/>
      <c r="U9" s="2354"/>
      <c r="V9" s="2354"/>
      <c r="W9" s="2354"/>
      <c r="X9" s="2354"/>
      <c r="Y9" s="2354"/>
      <c r="Z9" s="2354"/>
      <c r="AA9" s="2354"/>
      <c r="AB9" s="2354"/>
      <c r="AC9" s="2354"/>
      <c r="AD9" s="2354"/>
      <c r="AE9" s="2354"/>
      <c r="AF9" s="2354"/>
      <c r="AG9" s="2354"/>
      <c r="AH9" s="2354"/>
      <c r="AI9" s="2354"/>
      <c r="AJ9" s="2354"/>
      <c r="AK9" s="2354"/>
      <c r="AL9" s="2354"/>
      <c r="AM9" s="2354"/>
    </row>
    <row r="10" spans="1:40" ht="12.95" customHeight="1">
      <c r="B10" s="408"/>
      <c r="C10" s="409"/>
      <c r="D10" s="409"/>
      <c r="E10" s="409"/>
      <c r="F10" s="409"/>
      <c r="G10" s="409"/>
      <c r="H10" s="409"/>
      <c r="I10" s="409"/>
      <c r="J10" s="409"/>
      <c r="K10" s="409"/>
      <c r="L10" s="409"/>
      <c r="M10" s="409"/>
      <c r="N10" s="409"/>
      <c r="O10" s="409"/>
      <c r="P10" s="409"/>
      <c r="Q10" s="409"/>
      <c r="R10" s="409"/>
      <c r="S10" s="409"/>
      <c r="T10" s="2354"/>
      <c r="U10" s="2354"/>
      <c r="V10" s="2354"/>
      <c r="W10" s="2354"/>
      <c r="X10" s="2354"/>
      <c r="Y10" s="2354"/>
      <c r="Z10" s="2354"/>
      <c r="AA10" s="2354"/>
      <c r="AB10" s="2354"/>
      <c r="AC10" s="2354"/>
      <c r="AD10" s="2354"/>
      <c r="AE10" s="2354"/>
      <c r="AF10" s="2354"/>
      <c r="AG10" s="2354"/>
      <c r="AH10" s="2354"/>
      <c r="AI10" s="2354"/>
      <c r="AJ10" s="2354"/>
      <c r="AK10" s="2354"/>
      <c r="AL10" s="2354"/>
      <c r="AM10" s="2354"/>
    </row>
    <row r="11" spans="1:40" ht="12.95" customHeight="1">
      <c r="B11" s="2340" t="s">
        <v>374</v>
      </c>
      <c r="C11" s="2341"/>
      <c r="D11" s="2341"/>
      <c r="E11" s="2341"/>
      <c r="F11" s="2341"/>
      <c r="G11" s="2341"/>
      <c r="H11" s="2341"/>
      <c r="I11" s="2341"/>
      <c r="J11" s="2341"/>
      <c r="K11" s="2341"/>
      <c r="L11" s="2341"/>
      <c r="M11" s="2341"/>
      <c r="N11" s="2341"/>
      <c r="O11" s="2341"/>
      <c r="P11" s="2341"/>
      <c r="Q11" s="2341"/>
      <c r="R11" s="2341"/>
      <c r="S11" s="2342"/>
      <c r="T11" s="2376">
        <f>IF('Sources and Basis Breakdown'!F107=0,'Sources and Basis Breakdown'!E107,'Sources and Basis Breakdown'!F107)</f>
        <v>42617264</v>
      </c>
      <c r="U11" s="2377"/>
      <c r="V11" s="2377"/>
      <c r="W11" s="2377"/>
      <c r="X11" s="2377"/>
      <c r="Y11" s="2376">
        <f>IF(Y7="",0,IF('Sources and Basis Breakdown'!G107+'Sources and Basis Breakdown'!F107='Sources and Basis Breakdown'!E107,'Sources and Basis Breakdown'!G107,0))</f>
        <v>0</v>
      </c>
      <c r="Z11" s="2377"/>
      <c r="AA11" s="2377"/>
      <c r="AB11" s="2377"/>
      <c r="AC11" s="2377"/>
      <c r="AD11" s="2377">
        <f>IF('Sources and Basis Breakdown'!I107=0,'Sources and Basis Breakdown'!H107,'Sources and Basis Breakdown'!I107)</f>
        <v>0</v>
      </c>
      <c r="AE11" s="2377"/>
      <c r="AF11" s="2377"/>
      <c r="AG11" s="2377"/>
      <c r="AH11" s="2377"/>
      <c r="AI11" s="2377">
        <f>IF(Y7="",0,IF('Sources and Basis Breakdown'!I107+'Sources and Basis Breakdown'!J107='Sources and Basis Breakdown'!H107,'Sources and Basis Breakdown'!J107,0))</f>
        <v>0</v>
      </c>
      <c r="AJ11" s="2377"/>
      <c r="AK11" s="2377"/>
      <c r="AL11" s="2377"/>
      <c r="AM11" s="2377"/>
    </row>
    <row r="12" spans="1:40" ht="12.95" customHeight="1">
      <c r="B12" s="2378" t="s">
        <v>497</v>
      </c>
      <c r="C12" s="1309"/>
      <c r="D12" s="1309"/>
      <c r="E12" s="1309"/>
      <c r="F12" s="1309"/>
      <c r="G12" s="1309"/>
      <c r="H12" s="1309"/>
      <c r="I12" s="1309"/>
      <c r="J12" s="1309"/>
      <c r="K12" s="1309"/>
      <c r="L12" s="1309"/>
      <c r="M12" s="1309"/>
      <c r="N12" s="1309"/>
      <c r="O12" s="1309"/>
      <c r="P12" s="1309"/>
      <c r="Q12" s="1309"/>
      <c r="R12" s="1309"/>
      <c r="S12" s="2379"/>
      <c r="T12" s="2369"/>
      <c r="U12" s="2370"/>
      <c r="V12" s="2370"/>
      <c r="W12" s="2370"/>
      <c r="X12" s="2371"/>
      <c r="Y12" s="2369"/>
      <c r="Z12" s="2370"/>
      <c r="AA12" s="2370"/>
      <c r="AB12" s="2370"/>
      <c r="AC12" s="2371"/>
      <c r="AD12" s="2369"/>
      <c r="AE12" s="2370"/>
      <c r="AF12" s="2370"/>
      <c r="AG12" s="2370"/>
      <c r="AH12" s="2371"/>
      <c r="AI12" s="2369"/>
      <c r="AJ12" s="2370"/>
      <c r="AK12" s="2370"/>
      <c r="AL12" s="2370"/>
      <c r="AM12" s="2371"/>
    </row>
    <row r="13" spans="1:40" ht="12.95" customHeight="1">
      <c r="B13" s="435"/>
      <c r="C13" s="2380" t="s">
        <v>498</v>
      </c>
      <c r="D13" s="2380"/>
      <c r="E13" s="2380"/>
      <c r="F13" s="2380"/>
      <c r="G13" s="2380"/>
      <c r="H13" s="2380"/>
      <c r="I13" s="2380"/>
      <c r="J13" s="2380"/>
      <c r="K13" s="2380"/>
      <c r="L13" s="2380"/>
      <c r="M13" s="2380"/>
      <c r="N13" s="2380"/>
      <c r="O13" s="2380"/>
      <c r="P13" s="2380"/>
      <c r="Q13" s="2380"/>
      <c r="R13" s="2380"/>
      <c r="S13" s="2381"/>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2.95" customHeight="1">
      <c r="B14" s="435"/>
      <c r="C14" s="2380" t="s">
        <v>499</v>
      </c>
      <c r="D14" s="2380"/>
      <c r="E14" s="2380"/>
      <c r="F14" s="2380"/>
      <c r="G14" s="2380"/>
      <c r="H14" s="2380"/>
      <c r="I14" s="2380"/>
      <c r="J14" s="2380"/>
      <c r="K14" s="2380"/>
      <c r="L14" s="2380"/>
      <c r="M14" s="2380"/>
      <c r="N14" s="2380"/>
      <c r="O14" s="2380"/>
      <c r="P14" s="2380"/>
      <c r="Q14" s="2380"/>
      <c r="R14" s="2380"/>
      <c r="S14" s="2381"/>
      <c r="T14" s="2362"/>
      <c r="U14" s="2363"/>
      <c r="V14" s="2363"/>
      <c r="W14" s="2363"/>
      <c r="X14" s="2363"/>
      <c r="Y14" s="2362"/>
      <c r="Z14" s="2363"/>
      <c r="AA14" s="2363"/>
      <c r="AB14" s="2363"/>
      <c r="AC14" s="2363"/>
      <c r="AD14" s="2363"/>
      <c r="AE14" s="2363"/>
      <c r="AF14" s="2363"/>
      <c r="AG14" s="2363"/>
      <c r="AH14" s="2363"/>
      <c r="AI14" s="2363"/>
      <c r="AJ14" s="2363"/>
      <c r="AK14" s="2363"/>
      <c r="AL14" s="2363"/>
      <c r="AM14" s="2363"/>
    </row>
    <row r="15" spans="1:40" ht="12.95" customHeight="1">
      <c r="B15" s="435"/>
      <c r="C15" s="2380" t="s">
        <v>500</v>
      </c>
      <c r="D15" s="2380"/>
      <c r="E15" s="2380"/>
      <c r="F15" s="2380"/>
      <c r="G15" s="2380"/>
      <c r="H15" s="2380"/>
      <c r="I15" s="2380"/>
      <c r="J15" s="2380"/>
      <c r="K15" s="2380"/>
      <c r="L15" s="2380"/>
      <c r="M15" s="2380"/>
      <c r="N15" s="2380"/>
      <c r="O15" s="2380"/>
      <c r="P15" s="2380"/>
      <c r="Q15" s="2380"/>
      <c r="R15" s="2380"/>
      <c r="S15" s="2381"/>
      <c r="T15" s="2362"/>
      <c r="U15" s="2363"/>
      <c r="V15" s="2363"/>
      <c r="W15" s="2363"/>
      <c r="X15" s="2363"/>
      <c r="Y15" s="2362"/>
      <c r="Z15" s="2363"/>
      <c r="AA15" s="2363"/>
      <c r="AB15" s="2363"/>
      <c r="AC15" s="2363"/>
      <c r="AD15" s="2363"/>
      <c r="AE15" s="2363"/>
      <c r="AF15" s="2363"/>
      <c r="AG15" s="2363"/>
      <c r="AH15" s="2363"/>
      <c r="AI15" s="2363"/>
      <c r="AJ15" s="2363"/>
      <c r="AK15" s="2363"/>
      <c r="AL15" s="2363"/>
      <c r="AM15" s="2363"/>
    </row>
    <row r="16" spans="1:40" ht="12.95" customHeight="1">
      <c r="B16" s="435"/>
      <c r="C16" s="2380" t="s">
        <v>805</v>
      </c>
      <c r="D16" s="2380"/>
      <c r="E16" s="2380"/>
      <c r="F16" s="2380"/>
      <c r="G16" s="2380"/>
      <c r="H16" s="2380"/>
      <c r="I16" s="2380"/>
      <c r="J16" s="2380"/>
      <c r="K16" s="2380"/>
      <c r="L16" s="2380"/>
      <c r="M16" s="2380"/>
      <c r="N16" s="2380"/>
      <c r="O16" s="2380"/>
      <c r="P16" s="2380"/>
      <c r="Q16" s="2380"/>
      <c r="R16" s="2380"/>
      <c r="S16" s="2381"/>
      <c r="T16" s="2362"/>
      <c r="U16" s="2363"/>
      <c r="V16" s="2363"/>
      <c r="W16" s="2363"/>
      <c r="X16" s="2363"/>
      <c r="Y16" s="2362"/>
      <c r="Z16" s="2363"/>
      <c r="AA16" s="2363"/>
      <c r="AB16" s="2363"/>
      <c r="AC16" s="2363"/>
      <c r="AD16" s="2363"/>
      <c r="AE16" s="2363"/>
      <c r="AF16" s="2363"/>
      <c r="AG16" s="2363"/>
      <c r="AH16" s="2363"/>
      <c r="AI16" s="2363"/>
      <c r="AJ16" s="2363"/>
      <c r="AK16" s="2363"/>
      <c r="AL16" s="2363"/>
      <c r="AM16" s="2363"/>
    </row>
    <row r="17" spans="1:40" ht="12.95" customHeight="1">
      <c r="B17" s="435"/>
      <c r="C17" s="2380" t="s">
        <v>501</v>
      </c>
      <c r="D17" s="2380"/>
      <c r="E17" s="2380"/>
      <c r="F17" s="2380"/>
      <c r="G17" s="2380"/>
      <c r="H17" s="2380"/>
      <c r="I17" s="2380"/>
      <c r="J17" s="2380"/>
      <c r="K17" s="2380"/>
      <c r="L17" s="2380"/>
      <c r="M17" s="2380"/>
      <c r="N17" s="2380"/>
      <c r="O17" s="2380"/>
      <c r="P17" s="2380"/>
      <c r="Q17" s="2380"/>
      <c r="R17" s="2380"/>
      <c r="S17" s="2381"/>
      <c r="T17" s="2362"/>
      <c r="U17" s="2363"/>
      <c r="V17" s="2363"/>
      <c r="W17" s="2363"/>
      <c r="X17" s="2363"/>
      <c r="Y17" s="2362"/>
      <c r="Z17" s="2363"/>
      <c r="AA17" s="2363"/>
      <c r="AB17" s="2363"/>
      <c r="AC17" s="2363"/>
      <c r="AD17" s="2363"/>
      <c r="AE17" s="2363"/>
      <c r="AF17" s="2363"/>
      <c r="AG17" s="2363"/>
      <c r="AH17" s="2363"/>
      <c r="AI17" s="2363"/>
      <c r="AJ17" s="2363"/>
      <c r="AK17" s="2363"/>
      <c r="AL17" s="2363"/>
      <c r="AM17" s="2363"/>
    </row>
    <row r="18" spans="1:40" ht="12.95" customHeight="1">
      <c r="A18"/>
      <c r="B18" s="1150"/>
      <c r="C18" s="1567" t="s">
        <v>960</v>
      </c>
      <c r="D18" s="1567"/>
      <c r="E18" s="1567"/>
      <c r="F18" s="1567"/>
      <c r="G18" s="1567"/>
      <c r="H18" s="1567"/>
      <c r="I18" s="1567"/>
      <c r="J18" s="1567"/>
      <c r="K18" s="1567"/>
      <c r="L18" s="1567"/>
      <c r="M18" s="1567"/>
      <c r="N18" s="1567"/>
      <c r="O18" s="1567"/>
      <c r="P18" s="1567"/>
      <c r="Q18" s="1567"/>
      <c r="R18" s="1567"/>
      <c r="S18" s="1568"/>
      <c r="T18" s="2362"/>
      <c r="U18" s="2363"/>
      <c r="V18" s="2363"/>
      <c r="W18" s="2363"/>
      <c r="X18" s="2363"/>
      <c r="Y18" s="2362"/>
      <c r="Z18" s="2363"/>
      <c r="AA18" s="2363"/>
      <c r="AB18" s="2363"/>
      <c r="AC18" s="2363"/>
      <c r="AD18" s="2363"/>
      <c r="AE18" s="2363"/>
      <c r="AF18" s="2363"/>
      <c r="AG18" s="2363"/>
      <c r="AH18" s="2363"/>
      <c r="AI18" s="2363"/>
      <c r="AJ18" s="2363"/>
      <c r="AK18" s="2363"/>
      <c r="AL18" s="2363"/>
      <c r="AM18" s="2363"/>
    </row>
    <row r="19" spans="1:40" ht="12.95" customHeight="1">
      <c r="B19" s="1150"/>
      <c r="C19" s="1567" t="s">
        <v>960</v>
      </c>
      <c r="D19" s="1567"/>
      <c r="E19" s="1567"/>
      <c r="F19" s="1567"/>
      <c r="G19" s="1567"/>
      <c r="H19" s="1567"/>
      <c r="I19" s="1567"/>
      <c r="J19" s="1567"/>
      <c r="K19" s="1567"/>
      <c r="L19" s="1567"/>
      <c r="M19" s="1567"/>
      <c r="N19" s="1567"/>
      <c r="O19" s="1567"/>
      <c r="P19" s="1567"/>
      <c r="Q19" s="1567"/>
      <c r="R19" s="1567"/>
      <c r="S19" s="1568"/>
      <c r="T19" s="2362"/>
      <c r="U19" s="2363"/>
      <c r="V19" s="2363"/>
      <c r="W19" s="2363"/>
      <c r="X19" s="2363"/>
      <c r="Y19" s="2362"/>
      <c r="Z19" s="2363"/>
      <c r="AA19" s="2363"/>
      <c r="AB19" s="2363"/>
      <c r="AC19" s="2363"/>
      <c r="AD19" s="2363"/>
      <c r="AE19" s="2363"/>
      <c r="AF19" s="2363"/>
      <c r="AG19" s="2363"/>
      <c r="AH19" s="2363"/>
      <c r="AI19" s="2363"/>
      <c r="AJ19" s="2363"/>
      <c r="AK19" s="2363"/>
      <c r="AL19" s="2363"/>
      <c r="AM19" s="2363"/>
    </row>
    <row r="20" spans="1:40" ht="12.95" customHeight="1">
      <c r="B20" s="2340" t="s">
        <v>502</v>
      </c>
      <c r="C20" s="2341"/>
      <c r="D20" s="2341"/>
      <c r="E20" s="2341"/>
      <c r="F20" s="2341"/>
      <c r="G20" s="2341"/>
      <c r="H20" s="2341"/>
      <c r="I20" s="2341"/>
      <c r="J20" s="2341"/>
      <c r="K20" s="2341"/>
      <c r="L20" s="2341"/>
      <c r="M20" s="2341"/>
      <c r="N20" s="2341"/>
      <c r="O20" s="2341"/>
      <c r="P20" s="2341"/>
      <c r="Q20" s="2341"/>
      <c r="R20" s="2341"/>
      <c r="S20" s="2342"/>
      <c r="T20" s="2353">
        <f>SUM(T13:X19)</f>
        <v>0</v>
      </c>
      <c r="U20" s="2334"/>
      <c r="V20" s="2334"/>
      <c r="W20" s="2334"/>
      <c r="X20" s="2334"/>
      <c r="Y20" s="2353">
        <f>SUM(Y13:AC19)</f>
        <v>0</v>
      </c>
      <c r="Z20" s="2334"/>
      <c r="AA20" s="2334"/>
      <c r="AB20" s="2334"/>
      <c r="AC20" s="2334"/>
      <c r="AD20" s="2344">
        <f>SUM(AD13:AH19)</f>
        <v>0</v>
      </c>
      <c r="AE20" s="2352"/>
      <c r="AF20" s="2352"/>
      <c r="AG20" s="2352"/>
      <c r="AH20" s="2353"/>
      <c r="AI20" s="2344">
        <f>SUM(AI13:AM19)</f>
        <v>0</v>
      </c>
      <c r="AJ20" s="2352"/>
      <c r="AK20" s="2352"/>
      <c r="AL20" s="2352"/>
      <c r="AM20" s="2353"/>
    </row>
    <row r="21" spans="1:40" ht="12.95" customHeight="1">
      <c r="B21" s="2340" t="s">
        <v>1263</v>
      </c>
      <c r="C21" s="2341"/>
      <c r="D21" s="2341"/>
      <c r="E21" s="2341"/>
      <c r="F21" s="2341"/>
      <c r="G21" s="2341"/>
      <c r="H21" s="2341"/>
      <c r="I21" s="2341"/>
      <c r="J21" s="2341"/>
      <c r="K21" s="2341"/>
      <c r="L21" s="2341"/>
      <c r="M21" s="2341"/>
      <c r="N21" s="2341"/>
      <c r="O21" s="2341"/>
      <c r="P21" s="2341"/>
      <c r="Q21" s="2341"/>
      <c r="R21" s="2341"/>
      <c r="S21" s="2342"/>
      <c r="T21" s="2362"/>
      <c r="U21" s="2363"/>
      <c r="V21" s="2363"/>
      <c r="W21" s="2363"/>
      <c r="X21" s="2363"/>
      <c r="Y21" s="2362"/>
      <c r="Z21" s="2363"/>
      <c r="AA21" s="2363"/>
      <c r="AB21" s="2363"/>
      <c r="AC21" s="2363"/>
      <c r="AD21" s="2369"/>
      <c r="AE21" s="2370"/>
      <c r="AF21" s="2370"/>
      <c r="AG21" s="2370"/>
      <c r="AH21" s="2371"/>
      <c r="AI21" s="2369"/>
      <c r="AJ21" s="2370"/>
      <c r="AK21" s="2370"/>
      <c r="AL21" s="2370"/>
      <c r="AM21" s="2371"/>
    </row>
    <row r="22" spans="1:40" ht="12.95" customHeight="1">
      <c r="B22" s="2340" t="s">
        <v>503</v>
      </c>
      <c r="C22" s="2341"/>
      <c r="D22" s="2341"/>
      <c r="E22" s="2341"/>
      <c r="F22" s="2341"/>
      <c r="G22" s="2341"/>
      <c r="H22" s="2341"/>
      <c r="I22" s="2341"/>
      <c r="J22" s="2341"/>
      <c r="K22" s="2341"/>
      <c r="L22" s="2341"/>
      <c r="M22" s="2341"/>
      <c r="N22" s="2341"/>
      <c r="O22" s="2341"/>
      <c r="P22" s="2341"/>
      <c r="Q22" s="2341"/>
      <c r="R22" s="2341"/>
      <c r="S22" s="2342"/>
      <c r="T22" s="2358">
        <f>(ABS(T20)+ABS(T21))*-1</f>
        <v>0</v>
      </c>
      <c r="U22" s="2359"/>
      <c r="V22" s="2359"/>
      <c r="W22" s="2359"/>
      <c r="X22" s="2359"/>
      <c r="Y22" s="2358">
        <f>(Y20+Y21)*-1</f>
        <v>0</v>
      </c>
      <c r="Z22" s="2359"/>
      <c r="AA22" s="2359"/>
      <c r="AB22" s="2359"/>
      <c r="AC22" s="2359"/>
      <c r="AD22" s="2360">
        <f>(AD20)*-1</f>
        <v>0</v>
      </c>
      <c r="AE22" s="2361"/>
      <c r="AF22" s="2361"/>
      <c r="AG22" s="2361"/>
      <c r="AH22" s="2358"/>
      <c r="AI22" s="2360">
        <f>(AI20)*-1</f>
        <v>0</v>
      </c>
      <c r="AJ22" s="2361"/>
      <c r="AK22" s="2361"/>
      <c r="AL22" s="2361"/>
      <c r="AM22" s="2358"/>
    </row>
    <row r="23" spans="1:40" ht="12.95" customHeight="1">
      <c r="B23" s="2340" t="s">
        <v>504</v>
      </c>
      <c r="C23" s="2341"/>
      <c r="D23" s="2341"/>
      <c r="E23" s="2341"/>
      <c r="F23" s="2341"/>
      <c r="G23" s="2341"/>
      <c r="H23" s="2341"/>
      <c r="I23" s="2341"/>
      <c r="J23" s="2341"/>
      <c r="K23" s="2341"/>
      <c r="L23" s="2341"/>
      <c r="M23" s="2341"/>
      <c r="N23" s="2341"/>
      <c r="O23" s="2341"/>
      <c r="P23" s="2341"/>
      <c r="Q23" s="2341"/>
      <c r="R23" s="2341"/>
      <c r="S23" s="2342"/>
      <c r="T23" s="2353">
        <f>T11+T22</f>
        <v>42617264</v>
      </c>
      <c r="U23" s="2334"/>
      <c r="V23" s="2334"/>
      <c r="W23" s="2334"/>
      <c r="X23" s="2334"/>
      <c r="Y23" s="2353">
        <f>Y11+Y22</f>
        <v>0</v>
      </c>
      <c r="Z23" s="2334"/>
      <c r="AA23" s="2334"/>
      <c r="AB23" s="2334"/>
      <c r="AC23" s="2334"/>
      <c r="AD23" s="2353">
        <f>AD11+AD22</f>
        <v>0</v>
      </c>
      <c r="AE23" s="2334"/>
      <c r="AF23" s="2334"/>
      <c r="AG23" s="2334"/>
      <c r="AH23" s="2334"/>
      <c r="AI23" s="2353">
        <f>AI11+AI22</f>
        <v>0</v>
      </c>
      <c r="AJ23" s="2334"/>
      <c r="AK23" s="2334"/>
      <c r="AL23" s="2334"/>
      <c r="AM23" s="2334"/>
    </row>
    <row r="24" spans="1:40" ht="12.95" customHeight="1">
      <c r="B24" s="2340" t="s">
        <v>961</v>
      </c>
      <c r="C24" s="2341"/>
      <c r="D24" s="2341"/>
      <c r="E24" s="2341"/>
      <c r="F24" s="2341"/>
      <c r="G24" s="2341"/>
      <c r="H24" s="2341"/>
      <c r="I24" s="2341"/>
      <c r="J24" s="2341"/>
      <c r="K24" s="2341"/>
      <c r="L24" s="2341"/>
      <c r="M24" s="2341"/>
      <c r="N24" s="2341"/>
      <c r="O24" s="2341"/>
      <c r="P24" s="2341"/>
      <c r="Q24" s="2341"/>
      <c r="R24" s="2341"/>
      <c r="S24" s="2342"/>
      <c r="T24" s="2344">
        <f>Application!AJ1053</f>
        <v>90738650</v>
      </c>
      <c r="U24" s="2352"/>
      <c r="V24" s="2352"/>
      <c r="W24" s="2352"/>
      <c r="X24" s="2352"/>
      <c r="Y24" s="2352"/>
      <c r="Z24" s="2352"/>
      <c r="AA24" s="2352"/>
      <c r="AB24" s="2352"/>
      <c r="AC24" s="2352"/>
      <c r="AD24" s="2352"/>
      <c r="AE24" s="2352"/>
      <c r="AF24" s="2352"/>
      <c r="AG24" s="2352"/>
      <c r="AH24" s="2352"/>
      <c r="AI24" s="2352"/>
      <c r="AJ24" s="2352"/>
      <c r="AK24" s="2352"/>
      <c r="AL24" s="2352"/>
      <c r="AM24" s="2353"/>
    </row>
    <row r="25" spans="1:40" ht="12.95" customHeight="1">
      <c r="B25" s="2384" t="s">
        <v>1264</v>
      </c>
      <c r="C25" s="2385"/>
      <c r="D25" s="2385"/>
      <c r="E25" s="2385"/>
      <c r="F25" s="2385"/>
      <c r="G25" s="2385"/>
      <c r="H25" s="2385"/>
      <c r="I25" s="2385"/>
      <c r="J25" s="2385"/>
      <c r="K25" s="2385"/>
      <c r="L25" s="2385"/>
      <c r="M25" s="2385"/>
      <c r="N25" s="2385"/>
      <c r="O25" s="2385"/>
      <c r="P25" s="2385"/>
      <c r="Q25" s="2385"/>
      <c r="R25" s="2385"/>
      <c r="S25" s="2386"/>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2.95" customHeight="1">
      <c r="B26" s="2340" t="s">
        <v>505</v>
      </c>
      <c r="C26" s="2341"/>
      <c r="D26" s="2341"/>
      <c r="E26" s="2341"/>
      <c r="F26" s="2341"/>
      <c r="G26" s="2341"/>
      <c r="H26" s="2341"/>
      <c r="I26" s="2341"/>
      <c r="J26" s="2341"/>
      <c r="K26" s="2341"/>
      <c r="L26" s="2341"/>
      <c r="M26" s="2341"/>
      <c r="N26" s="2341"/>
      <c r="O26" s="2341"/>
      <c r="P26" s="2341"/>
      <c r="Q26" s="2341"/>
      <c r="R26" s="2341"/>
      <c r="S26" s="2342"/>
      <c r="T26" s="2353">
        <f>T23*T25</f>
        <v>55402443.200000003</v>
      </c>
      <c r="U26" s="2334"/>
      <c r="V26" s="2334"/>
      <c r="W26" s="2334"/>
      <c r="X26" s="2334"/>
      <c r="Y26" s="2353">
        <f>Y23*Y25</f>
        <v>0</v>
      </c>
      <c r="Z26" s="2334"/>
      <c r="AA26" s="2334"/>
      <c r="AB26" s="2334"/>
      <c r="AC26" s="2334"/>
      <c r="AD26" s="2353">
        <f>AD23*AD25</f>
        <v>0</v>
      </c>
      <c r="AE26" s="2334"/>
      <c r="AF26" s="2334"/>
      <c r="AG26" s="2334"/>
      <c r="AH26" s="2334"/>
      <c r="AI26" s="2353">
        <f>AI23*AI25</f>
        <v>0</v>
      </c>
      <c r="AJ26" s="2334"/>
      <c r="AK26" s="2334"/>
      <c r="AL26" s="2334"/>
      <c r="AM26" s="2334"/>
    </row>
    <row r="27" spans="1:40" ht="12.95" customHeight="1">
      <c r="A27" s="410"/>
      <c r="B27" s="2387" t="s">
        <v>425</v>
      </c>
      <c r="C27" s="2388"/>
      <c r="D27" s="2388"/>
      <c r="E27" s="2388"/>
      <c r="F27" s="2388"/>
      <c r="G27" s="2388"/>
      <c r="H27" s="2388"/>
      <c r="I27" s="2388"/>
      <c r="J27" s="2388"/>
      <c r="K27" s="2388"/>
      <c r="L27" s="2388"/>
      <c r="M27" s="2388"/>
      <c r="N27" s="2388"/>
      <c r="O27" s="2388"/>
      <c r="P27" s="2388"/>
      <c r="Q27" s="2388"/>
      <c r="R27" s="2388"/>
      <c r="S27" s="2389"/>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2.95" customHeight="1">
      <c r="A28" s="404"/>
      <c r="B28" s="2340" t="s">
        <v>506</v>
      </c>
      <c r="C28" s="2341"/>
      <c r="D28" s="2341"/>
      <c r="E28" s="2341"/>
      <c r="F28" s="2341"/>
      <c r="G28" s="2341"/>
      <c r="H28" s="2341"/>
      <c r="I28" s="2341"/>
      <c r="J28" s="2341"/>
      <c r="K28" s="2341"/>
      <c r="L28" s="2341"/>
      <c r="M28" s="2341"/>
      <c r="N28" s="2341"/>
      <c r="O28" s="2341"/>
      <c r="P28" s="2341"/>
      <c r="Q28" s="2341"/>
      <c r="R28" s="2341"/>
      <c r="S28" s="2342"/>
      <c r="T28" s="2353">
        <f>IF(ISERROR((T26*T27)),0,(T26*T27))</f>
        <v>55402443.200000003</v>
      </c>
      <c r="U28" s="2334"/>
      <c r="V28" s="2334"/>
      <c r="W28" s="2334"/>
      <c r="X28" s="2334"/>
      <c r="Y28" s="2353">
        <f>IF(ISERROR((Y26*Y27)),0,(Y26*Y27))</f>
        <v>0</v>
      </c>
      <c r="Z28" s="2334"/>
      <c r="AA28" s="2334"/>
      <c r="AB28" s="2334"/>
      <c r="AC28" s="2334"/>
      <c r="AD28" s="2353">
        <f>IF(ISERROR((AD26*AD27)),0,(AD26*AD27))</f>
        <v>0</v>
      </c>
      <c r="AE28" s="2334"/>
      <c r="AF28" s="2334"/>
      <c r="AG28" s="2334"/>
      <c r="AH28" s="2334"/>
      <c r="AI28" s="2353">
        <f>IF(ISERROR((AI26*AI27)),0,(AI26*AI27))</f>
        <v>0</v>
      </c>
      <c r="AJ28" s="2334"/>
      <c r="AK28" s="2334"/>
      <c r="AL28" s="2334"/>
      <c r="AM28" s="2334"/>
    </row>
    <row r="29" spans="1:40" ht="12.95" customHeight="1">
      <c r="B29" s="2340" t="s">
        <v>523</v>
      </c>
      <c r="C29" s="2341"/>
      <c r="D29" s="2341"/>
      <c r="E29" s="2341"/>
      <c r="F29" s="2341"/>
      <c r="G29" s="2341"/>
      <c r="H29" s="2341"/>
      <c r="I29" s="2341"/>
      <c r="J29" s="2341"/>
      <c r="K29" s="2341"/>
      <c r="L29" s="2341"/>
      <c r="M29" s="2341"/>
      <c r="N29" s="2341"/>
      <c r="O29" s="2341"/>
      <c r="P29" s="2341"/>
      <c r="Q29" s="2341"/>
      <c r="R29" s="2341"/>
      <c r="S29" s="2342"/>
      <c r="T29" s="2344">
        <f>T28+Y28+AD28+AI28</f>
        <v>55402443.200000003</v>
      </c>
      <c r="U29" s="2352"/>
      <c r="V29" s="2352"/>
      <c r="W29" s="2352"/>
      <c r="X29" s="2352"/>
      <c r="Y29" s="2352"/>
      <c r="Z29" s="2352"/>
      <c r="AA29" s="2352"/>
      <c r="AB29" s="2352"/>
      <c r="AC29" s="2352"/>
      <c r="AD29" s="2352"/>
      <c r="AE29" s="2352"/>
      <c r="AF29" s="2352"/>
      <c r="AG29" s="2352"/>
      <c r="AH29" s="2352"/>
      <c r="AI29" s="2352"/>
      <c r="AJ29" s="2352"/>
      <c r="AK29" s="2352"/>
      <c r="AL29" s="2352"/>
      <c r="AM29" s="2353"/>
    </row>
    <row r="30" spans="1:40" ht="12.95" customHeight="1">
      <c r="B30" s="2357" t="s">
        <v>1266</v>
      </c>
      <c r="C30" s="2357"/>
      <c r="D30" s="2357"/>
      <c r="E30" s="2357"/>
      <c r="F30" s="2357"/>
      <c r="G30" s="2357"/>
      <c r="H30" s="2357"/>
      <c r="I30" s="2357"/>
      <c r="J30" s="2357"/>
      <c r="K30" s="2357"/>
      <c r="L30" s="2357"/>
      <c r="M30" s="2357"/>
      <c r="N30" s="2357"/>
      <c r="O30" s="2357"/>
      <c r="P30" s="2357"/>
      <c r="Q30" s="2357"/>
      <c r="R30" s="2357"/>
      <c r="S30" s="2357"/>
      <c r="T30" s="2357"/>
      <c r="U30" s="2357"/>
      <c r="V30" s="2357"/>
      <c r="W30" s="2357"/>
      <c r="X30" s="2357"/>
      <c r="Y30" s="2357"/>
      <c r="Z30" s="2357"/>
      <c r="AA30" s="2357"/>
      <c r="AB30" s="2357"/>
      <c r="AC30" s="2357"/>
      <c r="AD30" s="2357"/>
      <c r="AE30" s="2357"/>
      <c r="AF30" s="2357"/>
      <c r="AG30" s="2357"/>
      <c r="AH30" s="2357"/>
      <c r="AI30" s="2357"/>
      <c r="AJ30" s="2357"/>
      <c r="AK30" s="2357"/>
      <c r="AL30" s="2357"/>
      <c r="AM30" s="2357"/>
    </row>
    <row r="31" spans="1:40" ht="12.95" customHeight="1">
      <c r="B31" s="2357" t="s">
        <v>1265</v>
      </c>
      <c r="C31" s="2357"/>
      <c r="D31" s="2357"/>
      <c r="E31" s="2357"/>
      <c r="F31" s="2357"/>
      <c r="G31" s="2357"/>
      <c r="H31" s="2357"/>
      <c r="I31" s="2357"/>
      <c r="J31" s="2357"/>
      <c r="K31" s="2357"/>
      <c r="L31" s="2357"/>
      <c r="M31" s="2357"/>
      <c r="N31" s="2357"/>
      <c r="O31" s="2357"/>
      <c r="P31" s="2357"/>
      <c r="Q31" s="2357"/>
      <c r="R31" s="2357"/>
      <c r="S31" s="2357"/>
      <c r="T31" s="2357"/>
      <c r="U31" s="2357"/>
      <c r="V31" s="2357"/>
      <c r="W31" s="2357"/>
      <c r="X31" s="2357"/>
      <c r="Y31" s="2357"/>
      <c r="Z31" s="2357"/>
      <c r="AA31" s="2357"/>
      <c r="AB31" s="2357"/>
      <c r="AC31" s="2357"/>
      <c r="AD31" s="2357"/>
      <c r="AE31" s="2357"/>
      <c r="AF31" s="2357"/>
      <c r="AG31" s="2357"/>
      <c r="AH31" s="2357"/>
      <c r="AI31" s="2357"/>
      <c r="AJ31" s="2357"/>
      <c r="AK31" s="2357"/>
      <c r="AL31" s="2357"/>
      <c r="AM31" s="2357"/>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4" t="s">
        <v>1154</v>
      </c>
      <c r="Z35" s="2354"/>
      <c r="AA35" s="2354"/>
      <c r="AB35" s="2354"/>
      <c r="AC35" s="2354"/>
      <c r="AD35" s="2355" t="s">
        <v>368</v>
      </c>
      <c r="AE35" s="2355"/>
      <c r="AF35" s="2355"/>
      <c r="AG35" s="2355"/>
      <c r="AH35" s="2355"/>
    </row>
    <row r="36" spans="1:76" ht="12.95" customHeight="1">
      <c r="B36" s="407"/>
      <c r="X36" s="412"/>
      <c r="Y36" s="2354"/>
      <c r="Z36" s="2354"/>
      <c r="AA36" s="2354"/>
      <c r="AB36" s="2354"/>
      <c r="AC36" s="2354"/>
      <c r="AD36" s="2355"/>
      <c r="AE36" s="2355"/>
      <c r="AF36" s="2355"/>
      <c r="AG36" s="2355"/>
      <c r="AH36" s="235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4"/>
      <c r="Z37" s="2354"/>
      <c r="AA37" s="2354"/>
      <c r="AB37" s="2354"/>
      <c r="AC37" s="2354"/>
      <c r="AD37" s="2355"/>
      <c r="AE37" s="2355"/>
      <c r="AF37" s="2355"/>
      <c r="AG37" s="2355"/>
      <c r="AH37" s="2355"/>
    </row>
    <row r="38" spans="1:76" ht="12.95" customHeight="1">
      <c r="A38" s="404"/>
      <c r="B38" s="2340" t="s">
        <v>506</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55402443.200000003</v>
      </c>
      <c r="Z38" s="2334"/>
      <c r="AA38" s="2334"/>
      <c r="AB38" s="2334"/>
      <c r="AC38" s="2334"/>
      <c r="AD38" s="2334">
        <f>IF(T24&gt;=(T23+Y23+AD23+AI23),AD28+AI28,0)</f>
        <v>0</v>
      </c>
      <c r="AE38" s="2334"/>
      <c r="AF38" s="2334"/>
      <c r="AG38" s="2334"/>
      <c r="AH38" s="2334"/>
    </row>
    <row r="39" spans="1:76" ht="12.95" customHeight="1">
      <c r="B39" s="2340" t="s">
        <v>1691</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56">
        <v>0.04</v>
      </c>
      <c r="Z39" s="2356"/>
      <c r="AA39" s="2356"/>
      <c r="AB39" s="2356"/>
      <c r="AC39" s="2356"/>
      <c r="AD39" s="2356">
        <v>0.04</v>
      </c>
      <c r="AE39" s="2356"/>
      <c r="AF39" s="2356"/>
      <c r="AG39" s="2356"/>
      <c r="AH39" s="2356"/>
    </row>
    <row r="40" spans="1:76" ht="12.95" customHeight="1">
      <c r="A40" s="404"/>
      <c r="B40" s="2340" t="s">
        <v>642</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2216098</v>
      </c>
      <c r="Z40" s="2334"/>
      <c r="AA40" s="2334"/>
      <c r="AB40" s="2334"/>
      <c r="AC40" s="2334"/>
      <c r="AD40" s="2353">
        <f>ROUND(AD38*AD39,0)</f>
        <v>0</v>
      </c>
      <c r="AE40" s="2334"/>
      <c r="AF40" s="2334"/>
      <c r="AG40" s="2334"/>
      <c r="AH40" s="2334"/>
    </row>
    <row r="41" spans="1:76" ht="12.95" customHeight="1">
      <c r="B41" s="2340" t="s">
        <v>643</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44">
        <f>Y40+AD40</f>
        <v>2216098</v>
      </c>
      <c r="Z41" s="2352"/>
      <c r="AA41" s="2352"/>
      <c r="AB41" s="2352"/>
      <c r="AC41" s="2352"/>
      <c r="AD41" s="2352"/>
      <c r="AE41" s="2352"/>
      <c r="AF41" s="2352"/>
      <c r="AG41" s="2352"/>
      <c r="AH41" s="235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1" t="s">
        <v>1276</v>
      </c>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1"/>
      <c r="AE44" s="2351"/>
      <c r="AF44" s="2351"/>
      <c r="AG44" s="2351"/>
      <c r="AH44" s="2351"/>
      <c r="AI44" s="2351"/>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c r="BN44" s="2351"/>
      <c r="BO44" s="2351"/>
      <c r="BP44" s="2351"/>
      <c r="BQ44" s="2351"/>
      <c r="BR44" s="2351"/>
      <c r="BS44" s="2351"/>
      <c r="BT44" s="2351"/>
      <c r="BU44" s="2351"/>
      <c r="BV44" s="2351"/>
      <c r="BW44" s="2351"/>
      <c r="BX44" s="2351"/>
    </row>
    <row r="45" spans="1:76" s="204" customFormat="1" ht="12.95" customHeight="1" thickTop="1"/>
    <row r="46" spans="1:76" ht="12.95" customHeight="1">
      <c r="A46" s="404" t="s">
        <v>586</v>
      </c>
      <c r="C46" s="404" t="s">
        <v>281</v>
      </c>
    </row>
    <row r="47" spans="1:76" ht="12.95" customHeight="1">
      <c r="D47" s="404" t="s">
        <v>282</v>
      </c>
      <c r="AB47" s="2348">
        <f>'Sources and Uses Budget'!B105-MAX(IF('Sources and Uses Budget'!B15="",0,'Sources and Uses Budget'!B15),IF(Application!AG394="",0,Application!AG394))</f>
        <v>47754257</v>
      </c>
      <c r="AC47" s="2349"/>
      <c r="AD47" s="2349"/>
      <c r="AE47" s="2349"/>
      <c r="AF47" s="2350"/>
    </row>
    <row r="48" spans="1:76" ht="12.95" customHeight="1">
      <c r="D48" s="404" t="s">
        <v>21</v>
      </c>
      <c r="AB48" s="2348">
        <f>Application!AO639-MAX(IF('Sources and Uses Budget'!B15="",0,'Sources and Uses Budget'!B15),IF(Application!AG394="",0,Application!AG394))</f>
        <v>26173100</v>
      </c>
      <c r="AC48" s="2349"/>
      <c r="AD48" s="2349"/>
      <c r="AE48" s="2349"/>
      <c r="AF48" s="2350"/>
    </row>
    <row r="49" spans="1:76" ht="12.95" customHeight="1">
      <c r="D49" s="404" t="s">
        <v>91</v>
      </c>
      <c r="AB49" s="2348">
        <f>AB47-AB48</f>
        <v>21581157</v>
      </c>
      <c r="AC49" s="2349"/>
      <c r="AD49" s="2349"/>
      <c r="AE49" s="2349"/>
      <c r="AF49" s="2350"/>
    </row>
    <row r="50" spans="1:76" ht="12.95" customHeight="1">
      <c r="D50" s="404" t="s">
        <v>681</v>
      </c>
      <c r="AA50" s="415"/>
      <c r="AB50" s="2336">
        <v>0.8144735288111804</v>
      </c>
      <c r="AC50" s="2337"/>
      <c r="AD50" s="2337"/>
      <c r="AE50" s="2337"/>
      <c r="AF50" s="2338"/>
    </row>
    <row r="51" spans="1:76" s="417" customFormat="1" ht="12.95" customHeight="1">
      <c r="A51" s="402"/>
      <c r="B51" s="402"/>
      <c r="C51" s="402"/>
      <c r="D51" s="402"/>
      <c r="E51" s="2347" t="s">
        <v>1850</v>
      </c>
      <c r="F51" s="2347"/>
      <c r="G51" s="2347"/>
      <c r="H51" s="2347"/>
      <c r="I51" s="2347"/>
      <c r="J51" s="2347"/>
      <c r="K51" s="2347"/>
      <c r="L51" s="2347"/>
      <c r="M51" s="2347"/>
      <c r="N51" s="2347"/>
      <c r="O51" s="2347"/>
      <c r="P51" s="2347"/>
      <c r="Q51" s="2347"/>
      <c r="R51" s="2347"/>
      <c r="S51" s="2347"/>
      <c r="T51" s="2347"/>
      <c r="U51" s="2347"/>
      <c r="V51" s="2347"/>
      <c r="W51" s="2347"/>
      <c r="X51" s="2347"/>
      <c r="Y51" s="2347"/>
      <c r="Z51" s="234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7"/>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8">
        <f>ROUND(IF(ISERROR((AB49/AB50)),0,(AB49/AB50)),0)</f>
        <v>26497064</v>
      </c>
      <c r="AC54" s="2349"/>
      <c r="AD54" s="2349"/>
      <c r="AE54" s="2349"/>
      <c r="AF54" s="2350"/>
    </row>
    <row r="55" spans="1:76" ht="12.95" customHeight="1">
      <c r="D55" s="404" t="s">
        <v>332</v>
      </c>
      <c r="AB55" s="2348">
        <f>(AB54/10)</f>
        <v>2649706.4</v>
      </c>
      <c r="AC55" s="2349"/>
      <c r="AD55" s="2349"/>
      <c r="AE55" s="2349"/>
      <c r="AF55" s="2350"/>
    </row>
    <row r="56" spans="1:76" ht="12.95" customHeight="1">
      <c r="D56" s="404" t="s">
        <v>756</v>
      </c>
      <c r="AB56" s="2348">
        <f>ROUND((IF((Y41&lt;AB55),Y41,AB55)),0)</f>
        <v>2216098</v>
      </c>
      <c r="AC56" s="2349"/>
      <c r="AD56" s="2349"/>
      <c r="AE56" s="2349"/>
      <c r="AF56" s="2350"/>
    </row>
    <row r="57" spans="1:76" ht="12.95" customHeight="1">
      <c r="D57" s="404" t="s">
        <v>755</v>
      </c>
      <c r="AB57" s="2348">
        <f>ROUND((10*AB56*AB50),0)</f>
        <v>18049532</v>
      </c>
      <c r="AC57" s="2349"/>
      <c r="AD57" s="2349"/>
      <c r="AE57" s="2349"/>
      <c r="AF57" s="2350"/>
    </row>
    <row r="58" spans="1:76" ht="12.95" customHeight="1">
      <c r="D58" s="404"/>
      <c r="AB58" s="423"/>
      <c r="AC58" s="423"/>
      <c r="AD58" s="423"/>
      <c r="AE58" s="423"/>
      <c r="AF58" s="423"/>
    </row>
    <row r="59" spans="1:76" ht="12.95" customHeight="1">
      <c r="D59" s="404" t="s">
        <v>754</v>
      </c>
      <c r="AB59" s="2332">
        <f>AB49-AB57</f>
        <v>3531625</v>
      </c>
      <c r="AC59" s="2332"/>
      <c r="AD59" s="2332"/>
      <c r="AE59" s="2332"/>
      <c r="AF59" s="2332"/>
    </row>
    <row r="60" spans="1:76" ht="12.95" customHeight="1">
      <c r="D60" s="404"/>
      <c r="AB60" s="423"/>
      <c r="AC60" s="423"/>
      <c r="AD60" s="423"/>
      <c r="AE60" s="423"/>
      <c r="AF60" s="423"/>
    </row>
    <row r="61" spans="1:76" s="204" customFormat="1" ht="12.95" customHeight="1" thickBot="1">
      <c r="A61" s="2351" t="str">
        <f>IF(Application!AP205="yes","Farmworker State Credit", "State Credit" )</f>
        <v>State Credit</v>
      </c>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1"/>
      <c r="AX61" s="2351"/>
      <c r="AY61" s="2351"/>
      <c r="AZ61" s="2351"/>
      <c r="BA61" s="2351"/>
      <c r="BB61" s="2351"/>
      <c r="BC61" s="2351"/>
      <c r="BD61" s="2351"/>
      <c r="BE61" s="2351"/>
      <c r="BF61" s="2351"/>
      <c r="BG61" s="2351"/>
      <c r="BH61" s="2351"/>
      <c r="BI61" s="2351"/>
      <c r="BJ61" s="2351"/>
      <c r="BK61" s="2351"/>
      <c r="BL61" s="2351"/>
      <c r="BM61" s="2351"/>
      <c r="BN61" s="2351"/>
      <c r="BO61" s="2351"/>
      <c r="BP61" s="2351"/>
      <c r="BQ61" s="2351"/>
      <c r="BR61" s="2351"/>
      <c r="BS61" s="2351"/>
      <c r="BT61" s="2351"/>
      <c r="BU61" s="2351"/>
      <c r="BV61" s="2351"/>
      <c r="BW61" s="2351"/>
      <c r="BX61" s="2351"/>
    </row>
    <row r="62" spans="1:76" s="204" customFormat="1" ht="12.95" customHeight="1" thickTop="1"/>
    <row r="63" spans="1:76" ht="12.95" customHeight="1">
      <c r="A63" s="404" t="s">
        <v>589</v>
      </c>
      <c r="C63" s="205" t="s">
        <v>1248</v>
      </c>
      <c r="Y63" s="2343" t="s">
        <v>984</v>
      </c>
      <c r="Z63" s="2343"/>
      <c r="AA63" s="2343"/>
      <c r="AB63" s="2343"/>
      <c r="AC63" s="2343"/>
      <c r="AD63" s="2343" t="s">
        <v>368</v>
      </c>
      <c r="AE63" s="2343"/>
      <c r="AF63" s="2343"/>
      <c r="AG63" s="2343"/>
      <c r="AH63" s="2343"/>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4">
        <f>IF(Application!$Z$205="(select)",0,((T23*T27)+Y28))</f>
        <v>42617264</v>
      </c>
      <c r="Z64" s="2345"/>
      <c r="AA64" s="2345"/>
      <c r="AB64" s="2345"/>
      <c r="AC64" s="2346"/>
      <c r="AD64" s="2344">
        <f>IF(AND(OR(Application!D211="At-Risk",Application!D211="At-Risk and Special Needs"),Application!M358="yes"),AD28+AI28,0)</f>
        <v>0</v>
      </c>
      <c r="AE64" s="2345"/>
      <c r="AF64" s="2345"/>
      <c r="AG64" s="2345"/>
      <c r="AH64" s="2346"/>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3" cm="1">
        <f t="array" ref="Y67">_xlfn.IFS(OR(Application!Z205="State Farmworker Credit",Application!Z205="$500M (Farmworker Housing)"),0.75,Application!Z205="15% set-aside",0.13,Application!Z205="15% set-aside with qualifying low value rehab",0.95,Application!Z205="$500M",0.3,TRUE,0)</f>
        <v>0.3</v>
      </c>
      <c r="Z67" s="2333"/>
      <c r="AA67" s="2333"/>
      <c r="AB67" s="2333"/>
      <c r="AC67" s="2333"/>
      <c r="AD67" s="2333" cm="1">
        <f t="array" ref="AD67">_xlfn.IFS(Application!Z205="15% set-aside with qualifying low value rehab", 0.95,OR(Application!D211="At-Risk",'Points System'!B13="Yes"),0.13,TRUE,0)</f>
        <v>0</v>
      </c>
      <c r="AE67" s="2333"/>
      <c r="AF67" s="2333"/>
      <c r="AG67" s="2333"/>
      <c r="AH67" s="2333"/>
    </row>
    <row r="68" spans="1:36" ht="12.95" customHeight="1">
      <c r="C68" s="404"/>
      <c r="D68" s="205" t="s">
        <v>2226</v>
      </c>
      <c r="Y68" s="2334">
        <f>ROUND(Y64*Y67,0)</f>
        <v>12785179</v>
      </c>
      <c r="Z68" s="2335"/>
      <c r="AA68" s="2335"/>
      <c r="AB68" s="2335"/>
      <c r="AC68" s="2335"/>
      <c r="AD68" s="2334">
        <f>ROUND(AD64*AD67,0)</f>
        <v>0</v>
      </c>
      <c r="AE68" s="2335"/>
      <c r="AF68" s="2335"/>
      <c r="AG68" s="2335"/>
      <c r="AH68" s="2335"/>
    </row>
    <row r="69" spans="1:36" ht="12.95" customHeight="1">
      <c r="C69" s="404"/>
      <c r="D69" s="205" t="s">
        <v>2227</v>
      </c>
      <c r="Y69" s="2334">
        <f>IF(OR(Application!Z205="State Farmworker Credit",Application!Z205="$500M (Farmworker Housing)"),Y68+AD68,MIN(Y68+AD68,200000*(Application!G753+Application!O777)))</f>
        <v>12785179</v>
      </c>
      <c r="Z69" s="2334"/>
      <c r="AA69" s="2334"/>
      <c r="AB69" s="2334"/>
      <c r="AC69" s="2334"/>
      <c r="AD69" s="2334"/>
      <c r="AE69" s="2334"/>
      <c r="AF69" s="2334"/>
      <c r="AG69" s="2334"/>
      <c r="AH69" s="2334"/>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6">
        <v>0.7</v>
      </c>
      <c r="AC72" s="2337"/>
      <c r="AD72" s="2337"/>
      <c r="AE72" s="2337"/>
      <c r="AF72" s="2338"/>
    </row>
    <row r="73" spans="1:36" ht="12.95" customHeight="1">
      <c r="A73" s="404"/>
      <c r="C73" s="404"/>
      <c r="D73" s="404"/>
      <c r="E73" s="2339" t="s">
        <v>1251</v>
      </c>
      <c r="F73" s="2339"/>
      <c r="G73" s="2339"/>
      <c r="H73" s="2339"/>
      <c r="I73" s="2339"/>
      <c r="J73" s="2339"/>
      <c r="K73" s="2339"/>
      <c r="L73" s="2339"/>
      <c r="M73" s="2339"/>
      <c r="N73" s="2339"/>
      <c r="O73" s="2339"/>
      <c r="P73" s="2339"/>
      <c r="Q73" s="2339"/>
      <c r="R73" s="2339"/>
      <c r="S73" s="2339"/>
      <c r="T73" s="2339"/>
      <c r="U73" s="2339"/>
      <c r="V73" s="2339"/>
      <c r="W73" s="2339"/>
      <c r="X73" s="2339"/>
      <c r="Y73" s="2339"/>
      <c r="Z73" s="2339"/>
      <c r="AA73" s="2339"/>
      <c r="AB73" s="438"/>
      <c r="AC73" s="438"/>
    </row>
    <row r="74" spans="1:36" ht="12.95" customHeight="1">
      <c r="A74" s="404"/>
      <c r="C74" s="404"/>
      <c r="D74" s="404"/>
      <c r="E74" s="2339"/>
      <c r="F74" s="2339"/>
      <c r="G74" s="2339"/>
      <c r="H74" s="2339"/>
      <c r="I74" s="2339"/>
      <c r="J74" s="2339"/>
      <c r="K74" s="2339"/>
      <c r="L74" s="2339"/>
      <c r="M74" s="2339"/>
      <c r="N74" s="2339"/>
      <c r="O74" s="2339"/>
      <c r="P74" s="2339"/>
      <c r="Q74" s="2339"/>
      <c r="R74" s="2339"/>
      <c r="S74" s="2339"/>
      <c r="T74" s="2339"/>
      <c r="U74" s="2339"/>
      <c r="V74" s="2339"/>
      <c r="W74" s="2339"/>
      <c r="X74" s="2339"/>
      <c r="Y74" s="2339"/>
      <c r="Z74" s="2339"/>
      <c r="AA74" s="2339"/>
      <c r="AB74" s="438"/>
      <c r="AC74" s="438"/>
    </row>
    <row r="75" spans="1:36" ht="12.95" customHeight="1">
      <c r="A75" s="404"/>
      <c r="C75" s="404"/>
      <c r="D75" s="404"/>
      <c r="E75" s="2339"/>
      <c r="F75" s="2339"/>
      <c r="G75" s="2339"/>
      <c r="H75" s="2339"/>
      <c r="I75" s="2339"/>
      <c r="J75" s="2339"/>
      <c r="K75" s="2339"/>
      <c r="L75" s="2339"/>
      <c r="M75" s="2339"/>
      <c r="N75" s="2339"/>
      <c r="O75" s="2339"/>
      <c r="P75" s="2339"/>
      <c r="Q75" s="2339"/>
      <c r="R75" s="2339"/>
      <c r="S75" s="2339"/>
      <c r="T75" s="2339"/>
      <c r="U75" s="2339"/>
      <c r="V75" s="2339"/>
      <c r="W75" s="2339"/>
      <c r="X75" s="2339"/>
      <c r="Y75" s="2339"/>
      <c r="Z75" s="2339"/>
      <c r="AA75" s="2339"/>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7">
        <f>ROUND(IF(ISERROR((AB59/AB72)),0,(AB59/AB72)),0)</f>
        <v>5045179</v>
      </c>
      <c r="AC77" s="2327"/>
      <c r="AD77" s="2327"/>
      <c r="AE77" s="2327"/>
      <c r="AF77" s="2327"/>
    </row>
    <row r="78" spans="1:36" ht="12.95" customHeight="1">
      <c r="C78" s="404"/>
      <c r="D78" s="205" t="s">
        <v>1253</v>
      </c>
      <c r="AB78" s="2328">
        <f>ROUNDUP(MIN(Y69,AB77),0)</f>
        <v>5045179</v>
      </c>
      <c r="AC78" s="2329"/>
      <c r="AD78" s="2329"/>
      <c r="AE78" s="2329"/>
      <c r="AF78" s="2330"/>
    </row>
    <row r="79" spans="1:36" ht="12.95" customHeight="1">
      <c r="C79" s="404"/>
      <c r="D79" s="205" t="s">
        <v>1254</v>
      </c>
      <c r="AB79" s="2331">
        <f>AB78*AB72</f>
        <v>3531625.3</v>
      </c>
      <c r="AC79" s="2331"/>
      <c r="AD79" s="2331"/>
      <c r="AE79" s="2331"/>
      <c r="AF79" s="2331"/>
    </row>
    <row r="80" spans="1:36" ht="12.95" customHeight="1">
      <c r="C80" s="404"/>
      <c r="D80" s="404"/>
      <c r="AB80" s="425"/>
      <c r="AC80" s="425"/>
      <c r="AD80" s="425"/>
      <c r="AE80" s="425"/>
      <c r="AF80" s="425"/>
    </row>
    <row r="81" spans="1:78" ht="12.95" customHeight="1">
      <c r="D81" s="404" t="s">
        <v>754</v>
      </c>
      <c r="AB81" s="2332">
        <f>AB49-(AB57+AB79)</f>
        <v>-0.30000000074505806</v>
      </c>
      <c r="AC81" s="2332"/>
      <c r="AD81" s="2332"/>
      <c r="AE81" s="2332"/>
      <c r="AF81" s="2332"/>
    </row>
    <row r="82" spans="1:78" ht="12.95" customHeight="1">
      <c r="F82" s="522"/>
      <c r="J82" s="522" t="str">
        <f>IF(AB81&gt;0,"FUNDING GAP MUST NOT EXCEED ZERO","")</f>
        <v/>
      </c>
    </row>
    <row r="83" spans="1:78" ht="12.95" customHeight="1">
      <c r="D83" s="523"/>
    </row>
    <row r="84" spans="1:78" ht="12.95" customHeight="1" thickBot="1">
      <c r="A84" s="2351"/>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1"/>
      <c r="AK84" s="2351"/>
      <c r="AL84" s="2351"/>
      <c r="AM84" s="2351"/>
      <c r="AN84" s="2351"/>
      <c r="AO84" s="2351"/>
      <c r="AP84" s="2351"/>
      <c r="AQ84" s="2351"/>
      <c r="AR84" s="2351"/>
      <c r="AS84" s="2351"/>
      <c r="AT84" s="2351"/>
      <c r="AU84" s="2351"/>
      <c r="AV84" s="2351"/>
      <c r="AW84" s="2351"/>
      <c r="AX84" s="2351"/>
      <c r="AY84" s="2351"/>
      <c r="AZ84" s="2351"/>
      <c r="BA84" s="2351"/>
      <c r="BB84" s="2351"/>
      <c r="BC84" s="2351"/>
      <c r="BD84" s="2351"/>
      <c r="BE84" s="2351"/>
      <c r="BF84" s="2351"/>
      <c r="BG84" s="2351"/>
      <c r="BH84" s="2351"/>
      <c r="BI84" s="2351"/>
      <c r="BJ84" s="2351"/>
      <c r="BK84" s="2351"/>
      <c r="BL84" s="2351"/>
      <c r="BM84" s="2351"/>
      <c r="BN84" s="2351"/>
      <c r="BO84" s="2351"/>
      <c r="BP84" s="2351"/>
      <c r="BQ84" s="2351"/>
      <c r="BR84" s="2351"/>
      <c r="BS84" s="2351"/>
      <c r="BT84" s="2351"/>
      <c r="BU84" s="2351"/>
      <c r="BV84" s="2351"/>
      <c r="BW84" s="2351"/>
      <c r="BX84" s="2351"/>
    </row>
    <row r="85" spans="1:78" ht="12.95" customHeight="1" thickTop="1"/>
    <row r="86" spans="1:78" ht="12.95" customHeight="1">
      <c r="A86" s="404"/>
      <c r="C86" s="205"/>
    </row>
    <row r="87" spans="1:78" ht="12.95" customHeight="1">
      <c r="D87" s="205"/>
      <c r="AB87" s="2383"/>
      <c r="AC87" s="2383"/>
      <c r="AD87" s="2383"/>
      <c r="AE87" s="2383"/>
      <c r="AF87" s="2383"/>
    </row>
    <row r="88" spans="1:78" ht="12.95" customHeight="1" thickBot="1">
      <c r="D88" s="205"/>
      <c r="AB88" s="2382"/>
      <c r="AC88" s="2382"/>
      <c r="AD88" s="2382"/>
      <c r="AE88" s="2382"/>
      <c r="AF88" s="238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9" priority="3">
      <formula>AND($T$18&gt;0,OR($C$18="",$C$18="Subtract (specify other ineligible amounts):"))</formula>
    </cfRule>
  </conditionalFormatting>
  <conditionalFormatting sqref="C18:S19">
    <cfRule type="expression" dxfId="28" priority="1">
      <formula>AND(T18&gt;0,OR(C18="",C18="Subtract (specify other ineligible amounts):"))</formula>
    </cfRule>
  </conditionalFormatting>
  <conditionalFormatting sqref="AB59:AF60 AB81:AF81">
    <cfRule type="cellIs" dxfId="27"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CC827"/>
  <sheetViews>
    <sheetView showGridLines="0" topLeftCell="A270" zoomScale="110" zoomScaleNormal="110" workbookViewId="0">
      <selection activeCell="F545" sqref="F545:AL546"/>
    </sheetView>
  </sheetViews>
  <sheetFormatPr defaultColWidth="0" defaultRowHeight="12.75" zeroHeight="1"/>
  <cols>
    <col min="1" max="1" width="2.73046875" style="14" customWidth="1"/>
    <col min="2" max="3" width="2.3984375" style="14" customWidth="1"/>
    <col min="4" max="4" width="3.1328125" style="14" customWidth="1"/>
    <col min="5" max="5" width="3.3984375" style="14" customWidth="1"/>
    <col min="6" max="6" width="2.86328125" style="14" customWidth="1"/>
    <col min="7" max="14" width="2.3984375" style="14" customWidth="1"/>
    <col min="15" max="15" width="2.86328125" style="14" customWidth="1"/>
    <col min="16" max="16" width="2.3984375" style="14" customWidth="1"/>
    <col min="17" max="17" width="3.86328125" style="14" customWidth="1"/>
    <col min="18" max="18" width="4.59765625" style="14" customWidth="1"/>
    <col min="19" max="19" width="3.265625" style="14" customWidth="1"/>
    <col min="20" max="26" width="2.3984375" style="14" customWidth="1"/>
    <col min="27" max="30" width="2.59765625" style="14" customWidth="1"/>
    <col min="31" max="32" width="2.3984375" style="14" customWidth="1"/>
    <col min="33" max="33" width="3.3984375" style="14" customWidth="1"/>
    <col min="34" max="36" width="2.3984375" style="14" customWidth="1"/>
    <col min="37" max="37" width="5.59765625" style="14" customWidth="1"/>
    <col min="38" max="38" width="2.3984375" style="14" customWidth="1"/>
    <col min="39" max="39" width="3.3984375" style="14" customWidth="1"/>
    <col min="40" max="40" width="5.59765625" style="534" customWidth="1"/>
    <col min="41" max="41" width="5.59765625" style="30" hidden="1" customWidth="1"/>
    <col min="42" max="45" width="5.59765625" style="14" hidden="1" customWidth="1"/>
    <col min="46" max="46" width="10.86328125" style="14" hidden="1" customWidth="1"/>
    <col min="47" max="48" width="5.59765625" style="14" hidden="1" customWidth="1"/>
    <col min="49" max="49" width="8.73046875" style="14" hidden="1" customWidth="1"/>
    <col min="50" max="50" width="7.3984375" style="14" hidden="1" customWidth="1"/>
    <col min="51" max="55" width="5.59765625" style="14" hidden="1" customWidth="1"/>
    <col min="56" max="60" width="5.59765625" style="32" hidden="1" customWidth="1"/>
    <col min="61" max="81" width="5.59765625" style="14" hidden="1" customWidth="1"/>
    <col min="82" max="16384" width="9.1328125" style="14" hidden="1"/>
  </cols>
  <sheetData>
    <row r="1" spans="1:42" ht="15.75" customHeight="1">
      <c r="A1" s="2425" t="s">
        <v>1300</v>
      </c>
      <c r="B1" s="2425"/>
      <c r="C1" s="2425"/>
      <c r="D1" s="2425"/>
      <c r="E1" s="2425"/>
      <c r="F1" s="2425"/>
      <c r="G1" s="2425"/>
      <c r="H1" s="2425"/>
      <c r="I1" s="2425"/>
      <c r="J1" s="2425"/>
      <c r="K1" s="2425"/>
      <c r="L1" s="2425"/>
      <c r="M1" s="2425"/>
      <c r="N1" s="2425"/>
      <c r="O1" s="2425"/>
      <c r="P1" s="2425"/>
      <c r="Q1" s="2425"/>
      <c r="R1" s="2425"/>
      <c r="S1" s="2425"/>
      <c r="T1" s="2425"/>
      <c r="U1" s="2425"/>
      <c r="V1" s="2425"/>
      <c r="W1" s="2425"/>
      <c r="X1" s="2425"/>
      <c r="Y1" s="2425"/>
      <c r="Z1" s="2425"/>
      <c r="AA1" s="2425"/>
      <c r="AB1" s="2425"/>
      <c r="AC1" s="2425"/>
      <c r="AD1" s="2425"/>
      <c r="AE1" s="2425"/>
      <c r="AF1" s="2425"/>
      <c r="AG1" s="2425"/>
      <c r="AH1" s="2425"/>
      <c r="AI1" s="2425"/>
      <c r="AJ1" s="2425"/>
      <c r="AK1" s="2425"/>
      <c r="AL1" s="2425"/>
      <c r="AM1" s="2425"/>
    </row>
    <row r="2" spans="1:42" s="536" customFormat="1" ht="12.75" customHeight="1" thickBot="1">
      <c r="A2" s="2426"/>
      <c r="B2" s="2426"/>
      <c r="C2" s="2426"/>
      <c r="D2" s="2426"/>
      <c r="E2" s="2426"/>
      <c r="F2" s="2426"/>
      <c r="G2" s="2426"/>
      <c r="H2" s="2426"/>
      <c r="I2" s="2426"/>
      <c r="J2" s="2426"/>
      <c r="K2" s="2426"/>
      <c r="L2" s="2426"/>
      <c r="M2" s="2426"/>
      <c r="N2" s="2426"/>
      <c r="O2" s="2426"/>
      <c r="P2" s="2426"/>
      <c r="Q2" s="2426"/>
      <c r="R2" s="2426"/>
      <c r="S2" s="2426"/>
      <c r="T2" s="2426"/>
      <c r="U2" s="2426"/>
      <c r="V2" s="2426"/>
      <c r="W2" s="2426"/>
      <c r="X2" s="2426"/>
      <c r="Y2" s="2426"/>
      <c r="Z2" s="2426"/>
      <c r="AA2" s="2426"/>
      <c r="AB2" s="2426"/>
      <c r="AC2" s="2426"/>
      <c r="AD2" s="2426"/>
      <c r="AE2" s="2426"/>
      <c r="AF2" s="2426"/>
      <c r="AG2" s="2426"/>
      <c r="AH2" s="2426"/>
      <c r="AI2" s="2426"/>
      <c r="AJ2" s="2426"/>
      <c r="AK2" s="2426"/>
      <c r="AL2" s="2426"/>
      <c r="AM2" s="24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6" t="s">
        <v>1305</v>
      </c>
      <c r="AF7" s="2406"/>
      <c r="AG7" s="2406"/>
      <c r="AH7" s="2406"/>
      <c r="AI7" s="2406"/>
      <c r="AJ7" s="2406"/>
      <c r="AK7" s="2406"/>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6" t="s">
        <v>591</v>
      </c>
      <c r="C13" s="2396"/>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7"/>
      <c r="AH13" s="2427"/>
      <c r="AI13" s="2427"/>
      <c r="AJ13" s="24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6" t="s">
        <v>591</v>
      </c>
      <c r="C16" s="2396"/>
      <c r="D16" s="547"/>
      <c r="E16" s="2407" t="s">
        <v>1307</v>
      </c>
      <c r="F16" s="2408"/>
      <c r="G16" s="2408"/>
      <c r="H16" s="2408"/>
      <c r="I16" s="2408"/>
      <c r="J16" s="2408"/>
      <c r="K16" s="2408"/>
      <c r="L16" s="2408"/>
      <c r="M16" s="2408"/>
      <c r="N16" s="2408"/>
      <c r="O16" s="2408"/>
      <c r="P16" s="2408"/>
      <c r="Q16" s="2408"/>
      <c r="R16" s="2408"/>
      <c r="S16" s="2408"/>
      <c r="T16" s="2408"/>
      <c r="U16" s="2408"/>
      <c r="V16" s="2408"/>
      <c r="W16" s="2408"/>
      <c r="X16" s="2408"/>
      <c r="Y16" s="2408"/>
      <c r="Z16" s="2408"/>
      <c r="AA16" s="2408"/>
      <c r="AB16" s="2408"/>
      <c r="AC16" s="2408"/>
      <c r="AD16" s="2408"/>
      <c r="AE16" s="2408"/>
      <c r="AF16" s="2408"/>
      <c r="AG16" s="2408"/>
      <c r="AH16" s="2408"/>
      <c r="AI16" s="2408"/>
      <c r="AJ16" s="2409"/>
      <c r="AK16" s="540"/>
      <c r="AL16" s="540"/>
      <c r="AM16" s="540"/>
      <c r="AN16" s="535"/>
      <c r="AO16" s="550">
        <f>IF($B25="yes",20,0)</f>
        <v>0</v>
      </c>
      <c r="AP16" s="14"/>
    </row>
    <row r="17" spans="1:42" s="536" customFormat="1" ht="12.75" customHeight="1">
      <c r="A17" s="540"/>
      <c r="B17" s="540"/>
      <c r="C17" s="540"/>
      <c r="D17" s="551"/>
      <c r="E17" s="2410"/>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2411"/>
      <c r="AI17" s="2411"/>
      <c r="AJ17" s="2412"/>
      <c r="AK17" s="540"/>
      <c r="AL17" s="540"/>
      <c r="AM17" s="540"/>
      <c r="AN17" s="535"/>
      <c r="AO17" s="550">
        <f>IF($B28="yes",20,0)</f>
        <v>0</v>
      </c>
    </row>
    <row r="18" spans="1:42" s="536" customFormat="1" ht="12.75" customHeight="1">
      <c r="A18" s="540"/>
      <c r="B18" s="540"/>
      <c r="C18" s="540"/>
      <c r="D18" s="551"/>
      <c r="E18" s="2410"/>
      <c r="F18" s="2411"/>
      <c r="G18" s="2411"/>
      <c r="H18" s="2411"/>
      <c r="I18" s="2411"/>
      <c r="J18" s="2411"/>
      <c r="K18" s="2411"/>
      <c r="L18" s="2411"/>
      <c r="M18" s="2411"/>
      <c r="N18" s="2411"/>
      <c r="O18" s="2411"/>
      <c r="P18" s="2411"/>
      <c r="Q18" s="2411"/>
      <c r="R18" s="2411"/>
      <c r="S18" s="2411"/>
      <c r="T18" s="2411"/>
      <c r="U18" s="2411"/>
      <c r="V18" s="2411"/>
      <c r="W18" s="2411"/>
      <c r="X18" s="2411"/>
      <c r="Y18" s="2411"/>
      <c r="Z18" s="2411"/>
      <c r="AA18" s="2411"/>
      <c r="AB18" s="2411"/>
      <c r="AC18" s="2411"/>
      <c r="AD18" s="2411"/>
      <c r="AE18" s="2411"/>
      <c r="AF18" s="2411"/>
      <c r="AG18" s="2411"/>
      <c r="AH18" s="2411"/>
      <c r="AI18" s="2411"/>
      <c r="AJ18" s="2412"/>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8"/>
      <c r="F20" s="2439"/>
      <c r="G20" s="2439"/>
      <c r="H20" s="2439"/>
      <c r="I20" s="2439"/>
      <c r="J20" s="2439"/>
      <c r="K20" s="2439"/>
      <c r="L20" s="2439"/>
      <c r="M20" s="2439"/>
      <c r="N20" s="2439"/>
      <c r="O20" s="2439"/>
      <c r="P20" s="2439"/>
      <c r="Q20" s="2439"/>
      <c r="R20" s="2439"/>
      <c r="S20" s="2439"/>
      <c r="T20" s="2439"/>
      <c r="U20" s="2439"/>
      <c r="V20" s="2439"/>
      <c r="W20" s="2439"/>
      <c r="X20" s="2439"/>
      <c r="Y20" s="2439"/>
      <c r="Z20" s="2439"/>
      <c r="AA20" s="2439"/>
      <c r="AB20" s="2439"/>
      <c r="AC20" s="2439"/>
      <c r="AD20" s="2439"/>
      <c r="AE20" s="2439"/>
      <c r="AF20" s="2439"/>
      <c r="AG20" s="2439"/>
      <c r="AH20" s="2439"/>
      <c r="AI20" s="2439"/>
      <c r="AJ20" s="244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6" t="s">
        <v>591</v>
      </c>
      <c r="C22" s="2396"/>
      <c r="D22" s="547"/>
      <c r="E22" s="2432" t="s">
        <v>1310</v>
      </c>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3"/>
      <c r="AE22" s="2433"/>
      <c r="AF22" s="2433"/>
      <c r="AG22" s="2433"/>
      <c r="AH22" s="2433"/>
      <c r="AI22" s="2433"/>
      <c r="AJ22" s="2434"/>
      <c r="AK22" s="540"/>
      <c r="AL22" s="540"/>
      <c r="AM22" s="540"/>
      <c r="AN22" s="535"/>
      <c r="AO22" s="550">
        <f>IF($B40="yes",14,0)</f>
        <v>0</v>
      </c>
    </row>
    <row r="23" spans="1:42" s="536" customFormat="1" ht="12.75" customHeight="1">
      <c r="A23" s="540"/>
      <c r="B23" s="540"/>
      <c r="C23" s="540"/>
      <c r="D23" s="550"/>
      <c r="E23" s="2435"/>
      <c r="F23" s="2436"/>
      <c r="G23" s="2436"/>
      <c r="H23" s="2436"/>
      <c r="I23" s="2436"/>
      <c r="J23" s="2436"/>
      <c r="K23" s="2436"/>
      <c r="L23" s="2436"/>
      <c r="M23" s="2436"/>
      <c r="N23" s="2436"/>
      <c r="O23" s="2436"/>
      <c r="P23" s="2436"/>
      <c r="Q23" s="2436"/>
      <c r="R23" s="2436"/>
      <c r="S23" s="2436"/>
      <c r="T23" s="2436"/>
      <c r="U23" s="2436"/>
      <c r="V23" s="2436"/>
      <c r="W23" s="2436"/>
      <c r="X23" s="2436"/>
      <c r="Y23" s="2436"/>
      <c r="Z23" s="2436"/>
      <c r="AA23" s="2436"/>
      <c r="AB23" s="2436"/>
      <c r="AC23" s="2436"/>
      <c r="AD23" s="2436"/>
      <c r="AE23" s="2436"/>
      <c r="AF23" s="2436"/>
      <c r="AG23" s="2436"/>
      <c r="AH23" s="2436"/>
      <c r="AI23" s="2436"/>
      <c r="AJ23" s="243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6" t="s">
        <v>591</v>
      </c>
      <c r="C25" s="2396"/>
      <c r="D25" s="547"/>
      <c r="E25" s="2397" t="s">
        <v>2034</v>
      </c>
      <c r="F25" s="2398"/>
      <c r="G25" s="2398"/>
      <c r="H25" s="2398"/>
      <c r="I25" s="2398"/>
      <c r="J25" s="2398"/>
      <c r="K25" s="2398"/>
      <c r="L25" s="2398"/>
      <c r="M25" s="2398"/>
      <c r="N25" s="2398"/>
      <c r="O25" s="2398"/>
      <c r="P25" s="2398"/>
      <c r="Q25" s="2398"/>
      <c r="R25" s="2398"/>
      <c r="S25" s="2398"/>
      <c r="T25" s="2398"/>
      <c r="U25" s="2398"/>
      <c r="V25" s="2398"/>
      <c r="W25" s="2398"/>
      <c r="X25" s="2398"/>
      <c r="Y25" s="2398"/>
      <c r="Z25" s="2398"/>
      <c r="AA25" s="2398"/>
      <c r="AB25" s="2398"/>
      <c r="AC25" s="2398"/>
      <c r="AD25" s="2398"/>
      <c r="AE25" s="2398"/>
      <c r="AF25" s="2398"/>
      <c r="AG25" s="2398"/>
      <c r="AH25" s="2398"/>
      <c r="AI25" s="2398"/>
      <c r="AJ25" s="2399"/>
      <c r="AK25" s="540"/>
      <c r="AL25" s="540"/>
      <c r="AM25" s="540"/>
      <c r="AN25" s="535"/>
      <c r="AO25" s="550">
        <f>IF($B45="yes",6,0)</f>
        <v>0</v>
      </c>
    </row>
    <row r="26" spans="1:42" s="536" customFormat="1" ht="12.75" customHeight="1">
      <c r="A26" s="540"/>
      <c r="B26" s="540"/>
      <c r="C26" s="540"/>
      <c r="D26" s="550"/>
      <c r="E26" s="2400"/>
      <c r="F26" s="2401"/>
      <c r="G26" s="2401"/>
      <c r="H26" s="2401"/>
      <c r="I26" s="2401"/>
      <c r="J26" s="2401"/>
      <c r="K26" s="2401"/>
      <c r="L26" s="2401"/>
      <c r="M26" s="2401"/>
      <c r="N26" s="2401"/>
      <c r="O26" s="2401"/>
      <c r="P26" s="2401"/>
      <c r="Q26" s="2401"/>
      <c r="R26" s="2401"/>
      <c r="S26" s="2401"/>
      <c r="T26" s="2401"/>
      <c r="U26" s="2401"/>
      <c r="V26" s="2401"/>
      <c r="W26" s="2401"/>
      <c r="X26" s="2401"/>
      <c r="Y26" s="2401"/>
      <c r="Z26" s="2401"/>
      <c r="AA26" s="2401"/>
      <c r="AB26" s="2401"/>
      <c r="AC26" s="2401"/>
      <c r="AD26" s="2401"/>
      <c r="AE26" s="2401"/>
      <c r="AF26" s="2401"/>
      <c r="AG26" s="2401"/>
      <c r="AH26" s="2401"/>
      <c r="AI26" s="2401"/>
      <c r="AJ26" s="2402"/>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6" t="s">
        <v>591</v>
      </c>
      <c r="C28" s="2396"/>
      <c r="D28" s="547"/>
      <c r="E28" s="2420" t="s">
        <v>2250</v>
      </c>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2421"/>
      <c r="AD28" s="2421"/>
      <c r="AE28" s="2421"/>
      <c r="AF28" s="2421"/>
      <c r="AG28" s="2421"/>
      <c r="AH28" s="2421"/>
      <c r="AI28" s="2421"/>
      <c r="AJ28" s="242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6" t="s">
        <v>591</v>
      </c>
      <c r="C33" s="2396"/>
      <c r="D33" s="547"/>
      <c r="E33" s="2432" t="s">
        <v>2252</v>
      </c>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33"/>
      <c r="AE33" s="2433"/>
      <c r="AF33" s="2433"/>
      <c r="AG33" s="2433"/>
      <c r="AH33" s="2433"/>
      <c r="AI33" s="2433"/>
      <c r="AJ33" s="2434"/>
      <c r="AK33" s="540"/>
      <c r="AL33" s="540"/>
      <c r="AM33" s="540"/>
      <c r="AN33" s="535"/>
      <c r="AO33" s="550"/>
    </row>
    <row r="34" spans="1:41" s="536" customFormat="1" ht="12.75" customHeight="1">
      <c r="A34" s="540"/>
      <c r="B34" s="540"/>
      <c r="C34" s="540"/>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6" t="s">
        <v>591</v>
      </c>
      <c r="C36" s="2396"/>
      <c r="D36" s="547"/>
      <c r="E36" s="2397" t="s">
        <v>2253</v>
      </c>
      <c r="F36" s="2398"/>
      <c r="G36" s="2398"/>
      <c r="H36" s="2398"/>
      <c r="I36" s="2398"/>
      <c r="J36" s="2398"/>
      <c r="K36" s="2398"/>
      <c r="L36" s="2398"/>
      <c r="M36" s="2398"/>
      <c r="N36" s="2398"/>
      <c r="O36" s="2398"/>
      <c r="P36" s="2398"/>
      <c r="Q36" s="2398"/>
      <c r="R36" s="2398"/>
      <c r="S36" s="2398"/>
      <c r="T36" s="2398"/>
      <c r="U36" s="2398"/>
      <c r="V36" s="2398"/>
      <c r="W36" s="2398"/>
      <c r="X36" s="2398"/>
      <c r="Y36" s="2398"/>
      <c r="Z36" s="2398"/>
      <c r="AA36" s="2398"/>
      <c r="AB36" s="2398"/>
      <c r="AC36" s="2398"/>
      <c r="AD36" s="2398"/>
      <c r="AE36" s="2398"/>
      <c r="AF36" s="2398"/>
      <c r="AG36" s="2398"/>
      <c r="AH36" s="2398"/>
      <c r="AI36" s="2398"/>
      <c r="AJ36" s="2399"/>
      <c r="AK36" s="540"/>
      <c r="AL36" s="540"/>
      <c r="AM36" s="540"/>
      <c r="AN36" s="535"/>
    </row>
    <row r="37" spans="1:41" s="536" customFormat="1" ht="12.75" customHeight="1">
      <c r="A37" s="540"/>
      <c r="B37" s="540"/>
      <c r="C37" s="540"/>
      <c r="E37" s="2403"/>
      <c r="F37" s="2404"/>
      <c r="G37" s="2404"/>
      <c r="H37" s="2404"/>
      <c r="I37" s="2404"/>
      <c r="J37" s="2404"/>
      <c r="K37" s="2404"/>
      <c r="L37" s="2404"/>
      <c r="M37" s="2404"/>
      <c r="N37" s="2404"/>
      <c r="O37" s="2404"/>
      <c r="P37" s="2404"/>
      <c r="Q37" s="2404"/>
      <c r="R37" s="2404"/>
      <c r="S37" s="2404"/>
      <c r="T37" s="2404"/>
      <c r="U37" s="2404"/>
      <c r="V37" s="2404"/>
      <c r="W37" s="2404"/>
      <c r="X37" s="2404"/>
      <c r="Y37" s="2404"/>
      <c r="Z37" s="2404"/>
      <c r="AA37" s="2404"/>
      <c r="AB37" s="2404"/>
      <c r="AC37" s="2404"/>
      <c r="AD37" s="2404"/>
      <c r="AE37" s="2404"/>
      <c r="AF37" s="2404"/>
      <c r="AG37" s="2404"/>
      <c r="AH37" s="2404"/>
      <c r="AI37" s="2404"/>
      <c r="AJ37" s="2405"/>
      <c r="AK37" s="540"/>
      <c r="AL37" s="540"/>
      <c r="AM37" s="540"/>
      <c r="AN37" s="535"/>
    </row>
    <row r="38" spans="1:41" s="536" customFormat="1" ht="12.75" customHeight="1">
      <c r="A38" s="540"/>
      <c r="B38" s="540"/>
      <c r="C38" s="540"/>
      <c r="E38" s="2400"/>
      <c r="F38" s="2401"/>
      <c r="G38" s="2401"/>
      <c r="H38" s="2401"/>
      <c r="I38" s="2401"/>
      <c r="J38" s="2401"/>
      <c r="K38" s="2401"/>
      <c r="L38" s="2401"/>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6" t="s">
        <v>591</v>
      </c>
      <c r="C40" s="2396"/>
      <c r="D40" s="547"/>
      <c r="E40" s="2397" t="s">
        <v>2251</v>
      </c>
      <c r="F40" s="2398"/>
      <c r="G40" s="2398"/>
      <c r="H40" s="2398"/>
      <c r="I40" s="2398"/>
      <c r="J40" s="2398"/>
      <c r="K40" s="2398"/>
      <c r="L40" s="2398"/>
      <c r="M40" s="2398"/>
      <c r="N40" s="2398"/>
      <c r="O40" s="2398"/>
      <c r="P40" s="2398"/>
      <c r="Q40" s="2398"/>
      <c r="R40" s="2398"/>
      <c r="S40" s="2398"/>
      <c r="T40" s="2398"/>
      <c r="U40" s="2398"/>
      <c r="V40" s="2398"/>
      <c r="W40" s="2398"/>
      <c r="X40" s="2398"/>
      <c r="Y40" s="2398"/>
      <c r="Z40" s="2398"/>
      <c r="AA40" s="2398"/>
      <c r="AB40" s="2398"/>
      <c r="AC40" s="2398"/>
      <c r="AD40" s="2398"/>
      <c r="AE40" s="2398"/>
      <c r="AF40" s="2398"/>
      <c r="AG40" s="2398"/>
      <c r="AH40" s="2398"/>
      <c r="AI40" s="2398"/>
      <c r="AJ40" s="2399"/>
      <c r="AK40" s="540"/>
      <c r="AL40" s="540"/>
      <c r="AM40" s="540"/>
      <c r="AN40" s="535"/>
    </row>
    <row r="41" spans="1:41" s="536" customFormat="1" ht="12.75" customHeight="1">
      <c r="A41" s="540"/>
      <c r="B41" s="540"/>
      <c r="C41" s="540"/>
      <c r="E41" s="2400"/>
      <c r="F41" s="2401"/>
      <c r="G41" s="2401"/>
      <c r="H41" s="2401"/>
      <c r="I41" s="2401"/>
      <c r="J41" s="2401"/>
      <c r="K41" s="2401"/>
      <c r="L41" s="2401"/>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6" t="s">
        <v>591</v>
      </c>
      <c r="C45" s="2396"/>
      <c r="D45" s="1142"/>
      <c r="E45" s="2397" t="s">
        <v>2009</v>
      </c>
      <c r="F45" s="2398"/>
      <c r="G45" s="2398"/>
      <c r="H45" s="2398"/>
      <c r="I45" s="2398"/>
      <c r="J45" s="2398"/>
      <c r="K45" s="2398"/>
      <c r="L45" s="2398"/>
      <c r="M45" s="2398"/>
      <c r="N45" s="2398"/>
      <c r="O45" s="2398"/>
      <c r="P45" s="2398"/>
      <c r="Q45" s="2398"/>
      <c r="R45" s="2398"/>
      <c r="S45" s="2398"/>
      <c r="T45" s="2398"/>
      <c r="U45" s="2398"/>
      <c r="V45" s="2398"/>
      <c r="W45" s="2398"/>
      <c r="X45" s="2398"/>
      <c r="Y45" s="2398"/>
      <c r="Z45" s="2398"/>
      <c r="AA45" s="2398"/>
      <c r="AB45" s="2398"/>
      <c r="AC45" s="2398"/>
      <c r="AD45" s="2398"/>
      <c r="AE45" s="2398"/>
      <c r="AF45" s="2398"/>
      <c r="AG45" s="2398"/>
      <c r="AH45" s="2398"/>
      <c r="AI45" s="2398"/>
      <c r="AJ45" s="2399"/>
      <c r="AK45" s="1142"/>
      <c r="AL45" s="540"/>
      <c r="AM45" s="540"/>
      <c r="AN45" s="535"/>
    </row>
    <row r="46" spans="1:41" s="536" customFormat="1" ht="12.75" customHeight="1">
      <c r="A46" s="540"/>
      <c r="B46" s="540"/>
      <c r="C46" s="540"/>
      <c r="E46" s="2403"/>
      <c r="F46" s="2404"/>
      <c r="G46" s="2404"/>
      <c r="H46" s="2404"/>
      <c r="I46" s="2404"/>
      <c r="J46" s="2404"/>
      <c r="K46" s="2404"/>
      <c r="L46" s="2404"/>
      <c r="M46" s="2404"/>
      <c r="N46" s="2404"/>
      <c r="O46" s="2404"/>
      <c r="P46" s="2404"/>
      <c r="Q46" s="2404"/>
      <c r="R46" s="2404"/>
      <c r="S46" s="2404"/>
      <c r="T46" s="2404"/>
      <c r="U46" s="2404"/>
      <c r="V46" s="2404"/>
      <c r="W46" s="2404"/>
      <c r="X46" s="2404"/>
      <c r="Y46" s="2404"/>
      <c r="Z46" s="2404"/>
      <c r="AA46" s="2404"/>
      <c r="AB46" s="2404"/>
      <c r="AC46" s="2404"/>
      <c r="AD46" s="2404"/>
      <c r="AE46" s="2404"/>
      <c r="AF46" s="2404"/>
      <c r="AG46" s="2404"/>
      <c r="AH46" s="2404"/>
      <c r="AI46" s="2404"/>
      <c r="AJ46" s="2405"/>
      <c r="AK46" s="540"/>
      <c r="AL46" s="540"/>
      <c r="AM46" s="540"/>
      <c r="AN46" s="535"/>
    </row>
    <row r="47" spans="1:41" s="536" customFormat="1" ht="12.75" customHeight="1">
      <c r="A47" s="540"/>
      <c r="D47" s="547"/>
      <c r="E47" s="2400"/>
      <c r="F47" s="2401"/>
      <c r="G47" s="2401"/>
      <c r="H47" s="2401"/>
      <c r="I47" s="2401"/>
      <c r="J47" s="2401"/>
      <c r="K47" s="2401"/>
      <c r="L47" s="2401"/>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6" t="s">
        <v>591</v>
      </c>
      <c r="C52" s="2396"/>
      <c r="D52" s="540"/>
      <c r="E52" s="2397" t="s">
        <v>2014</v>
      </c>
      <c r="F52" s="2398"/>
      <c r="G52" s="2398"/>
      <c r="H52" s="2398"/>
      <c r="I52" s="2398"/>
      <c r="J52" s="2398"/>
      <c r="K52" s="2398"/>
      <c r="L52" s="2398"/>
      <c r="M52" s="2398"/>
      <c r="N52" s="2398"/>
      <c r="O52" s="2398"/>
      <c r="P52" s="2398"/>
      <c r="Q52" s="2398"/>
      <c r="R52" s="2398"/>
      <c r="S52" s="2398"/>
      <c r="T52" s="2398"/>
      <c r="U52" s="2398"/>
      <c r="V52" s="2398"/>
      <c r="W52" s="2398"/>
      <c r="X52" s="2398"/>
      <c r="Y52" s="2398"/>
      <c r="Z52" s="2398"/>
      <c r="AA52" s="2398"/>
      <c r="AB52" s="2398"/>
      <c r="AC52" s="2398"/>
      <c r="AD52" s="2398"/>
      <c r="AE52" s="2398"/>
      <c r="AF52" s="2398"/>
      <c r="AG52" s="2398"/>
      <c r="AH52" s="2398"/>
      <c r="AI52" s="2398"/>
      <c r="AJ52" s="2399"/>
      <c r="AK52" s="540"/>
      <c r="AL52" s="540"/>
      <c r="AM52" s="540"/>
      <c r="AN52" s="535"/>
      <c r="AO52" s="559"/>
    </row>
    <row r="53" spans="1:50" s="536" customFormat="1" ht="12.75" customHeight="1">
      <c r="A53" s="540"/>
      <c r="D53" s="547"/>
      <c r="E53" s="2403"/>
      <c r="F53" s="2404"/>
      <c r="G53" s="2404"/>
      <c r="H53" s="2404"/>
      <c r="I53" s="2404"/>
      <c r="J53" s="2404"/>
      <c r="K53" s="2404"/>
      <c r="L53" s="2404"/>
      <c r="M53" s="2404"/>
      <c r="N53" s="2404"/>
      <c r="O53" s="2404"/>
      <c r="P53" s="2404"/>
      <c r="Q53" s="2404"/>
      <c r="R53" s="2404"/>
      <c r="S53" s="2404"/>
      <c r="T53" s="2404"/>
      <c r="U53" s="2404"/>
      <c r="V53" s="2404"/>
      <c r="W53" s="2404"/>
      <c r="X53" s="2404"/>
      <c r="Y53" s="2404"/>
      <c r="Z53" s="2404"/>
      <c r="AA53" s="2404"/>
      <c r="AB53" s="2404"/>
      <c r="AC53" s="2404"/>
      <c r="AD53" s="2404"/>
      <c r="AE53" s="2404"/>
      <c r="AF53" s="2404"/>
      <c r="AG53" s="2404"/>
      <c r="AH53" s="2404"/>
      <c r="AI53" s="2404"/>
      <c r="AJ53" s="2405"/>
      <c r="AK53" s="540"/>
      <c r="AL53" s="540"/>
      <c r="AM53" s="540"/>
      <c r="AN53" s="535"/>
      <c r="AO53" s="559"/>
    </row>
    <row r="54" spans="1:50" s="536" customFormat="1" ht="12.75" customHeight="1">
      <c r="A54" s="540"/>
      <c r="D54" s="540"/>
      <c r="E54" s="2400"/>
      <c r="F54" s="2401"/>
      <c r="G54" s="2401"/>
      <c r="H54" s="2401"/>
      <c r="I54" s="2401"/>
      <c r="J54" s="2401"/>
      <c r="K54" s="2401"/>
      <c r="L54" s="2401"/>
      <c r="M54" s="2401"/>
      <c r="N54" s="2401"/>
      <c r="O54" s="2401"/>
      <c r="P54" s="2401"/>
      <c r="Q54" s="2401"/>
      <c r="R54" s="2401"/>
      <c r="S54" s="2401"/>
      <c r="T54" s="2401"/>
      <c r="U54" s="2401"/>
      <c r="V54" s="2401"/>
      <c r="W54" s="2401"/>
      <c r="X54" s="2401"/>
      <c r="Y54" s="2401"/>
      <c r="Z54" s="2401"/>
      <c r="AA54" s="2401"/>
      <c r="AB54" s="2401"/>
      <c r="AC54" s="2401"/>
      <c r="AD54" s="2401"/>
      <c r="AE54" s="2401"/>
      <c r="AF54" s="2401"/>
      <c r="AG54" s="2401"/>
      <c r="AH54" s="2401"/>
      <c r="AI54" s="2401"/>
      <c r="AJ54" s="240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6" t="s">
        <v>591</v>
      </c>
      <c r="C56" s="2396"/>
      <c r="D56" s="540"/>
      <c r="E56" s="2417" t="s">
        <v>2015</v>
      </c>
      <c r="F56" s="2418"/>
      <c r="G56" s="2418"/>
      <c r="H56" s="2418"/>
      <c r="I56" s="2418"/>
      <c r="J56" s="2418"/>
      <c r="K56" s="2418"/>
      <c r="L56" s="2418"/>
      <c r="M56" s="2418"/>
      <c r="N56" s="2418"/>
      <c r="O56" s="2418"/>
      <c r="P56" s="2418"/>
      <c r="Q56" s="2418"/>
      <c r="R56" s="2418"/>
      <c r="S56" s="2418"/>
      <c r="T56" s="2418"/>
      <c r="U56" s="2418"/>
      <c r="V56" s="2418"/>
      <c r="W56" s="2418"/>
      <c r="X56" s="2418"/>
      <c r="Y56" s="2418"/>
      <c r="Z56" s="2418"/>
      <c r="AA56" s="2418"/>
      <c r="AB56" s="2418"/>
      <c r="AC56" s="2418"/>
      <c r="AD56" s="2418"/>
      <c r="AE56" s="2418"/>
      <c r="AF56" s="2418"/>
      <c r="AG56" s="2418"/>
      <c r="AH56" s="2418"/>
      <c r="AI56" s="2418"/>
      <c r="AJ56" s="241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6" t="s">
        <v>591</v>
      </c>
      <c r="C58" s="2396"/>
      <c r="D58" s="540"/>
      <c r="E58" s="2397" t="s">
        <v>2016</v>
      </c>
      <c r="F58" s="2398"/>
      <c r="G58" s="2398"/>
      <c r="H58" s="2398"/>
      <c r="I58" s="2398"/>
      <c r="J58" s="2398"/>
      <c r="K58" s="2398"/>
      <c r="L58" s="2398"/>
      <c r="M58" s="2398"/>
      <c r="N58" s="2398"/>
      <c r="O58" s="2398"/>
      <c r="P58" s="2398"/>
      <c r="Q58" s="2398"/>
      <c r="R58" s="2398"/>
      <c r="S58" s="2398"/>
      <c r="T58" s="2398"/>
      <c r="U58" s="2398"/>
      <c r="V58" s="2398"/>
      <c r="W58" s="2398"/>
      <c r="X58" s="2398"/>
      <c r="Y58" s="2398"/>
      <c r="Z58" s="2398"/>
      <c r="AA58" s="2398"/>
      <c r="AB58" s="2398"/>
      <c r="AC58" s="2398"/>
      <c r="AD58" s="2398"/>
      <c r="AE58" s="2398"/>
      <c r="AF58" s="2398"/>
      <c r="AG58" s="2398"/>
      <c r="AH58" s="2398"/>
      <c r="AI58" s="2398"/>
      <c r="AJ58" s="2399"/>
      <c r="AK58" s="540"/>
      <c r="AL58" s="540"/>
      <c r="AM58" s="540"/>
      <c r="AN58" s="535"/>
    </row>
    <row r="59" spans="1:50" s="536" customFormat="1" ht="12.75" customHeight="1">
      <c r="A59" s="540"/>
      <c r="B59" s="547"/>
      <c r="C59" s="547"/>
      <c r="D59" s="547"/>
      <c r="E59" s="2400"/>
      <c r="F59" s="2401"/>
      <c r="G59" s="2401"/>
      <c r="H59" s="2401"/>
      <c r="I59" s="2401"/>
      <c r="J59" s="2401"/>
      <c r="K59" s="2401"/>
      <c r="L59" s="2401"/>
      <c r="M59" s="2401"/>
      <c r="N59" s="2401"/>
      <c r="O59" s="2401"/>
      <c r="P59" s="2401"/>
      <c r="Q59" s="2401"/>
      <c r="R59" s="2401"/>
      <c r="S59" s="2401"/>
      <c r="T59" s="2401"/>
      <c r="U59" s="2401"/>
      <c r="V59" s="2401"/>
      <c r="W59" s="2401"/>
      <c r="X59" s="2401"/>
      <c r="Y59" s="2401"/>
      <c r="Z59" s="2401"/>
      <c r="AA59" s="2401"/>
      <c r="AB59" s="2401"/>
      <c r="AC59" s="2401"/>
      <c r="AD59" s="2401"/>
      <c r="AE59" s="2401"/>
      <c r="AF59" s="2401"/>
      <c r="AG59" s="2401"/>
      <c r="AH59" s="2401"/>
      <c r="AI59" s="2401"/>
      <c r="AJ59" s="240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9">
        <f>AO39</f>
        <v>0</v>
      </c>
      <c r="AL62" s="2430"/>
      <c r="AM62" s="243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6" t="s">
        <v>1314</v>
      </c>
      <c r="AF65" s="2406"/>
      <c r="AG65" s="2406"/>
      <c r="AH65" s="2406"/>
      <c r="AI65" s="2406"/>
      <c r="AJ65" s="2406"/>
      <c r="AK65" s="2406"/>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6" t="s">
        <v>545</v>
      </c>
      <c r="C68" s="2396"/>
      <c r="D68" s="547" t="s">
        <v>1315</v>
      </c>
      <c r="E68" s="2407" t="s">
        <v>2017</v>
      </c>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9"/>
      <c r="AK68" s="543"/>
      <c r="AL68" s="540"/>
      <c r="AM68" s="540"/>
      <c r="AN68" s="535"/>
      <c r="AO68" s="550">
        <f>IF($B68="yes",10,0)</f>
        <v>10</v>
      </c>
    </row>
    <row r="69" spans="1:42" s="536" customFormat="1" ht="12.75" customHeight="1">
      <c r="A69" s="538"/>
      <c r="B69" s="540"/>
      <c r="C69" s="540"/>
      <c r="D69" s="551"/>
      <c r="E69" s="2410"/>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2411"/>
      <c r="AI69" s="2411"/>
      <c r="AJ69" s="2412"/>
      <c r="AK69" s="543"/>
      <c r="AL69" s="540"/>
      <c r="AM69" s="540"/>
      <c r="AN69" s="535"/>
      <c r="AO69" s="550">
        <f>IF($B74="yes",10,0)</f>
        <v>0</v>
      </c>
    </row>
    <row r="70" spans="1:42" s="536" customFormat="1" ht="12.75" customHeight="1">
      <c r="A70" s="538"/>
      <c r="B70" s="540"/>
      <c r="C70" s="540"/>
      <c r="D70" s="551"/>
      <c r="E70" s="2410"/>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c r="AB70" s="2411"/>
      <c r="AC70" s="2411"/>
      <c r="AD70" s="2411"/>
      <c r="AE70" s="2411"/>
      <c r="AF70" s="2411"/>
      <c r="AG70" s="2411"/>
      <c r="AH70" s="2411"/>
      <c r="AI70" s="2411"/>
      <c r="AJ70" s="2412"/>
      <c r="AK70" s="543"/>
      <c r="AL70" s="540"/>
      <c r="AM70" s="540"/>
      <c r="AN70" s="535"/>
      <c r="AO70" s="550">
        <f>IF($B81="yes",10,0)</f>
        <v>0</v>
      </c>
    </row>
    <row r="71" spans="1:42" s="536" customFormat="1" ht="12.75" customHeight="1">
      <c r="A71" s="538"/>
      <c r="B71" s="540"/>
      <c r="C71" s="540"/>
      <c r="D71" s="551"/>
      <c r="E71" s="2410"/>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c r="AB71" s="2411"/>
      <c r="AC71" s="2411"/>
      <c r="AD71" s="2411"/>
      <c r="AE71" s="2411"/>
      <c r="AF71" s="2411"/>
      <c r="AG71" s="2411"/>
      <c r="AH71" s="2411"/>
      <c r="AI71" s="2411"/>
      <c r="AJ71" s="2412"/>
      <c r="AK71" s="543"/>
      <c r="AL71" s="540"/>
      <c r="AM71" s="540"/>
      <c r="AN71" s="535"/>
      <c r="AO71" s="536">
        <f>IF(SUM(AO68:AO70)&gt;10,10,(SUM(AO68:AO70)))</f>
        <v>10</v>
      </c>
      <c r="AP71" s="574" t="s">
        <v>1316</v>
      </c>
    </row>
    <row r="72" spans="1:42" s="536" customFormat="1" ht="12.75" customHeight="1">
      <c r="A72" s="538"/>
      <c r="B72" s="540"/>
      <c r="C72" s="540"/>
      <c r="D72" s="551"/>
      <c r="E72" s="2413"/>
      <c r="F72" s="2414"/>
      <c r="G72" s="2414"/>
      <c r="H72" s="2414"/>
      <c r="I72" s="2414"/>
      <c r="J72" s="2414"/>
      <c r="K72" s="2414"/>
      <c r="L72" s="2414"/>
      <c r="M72" s="2414"/>
      <c r="N72" s="2414"/>
      <c r="O72" s="2414"/>
      <c r="P72" s="2414"/>
      <c r="Q72" s="2414"/>
      <c r="R72" s="2414"/>
      <c r="S72" s="2414"/>
      <c r="T72" s="2414"/>
      <c r="U72" s="2414"/>
      <c r="V72" s="2414"/>
      <c r="W72" s="2414"/>
      <c r="X72" s="2414"/>
      <c r="Y72" s="2414"/>
      <c r="Z72" s="2414"/>
      <c r="AA72" s="2414"/>
      <c r="AB72" s="2414"/>
      <c r="AC72" s="2414"/>
      <c r="AD72" s="2414"/>
      <c r="AE72" s="2414"/>
      <c r="AF72" s="2414"/>
      <c r="AG72" s="2414"/>
      <c r="AH72" s="2414"/>
      <c r="AI72" s="2414"/>
      <c r="AJ72" s="241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6" t="s">
        <v>591</v>
      </c>
      <c r="C74" s="2396"/>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6" t="s">
        <v>591</v>
      </c>
      <c r="F75" s="2396"/>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4" t="s">
        <v>591</v>
      </c>
      <c r="F76" s="2395"/>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4" t="s">
        <v>591</v>
      </c>
      <c r="F77" s="2395"/>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6" t="s">
        <v>591</v>
      </c>
      <c r="F79" s="2396"/>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6" t="s">
        <v>591</v>
      </c>
      <c r="C81" s="2396"/>
      <c r="D81" s="547" t="s">
        <v>1320</v>
      </c>
      <c r="E81" s="2397" t="s">
        <v>1740</v>
      </c>
      <c r="F81" s="2398"/>
      <c r="G81" s="2398"/>
      <c r="H81" s="2398"/>
      <c r="I81" s="2398"/>
      <c r="J81" s="2398"/>
      <c r="K81" s="2398"/>
      <c r="L81" s="2398"/>
      <c r="M81" s="2398"/>
      <c r="N81" s="2398"/>
      <c r="O81" s="2398"/>
      <c r="P81" s="2398"/>
      <c r="Q81" s="2398"/>
      <c r="R81" s="2398"/>
      <c r="S81" s="2398"/>
      <c r="T81" s="2398"/>
      <c r="U81" s="2398"/>
      <c r="V81" s="2398"/>
      <c r="W81" s="2398"/>
      <c r="X81" s="2398"/>
      <c r="Y81" s="2398"/>
      <c r="Z81" s="2398"/>
      <c r="AA81" s="2398"/>
      <c r="AB81" s="2398"/>
      <c r="AC81" s="2398"/>
      <c r="AD81" s="2398"/>
      <c r="AE81" s="2398"/>
      <c r="AF81" s="2398"/>
      <c r="AG81" s="2398"/>
      <c r="AH81" s="2398"/>
      <c r="AI81" s="2398"/>
      <c r="AJ81" s="2399"/>
      <c r="AK81" s="543"/>
      <c r="AL81" s="540"/>
      <c r="AM81" s="540"/>
      <c r="AN81" s="535"/>
    </row>
    <row r="82" spans="1:43" s="536" customFormat="1" ht="12.75" customHeight="1">
      <c r="A82" s="538"/>
      <c r="B82" s="540"/>
      <c r="C82" s="540"/>
      <c r="D82" s="550"/>
      <c r="E82" s="2400"/>
      <c r="F82" s="2401"/>
      <c r="G82" s="2401"/>
      <c r="H82" s="2401"/>
      <c r="I82" s="2401"/>
      <c r="J82" s="2401"/>
      <c r="K82" s="2401"/>
      <c r="L82" s="2401"/>
      <c r="M82" s="2401"/>
      <c r="N82" s="2401"/>
      <c r="O82" s="2401"/>
      <c r="P82" s="2401"/>
      <c r="Q82" s="2401"/>
      <c r="R82" s="2401"/>
      <c r="S82" s="2401"/>
      <c r="T82" s="2401"/>
      <c r="U82" s="2401"/>
      <c r="V82" s="2401"/>
      <c r="W82" s="2401"/>
      <c r="X82" s="2401"/>
      <c r="Y82" s="2401"/>
      <c r="Z82" s="2401"/>
      <c r="AA82" s="2401"/>
      <c r="AB82" s="2401"/>
      <c r="AC82" s="2401"/>
      <c r="AD82" s="2401"/>
      <c r="AE82" s="2401"/>
      <c r="AF82" s="2401"/>
      <c r="AG82" s="2401"/>
      <c r="AH82" s="2401"/>
      <c r="AI82" s="2401"/>
      <c r="AJ82" s="240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9">
        <f>IF(AK62&gt;0,0,AO71)</f>
        <v>10</v>
      </c>
      <c r="AL84" s="2430"/>
      <c r="AM84" s="243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6" t="s">
        <v>1305</v>
      </c>
      <c r="AF87" s="2406"/>
      <c r="AG87" s="2406"/>
      <c r="AH87" s="2406"/>
      <c r="AI87" s="2406"/>
      <c r="AJ87" s="2406"/>
      <c r="AK87" s="2406"/>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6" t="s">
        <v>545</v>
      </c>
      <c r="C90" s="2396"/>
      <c r="D90" s="547" t="s">
        <v>1315</v>
      </c>
      <c r="E90" s="2407" t="s">
        <v>1325</v>
      </c>
      <c r="F90" s="2408"/>
      <c r="G90" s="2408"/>
      <c r="H90" s="2408"/>
      <c r="I90" s="2408"/>
      <c r="J90" s="2408"/>
      <c r="K90" s="2408"/>
      <c r="L90" s="2408"/>
      <c r="M90" s="2408"/>
      <c r="N90" s="2408"/>
      <c r="O90" s="2408"/>
      <c r="P90" s="2408"/>
      <c r="Q90" s="2408"/>
      <c r="R90" s="2408"/>
      <c r="S90" s="2408"/>
      <c r="T90" s="2408"/>
      <c r="U90" s="2408"/>
      <c r="V90" s="2408"/>
      <c r="W90" s="2408"/>
      <c r="X90" s="2408"/>
      <c r="Y90" s="2408"/>
      <c r="Z90" s="2408"/>
      <c r="AA90" s="2408"/>
      <c r="AB90" s="2408"/>
      <c r="AC90" s="2408"/>
      <c r="AD90" s="2408"/>
      <c r="AE90" s="2408"/>
      <c r="AF90" s="2408"/>
      <c r="AG90" s="2408"/>
      <c r="AH90" s="2408"/>
      <c r="AI90" s="2408"/>
      <c r="AJ90" s="2409"/>
      <c r="AK90" s="543"/>
      <c r="AL90" s="540"/>
      <c r="AM90" s="540"/>
      <c r="AN90" s="535"/>
    </row>
    <row r="91" spans="1:43" s="536" customFormat="1" ht="12.75" customHeight="1">
      <c r="A91" s="538"/>
      <c r="B91" s="539"/>
      <c r="C91" s="539"/>
      <c r="D91" s="539"/>
      <c r="E91" s="2410"/>
      <c r="F91" s="2411"/>
      <c r="G91" s="2411"/>
      <c r="H91" s="2411"/>
      <c r="I91" s="2411"/>
      <c r="J91" s="2411"/>
      <c r="K91" s="2411"/>
      <c r="L91" s="2411"/>
      <c r="M91" s="2411"/>
      <c r="N91" s="2411"/>
      <c r="O91" s="2411"/>
      <c r="P91" s="2411"/>
      <c r="Q91" s="2411"/>
      <c r="R91" s="2411"/>
      <c r="S91" s="2411"/>
      <c r="T91" s="2411"/>
      <c r="U91" s="2411"/>
      <c r="V91" s="2411"/>
      <c r="W91" s="2411"/>
      <c r="X91" s="2411"/>
      <c r="Y91" s="2411"/>
      <c r="Z91" s="2411"/>
      <c r="AA91" s="2411"/>
      <c r="AB91" s="2411"/>
      <c r="AC91" s="2411"/>
      <c r="AD91" s="2411"/>
      <c r="AE91" s="2411"/>
      <c r="AF91" s="2411"/>
      <c r="AG91" s="2411"/>
      <c r="AH91" s="2411"/>
      <c r="AI91" s="2411"/>
      <c r="AJ91" s="24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0">
        <f>Application!AC753</f>
        <v>0.4</v>
      </c>
      <c r="F93" s="2391"/>
      <c r="G93" s="2391"/>
      <c r="H93" s="239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2">
        <f>0.6-ROUNDUP(E93,2)</f>
        <v>0.19999999999999996</v>
      </c>
      <c r="F94" s="2393"/>
      <c r="G94" s="2393"/>
      <c r="H94" s="2393"/>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3">
        <f>IF(E94*200&gt;20,20,E94*200)</f>
        <v>20</v>
      </c>
      <c r="F95" s="2424"/>
      <c r="G95" s="2424"/>
      <c r="H95" s="2424"/>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6" t="s">
        <v>591</v>
      </c>
      <c r="C98" s="2396"/>
      <c r="D98" s="547" t="s">
        <v>1317</v>
      </c>
      <c r="E98" s="2407" t="s">
        <v>1725</v>
      </c>
      <c r="F98" s="2408"/>
      <c r="G98" s="2408"/>
      <c r="H98" s="2408"/>
      <c r="I98" s="2408"/>
      <c r="J98" s="2408"/>
      <c r="K98" s="2408"/>
      <c r="L98" s="2408"/>
      <c r="M98" s="2408"/>
      <c r="N98" s="2408"/>
      <c r="O98" s="2408"/>
      <c r="P98" s="2408"/>
      <c r="Q98" s="2408"/>
      <c r="R98" s="2408"/>
      <c r="S98" s="2408"/>
      <c r="T98" s="2408"/>
      <c r="U98" s="2408"/>
      <c r="V98" s="2408"/>
      <c r="W98" s="2408"/>
      <c r="X98" s="2408"/>
      <c r="Y98" s="2408"/>
      <c r="Z98" s="2408"/>
      <c r="AA98" s="2408"/>
      <c r="AB98" s="2408"/>
      <c r="AC98" s="2408"/>
      <c r="AD98" s="2408"/>
      <c r="AE98" s="2408"/>
      <c r="AF98" s="2408"/>
      <c r="AG98" s="2408"/>
      <c r="AH98" s="2408"/>
      <c r="AI98" s="2408"/>
      <c r="AJ98" s="2409"/>
      <c r="AK98" s="543"/>
      <c r="AL98" s="540"/>
      <c r="AM98" s="540"/>
      <c r="AN98" s="535"/>
    </row>
    <row r="99" spans="1:47" s="536" customFormat="1" ht="12.75" customHeight="1">
      <c r="A99" s="538"/>
      <c r="B99" s="539"/>
      <c r="C99" s="539"/>
      <c r="D99" s="539"/>
      <c r="E99" s="2410"/>
      <c r="F99" s="2411"/>
      <c r="G99" s="2411"/>
      <c r="H99" s="2411"/>
      <c r="I99" s="2411"/>
      <c r="J99" s="2411"/>
      <c r="K99" s="2411"/>
      <c r="L99" s="2411"/>
      <c r="M99" s="2411"/>
      <c r="N99" s="2411"/>
      <c r="O99" s="2411"/>
      <c r="P99" s="2411"/>
      <c r="Q99" s="2411"/>
      <c r="R99" s="2411"/>
      <c r="S99" s="2411"/>
      <c r="T99" s="2411"/>
      <c r="U99" s="2411"/>
      <c r="V99" s="2411"/>
      <c r="W99" s="2411"/>
      <c r="X99" s="2411"/>
      <c r="Y99" s="2411"/>
      <c r="Z99" s="2411"/>
      <c r="AA99" s="2411"/>
      <c r="AB99" s="2411"/>
      <c r="AC99" s="2411"/>
      <c r="AD99" s="2411"/>
      <c r="AE99" s="2411"/>
      <c r="AF99" s="2411"/>
      <c r="AG99" s="2411"/>
      <c r="AH99" s="2411"/>
      <c r="AI99" s="2411"/>
      <c r="AJ99" s="2412"/>
      <c r="AK99" s="543"/>
      <c r="AL99" s="540"/>
      <c r="AM99" s="540"/>
      <c r="AN99" s="535"/>
    </row>
    <row r="100" spans="1:47" s="536" customFormat="1" ht="12.75" customHeight="1">
      <c r="A100" s="538"/>
      <c r="B100" s="539"/>
      <c r="C100" s="539"/>
      <c r="D100" s="539"/>
      <c r="E100" s="2410"/>
      <c r="F100" s="2411"/>
      <c r="G100" s="2411"/>
      <c r="H100" s="2411"/>
      <c r="I100" s="2411"/>
      <c r="J100" s="2411"/>
      <c r="K100" s="2411"/>
      <c r="L100" s="2411"/>
      <c r="M100" s="2411"/>
      <c r="N100" s="2411"/>
      <c r="O100" s="2411"/>
      <c r="P100" s="2411"/>
      <c r="Q100" s="2411"/>
      <c r="R100" s="2411"/>
      <c r="S100" s="2411"/>
      <c r="T100" s="2411"/>
      <c r="U100" s="2411"/>
      <c r="V100" s="2411"/>
      <c r="W100" s="2411"/>
      <c r="X100" s="2411"/>
      <c r="Y100" s="2411"/>
      <c r="Z100" s="2411"/>
      <c r="AA100" s="2411"/>
      <c r="AB100" s="2411"/>
      <c r="AC100" s="2411"/>
      <c r="AD100" s="2411"/>
      <c r="AE100" s="2411"/>
      <c r="AF100" s="2411"/>
      <c r="AG100" s="2411"/>
      <c r="AH100" s="2411"/>
      <c r="AI100" s="2411"/>
      <c r="AJ100" s="2412"/>
      <c r="AK100" s="543"/>
      <c r="AL100" s="540"/>
      <c r="AM100" s="540"/>
      <c r="AN100" s="535"/>
    </row>
    <row r="101" spans="1:47" s="536" customFormat="1" ht="12.75" customHeight="1">
      <c r="A101" s="538"/>
      <c r="B101" s="539"/>
      <c r="C101" s="539"/>
      <c r="D101" s="539"/>
      <c r="E101" s="2410"/>
      <c r="F101" s="2411"/>
      <c r="G101" s="2411"/>
      <c r="H101" s="2411"/>
      <c r="I101" s="2411"/>
      <c r="J101" s="2411"/>
      <c r="K101" s="2411"/>
      <c r="L101" s="2411"/>
      <c r="M101" s="2411"/>
      <c r="N101" s="2411"/>
      <c r="O101" s="2411"/>
      <c r="P101" s="2411"/>
      <c r="Q101" s="2411"/>
      <c r="R101" s="2411"/>
      <c r="S101" s="2411"/>
      <c r="T101" s="2411"/>
      <c r="U101" s="2411"/>
      <c r="V101" s="2411"/>
      <c r="W101" s="2411"/>
      <c r="X101" s="2411"/>
      <c r="Y101" s="2411"/>
      <c r="Z101" s="2411"/>
      <c r="AA101" s="2411"/>
      <c r="AB101" s="2411"/>
      <c r="AC101" s="2411"/>
      <c r="AD101" s="2411"/>
      <c r="AE101" s="2411"/>
      <c r="AF101" s="2411"/>
      <c r="AG101" s="2411"/>
      <c r="AH101" s="2411"/>
      <c r="AI101" s="2411"/>
      <c r="AJ101" s="24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0">
        <f>Application!AC753</f>
        <v>0.4</v>
      </c>
      <c r="F103" s="2391"/>
      <c r="G103" s="2391"/>
      <c r="H103" s="239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0">
        <f ca="1">SUMIF(Application!AC718:AG752,0.2,Application!G718:J752)/Application!G753+SUMIF(Application!AC718:AG752,0.25,Application!G718:J752)/Application!G753+SUMIF(Application!AC718:AG752,0.3,Application!G718:J752)/Application!G753</f>
        <v>0.5</v>
      </c>
      <c r="F104" s="2391"/>
      <c r="G104" s="2391"/>
      <c r="H104" s="239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0">
        <f ca="1">SUMIF(Application!AC718:AG752,0.35,Application!G718:J752)/Application!G753+SUMIF(Application!AC718:AG752,0.4,Application!G718:J752)/Application!G753+SUMIF(Application!AC718:AG752,0.45,Application!G718:J752)/Application!G753+SUMIF(Application!AC718:AG752,0.5,Application!G718:J752)/Application!G753</f>
        <v>0.5</v>
      </c>
      <c r="F105" s="2391"/>
      <c r="G105" s="2391"/>
      <c r="H105" s="239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8">
        <f ca="1">IF(AND(E103&lt;=0.6,OR(AND(E104&gt;=0.1,E105&gt;=0.1),AND(E104&gt;0.1,(E104+E105)&gt;=0.2))),20,0)</f>
        <v>20</v>
      </c>
      <c r="F106" s="2449"/>
      <c r="G106" s="2449"/>
      <c r="H106" s="244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9">
        <f>MAX(AP95,AP106)</f>
        <v>20</v>
      </c>
      <c r="AL109" s="2430"/>
      <c r="AM109" s="243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6" t="s">
        <v>1314</v>
      </c>
      <c r="AF112" s="2406"/>
      <c r="AG112" s="2406"/>
      <c r="AH112" s="2406"/>
      <c r="AI112" s="2406"/>
      <c r="AJ112" s="2406"/>
      <c r="AK112" s="2406"/>
      <c r="AL112" s="540"/>
      <c r="AM112" s="540"/>
      <c r="AN112" s="535"/>
      <c r="AO112" s="536" t="str">
        <f>Application!B718</f>
        <v>1 Bedroom</v>
      </c>
      <c r="AQ112" s="536">
        <f>Application!O718</f>
        <v>723</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1206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396" t="s">
        <v>545</v>
      </c>
      <c r="C115" s="2396"/>
      <c r="D115" s="547" t="s">
        <v>1315</v>
      </c>
      <c r="E115" s="2407" t="s">
        <v>1858</v>
      </c>
      <c r="F115" s="2408"/>
      <c r="G115" s="2408"/>
      <c r="H115" s="2408"/>
      <c r="I115" s="2408"/>
      <c r="J115" s="2408"/>
      <c r="K115" s="2408"/>
      <c r="L115" s="2408"/>
      <c r="M115" s="2408"/>
      <c r="N115" s="2408"/>
      <c r="O115" s="2408"/>
      <c r="P115" s="2408"/>
      <c r="Q115" s="2408"/>
      <c r="R115" s="2408"/>
      <c r="S115" s="2408"/>
      <c r="T115" s="2408"/>
      <c r="U115" s="2408"/>
      <c r="V115" s="2408"/>
      <c r="W115" s="2408"/>
      <c r="X115" s="2408"/>
      <c r="Y115" s="2408"/>
      <c r="Z115" s="2408"/>
      <c r="AA115" s="2408"/>
      <c r="AB115" s="2408"/>
      <c r="AC115" s="2408"/>
      <c r="AD115" s="2408"/>
      <c r="AE115" s="2408"/>
      <c r="AF115" s="2408"/>
      <c r="AG115" s="2408"/>
      <c r="AH115" s="2408"/>
      <c r="AI115" s="2408"/>
      <c r="AJ115" s="2409"/>
      <c r="AK115" s="540"/>
      <c r="AL115" s="540"/>
      <c r="AM115" s="540"/>
      <c r="AN115" s="535"/>
      <c r="AO115" s="536">
        <f>Application!B721</f>
        <v>0</v>
      </c>
      <c r="AQ115" s="536">
        <f>Application!O721</f>
        <v>0</v>
      </c>
      <c r="AU115" s="536" t="s">
        <v>1840</v>
      </c>
      <c r="AV115" s="595" t="s">
        <v>1841</v>
      </c>
      <c r="AW115" s="536" t="s">
        <v>1842</v>
      </c>
    </row>
    <row r="116" spans="1:52" s="536" customFormat="1" ht="12.75" customHeight="1">
      <c r="A116" s="540"/>
      <c r="B116" s="539"/>
      <c r="C116" s="539"/>
      <c r="D116" s="539"/>
      <c r="E116" s="2410"/>
      <c r="F116" s="2411"/>
      <c r="G116" s="2411"/>
      <c r="H116" s="2411"/>
      <c r="I116" s="2411"/>
      <c r="J116" s="2411"/>
      <c r="K116" s="2411"/>
      <c r="L116" s="2411"/>
      <c r="M116" s="2411"/>
      <c r="N116" s="2411"/>
      <c r="O116" s="2411"/>
      <c r="P116" s="2411"/>
      <c r="Q116" s="2411"/>
      <c r="R116" s="2411"/>
      <c r="S116" s="2411"/>
      <c r="T116" s="2411"/>
      <c r="U116" s="2411"/>
      <c r="V116" s="2411"/>
      <c r="W116" s="2411"/>
      <c r="X116" s="2411"/>
      <c r="Y116" s="2411"/>
      <c r="Z116" s="2411"/>
      <c r="AA116" s="2411"/>
      <c r="AB116" s="2411"/>
      <c r="AC116" s="2411"/>
      <c r="AD116" s="2411"/>
      <c r="AE116" s="2411"/>
      <c r="AF116" s="2411"/>
      <c r="AG116" s="2411"/>
      <c r="AH116" s="2411"/>
      <c r="AI116" s="2411"/>
      <c r="AJ116" s="2412"/>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0"/>
      <c r="F117" s="2411"/>
      <c r="G117" s="2411"/>
      <c r="H117" s="2411"/>
      <c r="I117" s="2411"/>
      <c r="J117" s="2411"/>
      <c r="K117" s="2411"/>
      <c r="L117" s="2411"/>
      <c r="M117" s="2411"/>
      <c r="N117" s="2411"/>
      <c r="O117" s="2411"/>
      <c r="P117" s="2411"/>
      <c r="Q117" s="2411"/>
      <c r="R117" s="2411"/>
      <c r="S117" s="2411"/>
      <c r="T117" s="2411"/>
      <c r="U117" s="2411"/>
      <c r="V117" s="2411"/>
      <c r="W117" s="2411"/>
      <c r="X117" s="2411"/>
      <c r="Y117" s="2411"/>
      <c r="Z117" s="2411"/>
      <c r="AA117" s="2411"/>
      <c r="AB117" s="2411"/>
      <c r="AC117" s="2411"/>
      <c r="AD117" s="2411"/>
      <c r="AE117" s="2411"/>
      <c r="AF117" s="2411"/>
      <c r="AG117" s="2411"/>
      <c r="AH117" s="2411"/>
      <c r="AI117" s="2411"/>
      <c r="AJ117" s="2412"/>
      <c r="AK117" s="540"/>
      <c r="AL117" s="540"/>
      <c r="AM117" s="540"/>
      <c r="AN117" s="535"/>
      <c r="AO117" s="536">
        <f>Application!B723</f>
        <v>0</v>
      </c>
      <c r="AQ117" s="536">
        <f>Application!O723</f>
        <v>0</v>
      </c>
      <c r="AU117" s="856" t="str">
        <f>J124</f>
        <v>1-bedroom</v>
      </c>
      <c r="AV117" s="536">
        <f t="array" ref="AV117">SUM(IF(Application!B718:F752="1 Bedroom",Application!G718:J752))</f>
        <v>80</v>
      </c>
      <c r="AW117" s="1011">
        <f>AV117/AV122</f>
        <v>1</v>
      </c>
    </row>
    <row r="118" spans="1:52" s="536" customFormat="1" ht="12.75" customHeight="1">
      <c r="A118" s="540"/>
      <c r="B118" s="539"/>
      <c r="C118" s="539"/>
      <c r="D118" s="539"/>
      <c r="E118" s="2410"/>
      <c r="F118" s="2411"/>
      <c r="G118" s="2411"/>
      <c r="H118" s="2411"/>
      <c r="I118" s="2411"/>
      <c r="J118" s="2411"/>
      <c r="K118" s="2411"/>
      <c r="L118" s="2411"/>
      <c r="M118" s="2411"/>
      <c r="N118" s="2411"/>
      <c r="O118" s="2411"/>
      <c r="P118" s="2411"/>
      <c r="Q118" s="2411"/>
      <c r="R118" s="2411"/>
      <c r="S118" s="2411"/>
      <c r="T118" s="2411"/>
      <c r="U118" s="2411"/>
      <c r="V118" s="2411"/>
      <c r="W118" s="2411"/>
      <c r="X118" s="2411"/>
      <c r="Y118" s="2411"/>
      <c r="Z118" s="2411"/>
      <c r="AA118" s="2411"/>
      <c r="AB118" s="2411"/>
      <c r="AC118" s="2411"/>
      <c r="AD118" s="2411"/>
      <c r="AE118" s="2411"/>
      <c r="AF118" s="2411"/>
      <c r="AG118" s="2411"/>
      <c r="AH118" s="2411"/>
      <c r="AI118" s="2411"/>
      <c r="AJ118" s="2412"/>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0"/>
      <c r="F119" s="2411"/>
      <c r="G119" s="2411"/>
      <c r="H119" s="2411"/>
      <c r="I119" s="2411"/>
      <c r="J119" s="2411"/>
      <c r="K119" s="2411"/>
      <c r="L119" s="2411"/>
      <c r="M119" s="2411"/>
      <c r="N119" s="2411"/>
      <c r="O119" s="2411"/>
      <c r="P119" s="2411"/>
      <c r="Q119" s="2411"/>
      <c r="R119" s="2411"/>
      <c r="S119" s="2411"/>
      <c r="T119" s="2411"/>
      <c r="U119" s="2411"/>
      <c r="V119" s="2411"/>
      <c r="W119" s="2411"/>
      <c r="X119" s="2411"/>
      <c r="Y119" s="2411"/>
      <c r="Z119" s="2411"/>
      <c r="AA119" s="2411"/>
      <c r="AB119" s="2411"/>
      <c r="AC119" s="2411"/>
      <c r="AD119" s="2411"/>
      <c r="AE119" s="2411"/>
      <c r="AF119" s="2411"/>
      <c r="AG119" s="2411"/>
      <c r="AH119" s="2411"/>
      <c r="AI119" s="2411"/>
      <c r="AJ119" s="2412"/>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0"/>
      <c r="F120" s="2411"/>
      <c r="G120" s="2411"/>
      <c r="H120" s="2411"/>
      <c r="I120" s="2411"/>
      <c r="J120" s="2411"/>
      <c r="K120" s="2411"/>
      <c r="L120" s="2411"/>
      <c r="M120" s="2411"/>
      <c r="N120" s="2411"/>
      <c r="O120" s="2411"/>
      <c r="P120" s="2411"/>
      <c r="Q120" s="2411"/>
      <c r="R120" s="2411"/>
      <c r="S120" s="2411"/>
      <c r="T120" s="2411"/>
      <c r="U120" s="2411"/>
      <c r="V120" s="2411"/>
      <c r="W120" s="2411"/>
      <c r="X120" s="2411"/>
      <c r="Y120" s="2411"/>
      <c r="Z120" s="2411"/>
      <c r="AA120" s="2411"/>
      <c r="AB120" s="2411"/>
      <c r="AC120" s="2411"/>
      <c r="AD120" s="2411"/>
      <c r="AE120" s="2411"/>
      <c r="AF120" s="2411"/>
      <c r="AG120" s="2411"/>
      <c r="AH120" s="2411"/>
      <c r="AI120" s="2411"/>
      <c r="AJ120" s="2412"/>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0"/>
      <c r="F121" s="2411"/>
      <c r="G121" s="2411"/>
      <c r="H121" s="2411"/>
      <c r="I121" s="2411"/>
      <c r="J121" s="2411"/>
      <c r="K121" s="2411"/>
      <c r="L121" s="2411"/>
      <c r="M121" s="2411"/>
      <c r="N121" s="2411"/>
      <c r="O121" s="2411"/>
      <c r="P121" s="2411"/>
      <c r="Q121" s="2411"/>
      <c r="R121" s="2411"/>
      <c r="S121" s="2411"/>
      <c r="T121" s="2411"/>
      <c r="U121" s="2411"/>
      <c r="V121" s="2411"/>
      <c r="W121" s="2411"/>
      <c r="X121" s="2411"/>
      <c r="Y121" s="2411"/>
      <c r="Z121" s="2411"/>
      <c r="AA121" s="2411"/>
      <c r="AB121" s="2411"/>
      <c r="AC121" s="2411"/>
      <c r="AD121" s="2411"/>
      <c r="AE121" s="2411"/>
      <c r="AF121" s="2411"/>
      <c r="AG121" s="2411"/>
      <c r="AH121" s="2411"/>
      <c r="AI121" s="2411"/>
      <c r="AJ121" s="241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0"/>
      <c r="F122" s="2411"/>
      <c r="G122" s="2411"/>
      <c r="H122" s="2411"/>
      <c r="I122" s="2411"/>
      <c r="J122" s="2411"/>
      <c r="K122" s="2411"/>
      <c r="L122" s="2411"/>
      <c r="M122" s="2411"/>
      <c r="N122" s="2411"/>
      <c r="O122" s="2411"/>
      <c r="P122" s="2411"/>
      <c r="Q122" s="2411"/>
      <c r="R122" s="2411"/>
      <c r="S122" s="2411"/>
      <c r="T122" s="2411"/>
      <c r="U122" s="2411"/>
      <c r="V122" s="2411"/>
      <c r="W122" s="2411"/>
      <c r="X122" s="2411"/>
      <c r="Y122" s="2411"/>
      <c r="Z122" s="2411"/>
      <c r="AA122" s="2411"/>
      <c r="AB122" s="2411"/>
      <c r="AC122" s="2411"/>
      <c r="AD122" s="2411"/>
      <c r="AE122" s="2411"/>
      <c r="AF122" s="2411"/>
      <c r="AG122" s="2411"/>
      <c r="AH122" s="2411"/>
      <c r="AI122" s="2411"/>
      <c r="AJ122" s="2412"/>
      <c r="AK122" s="540"/>
      <c r="AL122" s="540"/>
      <c r="AM122" s="540"/>
      <c r="AN122" s="535"/>
      <c r="AO122" s="536">
        <f>Application!B728</f>
        <v>0</v>
      </c>
      <c r="AQ122" s="536">
        <f>Application!O728</f>
        <v>0</v>
      </c>
      <c r="AV122" s="536">
        <f>SUM(AV116:AV121)</f>
        <v>80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0" t="s">
        <v>1588</v>
      </c>
      <c r="F124" s="2391"/>
      <c r="G124" s="2391"/>
      <c r="H124" s="2391"/>
      <c r="I124" s="577"/>
      <c r="J124" s="2391" t="s">
        <v>1631</v>
      </c>
      <c r="K124" s="2391"/>
      <c r="L124" s="2391"/>
      <c r="M124" s="2391"/>
      <c r="N124" s="577"/>
      <c r="O124" s="2391" t="s">
        <v>1632</v>
      </c>
      <c r="P124" s="2391"/>
      <c r="Q124" s="2391"/>
      <c r="R124" s="2391"/>
      <c r="S124" s="577"/>
      <c r="T124" s="2391" t="s">
        <v>1334</v>
      </c>
      <c r="U124" s="2391"/>
      <c r="V124" s="2391"/>
      <c r="W124" s="2391"/>
      <c r="X124" s="577"/>
      <c r="Y124" s="2391" t="s">
        <v>1633</v>
      </c>
      <c r="Z124" s="2391"/>
      <c r="AA124" s="2391"/>
      <c r="AB124" s="2391"/>
      <c r="AC124" s="577"/>
      <c r="AD124" s="2391" t="s">
        <v>1634</v>
      </c>
      <c r="AE124" s="2391"/>
      <c r="AF124" s="2391"/>
      <c r="AG124" s="239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0"/>
      <c r="F127" s="2451"/>
      <c r="G127" s="2451"/>
      <c r="H127" s="2451"/>
      <c r="I127" s="864"/>
      <c r="J127" s="2451">
        <v>2300</v>
      </c>
      <c r="K127" s="2451"/>
      <c r="L127" s="2451"/>
      <c r="M127" s="2451"/>
      <c r="N127" s="864"/>
      <c r="O127" s="2451"/>
      <c r="P127" s="2451"/>
      <c r="Q127" s="2451"/>
      <c r="R127" s="2451"/>
      <c r="S127" s="864"/>
      <c r="T127" s="2451"/>
      <c r="U127" s="2451"/>
      <c r="V127" s="2451"/>
      <c r="W127" s="2451"/>
      <c r="X127" s="864"/>
      <c r="Y127" s="2451"/>
      <c r="Z127" s="2451"/>
      <c r="AA127" s="2451"/>
      <c r="AB127" s="2451"/>
      <c r="AC127" s="864"/>
      <c r="AD127" s="2451"/>
      <c r="AE127" s="2451"/>
      <c r="AF127" s="2451"/>
      <c r="AG127" s="245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3">
        <f>Application!DX670</f>
        <v>0</v>
      </c>
      <c r="F130" s="2444"/>
      <c r="G130" s="2444"/>
      <c r="H130" s="2444"/>
      <c r="I130" s="864"/>
      <c r="J130" s="2444">
        <f>Application!EC670</f>
        <v>964.5</v>
      </c>
      <c r="K130" s="2444"/>
      <c r="L130" s="2444"/>
      <c r="M130" s="2444"/>
      <c r="N130" s="864"/>
      <c r="O130" s="2444">
        <f>Application!EH670</f>
        <v>0</v>
      </c>
      <c r="P130" s="2444"/>
      <c r="Q130" s="2444"/>
      <c r="R130" s="2444"/>
      <c r="S130" s="868"/>
      <c r="T130" s="2444">
        <f>Application!EM670</f>
        <v>0</v>
      </c>
      <c r="U130" s="2444"/>
      <c r="V130" s="2444"/>
      <c r="W130" s="2444"/>
      <c r="X130" s="868"/>
      <c r="Y130" s="2444">
        <f>Application!ER670</f>
        <v>0</v>
      </c>
      <c r="Z130" s="2444"/>
      <c r="AA130" s="2444"/>
      <c r="AB130" s="2444"/>
      <c r="AC130" s="868"/>
      <c r="AD130" s="2444">
        <f>Application!EW670</f>
        <v>0</v>
      </c>
      <c r="AE130" s="2444"/>
      <c r="AF130" s="2444"/>
      <c r="AG130" s="244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2" t="e">
        <f>(E127-E130)/E127</f>
        <v>#DIV/0!</v>
      </c>
      <c r="F133" s="2393"/>
      <c r="G133" s="2393"/>
      <c r="H133" s="2643"/>
      <c r="I133" s="577"/>
      <c r="J133" s="2642">
        <f>(J127-J130)/J127</f>
        <v>0.58065217391304347</v>
      </c>
      <c r="K133" s="2393"/>
      <c r="L133" s="2393"/>
      <c r="M133" s="2643"/>
      <c r="N133" s="577"/>
      <c r="O133" s="2642" t="e">
        <f>(O127-O130)/O127</f>
        <v>#DIV/0!</v>
      </c>
      <c r="P133" s="2393"/>
      <c r="Q133" s="2393"/>
      <c r="R133" s="2643"/>
      <c r="S133" s="577"/>
      <c r="T133" s="2642" t="e">
        <f>(T127-T130)/T127</f>
        <v>#DIV/0!</v>
      </c>
      <c r="U133" s="2393"/>
      <c r="V133" s="2393"/>
      <c r="W133" s="2643"/>
      <c r="X133" s="577"/>
      <c r="Y133" s="2642" t="e">
        <f>(Y127-Y130)/Y127</f>
        <v>#DIV/0!</v>
      </c>
      <c r="Z133" s="2393"/>
      <c r="AA133" s="2393"/>
      <c r="AB133" s="2643"/>
      <c r="AC133" s="577"/>
      <c r="AD133" s="2642" t="e">
        <f>(AD127-AD130)/AD127</f>
        <v>#DIV/0!</v>
      </c>
      <c r="AE133" s="2393"/>
      <c r="AF133" s="2393"/>
      <c r="AG133" s="264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5" t="e">
        <f>IF(((E133-0.1)*AW116)&gt;0,((E133-0.1)*AW116),0)</f>
        <v>#DIV/0!</v>
      </c>
      <c r="F136" s="2446"/>
      <c r="G136" s="2446"/>
      <c r="H136" s="2447"/>
      <c r="I136" s="577"/>
      <c r="J136" s="2445">
        <f>IF(((J133-0.1)*AW117)&gt;0,((J133-0.1)*AW117),0)</f>
        <v>0.48065217391304349</v>
      </c>
      <c r="K136" s="2446"/>
      <c r="L136" s="2446"/>
      <c r="M136" s="2447"/>
      <c r="N136" s="577"/>
      <c r="O136" s="2445" t="e">
        <f>IF(((O133-0.1)*AW118)&gt;0,((O133-0.1)*AW118),0)</f>
        <v>#DIV/0!</v>
      </c>
      <c r="P136" s="2446"/>
      <c r="Q136" s="2446"/>
      <c r="R136" s="2447"/>
      <c r="S136" s="577"/>
      <c r="T136" s="2445" t="e">
        <f>IF(((T133-0.1)*AW119)&gt;0,((T133-0.1)*AW119),0)</f>
        <v>#DIV/0!</v>
      </c>
      <c r="U136" s="2446"/>
      <c r="V136" s="2446"/>
      <c r="W136" s="2447"/>
      <c r="X136" s="577"/>
      <c r="Y136" s="2445" t="e">
        <f>IF(((Y133-0.1)*AW120)&gt;0,((Y133-0.1)*AW120),0)</f>
        <v>#DIV/0!</v>
      </c>
      <c r="Z136" s="2446"/>
      <c r="AA136" s="2446"/>
      <c r="AB136" s="2447"/>
      <c r="AC136" s="577"/>
      <c r="AD136" s="2445" t="e">
        <f>IF(((AD133-0.1)*AW121)&gt;0,((AD133-0.1)*AW121),0)</f>
        <v>#DIV/0!</v>
      </c>
      <c r="AE136" s="2446"/>
      <c r="AF136" s="2446"/>
      <c r="AG136" s="244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2">
        <f>ROUNDDOWN(SUMIF(E136:AG136,"&gt;0"),2)</f>
        <v>0.48</v>
      </c>
      <c r="F138" s="2393"/>
      <c r="G138" s="2393"/>
      <c r="H138" s="2643"/>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9">
        <f>IF((E138*100)&gt;10,10,E138*100)</f>
        <v>10</v>
      </c>
      <c r="F139" s="2430"/>
      <c r="G139" s="2430"/>
      <c r="H139" s="2431"/>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9">
        <f>E139</f>
        <v>10</v>
      </c>
      <c r="AL143" s="2430"/>
      <c r="AM143" s="243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6" t="s">
        <v>1314</v>
      </c>
      <c r="AF146" s="2406"/>
      <c r="AG146" s="2406"/>
      <c r="AH146" s="2406"/>
      <c r="AI146" s="2406"/>
      <c r="AJ146" s="2406"/>
      <c r="AK146" s="240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1" t="s">
        <v>1338</v>
      </c>
      <c r="AG148" s="2441"/>
      <c r="AH148" s="2441"/>
      <c r="AI148" s="2441"/>
      <c r="AJ148" s="2441"/>
      <c r="AK148" s="2441"/>
      <c r="AL148" s="2441"/>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2" t="s">
        <v>2632</v>
      </c>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8" t="s">
        <v>1341</v>
      </c>
      <c r="C153" s="2468"/>
      <c r="D153" s="2468"/>
      <c r="E153" s="2468"/>
      <c r="F153" s="2468"/>
      <c r="G153" s="2468"/>
      <c r="H153" s="2468"/>
      <c r="I153" s="2468"/>
      <c r="J153" s="2468"/>
      <c r="K153" s="2468"/>
      <c r="L153" s="2468"/>
      <c r="M153" s="2468"/>
      <c r="N153" s="2468"/>
      <c r="O153" s="2468"/>
      <c r="P153" s="2468"/>
      <c r="Q153" s="2468"/>
      <c r="R153" s="2468"/>
      <c r="S153" s="2468"/>
      <c r="T153" s="2468"/>
      <c r="U153" s="2468"/>
      <c r="V153" s="2468"/>
      <c r="W153" s="2468"/>
      <c r="X153" s="2468"/>
      <c r="Y153" s="2468"/>
      <c r="Z153" s="2468"/>
      <c r="AA153" s="2468"/>
      <c r="AB153" s="2468"/>
      <c r="AC153" s="2468"/>
      <c r="AD153" s="2468"/>
      <c r="AE153" s="2468"/>
      <c r="AF153" s="2468"/>
      <c r="AG153" s="2468"/>
      <c r="AH153" s="2468"/>
      <c r="AI153" s="2468"/>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9" t="s">
        <v>591</v>
      </c>
      <c r="AC155" s="246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8" t="s">
        <v>1343</v>
      </c>
      <c r="C158" s="2468"/>
      <c r="D158" s="2468"/>
      <c r="E158" s="2468"/>
      <c r="F158" s="2468"/>
      <c r="G158" s="2468"/>
      <c r="H158" s="2468"/>
      <c r="I158" s="2468"/>
      <c r="J158" s="2468"/>
      <c r="K158" s="2468"/>
      <c r="L158" s="2468"/>
      <c r="M158" s="2468"/>
      <c r="N158" s="2468"/>
      <c r="O158" s="2468"/>
      <c r="P158" s="2468"/>
      <c r="Q158" s="2468"/>
      <c r="R158" s="2468"/>
      <c r="S158" s="2468"/>
      <c r="T158" s="2468"/>
      <c r="U158" s="2468"/>
      <c r="V158" s="2468"/>
      <c r="W158" s="2468"/>
      <c r="X158" s="2468"/>
      <c r="Y158" s="2468"/>
      <c r="Z158" s="2468"/>
      <c r="AA158" s="2468"/>
      <c r="AB158" s="2468"/>
      <c r="AC158" s="2468"/>
      <c r="AD158" s="2468"/>
      <c r="AE158" s="2468"/>
      <c r="AF158" s="2468"/>
      <c r="AG158" s="2468"/>
      <c r="AH158" s="2468"/>
      <c r="AI158" s="2468"/>
      <c r="AJ158" s="2468"/>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9" t="s">
        <v>2477</v>
      </c>
      <c r="C161" s="2629"/>
      <c r="D161" s="2629"/>
      <c r="E161" s="2629"/>
      <c r="F161" s="2629"/>
      <c r="G161" s="2629"/>
      <c r="H161" s="2629"/>
      <c r="I161" s="2629"/>
      <c r="J161" s="2629"/>
      <c r="K161" s="2629"/>
      <c r="L161" s="2629"/>
      <c r="M161" s="2629"/>
      <c r="N161" s="2629"/>
      <c r="O161" s="2629"/>
      <c r="P161" s="2629"/>
      <c r="Q161" s="2629"/>
      <c r="R161" s="2629"/>
      <c r="S161" s="2629"/>
      <c r="T161" s="2629"/>
      <c r="U161" s="2629"/>
      <c r="V161" s="2629"/>
      <c r="W161" s="2629"/>
      <c r="X161" s="2629"/>
      <c r="Y161" s="2629"/>
      <c r="Z161" s="2629"/>
      <c r="AA161" s="2629"/>
      <c r="AB161" s="2629"/>
      <c r="AC161" s="2629"/>
      <c r="AD161" s="2629"/>
      <c r="AE161" s="2629"/>
      <c r="AF161" s="2629"/>
      <c r="AG161" s="2629"/>
      <c r="AH161" s="2629"/>
      <c r="AI161" s="2629"/>
      <c r="AJ161" s="2629"/>
      <c r="AK161" s="1180"/>
      <c r="AM161" s="539"/>
      <c r="AN161" s="535"/>
      <c r="AO161" s="476"/>
      <c r="AP161" s="489"/>
    </row>
    <row r="162" spans="1:42" s="536" customFormat="1" ht="12.75" customHeight="1">
      <c r="B162" s="2629"/>
      <c r="C162" s="2629"/>
      <c r="D162" s="2629"/>
      <c r="E162" s="2629"/>
      <c r="F162" s="2629"/>
      <c r="G162" s="2629"/>
      <c r="H162" s="2629"/>
      <c r="I162" s="2629"/>
      <c r="J162" s="2629"/>
      <c r="K162" s="2629"/>
      <c r="L162" s="2629"/>
      <c r="M162" s="2629"/>
      <c r="N162" s="2629"/>
      <c r="O162" s="2629"/>
      <c r="P162" s="2629"/>
      <c r="Q162" s="2629"/>
      <c r="R162" s="2629"/>
      <c r="S162" s="2629"/>
      <c r="T162" s="2629"/>
      <c r="U162" s="2629"/>
      <c r="V162" s="2629"/>
      <c r="W162" s="2629"/>
      <c r="X162" s="2629"/>
      <c r="Y162" s="2629"/>
      <c r="Z162" s="2629"/>
      <c r="AA162" s="2629"/>
      <c r="AB162" s="2629"/>
      <c r="AC162" s="2629"/>
      <c r="AD162" s="2629"/>
      <c r="AE162" s="2629"/>
      <c r="AF162" s="2629"/>
      <c r="AG162" s="2629"/>
      <c r="AH162" s="2629"/>
      <c r="AI162" s="2629"/>
      <c r="AJ162" s="2629"/>
      <c r="AK162" s="1180"/>
      <c r="AM162" s="539"/>
      <c r="AN162" s="535"/>
      <c r="AO162" s="476"/>
      <c r="AP162" s="489"/>
    </row>
    <row r="163" spans="1:42" s="536" customFormat="1" ht="12.75" customHeight="1">
      <c r="C163" s="2532" t="s">
        <v>2478</v>
      </c>
      <c r="D163" s="2532"/>
      <c r="E163" s="2532"/>
      <c r="F163" s="2532"/>
      <c r="G163" s="2532"/>
      <c r="H163" s="2532"/>
      <c r="I163" s="2532"/>
      <c r="J163" s="2532"/>
      <c r="K163" s="2532"/>
      <c r="L163" s="2532"/>
      <c r="M163" s="2532"/>
      <c r="N163" s="2532"/>
      <c r="O163" s="2532"/>
      <c r="P163" s="2532"/>
      <c r="Q163" s="2532"/>
      <c r="R163" s="2532"/>
      <c r="S163" s="2532"/>
      <c r="T163" s="2532"/>
      <c r="U163" s="2532"/>
      <c r="V163" s="2532"/>
      <c r="W163" s="2532"/>
      <c r="X163" s="2532"/>
      <c r="Y163" s="2532"/>
      <c r="Z163" s="2532"/>
      <c r="AA163" s="2532"/>
      <c r="AB163" s="2532"/>
      <c r="AC163" s="2532"/>
      <c r="AD163" s="2532"/>
      <c r="AE163" s="2532"/>
      <c r="AF163" s="2532"/>
      <c r="AG163" s="2532"/>
      <c r="AH163" s="2532"/>
      <c r="AI163" s="2532"/>
      <c r="AJ163" s="2532"/>
      <c r="AK163" s="1180"/>
      <c r="AM163" s="539"/>
      <c r="AN163" s="535"/>
      <c r="AO163" s="476"/>
      <c r="AP163" s="489"/>
    </row>
    <row r="164" spans="1:42" s="536" customFormat="1" ht="12.75" customHeight="1">
      <c r="B164" s="1180"/>
      <c r="C164" s="2467" t="s">
        <v>2476</v>
      </c>
      <c r="D164" s="2467"/>
      <c r="E164" s="2467"/>
      <c r="F164" s="2467"/>
      <c r="G164" s="2467"/>
      <c r="H164" s="2467"/>
      <c r="I164" s="2467"/>
      <c r="J164" s="2467"/>
      <c r="K164" s="2467"/>
      <c r="L164" s="2467"/>
      <c r="M164" s="2467"/>
      <c r="N164" s="2467"/>
      <c r="O164" s="2467"/>
      <c r="P164" s="2467"/>
      <c r="Q164" s="2467"/>
      <c r="R164" s="2467"/>
      <c r="S164" s="2467"/>
      <c r="T164" s="2467"/>
      <c r="U164" s="2467"/>
      <c r="V164" s="2467"/>
      <c r="W164" s="2467"/>
      <c r="X164" s="2467"/>
      <c r="Y164" s="2467"/>
      <c r="Z164" s="2467"/>
      <c r="AA164" s="1170"/>
      <c r="AB164" s="1170"/>
      <c r="AC164" s="1170"/>
      <c r="AD164" s="1170"/>
      <c r="AE164" s="1170"/>
      <c r="AF164" s="1170"/>
      <c r="AG164" s="1170"/>
      <c r="AH164" s="1170"/>
      <c r="AJ164" s="2469" t="s">
        <v>591</v>
      </c>
      <c r="AK164" s="246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2">
        <f>IF($AB$155="N/A",VLOOKUP($B$153,$AO$151:$AP$154,2,FALSE),VLOOKUP($B$158,$AO$156:$AP$158,2,FALSE))</f>
        <v>7</v>
      </c>
      <c r="AK166" s="247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1" t="s">
        <v>1352</v>
      </c>
      <c r="AG168" s="2441"/>
      <c r="AH168" s="2441"/>
      <c r="AI168" s="2441"/>
      <c r="AJ168" s="2441"/>
      <c r="AK168" s="2441"/>
      <c r="AL168" s="2441"/>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8" t="s">
        <v>1350</v>
      </c>
      <c r="D170" s="2468"/>
      <c r="E170" s="2468"/>
      <c r="F170" s="2468"/>
      <c r="G170" s="2468"/>
      <c r="H170" s="2468"/>
      <c r="I170" s="2468"/>
      <c r="J170" s="2468"/>
      <c r="K170" s="2468"/>
      <c r="L170" s="2468"/>
      <c r="M170" s="2468"/>
      <c r="N170" s="2468"/>
      <c r="O170" s="2468"/>
      <c r="P170" s="2468"/>
      <c r="Q170" s="2468"/>
      <c r="R170" s="2468"/>
      <c r="S170" s="2468"/>
      <c r="T170" s="2468"/>
      <c r="U170" s="2468"/>
      <c r="V170" s="2468"/>
      <c r="W170" s="2468"/>
      <c r="X170" s="2468"/>
      <c r="Y170" s="2468"/>
      <c r="Z170" s="2468"/>
      <c r="AA170" s="2468"/>
      <c r="AB170" s="2468"/>
      <c r="AC170" s="2468"/>
      <c r="AD170" s="2468"/>
      <c r="AE170" s="2468"/>
      <c r="AF170" s="2468"/>
      <c r="AG170" s="2468"/>
      <c r="AH170" s="2468"/>
      <c r="AI170" s="2468"/>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9" t="s">
        <v>591</v>
      </c>
      <c r="AG172" s="2469"/>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8" t="s">
        <v>1343</v>
      </c>
      <c r="D174" s="2468"/>
      <c r="E174" s="2468"/>
      <c r="F174" s="2468"/>
      <c r="G174" s="2468"/>
      <c r="H174" s="2468"/>
      <c r="I174" s="2468"/>
      <c r="J174" s="2468"/>
      <c r="K174" s="2468"/>
      <c r="L174" s="2468"/>
      <c r="M174" s="2468"/>
      <c r="N174" s="2468"/>
      <c r="O174" s="2468"/>
      <c r="P174" s="2468"/>
      <c r="Q174" s="2468"/>
      <c r="R174" s="2468"/>
      <c r="S174" s="2468"/>
      <c r="T174" s="2468"/>
      <c r="U174" s="2468"/>
      <c r="V174" s="2468"/>
      <c r="W174" s="2468"/>
      <c r="X174" s="2468"/>
      <c r="Y174" s="2468"/>
      <c r="Z174" s="2468"/>
      <c r="AA174" s="2468"/>
      <c r="AB174" s="2468"/>
      <c r="AC174" s="2468"/>
      <c r="AD174" s="2468"/>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0" t="str">
        <f>Application!AA335</f>
        <v>John Stewart Company, Inc.</v>
      </c>
      <c r="D178" s="2470"/>
      <c r="E178" s="2470"/>
      <c r="F178" s="2470"/>
      <c r="G178" s="2470"/>
      <c r="H178" s="2470"/>
      <c r="I178" s="2470"/>
      <c r="J178" s="2470"/>
      <c r="K178" s="2470"/>
      <c r="L178" s="2470"/>
      <c r="M178" s="2470"/>
      <c r="N178" s="2470"/>
      <c r="O178" s="2470"/>
      <c r="P178" s="2470"/>
      <c r="Q178" s="2470"/>
      <c r="R178" s="2470"/>
      <c r="S178" s="2470"/>
      <c r="T178" s="2470"/>
      <c r="U178" s="2470"/>
      <c r="V178" s="2470"/>
      <c r="W178" s="2470"/>
      <c r="X178" s="2470"/>
      <c r="Y178" s="2470"/>
      <c r="Z178" s="2470"/>
      <c r="AA178" s="2470"/>
      <c r="AB178" s="2470"/>
      <c r="AC178" s="2470"/>
      <c r="AD178" s="2470"/>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1">
        <f>IF($AF$172="N/A",VLOOKUP($C$170,$AO$170:$AP$173,2,FALSE),VLOOKUP($C$174,$AO$177:$AP$179,2,FALSE))</f>
        <v>3</v>
      </c>
      <c r="AK180" s="247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9">
        <f>$AJ$166+$AJ$180</f>
        <v>10</v>
      </c>
      <c r="AL183" s="2430"/>
      <c r="AM183" s="243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6" t="s">
        <v>1314</v>
      </c>
      <c r="AF186" s="2406"/>
      <c r="AG186" s="2406"/>
      <c r="AH186" s="2406"/>
      <c r="AI186" s="2406"/>
      <c r="AJ186" s="2406"/>
      <c r="AK186" s="2406"/>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6" t="s">
        <v>1043</v>
      </c>
      <c r="C188" s="2466"/>
      <c r="D188" s="2466"/>
      <c r="E188" s="2466"/>
      <c r="F188" s="2466"/>
      <c r="G188" s="2466"/>
      <c r="H188" s="2466"/>
      <c r="I188" s="2466"/>
      <c r="J188" s="2466"/>
      <c r="K188" s="2466"/>
      <c r="L188" s="2466"/>
      <c r="M188" s="2466"/>
      <c r="N188" s="2466"/>
      <c r="O188" s="2466"/>
      <c r="P188" s="2466"/>
      <c r="Q188" s="2466"/>
      <c r="R188" s="2466"/>
      <c r="S188" s="2466"/>
      <c r="T188" s="2466"/>
      <c r="U188" s="2466"/>
      <c r="V188" s="2466"/>
      <c r="W188" s="2466"/>
      <c r="X188" s="2466"/>
      <c r="Y188" s="2466"/>
      <c r="Z188" s="2466"/>
      <c r="AA188" s="2466"/>
      <c r="AB188" s="2466"/>
      <c r="AC188" s="2466"/>
      <c r="AD188" s="536"/>
      <c r="AE188" s="536"/>
      <c r="AF188" s="2441" t="s">
        <v>1363</v>
      </c>
      <c r="AG188" s="2441"/>
      <c r="AH188" s="2441"/>
      <c r="AI188" s="2441"/>
      <c r="AJ188" s="2441"/>
      <c r="AK188" s="2441"/>
      <c r="AL188" s="2441"/>
      <c r="AN188" s="597"/>
      <c r="AP188" s="550" t="s">
        <v>1043</v>
      </c>
      <c r="AQ188" s="550">
        <v>10</v>
      </c>
    </row>
    <row r="189" spans="1:73" s="550" customFormat="1" ht="12.75" customHeight="1">
      <c r="A189" s="536"/>
      <c r="B189" s="2467" t="s">
        <v>1726</v>
      </c>
      <c r="C189" s="2467"/>
      <c r="D189" s="2467"/>
      <c r="E189" s="2467"/>
      <c r="F189" s="2467"/>
      <c r="G189" s="2467"/>
      <c r="H189" s="2467"/>
      <c r="I189" s="2467"/>
      <c r="J189" s="2467"/>
      <c r="K189" s="2467"/>
      <c r="L189" s="2467"/>
      <c r="M189" s="2467"/>
      <c r="N189" s="2467"/>
      <c r="O189" s="2467"/>
      <c r="P189" s="2467"/>
      <c r="Q189" s="2467"/>
      <c r="R189" s="2467"/>
      <c r="S189" s="2467"/>
      <c r="T189" s="2442" t="s">
        <v>591</v>
      </c>
      <c r="U189" s="2442"/>
      <c r="V189" s="2442"/>
      <c r="W189" s="2442"/>
      <c r="X189" s="2442"/>
      <c r="Y189" s="2442"/>
      <c r="Z189" s="2442"/>
      <c r="AA189" s="2442"/>
      <c r="AB189" s="2442"/>
      <c r="AC189" s="2442"/>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6">
        <f>IF(AK84&gt;0,VLOOKUP($B$188,AP185:AQ191,2,FALSE),0)</f>
        <v>10</v>
      </c>
      <c r="AL191" s="2477"/>
      <c r="AM191" s="247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15">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6" t="s">
        <v>1372</v>
      </c>
      <c r="AF194" s="2406"/>
      <c r="AG194" s="2406"/>
      <c r="AH194" s="2406"/>
      <c r="AI194" s="2406"/>
      <c r="AJ194" s="2406"/>
      <c r="AK194" s="2406"/>
    </row>
    <row r="195" spans="1:40" ht="13.15">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15">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3" t="s">
        <v>2746</v>
      </c>
      <c r="C199" s="2453"/>
      <c r="D199" s="2453"/>
      <c r="E199" s="2453"/>
      <c r="F199" s="2453"/>
      <c r="G199" s="2453"/>
      <c r="H199" s="2453"/>
      <c r="I199" s="2453"/>
      <c r="J199" s="2453"/>
      <c r="K199" s="2453"/>
      <c r="L199" s="2453"/>
      <c r="M199" s="2453"/>
      <c r="N199" s="2453"/>
      <c r="O199" s="2453"/>
      <c r="P199" s="2453"/>
      <c r="Q199" s="2453"/>
      <c r="R199" s="2453"/>
      <c r="S199" s="2453"/>
      <c r="T199" s="2453"/>
      <c r="U199" s="2453"/>
      <c r="V199" s="2453"/>
      <c r="W199" s="2453"/>
      <c r="X199" s="2453"/>
      <c r="Y199" s="2453"/>
      <c r="Z199" s="2453"/>
      <c r="AA199" s="2453"/>
      <c r="AB199" s="2453"/>
      <c r="AC199" s="846"/>
      <c r="AD199" s="2454">
        <v>5000000</v>
      </c>
      <c r="AE199" s="2454"/>
      <c r="AF199" s="2454"/>
      <c r="AG199" s="2454"/>
      <c r="AH199" s="2454"/>
      <c r="AI199" s="2454"/>
      <c r="AJ199" s="2454"/>
      <c r="AK199" s="610"/>
    </row>
    <row r="200" spans="1:40">
      <c r="A200" s="605"/>
      <c r="B200" s="2453" t="s">
        <v>2733</v>
      </c>
      <c r="C200" s="2453"/>
      <c r="D200" s="2453"/>
      <c r="E200" s="2453"/>
      <c r="F200" s="2453"/>
      <c r="G200" s="2453"/>
      <c r="H200" s="2453"/>
      <c r="I200" s="2453"/>
      <c r="J200" s="2453"/>
      <c r="K200" s="2453"/>
      <c r="L200" s="2453"/>
      <c r="M200" s="2453"/>
      <c r="N200" s="2453"/>
      <c r="O200" s="2453"/>
      <c r="P200" s="2453"/>
      <c r="Q200" s="2453"/>
      <c r="R200" s="2453"/>
      <c r="S200" s="2453"/>
      <c r="T200" s="2453"/>
      <c r="U200" s="2453"/>
      <c r="V200" s="2453"/>
      <c r="W200" s="2453"/>
      <c r="X200" s="2453"/>
      <c r="Y200" s="2453"/>
      <c r="Z200" s="2453"/>
      <c r="AA200" s="2453"/>
      <c r="AB200" s="2453"/>
      <c r="AC200" s="846"/>
      <c r="AD200" s="2454">
        <v>1650000</v>
      </c>
      <c r="AE200" s="2454"/>
      <c r="AF200" s="2454"/>
      <c r="AG200" s="2454"/>
      <c r="AH200" s="2454"/>
      <c r="AI200" s="2454"/>
      <c r="AJ200" s="2454"/>
      <c r="AK200" s="610"/>
    </row>
    <row r="201" spans="1:40">
      <c r="A201" s="605"/>
      <c r="B201" s="2453"/>
      <c r="C201" s="2453"/>
      <c r="D201" s="2453"/>
      <c r="E201" s="2453"/>
      <c r="F201" s="2453"/>
      <c r="G201" s="2453"/>
      <c r="H201" s="2453"/>
      <c r="I201" s="2453"/>
      <c r="J201" s="2453"/>
      <c r="K201" s="2453"/>
      <c r="L201" s="2453"/>
      <c r="M201" s="2453"/>
      <c r="N201" s="2453"/>
      <c r="O201" s="2453"/>
      <c r="P201" s="2453"/>
      <c r="Q201" s="2453"/>
      <c r="R201" s="2453"/>
      <c r="S201" s="2453"/>
      <c r="T201" s="2453"/>
      <c r="U201" s="2453"/>
      <c r="V201" s="2453"/>
      <c r="W201" s="2453"/>
      <c r="X201" s="2453"/>
      <c r="Y201" s="2453"/>
      <c r="Z201" s="2453"/>
      <c r="AA201" s="2453"/>
      <c r="AB201" s="2453"/>
      <c r="AC201" s="846"/>
      <c r="AD201" s="2454"/>
      <c r="AE201" s="2454"/>
      <c r="AF201" s="2454"/>
      <c r="AG201" s="2454"/>
      <c r="AH201" s="2454"/>
      <c r="AI201" s="2454"/>
      <c r="AJ201" s="2454"/>
      <c r="AK201" s="610"/>
    </row>
    <row r="202" spans="1:40">
      <c r="A202" s="605"/>
      <c r="B202" s="2453"/>
      <c r="C202" s="2453"/>
      <c r="D202" s="2453"/>
      <c r="E202" s="2453"/>
      <c r="F202" s="2453"/>
      <c r="G202" s="2453"/>
      <c r="H202" s="2453"/>
      <c r="I202" s="2453"/>
      <c r="J202" s="2453"/>
      <c r="K202" s="2453"/>
      <c r="L202" s="2453"/>
      <c r="M202" s="2453"/>
      <c r="N202" s="2453"/>
      <c r="O202" s="2453"/>
      <c r="P202" s="2453"/>
      <c r="Q202" s="2453"/>
      <c r="R202" s="2453"/>
      <c r="S202" s="2453"/>
      <c r="T202" s="2453"/>
      <c r="U202" s="2453"/>
      <c r="V202" s="2453"/>
      <c r="W202" s="2453"/>
      <c r="X202" s="2453"/>
      <c r="Y202" s="2453"/>
      <c r="Z202" s="2453"/>
      <c r="AA202" s="2453"/>
      <c r="AB202" s="2453"/>
      <c r="AC202" s="846"/>
      <c r="AD202" s="2454"/>
      <c r="AE202" s="2454"/>
      <c r="AF202" s="2454"/>
      <c r="AG202" s="2454"/>
      <c r="AH202" s="2454"/>
      <c r="AI202" s="2454"/>
      <c r="AJ202" s="2454"/>
      <c r="AK202" s="610"/>
    </row>
    <row r="203" spans="1:40">
      <c r="A203" s="605"/>
      <c r="B203" s="2453"/>
      <c r="C203" s="2453"/>
      <c r="D203" s="2453"/>
      <c r="E203" s="2453"/>
      <c r="F203" s="2453"/>
      <c r="G203" s="2453"/>
      <c r="H203" s="2453"/>
      <c r="I203" s="2453"/>
      <c r="J203" s="2453"/>
      <c r="K203" s="2453"/>
      <c r="L203" s="2453"/>
      <c r="M203" s="2453"/>
      <c r="N203" s="2453"/>
      <c r="O203" s="2453"/>
      <c r="P203" s="2453"/>
      <c r="Q203" s="2453"/>
      <c r="R203" s="2453"/>
      <c r="S203" s="2453"/>
      <c r="T203" s="2453"/>
      <c r="U203" s="2453"/>
      <c r="V203" s="2453"/>
      <c r="W203" s="2453"/>
      <c r="X203" s="2453"/>
      <c r="Y203" s="2453"/>
      <c r="Z203" s="2453"/>
      <c r="AA203" s="2453"/>
      <c r="AB203" s="2453"/>
      <c r="AC203" s="846"/>
      <c r="AD203" s="2454"/>
      <c r="AE203" s="2454"/>
      <c r="AF203" s="2454"/>
      <c r="AG203" s="2454"/>
      <c r="AH203" s="2454"/>
      <c r="AI203" s="2454"/>
      <c r="AJ203" s="2454"/>
      <c r="AK203" s="610"/>
    </row>
    <row r="204" spans="1:40">
      <c r="A204" s="605"/>
      <c r="B204" s="2453"/>
      <c r="C204" s="2453"/>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846"/>
      <c r="AD204" s="2454"/>
      <c r="AE204" s="2454"/>
      <c r="AF204" s="2454"/>
      <c r="AG204" s="2454"/>
      <c r="AH204" s="2454"/>
      <c r="AI204" s="2454"/>
      <c r="AJ204" s="2454"/>
      <c r="AK204" s="610"/>
    </row>
    <row r="205" spans="1:40">
      <c r="A205" s="605"/>
      <c r="B205" s="2453"/>
      <c r="C205" s="2453"/>
      <c r="D205" s="2453"/>
      <c r="E205" s="2453"/>
      <c r="F205" s="2453"/>
      <c r="G205" s="2453"/>
      <c r="H205" s="2453"/>
      <c r="I205" s="2453"/>
      <c r="J205" s="2453"/>
      <c r="K205" s="2453"/>
      <c r="L205" s="2453"/>
      <c r="M205" s="2453"/>
      <c r="N205" s="2453"/>
      <c r="O205" s="2453"/>
      <c r="P205" s="2453"/>
      <c r="Q205" s="2453"/>
      <c r="R205" s="2453"/>
      <c r="S205" s="2453"/>
      <c r="T205" s="2453"/>
      <c r="U205" s="2453"/>
      <c r="V205" s="2453"/>
      <c r="W205" s="2453"/>
      <c r="X205" s="2453"/>
      <c r="Y205" s="2453"/>
      <c r="Z205" s="2453"/>
      <c r="AA205" s="2453"/>
      <c r="AB205" s="2453"/>
      <c r="AC205" s="846"/>
      <c r="AD205" s="2454"/>
      <c r="AE205" s="2454"/>
      <c r="AF205" s="2454"/>
      <c r="AG205" s="2454"/>
      <c r="AH205" s="2454"/>
      <c r="AI205" s="2454"/>
      <c r="AJ205" s="2454"/>
      <c r="AK205" s="610"/>
    </row>
    <row r="206" spans="1:40">
      <c r="A206" s="605"/>
      <c r="B206" s="2453"/>
      <c r="C206" s="2453"/>
      <c r="D206" s="2453"/>
      <c r="E206" s="2453"/>
      <c r="F206" s="2453"/>
      <c r="G206" s="2453"/>
      <c r="H206" s="2453"/>
      <c r="I206" s="2453"/>
      <c r="J206" s="2453"/>
      <c r="K206" s="2453"/>
      <c r="L206" s="2453"/>
      <c r="M206" s="2453"/>
      <c r="N206" s="2453"/>
      <c r="O206" s="2453"/>
      <c r="P206" s="2453"/>
      <c r="Q206" s="2453"/>
      <c r="R206" s="2453"/>
      <c r="S206" s="2453"/>
      <c r="T206" s="2453"/>
      <c r="U206" s="2453"/>
      <c r="V206" s="2453"/>
      <c r="W206" s="2453"/>
      <c r="X206" s="2453"/>
      <c r="Y206" s="2453"/>
      <c r="Z206" s="2453"/>
      <c r="AA206" s="2453"/>
      <c r="AB206" s="2453"/>
      <c r="AC206" s="846"/>
      <c r="AD206" s="2454"/>
      <c r="AE206" s="2454"/>
      <c r="AF206" s="2454"/>
      <c r="AG206" s="2454"/>
      <c r="AH206" s="2454"/>
      <c r="AI206" s="2454"/>
      <c r="AJ206" s="2454"/>
      <c r="AK206" s="610"/>
    </row>
    <row r="207" spans="1:40">
      <c r="A207" s="605"/>
      <c r="B207" s="2453"/>
      <c r="C207" s="2453"/>
      <c r="D207" s="2453"/>
      <c r="E207" s="2453"/>
      <c r="F207" s="2453"/>
      <c r="G207" s="2453"/>
      <c r="H207" s="2453"/>
      <c r="I207" s="2453"/>
      <c r="J207" s="2453"/>
      <c r="K207" s="2453"/>
      <c r="L207" s="2453"/>
      <c r="M207" s="2453"/>
      <c r="N207" s="2453"/>
      <c r="O207" s="2453"/>
      <c r="P207" s="2453"/>
      <c r="Q207" s="2453"/>
      <c r="R207" s="2453"/>
      <c r="S207" s="2453"/>
      <c r="T207" s="2453"/>
      <c r="U207" s="2453"/>
      <c r="V207" s="2453"/>
      <c r="W207" s="2453"/>
      <c r="X207" s="2453"/>
      <c r="Y207" s="2453"/>
      <c r="Z207" s="2453"/>
      <c r="AA207" s="2453"/>
      <c r="AB207" s="2453"/>
      <c r="AC207" s="846"/>
      <c r="AD207" s="2454"/>
      <c r="AE207" s="2454"/>
      <c r="AF207" s="2454"/>
      <c r="AG207" s="2454"/>
      <c r="AH207" s="2454"/>
      <c r="AI207" s="2454"/>
      <c r="AJ207" s="2454"/>
      <c r="AK207" s="610"/>
    </row>
    <row r="208" spans="1:40">
      <c r="A208" s="605"/>
      <c r="B208" s="2453"/>
      <c r="C208" s="2453"/>
      <c r="D208" s="2453"/>
      <c r="E208" s="2453"/>
      <c r="F208" s="2453"/>
      <c r="G208" s="2453"/>
      <c r="H208" s="2453"/>
      <c r="I208" s="2453"/>
      <c r="J208" s="2453"/>
      <c r="K208" s="2453"/>
      <c r="L208" s="2453"/>
      <c r="M208" s="2453"/>
      <c r="N208" s="2453"/>
      <c r="O208" s="2453"/>
      <c r="P208" s="2453"/>
      <c r="Q208" s="2453"/>
      <c r="R208" s="2453"/>
      <c r="S208" s="2453"/>
      <c r="T208" s="2453"/>
      <c r="U208" s="2453"/>
      <c r="V208" s="2453"/>
      <c r="W208" s="2453"/>
      <c r="X208" s="2453"/>
      <c r="Y208" s="2453"/>
      <c r="Z208" s="2453"/>
      <c r="AA208" s="2453"/>
      <c r="AB208" s="2453"/>
      <c r="AC208" s="846"/>
      <c r="AD208" s="2454"/>
      <c r="AE208" s="2454"/>
      <c r="AF208" s="2454"/>
      <c r="AG208" s="2454"/>
      <c r="AH208" s="2454"/>
      <c r="AI208" s="2454"/>
      <c r="AJ208" s="2454"/>
      <c r="AK208" s="610"/>
    </row>
    <row r="209" spans="1:37">
      <c r="A209" s="605"/>
      <c r="B209" s="2464" t="s">
        <v>1627</v>
      </c>
      <c r="C209" s="2464"/>
      <c r="D209" s="2464"/>
      <c r="E209" s="2464"/>
      <c r="F209" s="2464"/>
      <c r="G209" s="2464"/>
      <c r="H209" s="2464"/>
      <c r="I209" s="2464"/>
      <c r="J209" s="2464"/>
      <c r="K209" s="2464"/>
      <c r="L209" s="2464"/>
      <c r="M209" s="2464"/>
      <c r="N209" s="2464"/>
      <c r="O209" s="2464"/>
      <c r="P209" s="2464"/>
      <c r="Q209" s="2464"/>
      <c r="R209" s="2464"/>
      <c r="S209" s="2464"/>
      <c r="T209" s="2464"/>
      <c r="U209" s="2464"/>
      <c r="V209" s="2464"/>
      <c r="W209" s="2464"/>
      <c r="X209" s="2464"/>
      <c r="Y209" s="2464"/>
      <c r="Z209" s="2464"/>
      <c r="AA209" s="2464"/>
      <c r="AB209" s="2464"/>
      <c r="AC209" s="536"/>
      <c r="AD209" s="2483">
        <f>AB260</f>
        <v>10998292.747749416</v>
      </c>
      <c r="AE209" s="2483"/>
      <c r="AF209" s="2483"/>
      <c r="AG209" s="2483"/>
      <c r="AH209" s="2483"/>
      <c r="AI209" s="2483"/>
      <c r="AJ209" s="2483"/>
      <c r="AK209" s="610"/>
    </row>
    <row r="210" spans="1:37">
      <c r="A210" s="605"/>
      <c r="B210" s="2610" t="s">
        <v>1590</v>
      </c>
      <c r="C210" s="2610"/>
      <c r="D210" s="2610"/>
      <c r="E210" s="2610"/>
      <c r="F210" s="2610"/>
      <c r="G210" s="2610"/>
      <c r="H210" s="2610"/>
      <c r="I210" s="2610"/>
      <c r="J210" s="2610"/>
      <c r="K210" s="2610"/>
      <c r="L210" s="2610"/>
      <c r="M210" s="2610"/>
      <c r="N210" s="2610"/>
      <c r="O210" s="2610"/>
      <c r="P210" s="2610"/>
      <c r="Q210" s="2610"/>
      <c r="R210" s="2610"/>
      <c r="S210" s="2610"/>
      <c r="T210" s="2610"/>
      <c r="U210" s="2610"/>
      <c r="V210" s="2610"/>
      <c r="W210" s="2610"/>
      <c r="X210" s="2610"/>
      <c r="Y210" s="2610"/>
      <c r="Z210" s="2610"/>
      <c r="AA210" s="2610"/>
      <c r="AB210" s="2610"/>
      <c r="AC210" s="846"/>
      <c r="AD210" s="2484">
        <f>'Sources and Uses Budget'!B15</f>
        <v>0</v>
      </c>
      <c r="AE210" s="2484"/>
      <c r="AF210" s="2484"/>
      <c r="AG210" s="2484"/>
      <c r="AH210" s="2484"/>
      <c r="AI210" s="2484"/>
      <c r="AJ210" s="2484"/>
      <c r="AK210" s="610"/>
    </row>
    <row r="211" spans="1:37" ht="13.15">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8">
        <f>SUM(AD199:AJ209)-AD210</f>
        <v>17648292.747749418</v>
      </c>
      <c r="AE211" s="2488"/>
      <c r="AF211" s="2488"/>
      <c r="AG211" s="2488"/>
      <c r="AH211" s="2488"/>
      <c r="AI211" s="2488"/>
      <c r="AJ211" s="248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15">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15">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7" t="s">
        <v>1607</v>
      </c>
      <c r="J222" s="2457"/>
      <c r="K222" s="2457"/>
      <c r="L222" s="536"/>
      <c r="M222" s="536"/>
      <c r="N222" s="536"/>
      <c r="O222" s="536"/>
      <c r="P222" s="536"/>
      <c r="Q222" s="536"/>
      <c r="R222" s="536"/>
      <c r="S222" s="536"/>
      <c r="T222" s="2645" t="s">
        <v>1601</v>
      </c>
      <c r="U222" s="2645"/>
      <c r="V222" s="2645"/>
      <c r="W222" s="2645"/>
      <c r="X222" s="2645"/>
      <c r="Y222" s="2645"/>
      <c r="Z222" s="849"/>
      <c r="AA222" s="489"/>
      <c r="AB222" s="2452" t="s">
        <v>1602</v>
      </c>
      <c r="AC222" s="2452"/>
      <c r="AD222" s="2452"/>
      <c r="AE222" s="2452"/>
      <c r="AF222" s="2452"/>
      <c r="AG222" s="2452"/>
      <c r="AH222" s="827"/>
      <c r="AI222" s="827"/>
      <c r="AJ222" s="827"/>
      <c r="AK222" s="610"/>
    </row>
    <row r="223" spans="1:37">
      <c r="A223" s="605"/>
      <c r="B223" s="2455" t="s">
        <v>1587</v>
      </c>
      <c r="C223" s="2455"/>
      <c r="D223" s="2455"/>
      <c r="E223" s="2455"/>
      <c r="F223" s="2455"/>
      <c r="G223" s="2455"/>
      <c r="I223" s="2456" t="s">
        <v>1608</v>
      </c>
      <c r="J223" s="2456"/>
      <c r="K223" s="2456"/>
      <c r="L223" s="1008"/>
      <c r="N223" s="2462" t="s">
        <v>1603</v>
      </c>
      <c r="O223" s="2462"/>
      <c r="P223" s="2462"/>
      <c r="Q223" s="2462"/>
      <c r="R223" s="2462"/>
      <c r="T223" s="2462" t="s">
        <v>1604</v>
      </c>
      <c r="U223" s="2462"/>
      <c r="V223" s="2462"/>
      <c r="W223" s="2462"/>
      <c r="X223" s="2462"/>
      <c r="Y223" s="2462"/>
      <c r="Z223" s="850"/>
      <c r="AA223" s="489"/>
      <c r="AB223" s="2599" t="s">
        <v>1605</v>
      </c>
      <c r="AC223" s="2599"/>
      <c r="AD223" s="2599"/>
      <c r="AE223" s="2599"/>
      <c r="AF223" s="2599"/>
      <c r="AG223" s="2599"/>
      <c r="AH223" s="827"/>
      <c r="AI223" s="827"/>
      <c r="AJ223" s="827"/>
      <c r="AK223" s="610"/>
    </row>
    <row r="224" spans="1:37">
      <c r="A224" s="605"/>
      <c r="B224" s="2459" t="s">
        <v>2619</v>
      </c>
      <c r="C224" s="2459"/>
      <c r="D224" s="2459"/>
      <c r="E224" s="2459"/>
      <c r="F224" s="2459"/>
      <c r="G224" s="2459"/>
      <c r="H224" s="852"/>
      <c r="I224" s="2458">
        <v>80</v>
      </c>
      <c r="J224" s="2458"/>
      <c r="K224" s="2458"/>
      <c r="L224" s="1008"/>
      <c r="N224" s="2463">
        <v>723</v>
      </c>
      <c r="O224" s="2463"/>
      <c r="P224" s="2463"/>
      <c r="Q224" s="2463"/>
      <c r="R224" s="2463"/>
      <c r="T224" s="2611">
        <v>1954</v>
      </c>
      <c r="U224" s="2611"/>
      <c r="V224" s="2611"/>
      <c r="W224" s="2611"/>
      <c r="X224" s="2611"/>
      <c r="Y224" s="2611"/>
      <c r="Z224" s="851"/>
      <c r="AA224" s="851"/>
      <c r="AB224" s="2460">
        <f t="shared" ref="AB224:AB233" si="0">MAX(($T224-$N224)*$I224*12,0)</f>
        <v>1181760</v>
      </c>
      <c r="AC224" s="2460"/>
      <c r="AD224" s="2460"/>
      <c r="AE224" s="2460"/>
      <c r="AF224" s="2460"/>
      <c r="AG224" s="2460"/>
      <c r="AH224" s="827"/>
      <c r="AI224" s="827"/>
      <c r="AJ224" s="827"/>
      <c r="AK224" s="610"/>
    </row>
    <row r="225" spans="1:37">
      <c r="A225" s="605"/>
      <c r="B225" s="2459" t="s">
        <v>1184</v>
      </c>
      <c r="C225" s="2459"/>
      <c r="D225" s="2459"/>
      <c r="E225" s="2459"/>
      <c r="F225" s="2459"/>
      <c r="G225" s="2459"/>
      <c r="I225" s="2458"/>
      <c r="J225" s="2458"/>
      <c r="K225" s="2458"/>
      <c r="L225" s="1008"/>
      <c r="N225" s="2463"/>
      <c r="O225" s="2463"/>
      <c r="P225" s="2463"/>
      <c r="Q225" s="2463"/>
      <c r="R225" s="2463"/>
      <c r="T225" s="2611"/>
      <c r="U225" s="2611"/>
      <c r="V225" s="2611"/>
      <c r="W225" s="2611"/>
      <c r="X225" s="2611"/>
      <c r="Y225" s="2611"/>
      <c r="Z225" s="851"/>
      <c r="AA225" s="851"/>
      <c r="AB225" s="2460">
        <f t="shared" si="0"/>
        <v>0</v>
      </c>
      <c r="AC225" s="2460"/>
      <c r="AD225" s="2460"/>
      <c r="AE225" s="2460"/>
      <c r="AF225" s="2460"/>
      <c r="AG225" s="2460"/>
      <c r="AH225" s="827"/>
      <c r="AI225" s="827"/>
      <c r="AJ225" s="827"/>
      <c r="AK225" s="610"/>
    </row>
    <row r="226" spans="1:37">
      <c r="A226" s="605"/>
      <c r="B226" s="2459" t="s">
        <v>1184</v>
      </c>
      <c r="C226" s="2459"/>
      <c r="D226" s="2459"/>
      <c r="E226" s="2459"/>
      <c r="F226" s="2459"/>
      <c r="G226" s="2459"/>
      <c r="I226" s="2458"/>
      <c r="J226" s="2458"/>
      <c r="K226" s="2458"/>
      <c r="L226" s="1008"/>
      <c r="N226" s="2463"/>
      <c r="O226" s="2463"/>
      <c r="P226" s="2463"/>
      <c r="Q226" s="2463"/>
      <c r="R226" s="2463"/>
      <c r="T226" s="2611"/>
      <c r="U226" s="2611"/>
      <c r="V226" s="2611"/>
      <c r="W226" s="2611"/>
      <c r="X226" s="2611"/>
      <c r="Y226" s="2611"/>
      <c r="Z226" s="851"/>
      <c r="AA226" s="851"/>
      <c r="AB226" s="2460">
        <f t="shared" si="0"/>
        <v>0</v>
      </c>
      <c r="AC226" s="2460"/>
      <c r="AD226" s="2460"/>
      <c r="AE226" s="2460"/>
      <c r="AF226" s="2460"/>
      <c r="AG226" s="2460"/>
      <c r="AH226" s="827"/>
      <c r="AI226" s="827"/>
      <c r="AJ226" s="827"/>
      <c r="AK226" s="610"/>
    </row>
    <row r="227" spans="1:37">
      <c r="A227" s="605"/>
      <c r="B227" s="2459" t="s">
        <v>1184</v>
      </c>
      <c r="C227" s="2459"/>
      <c r="D227" s="2459"/>
      <c r="E227" s="2459"/>
      <c r="F227" s="2459"/>
      <c r="G227" s="2459"/>
      <c r="I227" s="2458"/>
      <c r="J227" s="2458"/>
      <c r="K227" s="2458"/>
      <c r="L227" s="1008"/>
      <c r="N227" s="2463"/>
      <c r="O227" s="2463"/>
      <c r="P227" s="2463"/>
      <c r="Q227" s="2463"/>
      <c r="R227" s="2463"/>
      <c r="T227" s="2611"/>
      <c r="U227" s="2611"/>
      <c r="V227" s="2611"/>
      <c r="W227" s="2611"/>
      <c r="X227" s="2611"/>
      <c r="Y227" s="2611"/>
      <c r="Z227" s="851"/>
      <c r="AA227" s="851"/>
      <c r="AB227" s="2460">
        <f t="shared" si="0"/>
        <v>0</v>
      </c>
      <c r="AC227" s="2460"/>
      <c r="AD227" s="2460"/>
      <c r="AE227" s="2460"/>
      <c r="AF227" s="2460"/>
      <c r="AG227" s="2460"/>
      <c r="AH227" s="827"/>
      <c r="AI227" s="827"/>
      <c r="AJ227" s="827"/>
      <c r="AK227" s="610"/>
    </row>
    <row r="228" spans="1:37">
      <c r="A228" s="605"/>
      <c r="B228" s="2459" t="s">
        <v>1184</v>
      </c>
      <c r="C228" s="2459"/>
      <c r="D228" s="2459"/>
      <c r="E228" s="2459"/>
      <c r="F228" s="2459"/>
      <c r="G228" s="2459"/>
      <c r="I228" s="2458"/>
      <c r="J228" s="2458"/>
      <c r="K228" s="2458"/>
      <c r="L228" s="1015"/>
      <c r="N228" s="2463"/>
      <c r="O228" s="2463"/>
      <c r="P228" s="2463"/>
      <c r="Q228" s="2463"/>
      <c r="R228" s="2463"/>
      <c r="T228" s="2611"/>
      <c r="U228" s="2611"/>
      <c r="V228" s="2611"/>
      <c r="W228" s="2611"/>
      <c r="X228" s="2611"/>
      <c r="Y228" s="2611"/>
      <c r="Z228" s="851"/>
      <c r="AA228" s="851"/>
      <c r="AB228" s="2460">
        <f t="shared" si="0"/>
        <v>0</v>
      </c>
      <c r="AC228" s="2460"/>
      <c r="AD228" s="2460"/>
      <c r="AE228" s="2460"/>
      <c r="AF228" s="2460"/>
      <c r="AG228" s="2460"/>
      <c r="AH228" s="827"/>
      <c r="AI228" s="827"/>
      <c r="AJ228" s="827"/>
      <c r="AK228" s="610"/>
    </row>
    <row r="229" spans="1:37">
      <c r="A229" s="605"/>
      <c r="B229" s="2459" t="s">
        <v>1184</v>
      </c>
      <c r="C229" s="2459"/>
      <c r="D229" s="2459"/>
      <c r="E229" s="2459"/>
      <c r="F229" s="2459"/>
      <c r="G229" s="2459"/>
      <c r="I229" s="2458"/>
      <c r="J229" s="2458"/>
      <c r="K229" s="2458"/>
      <c r="L229" s="1015"/>
      <c r="N229" s="2463"/>
      <c r="O229" s="2463"/>
      <c r="P229" s="2463"/>
      <c r="Q229" s="2463"/>
      <c r="R229" s="2463"/>
      <c r="T229" s="2611"/>
      <c r="U229" s="2611"/>
      <c r="V229" s="2611"/>
      <c r="W229" s="2611"/>
      <c r="X229" s="2611"/>
      <c r="Y229" s="2611"/>
      <c r="Z229" s="851"/>
      <c r="AA229" s="851"/>
      <c r="AB229" s="2460">
        <f t="shared" si="0"/>
        <v>0</v>
      </c>
      <c r="AC229" s="2460"/>
      <c r="AD229" s="2460"/>
      <c r="AE229" s="2460"/>
      <c r="AF229" s="2460"/>
      <c r="AG229" s="2460"/>
      <c r="AH229" s="827"/>
      <c r="AI229" s="827"/>
      <c r="AJ229" s="827"/>
      <c r="AK229" s="610"/>
    </row>
    <row r="230" spans="1:37">
      <c r="A230" s="605"/>
      <c r="B230" s="2459" t="s">
        <v>1184</v>
      </c>
      <c r="C230" s="2459"/>
      <c r="D230" s="2459"/>
      <c r="E230" s="2459"/>
      <c r="F230" s="2459"/>
      <c r="G230" s="2459"/>
      <c r="I230" s="2458"/>
      <c r="J230" s="2458"/>
      <c r="K230" s="2458"/>
      <c r="L230" s="1015"/>
      <c r="N230" s="2463"/>
      <c r="O230" s="2463"/>
      <c r="P230" s="2463"/>
      <c r="Q230" s="2463"/>
      <c r="R230" s="2463"/>
      <c r="T230" s="2611"/>
      <c r="U230" s="2611"/>
      <c r="V230" s="2611"/>
      <c r="W230" s="2611"/>
      <c r="X230" s="2611"/>
      <c r="Y230" s="2611"/>
      <c r="Z230" s="851"/>
      <c r="AA230" s="851"/>
      <c r="AB230" s="2460">
        <f t="shared" si="0"/>
        <v>0</v>
      </c>
      <c r="AC230" s="2460"/>
      <c r="AD230" s="2460"/>
      <c r="AE230" s="2460"/>
      <c r="AF230" s="2460"/>
      <c r="AG230" s="2460"/>
      <c r="AH230" s="827"/>
      <c r="AI230" s="827"/>
      <c r="AJ230" s="827"/>
      <c r="AK230" s="610"/>
    </row>
    <row r="231" spans="1:37">
      <c r="A231" s="605"/>
      <c r="B231" s="2459" t="s">
        <v>1184</v>
      </c>
      <c r="C231" s="2459"/>
      <c r="D231" s="2459"/>
      <c r="E231" s="2459"/>
      <c r="F231" s="2459"/>
      <c r="G231" s="2459"/>
      <c r="I231" s="2458"/>
      <c r="J231" s="2458"/>
      <c r="K231" s="2458"/>
      <c r="L231" s="1015"/>
      <c r="N231" s="2463"/>
      <c r="O231" s="2463"/>
      <c r="P231" s="2463"/>
      <c r="Q231" s="2463"/>
      <c r="R231" s="2463"/>
      <c r="T231" s="2611"/>
      <c r="U231" s="2611"/>
      <c r="V231" s="2611"/>
      <c r="W231" s="2611"/>
      <c r="X231" s="2611"/>
      <c r="Y231" s="2611"/>
      <c r="Z231" s="851"/>
      <c r="AA231" s="851"/>
      <c r="AB231" s="2460">
        <f t="shared" si="0"/>
        <v>0</v>
      </c>
      <c r="AC231" s="2460"/>
      <c r="AD231" s="2460"/>
      <c r="AE231" s="2460"/>
      <c r="AF231" s="2460"/>
      <c r="AG231" s="2460"/>
      <c r="AH231" s="827"/>
      <c r="AI231" s="827"/>
      <c r="AJ231" s="827"/>
      <c r="AK231" s="610"/>
    </row>
    <row r="232" spans="1:37">
      <c r="A232" s="605"/>
      <c r="B232" s="2459" t="s">
        <v>1184</v>
      </c>
      <c r="C232" s="2459"/>
      <c r="D232" s="2459"/>
      <c r="E232" s="2459"/>
      <c r="F232" s="2459"/>
      <c r="G232" s="2459"/>
      <c r="I232" s="2458"/>
      <c r="J232" s="2458"/>
      <c r="K232" s="2458"/>
      <c r="L232" s="1015"/>
      <c r="N232" s="2463"/>
      <c r="O232" s="2463"/>
      <c r="P232" s="2463"/>
      <c r="Q232" s="2463"/>
      <c r="R232" s="2463"/>
      <c r="T232" s="2611"/>
      <c r="U232" s="2611"/>
      <c r="V232" s="2611"/>
      <c r="W232" s="2611"/>
      <c r="X232" s="2611"/>
      <c r="Y232" s="2611"/>
      <c r="Z232" s="851"/>
      <c r="AA232" s="851"/>
      <c r="AB232" s="2460">
        <f t="shared" si="0"/>
        <v>0</v>
      </c>
      <c r="AC232" s="2460"/>
      <c r="AD232" s="2460"/>
      <c r="AE232" s="2460"/>
      <c r="AF232" s="2460"/>
      <c r="AG232" s="2460"/>
      <c r="AH232" s="827"/>
      <c r="AI232" s="827"/>
      <c r="AJ232" s="827"/>
      <c r="AK232" s="610"/>
    </row>
    <row r="233" spans="1:37">
      <c r="A233" s="605"/>
      <c r="B233" s="2459" t="s">
        <v>1184</v>
      </c>
      <c r="C233" s="2459"/>
      <c r="D233" s="2459"/>
      <c r="E233" s="2459"/>
      <c r="F233" s="2459"/>
      <c r="G233" s="2459"/>
      <c r="I233" s="2461"/>
      <c r="J233" s="2461"/>
      <c r="K233" s="2461"/>
      <c r="L233" s="1015"/>
      <c r="N233" s="2463"/>
      <c r="O233" s="2463"/>
      <c r="P233" s="2463"/>
      <c r="Q233" s="2463"/>
      <c r="R233" s="2463"/>
      <c r="T233" s="2611"/>
      <c r="U233" s="2611"/>
      <c r="V233" s="2611"/>
      <c r="W233" s="2611"/>
      <c r="X233" s="2611"/>
      <c r="Y233" s="2611"/>
      <c r="Z233" s="851"/>
      <c r="AA233" s="851"/>
      <c r="AB233" s="2609">
        <f t="shared" si="0"/>
        <v>0</v>
      </c>
      <c r="AC233" s="2609"/>
      <c r="AD233" s="2609"/>
      <c r="AE233" s="2609"/>
      <c r="AF233" s="2609"/>
      <c r="AG233" s="260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0">
        <f>SUM(AB224:AB233)</f>
        <v>1181760</v>
      </c>
      <c r="AC234" s="2460"/>
      <c r="AD234" s="2460"/>
      <c r="AE234" s="2460"/>
      <c r="AF234" s="2460"/>
      <c r="AG234" s="246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15">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2"/>
      <c r="AC240" s="2612"/>
      <c r="AD240" s="2612"/>
      <c r="AE240" s="2612"/>
      <c r="AF240" s="2612"/>
      <c r="AG240" s="2612"/>
      <c r="AH240" s="610"/>
      <c r="AI240" s="610"/>
      <c r="AJ240" s="610"/>
      <c r="AK240" s="610"/>
    </row>
    <row r="241" spans="1:37" ht="13.15">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2"/>
      <c r="AC243" s="2612"/>
      <c r="AD243" s="2612"/>
      <c r="AE243" s="2612"/>
      <c r="AF243" s="2612"/>
      <c r="AG243" s="2612"/>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4"/>
      <c r="AC244" s="2644"/>
      <c r="AD244" s="2644"/>
      <c r="AE244" s="2644"/>
      <c r="AF244" s="2644"/>
      <c r="AG244" s="2644"/>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6">
        <f>IFERROR(AB243/AB244,0)</f>
        <v>0</v>
      </c>
      <c r="AC245" s="2626"/>
      <c r="AD245" s="2626"/>
      <c r="AE245" s="2626"/>
      <c r="AF245" s="2626"/>
      <c r="AG245" s="262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9">
        <f>MAX(AB240,AB245)</f>
        <v>0</v>
      </c>
      <c r="AC247" s="2609"/>
      <c r="AD247" s="2609"/>
      <c r="AE247" s="2609"/>
      <c r="AF247" s="2609"/>
      <c r="AG247" s="260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0">
        <f>AB234+AB247</f>
        <v>1181760</v>
      </c>
      <c r="AC250" s="2460"/>
      <c r="AD250" s="2460"/>
      <c r="AE250" s="2460"/>
      <c r="AF250" s="2460"/>
      <c r="AG250" s="246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2">
        <v>0.05</v>
      </c>
      <c r="AC251" s="2492"/>
      <c r="AD251" s="2492"/>
      <c r="AE251" s="2492"/>
      <c r="AF251" s="2492"/>
      <c r="AG251" s="2492"/>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3">
        <f>AB250-(AB250*AB251)</f>
        <v>1122672</v>
      </c>
      <c r="AC252" s="2493"/>
      <c r="AD252" s="2493"/>
      <c r="AE252" s="2493"/>
      <c r="AF252" s="2493"/>
      <c r="AG252" s="2493"/>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0">
        <f>AB252/AB258</f>
        <v>976236.52173913049</v>
      </c>
      <c r="AC254" s="2460"/>
      <c r="AD254" s="2460"/>
      <c r="AE254" s="2460"/>
      <c r="AF254" s="2460"/>
      <c r="AG254" s="246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2">
        <v>15</v>
      </c>
      <c r="AC256" s="2452"/>
      <c r="AD256" s="2452"/>
      <c r="AE256" s="2452"/>
      <c r="AF256" s="2452"/>
      <c r="AG256" s="245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4">
        <v>0.04</v>
      </c>
      <c r="AC257" s="2494"/>
      <c r="AD257" s="2494"/>
      <c r="AE257" s="2494"/>
      <c r="AF257" s="2494"/>
      <c r="AG257" s="249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5">
        <v>1.1499999999999999</v>
      </c>
      <c r="AC258" s="2465"/>
      <c r="AD258" s="2465"/>
      <c r="AE258" s="2465"/>
      <c r="AF258" s="2465"/>
      <c r="AG258" s="246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15">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5">
        <f>PV(AB257/12,AB256*12,-AB254/12, ,0)</f>
        <v>10998292.747749416</v>
      </c>
      <c r="AC260" s="2486"/>
      <c r="AD260" s="2486"/>
      <c r="AE260" s="2486"/>
      <c r="AF260" s="2486"/>
      <c r="AG260" s="2487"/>
      <c r="AH260" s="610"/>
      <c r="AI260" s="610"/>
      <c r="AJ260" s="610"/>
      <c r="AK260" s="610"/>
    </row>
    <row r="261" spans="1:37" ht="13.15">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15">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15">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9">
        <f>IFERROR(('Sources and Uses Budget'!D105/'Sources and Uses Budget'!B105),0)</f>
        <v>0</v>
      </c>
      <c r="AC266" s="2490"/>
      <c r="AD266" s="2490"/>
      <c r="AE266" s="2490"/>
      <c r="AF266" s="2490"/>
      <c r="AG266" s="249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15">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9">
        <f>AD211*(1-AB266)</f>
        <v>17648292.747749418</v>
      </c>
      <c r="AH268" s="2479"/>
      <c r="AI268" s="2479"/>
      <c r="AJ268" s="2479"/>
      <c r="AK268" s="2479"/>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9">
        <f>'Sources and Uses Budget'!C105</f>
        <v>47754257</v>
      </c>
      <c r="AH269" s="2479"/>
      <c r="AI269" s="2479"/>
      <c r="AJ269" s="2479"/>
      <c r="AK269" s="247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0">
        <f>ROUNDDOWN(IF(AND(C292="Yes",AK84=10),((AG268*2)/AG269),AG268/AG269),2)</f>
        <v>0.73</v>
      </c>
      <c r="AH270" s="2480"/>
      <c r="AI270" s="2480"/>
      <c r="AJ270" s="2480"/>
      <c r="AK270" s="248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15">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1">
        <f>IFERROR(IF(AG270=0,0,IF((AG270*100)&gt;8,8,(AG270*100))),0)</f>
        <v>8</v>
      </c>
      <c r="AL273" s="2481"/>
      <c r="AM273" s="2482"/>
    </row>
    <row r="274" spans="1:52" ht="13.1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15">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3" t="s">
        <v>545</v>
      </c>
      <c r="D278" s="2473"/>
      <c r="E278" s="547"/>
      <c r="F278" s="2630" t="s">
        <v>2025</v>
      </c>
      <c r="G278" s="2631"/>
      <c r="H278" s="2631"/>
      <c r="I278" s="2631"/>
      <c r="J278" s="2631"/>
      <c r="K278" s="2631"/>
      <c r="L278" s="2631"/>
      <c r="M278" s="2631"/>
      <c r="N278" s="2631"/>
      <c r="O278" s="2631"/>
      <c r="P278" s="2631"/>
      <c r="Q278" s="2631"/>
      <c r="R278" s="2631"/>
      <c r="S278" s="2631"/>
      <c r="T278" s="2631"/>
      <c r="U278" s="2631"/>
      <c r="V278" s="2631"/>
      <c r="W278" s="2631"/>
      <c r="X278" s="2631"/>
      <c r="Y278" s="2631"/>
      <c r="Z278" s="2631"/>
      <c r="AA278" s="2631"/>
      <c r="AB278" s="2631"/>
      <c r="AC278" s="2631"/>
      <c r="AD278" s="2632"/>
      <c r="AE278" s="550"/>
      <c r="AF278" s="635"/>
      <c r="AG278" s="2474" t="s">
        <v>1363</v>
      </c>
      <c r="AH278" s="2474"/>
      <c r="AI278" s="2474"/>
      <c r="AJ278" s="2474"/>
      <c r="AK278" s="550"/>
      <c r="AL278" s="550"/>
      <c r="AM278" s="550"/>
      <c r="AO278" s="550"/>
    </row>
    <row r="279" spans="1:52" ht="13.7" customHeight="1">
      <c r="A279" s="550"/>
      <c r="B279" s="596"/>
      <c r="C279" s="636"/>
      <c r="D279" s="550"/>
      <c r="E279" s="547"/>
      <c r="F279" s="2633"/>
      <c r="G279" s="2634"/>
      <c r="H279" s="2634"/>
      <c r="I279" s="2634"/>
      <c r="J279" s="2634"/>
      <c r="K279" s="2634"/>
      <c r="L279" s="2634"/>
      <c r="M279" s="2634"/>
      <c r="N279" s="2634"/>
      <c r="O279" s="2634"/>
      <c r="P279" s="2634"/>
      <c r="Q279" s="2634"/>
      <c r="R279" s="2634"/>
      <c r="S279" s="2634"/>
      <c r="T279" s="2634"/>
      <c r="U279" s="2634"/>
      <c r="V279" s="2634"/>
      <c r="W279" s="2634"/>
      <c r="X279" s="2634"/>
      <c r="Y279" s="2634"/>
      <c r="Z279" s="2634"/>
      <c r="AA279" s="2634"/>
      <c r="AB279" s="2634"/>
      <c r="AC279" s="2634"/>
      <c r="AD279" s="2635"/>
      <c r="AE279" s="550"/>
      <c r="AF279" s="635"/>
      <c r="AG279" s="635"/>
      <c r="AH279" s="635"/>
      <c r="AI279" s="635"/>
      <c r="AJ279" s="550"/>
      <c r="AK279" s="550"/>
      <c r="AL279" s="550"/>
      <c r="AM279" s="550"/>
      <c r="AO279" s="550"/>
    </row>
    <row r="280" spans="1:52">
      <c r="A280" s="550"/>
      <c r="B280" s="596"/>
      <c r="C280" s="636"/>
      <c r="D280" s="550"/>
      <c r="E280" s="547"/>
      <c r="F280" s="2633"/>
      <c r="G280" s="2634"/>
      <c r="H280" s="2634"/>
      <c r="I280" s="2634"/>
      <c r="J280" s="2634"/>
      <c r="K280" s="2634"/>
      <c r="L280" s="2634"/>
      <c r="M280" s="2634"/>
      <c r="N280" s="2634"/>
      <c r="O280" s="2634"/>
      <c r="P280" s="2634"/>
      <c r="Q280" s="2634"/>
      <c r="R280" s="2634"/>
      <c r="S280" s="2634"/>
      <c r="T280" s="2634"/>
      <c r="U280" s="2634"/>
      <c r="V280" s="2634"/>
      <c r="W280" s="2634"/>
      <c r="X280" s="2634"/>
      <c r="Y280" s="2634"/>
      <c r="Z280" s="2634"/>
      <c r="AA280" s="2634"/>
      <c r="AB280" s="2634"/>
      <c r="AC280" s="2634"/>
      <c r="AD280" s="2635"/>
      <c r="AE280" s="550"/>
      <c r="AF280" s="635"/>
      <c r="AG280" s="635"/>
      <c r="AH280" s="635"/>
      <c r="AI280" s="635"/>
      <c r="AJ280" s="550"/>
      <c r="AK280" s="550"/>
      <c r="AL280" s="550"/>
      <c r="AM280" s="550"/>
      <c r="AO280" s="550"/>
      <c r="AP280" s="637"/>
    </row>
    <row r="281" spans="1:52">
      <c r="A281" s="550"/>
      <c r="B281" s="596"/>
      <c r="C281" s="636"/>
      <c r="D281" s="550"/>
      <c r="E281" s="547"/>
      <c r="F281" s="2633"/>
      <c r="G281" s="2634"/>
      <c r="H281" s="2634"/>
      <c r="I281" s="2634"/>
      <c r="J281" s="2634"/>
      <c r="K281" s="2634"/>
      <c r="L281" s="2634"/>
      <c r="M281" s="2634"/>
      <c r="N281" s="2634"/>
      <c r="O281" s="2634"/>
      <c r="P281" s="2634"/>
      <c r="Q281" s="2634"/>
      <c r="R281" s="2634"/>
      <c r="S281" s="2634"/>
      <c r="T281" s="2634"/>
      <c r="U281" s="2634"/>
      <c r="V281" s="2634"/>
      <c r="W281" s="2634"/>
      <c r="X281" s="2634"/>
      <c r="Y281" s="2634"/>
      <c r="Z281" s="2634"/>
      <c r="AA281" s="2634"/>
      <c r="AB281" s="2634"/>
      <c r="AC281" s="2634"/>
      <c r="AD281" s="2635"/>
      <c r="AE281" s="550"/>
      <c r="AF281" s="635"/>
      <c r="AG281" s="635"/>
      <c r="AH281" s="635"/>
      <c r="AI281" s="635"/>
      <c r="AJ281" s="550"/>
      <c r="AK281" s="550"/>
      <c r="AL281" s="550"/>
      <c r="AM281" s="550"/>
      <c r="AO281" s="550"/>
      <c r="AP281" s="637"/>
    </row>
    <row r="282" spans="1:52" ht="13.7" customHeight="1">
      <c r="A282" s="550"/>
      <c r="B282" s="596"/>
      <c r="C282" s="2475"/>
      <c r="D282" s="2475"/>
      <c r="E282" s="547"/>
      <c r="F282" s="2636"/>
      <c r="G282" s="2637"/>
      <c r="H282" s="2637"/>
      <c r="I282" s="2637"/>
      <c r="J282" s="2637"/>
      <c r="K282" s="2637"/>
      <c r="L282" s="2637"/>
      <c r="M282" s="2637"/>
      <c r="N282" s="2637"/>
      <c r="O282" s="2637"/>
      <c r="P282" s="2637"/>
      <c r="Q282" s="2637"/>
      <c r="R282" s="2637"/>
      <c r="S282" s="2637"/>
      <c r="T282" s="2637"/>
      <c r="U282" s="2637"/>
      <c r="V282" s="2637"/>
      <c r="W282" s="2637"/>
      <c r="X282" s="2637"/>
      <c r="Y282" s="2637"/>
      <c r="Z282" s="2637"/>
      <c r="AA282" s="2637"/>
      <c r="AB282" s="2637"/>
      <c r="AC282" s="2637"/>
      <c r="AD282" s="2638"/>
      <c r="AE282" s="550"/>
      <c r="AF282" s="635"/>
      <c r="AG282" s="2474"/>
      <c r="AH282" s="2474"/>
      <c r="AI282" s="2474"/>
      <c r="AJ282" s="247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15">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1">
        <f>IF($C$278="yes",10,0)</f>
        <v>10</v>
      </c>
      <c r="AL285" s="2481"/>
      <c r="AM285" s="2482"/>
      <c r="AN285" s="73"/>
    </row>
    <row r="286" spans="1:52" ht="13.15" thickBot="1"/>
    <row r="287" spans="1:52" ht="13.1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15">
      <c r="A288" s="538" t="s">
        <v>1380</v>
      </c>
      <c r="B288" s="538" t="s">
        <v>1854</v>
      </c>
      <c r="AH288" s="591" t="s">
        <v>1314</v>
      </c>
    </row>
    <row r="289" spans="1:49" ht="15" customHeight="1">
      <c r="B289" s="539"/>
    </row>
    <row r="290" spans="1:49" ht="15" customHeight="1">
      <c r="B290" s="539" t="s">
        <v>1728</v>
      </c>
    </row>
    <row r="291" spans="1:49" ht="13.15">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1382</v>
      </c>
      <c r="B292" s="1630"/>
      <c r="C292" s="2469" t="s">
        <v>545</v>
      </c>
      <c r="D292" s="2473"/>
      <c r="E292" s="547"/>
      <c r="F292" s="2501" t="s">
        <v>1383</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642"/>
      <c r="AF292" s="550"/>
      <c r="AG292" s="2504" t="s">
        <v>2018</v>
      </c>
      <c r="AH292" s="2504"/>
      <c r="AI292" s="2504"/>
      <c r="AJ292" s="2504"/>
      <c r="AK292" s="2504"/>
      <c r="AL292" s="550"/>
      <c r="AM292" s="550"/>
      <c r="AN292" s="73"/>
      <c r="AO292" s="14"/>
      <c r="AP292" s="30"/>
      <c r="AS292" s="570"/>
      <c r="AT292" s="570"/>
      <c r="AU292" s="570"/>
      <c r="AV292" s="32"/>
      <c r="AW292" s="32"/>
    </row>
    <row r="293" spans="1:49" ht="13.15">
      <c r="A293" s="640"/>
      <c r="B293" s="596"/>
      <c r="F293" s="2495"/>
      <c r="G293" s="2496"/>
      <c r="H293" s="2496"/>
      <c r="I293" s="2496"/>
      <c r="J293" s="2496"/>
      <c r="K293" s="2496"/>
      <c r="L293" s="2496"/>
      <c r="M293" s="2496"/>
      <c r="N293" s="2496"/>
      <c r="O293" s="2496"/>
      <c r="P293" s="2496"/>
      <c r="Q293" s="2496"/>
      <c r="R293" s="2496"/>
      <c r="S293" s="2496"/>
      <c r="T293" s="2496"/>
      <c r="U293" s="2496"/>
      <c r="V293" s="2496"/>
      <c r="W293" s="2496"/>
      <c r="X293" s="2496"/>
      <c r="Y293" s="2496"/>
      <c r="Z293" s="2496"/>
      <c r="AA293" s="2496"/>
      <c r="AB293" s="2496"/>
      <c r="AC293" s="2496"/>
      <c r="AD293" s="2497"/>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95"/>
      <c r="G294" s="2496"/>
      <c r="H294" s="2496"/>
      <c r="I294" s="2496"/>
      <c r="J294" s="2496"/>
      <c r="K294" s="2496"/>
      <c r="L294" s="2496"/>
      <c r="M294" s="2496"/>
      <c r="N294" s="2496"/>
      <c r="O294" s="2496"/>
      <c r="P294" s="2496"/>
      <c r="Q294" s="2496"/>
      <c r="R294" s="2496"/>
      <c r="S294" s="2496"/>
      <c r="T294" s="2496"/>
      <c r="U294" s="2496"/>
      <c r="V294" s="2496"/>
      <c r="W294" s="2496"/>
      <c r="X294" s="2496"/>
      <c r="Y294" s="2496"/>
      <c r="Z294" s="2496"/>
      <c r="AA294" s="2496"/>
      <c r="AB294" s="2496"/>
      <c r="AC294" s="2496"/>
      <c r="AD294" s="2497"/>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5" t="s">
        <v>2026</v>
      </c>
      <c r="G295" s="2496"/>
      <c r="H295" s="2496"/>
      <c r="I295" s="2496"/>
      <c r="J295" s="2496"/>
      <c r="K295" s="2496"/>
      <c r="L295" s="2496"/>
      <c r="M295" s="2496"/>
      <c r="N295" s="2496"/>
      <c r="O295" s="2496"/>
      <c r="P295" s="2496"/>
      <c r="Q295" s="2496"/>
      <c r="R295" s="2496"/>
      <c r="S295" s="2496"/>
      <c r="T295" s="2496"/>
      <c r="U295" s="2496"/>
      <c r="V295" s="2496"/>
      <c r="W295" s="2496"/>
      <c r="X295" s="2496"/>
      <c r="Y295" s="2496"/>
      <c r="Z295" s="2496"/>
      <c r="AA295" s="2496"/>
      <c r="AB295" s="2496"/>
      <c r="AC295" s="2496"/>
      <c r="AD295" s="2497"/>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ht="13.15">
      <c r="A296" s="640"/>
      <c r="B296" s="596"/>
      <c r="F296" s="2495"/>
      <c r="G296" s="2496"/>
      <c r="H296" s="2496"/>
      <c r="I296" s="2496"/>
      <c r="J296" s="2496"/>
      <c r="K296" s="2496"/>
      <c r="L296" s="2496"/>
      <c r="M296" s="2496"/>
      <c r="N296" s="2496"/>
      <c r="O296" s="2496"/>
      <c r="P296" s="2496"/>
      <c r="Q296" s="2496"/>
      <c r="R296" s="2496"/>
      <c r="S296" s="2496"/>
      <c r="T296" s="2496"/>
      <c r="U296" s="2496"/>
      <c r="V296" s="2496"/>
      <c r="W296" s="2496"/>
      <c r="X296" s="2496"/>
      <c r="Y296" s="2496"/>
      <c r="Z296" s="2496"/>
      <c r="AA296" s="2496"/>
      <c r="AB296" s="2496"/>
      <c r="AC296" s="2496"/>
      <c r="AD296" s="249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5" t="s">
        <v>1384</v>
      </c>
      <c r="G297" s="2496"/>
      <c r="H297" s="2496"/>
      <c r="I297" s="2496"/>
      <c r="J297" s="2496"/>
      <c r="K297" s="2496"/>
      <c r="L297" s="2496"/>
      <c r="M297" s="2496"/>
      <c r="N297" s="2496"/>
      <c r="O297" s="2496"/>
      <c r="P297" s="2496"/>
      <c r="Q297" s="2496"/>
      <c r="R297" s="2496"/>
      <c r="S297" s="2496"/>
      <c r="T297" s="2496"/>
      <c r="U297" s="2496"/>
      <c r="V297" s="2496"/>
      <c r="W297" s="2496"/>
      <c r="X297" s="2496"/>
      <c r="Y297" s="2496"/>
      <c r="Z297" s="2496"/>
      <c r="AA297" s="2496"/>
      <c r="AB297" s="2496"/>
      <c r="AC297" s="2496"/>
      <c r="AD297" s="249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5"/>
      <c r="G298" s="2496"/>
      <c r="H298" s="2496"/>
      <c r="I298" s="2496"/>
      <c r="J298" s="2496"/>
      <c r="K298" s="2496"/>
      <c r="L298" s="2496"/>
      <c r="M298" s="2496"/>
      <c r="N298" s="2496"/>
      <c r="O298" s="2496"/>
      <c r="P298" s="2496"/>
      <c r="Q298" s="2496"/>
      <c r="R298" s="2496"/>
      <c r="S298" s="2496"/>
      <c r="T298" s="2496"/>
      <c r="U298" s="2496"/>
      <c r="V298" s="2496"/>
      <c r="W298" s="2496"/>
      <c r="X298" s="2496"/>
      <c r="Y298" s="2496"/>
      <c r="Z298" s="2496"/>
      <c r="AA298" s="2496"/>
      <c r="AB298" s="2496"/>
      <c r="AC298" s="2496"/>
      <c r="AD298" s="249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5" t="s">
        <v>1385</v>
      </c>
      <c r="G299" s="2496"/>
      <c r="H299" s="2496"/>
      <c r="I299" s="2496"/>
      <c r="J299" s="2496"/>
      <c r="K299" s="2496"/>
      <c r="L299" s="2496"/>
      <c r="M299" s="2496"/>
      <c r="N299" s="2496"/>
      <c r="O299" s="2496"/>
      <c r="P299" s="2496"/>
      <c r="Q299" s="2496"/>
      <c r="R299" s="2496"/>
      <c r="S299" s="2496"/>
      <c r="T299" s="2496"/>
      <c r="U299" s="2496"/>
      <c r="V299" s="2496"/>
      <c r="W299" s="2496"/>
      <c r="X299" s="2496"/>
      <c r="Y299" s="2496"/>
      <c r="Z299" s="2496"/>
      <c r="AA299" s="2496"/>
      <c r="AB299" s="2496"/>
      <c r="AC299" s="2496"/>
      <c r="AD299" s="249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8"/>
      <c r="G300" s="2499"/>
      <c r="H300" s="2499"/>
      <c r="I300" s="2499"/>
      <c r="J300" s="2499"/>
      <c r="K300" s="2499"/>
      <c r="L300" s="2499"/>
      <c r="M300" s="2499"/>
      <c r="N300" s="2499"/>
      <c r="O300" s="2499"/>
      <c r="P300" s="2499"/>
      <c r="Q300" s="2499"/>
      <c r="R300" s="2499"/>
      <c r="S300" s="2499"/>
      <c r="T300" s="2499"/>
      <c r="U300" s="2499"/>
      <c r="V300" s="2499"/>
      <c r="W300" s="2499"/>
      <c r="X300" s="2499"/>
      <c r="Y300" s="2499"/>
      <c r="Z300" s="2499"/>
      <c r="AA300" s="2499"/>
      <c r="AB300" s="2499"/>
      <c r="AC300" s="2499"/>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1386</v>
      </c>
      <c r="B302" s="1630"/>
      <c r="C302" s="2473" t="s">
        <v>591</v>
      </c>
      <c r="D302" s="2473"/>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3" t="s">
        <v>2020</v>
      </c>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c r="AA303" s="2404"/>
      <c r="AB303" s="2404"/>
      <c r="AC303" s="2404"/>
      <c r="AD303" s="2405"/>
      <c r="AE303" s="551"/>
      <c r="AF303" s="551"/>
      <c r="AG303" s="551"/>
      <c r="AH303" s="551"/>
      <c r="AI303" s="551"/>
      <c r="AJ303" s="550"/>
      <c r="AK303" s="550"/>
      <c r="AL303" s="550"/>
      <c r="AM303" s="550"/>
      <c r="AR303" s="648"/>
    </row>
    <row r="304" spans="1:49" ht="15" customHeight="1">
      <c r="A304" s="550"/>
      <c r="B304" s="551"/>
      <c r="C304" s="550"/>
      <c r="D304" s="551"/>
      <c r="E304" s="550"/>
      <c r="F304" s="2403"/>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c r="AA304" s="2404"/>
      <c r="AB304" s="2404"/>
      <c r="AC304" s="2404"/>
      <c r="AD304" s="2405"/>
      <c r="AE304" s="551"/>
      <c r="AF304" s="551"/>
      <c r="AG304" s="551"/>
      <c r="AH304" s="551"/>
      <c r="AI304" s="551"/>
      <c r="AJ304" s="550"/>
      <c r="AK304" s="550"/>
      <c r="AL304" s="550"/>
      <c r="AM304" s="550"/>
      <c r="AR304" s="648"/>
    </row>
    <row r="305" spans="1:44">
      <c r="A305" s="550"/>
      <c r="B305" s="551"/>
      <c r="C305" s="550"/>
      <c r="D305" s="551"/>
      <c r="E305" s="550"/>
      <c r="F305" s="2403"/>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c r="AA305" s="2404"/>
      <c r="AB305" s="2404"/>
      <c r="AC305" s="2404"/>
      <c r="AD305" s="240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0"/>
      <c r="G306" s="2401"/>
      <c r="H306" s="2401"/>
      <c r="I306" s="2401"/>
      <c r="J306" s="2401"/>
      <c r="K306" s="2401"/>
      <c r="L306" s="2401"/>
      <c r="M306" s="2401"/>
      <c r="N306" s="2401"/>
      <c r="O306" s="2401"/>
      <c r="P306" s="2401"/>
      <c r="Q306" s="2401"/>
      <c r="R306" s="2401"/>
      <c r="S306" s="2401"/>
      <c r="T306" s="2401"/>
      <c r="U306" s="2401"/>
      <c r="V306" s="2401"/>
      <c r="W306" s="2401"/>
      <c r="X306" s="2401"/>
      <c r="Y306" s="2401"/>
      <c r="Z306" s="2401"/>
      <c r="AA306" s="2401"/>
      <c r="AB306" s="2401"/>
      <c r="AC306" s="2401"/>
      <c r="AD306" s="240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15" hidden="1">
      <c r="A310" s="1630" t="s">
        <v>1389</v>
      </c>
      <c r="B310" s="1630"/>
      <c r="C310" s="2473" t="s">
        <v>591</v>
      </c>
      <c r="D310" s="2473"/>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t="13.15" hidden="1">
      <c r="A311" s="89"/>
      <c r="B311" s="89"/>
      <c r="C311" s="730"/>
      <c r="D311" s="730"/>
      <c r="E311" s="547"/>
      <c r="F311" s="2495" t="s">
        <v>2027</v>
      </c>
      <c r="G311" s="2496"/>
      <c r="H311" s="2496"/>
      <c r="I311" s="2496"/>
      <c r="J311" s="2496"/>
      <c r="K311" s="2496"/>
      <c r="L311" s="2496"/>
      <c r="M311" s="2496"/>
      <c r="N311" s="2496"/>
      <c r="O311" s="2496"/>
      <c r="P311" s="2496"/>
      <c r="Q311" s="2496"/>
      <c r="R311" s="2496"/>
      <c r="S311" s="2496"/>
      <c r="T311" s="2496"/>
      <c r="U311" s="2496"/>
      <c r="V311" s="2496"/>
      <c r="W311" s="2496"/>
      <c r="X311" s="2496"/>
      <c r="Y311" s="2496"/>
      <c r="Z311" s="2496"/>
      <c r="AA311" s="2496"/>
      <c r="AB311" s="2496"/>
      <c r="AC311" s="2496"/>
      <c r="AD311" s="2497"/>
      <c r="AE311" s="551"/>
      <c r="AF311" s="551"/>
      <c r="AG311" s="539"/>
      <c r="AH311" s="551"/>
      <c r="AI311" s="551"/>
      <c r="AJ311" s="550"/>
      <c r="AK311" s="550"/>
      <c r="AL311" s="550"/>
      <c r="AM311" s="550"/>
      <c r="AN311" s="73"/>
      <c r="AO311" s="14"/>
      <c r="AP311" s="557" t="s">
        <v>1184</v>
      </c>
    </row>
    <row r="312" spans="1:44" hidden="1">
      <c r="F312" s="2495"/>
      <c r="G312" s="2496"/>
      <c r="H312" s="2496"/>
      <c r="I312" s="2496"/>
      <c r="J312" s="2496"/>
      <c r="K312" s="2496"/>
      <c r="L312" s="2496"/>
      <c r="M312" s="2496"/>
      <c r="N312" s="2496"/>
      <c r="O312" s="2496"/>
      <c r="P312" s="2496"/>
      <c r="Q312" s="2496"/>
      <c r="R312" s="2496"/>
      <c r="S312" s="2496"/>
      <c r="T312" s="2496"/>
      <c r="U312" s="2496"/>
      <c r="V312" s="2496"/>
      <c r="W312" s="2496"/>
      <c r="X312" s="2496"/>
      <c r="Y312" s="2496"/>
      <c r="Z312" s="2496"/>
      <c r="AA312" s="2496"/>
      <c r="AB312" s="2496"/>
      <c r="AC312" s="2496"/>
      <c r="AD312" s="2497"/>
      <c r="AE312" s="551"/>
      <c r="AF312" s="551"/>
      <c r="AH312" s="551"/>
      <c r="AI312" s="551"/>
      <c r="AJ312" s="550"/>
      <c r="AK312" s="550"/>
      <c r="AL312" s="550"/>
      <c r="AM312" s="550"/>
      <c r="AN312" s="73"/>
      <c r="AO312" s="14"/>
      <c r="AP312" s="557" t="s">
        <v>1730</v>
      </c>
    </row>
    <row r="313" spans="1:44" ht="13.15"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t="13.15"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5" t="s">
        <v>1184</v>
      </c>
      <c r="G316" s="2506"/>
      <c r="H316" s="2506"/>
      <c r="I316" s="2506"/>
      <c r="J316" s="2506"/>
      <c r="K316" s="2506"/>
      <c r="L316" s="2506"/>
      <c r="M316" s="2506"/>
      <c r="N316" s="2506"/>
      <c r="O316" s="2506"/>
      <c r="P316" s="2506"/>
      <c r="Q316" s="2506"/>
      <c r="R316" s="2506"/>
      <c r="S316" s="2506"/>
      <c r="T316" s="2506"/>
      <c r="U316" s="2506"/>
      <c r="V316" s="2506"/>
      <c r="W316" s="2506"/>
      <c r="X316" s="2506"/>
      <c r="Y316" s="2506"/>
      <c r="Z316" s="2506"/>
      <c r="AA316" s="2506"/>
      <c r="AB316" s="2506"/>
      <c r="AC316" s="2506"/>
      <c r="AD316" s="2507"/>
      <c r="AE316" s="642"/>
      <c r="AF316" s="642"/>
      <c r="AG316" s="642"/>
      <c r="AH316" s="642"/>
      <c r="AI316" s="642"/>
      <c r="AJ316" s="642"/>
      <c r="AK316" s="642"/>
      <c r="AL316" s="550"/>
      <c r="AM316" s="550"/>
      <c r="AN316" s="73"/>
      <c r="AO316" s="14"/>
      <c r="AP316" s="30"/>
    </row>
    <row r="317" spans="1:44" ht="13.15" hidden="1">
      <c r="A317" s="550"/>
      <c r="B317" s="551"/>
      <c r="C317" s="730"/>
      <c r="D317" s="730"/>
      <c r="E317" s="547"/>
      <c r="F317" s="2505"/>
      <c r="G317" s="2506"/>
      <c r="H317" s="2506"/>
      <c r="I317" s="2506"/>
      <c r="J317" s="2506"/>
      <c r="K317" s="2506"/>
      <c r="L317" s="2506"/>
      <c r="M317" s="2506"/>
      <c r="N317" s="2506"/>
      <c r="O317" s="2506"/>
      <c r="P317" s="2506"/>
      <c r="Q317" s="2506"/>
      <c r="R317" s="2506"/>
      <c r="S317" s="2506"/>
      <c r="T317" s="2506"/>
      <c r="U317" s="2506"/>
      <c r="V317" s="2506"/>
      <c r="W317" s="2506"/>
      <c r="X317" s="2506"/>
      <c r="Y317" s="2506"/>
      <c r="Z317" s="2506"/>
      <c r="AA317" s="2506"/>
      <c r="AB317" s="2506"/>
      <c r="AC317" s="2506"/>
      <c r="AD317" s="2507"/>
      <c r="AE317" s="551"/>
      <c r="AF317" s="551"/>
      <c r="AG317" s="539"/>
      <c r="AH317" s="551"/>
      <c r="AI317" s="551"/>
      <c r="AJ317" s="550"/>
      <c r="AK317" s="550"/>
      <c r="AL317" s="550"/>
      <c r="AM317" s="550"/>
      <c r="AN317" s="73"/>
      <c r="AO317" s="14"/>
      <c r="AP317" s="30"/>
    </row>
    <row r="318" spans="1:44" ht="13.15" hidden="1">
      <c r="A318" s="550"/>
      <c r="B318" s="551"/>
      <c r="C318" s="730"/>
      <c r="D318" s="730"/>
      <c r="E318" s="547"/>
      <c r="F318" s="2505"/>
      <c r="G318" s="2506"/>
      <c r="H318" s="2506"/>
      <c r="I318" s="2506"/>
      <c r="J318" s="2506"/>
      <c r="K318" s="2506"/>
      <c r="L318" s="2506"/>
      <c r="M318" s="2506"/>
      <c r="N318" s="2506"/>
      <c r="O318" s="2506"/>
      <c r="P318" s="2506"/>
      <c r="Q318" s="2506"/>
      <c r="R318" s="2506"/>
      <c r="S318" s="2506"/>
      <c r="T318" s="2506"/>
      <c r="U318" s="2506"/>
      <c r="V318" s="2506"/>
      <c r="W318" s="2506"/>
      <c r="X318" s="2506"/>
      <c r="Y318" s="2506"/>
      <c r="Z318" s="2506"/>
      <c r="AA318" s="2506"/>
      <c r="AB318" s="2506"/>
      <c r="AC318" s="2506"/>
      <c r="AD318" s="2507"/>
      <c r="AE318" s="551"/>
      <c r="AF318" s="551"/>
      <c r="AG318" s="539"/>
      <c r="AH318" s="551"/>
      <c r="AI318" s="551"/>
      <c r="AJ318" s="550"/>
      <c r="AK318" s="550"/>
      <c r="AL318" s="550"/>
      <c r="AM318" s="550"/>
      <c r="AN318" s="73"/>
      <c r="AO318" s="14"/>
      <c r="AP318" s="30"/>
    </row>
    <row r="319" spans="1:44" ht="13.15" hidden="1">
      <c r="A319" s="550"/>
      <c r="B319" s="551"/>
      <c r="C319" s="730"/>
      <c r="D319" s="730"/>
      <c r="E319" s="547"/>
      <c r="F319" s="2505"/>
      <c r="G319" s="2506"/>
      <c r="H319" s="2506"/>
      <c r="I319" s="2506"/>
      <c r="J319" s="2506"/>
      <c r="K319" s="2506"/>
      <c r="L319" s="2506"/>
      <c r="M319" s="2506"/>
      <c r="N319" s="2506"/>
      <c r="O319" s="2506"/>
      <c r="P319" s="2506"/>
      <c r="Q319" s="2506"/>
      <c r="R319" s="2506"/>
      <c r="S319" s="2506"/>
      <c r="T319" s="2506"/>
      <c r="U319" s="2506"/>
      <c r="V319" s="2506"/>
      <c r="W319" s="2506"/>
      <c r="X319" s="2506"/>
      <c r="Y319" s="2506"/>
      <c r="Z319" s="2506"/>
      <c r="AA319" s="2506"/>
      <c r="AB319" s="2506"/>
      <c r="AC319" s="2506"/>
      <c r="AD319" s="2507"/>
      <c r="AE319" s="551"/>
      <c r="AF319" s="551"/>
      <c r="AG319" s="539"/>
      <c r="AH319" s="551"/>
      <c r="AI319" s="551"/>
      <c r="AJ319" s="550"/>
      <c r="AK319" s="550"/>
      <c r="AL319" s="550"/>
      <c r="AM319" s="550"/>
      <c r="AN319" s="73"/>
      <c r="AO319" s="14"/>
      <c r="AP319" s="30"/>
    </row>
    <row r="320" spans="1:44" ht="13.15" hidden="1">
      <c r="A320" s="550"/>
      <c r="B320" s="551"/>
      <c r="C320" s="730"/>
      <c r="D320" s="730"/>
      <c r="E320" s="547"/>
      <c r="F320" s="2508"/>
      <c r="G320" s="2509"/>
      <c r="H320" s="2509"/>
      <c r="I320" s="2509"/>
      <c r="J320" s="2509"/>
      <c r="K320" s="2509"/>
      <c r="L320" s="2509"/>
      <c r="M320" s="2509"/>
      <c r="N320" s="2509"/>
      <c r="O320" s="2509"/>
      <c r="P320" s="2509"/>
      <c r="Q320" s="2509"/>
      <c r="R320" s="2509"/>
      <c r="S320" s="2509"/>
      <c r="T320" s="2509"/>
      <c r="U320" s="2509"/>
      <c r="V320" s="2509"/>
      <c r="W320" s="2509"/>
      <c r="X320" s="2509"/>
      <c r="Y320" s="2509"/>
      <c r="Z320" s="2509"/>
      <c r="AA320" s="2509"/>
      <c r="AB320" s="2509"/>
      <c r="AC320" s="2509"/>
      <c r="AD320" s="2510"/>
      <c r="AE320" s="551"/>
      <c r="AF320" s="551"/>
      <c r="AG320" s="539"/>
      <c r="AH320" s="551"/>
      <c r="AI320" s="551"/>
      <c r="AJ320" s="550"/>
      <c r="AK320" s="550"/>
      <c r="AL320" s="550"/>
      <c r="AM320" s="550"/>
      <c r="AN320" s="73"/>
      <c r="AO320" s="14"/>
      <c r="AP320" s="30"/>
    </row>
    <row r="321" spans="1:42" ht="13.15"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15"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15"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1" t="s">
        <v>1184</v>
      </c>
      <c r="J324" s="2511"/>
      <c r="K324" s="2511"/>
      <c r="L324" s="2511"/>
      <c r="M324" s="2511"/>
      <c r="N324" s="2511"/>
      <c r="O324" s="2511"/>
      <c r="P324" s="2511"/>
      <c r="Q324" s="2511"/>
      <c r="R324" s="2511"/>
      <c r="S324" s="2511"/>
      <c r="T324" s="2511"/>
      <c r="U324" s="2511"/>
      <c r="V324" s="2511"/>
      <c r="W324" s="2511"/>
      <c r="X324" s="2511"/>
      <c r="Y324" s="2511"/>
      <c r="Z324" s="2511"/>
      <c r="AA324" s="2511"/>
      <c r="AB324" s="2511"/>
      <c r="AC324" s="2511"/>
      <c r="AD324" s="2512"/>
      <c r="AE324" s="551"/>
      <c r="AF324" s="551"/>
      <c r="AG324" s="539"/>
      <c r="AH324" s="551"/>
      <c r="AI324" s="551"/>
      <c r="AJ324" s="550"/>
      <c r="AK324" s="550"/>
      <c r="AL324" s="550"/>
      <c r="AM324" s="550"/>
      <c r="AN324" s="73"/>
      <c r="AO324" s="14"/>
      <c r="AP324" s="557" t="s">
        <v>1637</v>
      </c>
    </row>
    <row r="325" spans="1:42" ht="13.15" hidden="1">
      <c r="A325" s="550"/>
      <c r="B325" s="551"/>
      <c r="C325" s="730"/>
      <c r="D325" s="730"/>
      <c r="E325" s="547"/>
      <c r="F325" s="656"/>
      <c r="G325" s="575"/>
      <c r="H325" s="575"/>
      <c r="I325" s="2511"/>
      <c r="J325" s="2511"/>
      <c r="K325" s="2511"/>
      <c r="L325" s="2511"/>
      <c r="M325" s="2511"/>
      <c r="N325" s="2511"/>
      <c r="O325" s="2511"/>
      <c r="P325" s="2511"/>
      <c r="Q325" s="2511"/>
      <c r="R325" s="2511"/>
      <c r="S325" s="2511"/>
      <c r="T325" s="2511"/>
      <c r="U325" s="2511"/>
      <c r="V325" s="2511"/>
      <c r="W325" s="2511"/>
      <c r="X325" s="2511"/>
      <c r="Y325" s="2511"/>
      <c r="Z325" s="2511"/>
      <c r="AA325" s="2511"/>
      <c r="AB325" s="2511"/>
      <c r="AC325" s="2511"/>
      <c r="AD325" s="2512"/>
      <c r="AE325" s="551"/>
      <c r="AF325" s="551"/>
      <c r="AG325" s="539"/>
      <c r="AH325" s="551"/>
      <c r="AI325" s="551"/>
      <c r="AJ325" s="550"/>
      <c r="AK325" s="550"/>
      <c r="AL325" s="550"/>
      <c r="AM325" s="550"/>
      <c r="AN325" s="73"/>
      <c r="AO325" s="14"/>
      <c r="AP325" s="557" t="s">
        <v>1733</v>
      </c>
    </row>
    <row r="326" spans="1:42" ht="13.15" hidden="1">
      <c r="A326" s="550"/>
      <c r="B326" s="551"/>
      <c r="C326" s="651"/>
      <c r="D326" s="651"/>
      <c r="E326" s="547"/>
      <c r="F326" s="656"/>
      <c r="G326" s="575"/>
      <c r="H326" s="575"/>
      <c r="I326" s="2511"/>
      <c r="J326" s="2511"/>
      <c r="K326" s="2511"/>
      <c r="L326" s="2511"/>
      <c r="M326" s="2511"/>
      <c r="N326" s="2511"/>
      <c r="O326" s="2511"/>
      <c r="P326" s="2511"/>
      <c r="Q326" s="2511"/>
      <c r="R326" s="2511"/>
      <c r="S326" s="2511"/>
      <c r="T326" s="2511"/>
      <c r="U326" s="2511"/>
      <c r="V326" s="2511"/>
      <c r="W326" s="2511"/>
      <c r="X326" s="2511"/>
      <c r="Y326" s="2511"/>
      <c r="Z326" s="2511"/>
      <c r="AA326" s="2511"/>
      <c r="AB326" s="2511"/>
      <c r="AC326" s="2511"/>
      <c r="AD326" s="2512"/>
      <c r="AE326" s="551"/>
      <c r="AF326" s="551"/>
      <c r="AG326" s="539"/>
      <c r="AH326" s="551"/>
      <c r="AI326" s="551"/>
      <c r="AJ326" s="550"/>
      <c r="AK326" s="550"/>
      <c r="AL326" s="550"/>
      <c r="AM326" s="550"/>
      <c r="AN326" s="73"/>
      <c r="AO326" s="14"/>
      <c r="AP326" s="557" t="s">
        <v>1735</v>
      </c>
    </row>
    <row r="327" spans="1:42" ht="13.15" hidden="1">
      <c r="A327" s="550"/>
      <c r="B327" s="551"/>
      <c r="C327" s="651"/>
      <c r="D327" s="651"/>
      <c r="E327" s="547"/>
      <c r="F327" s="654"/>
      <c r="G327" s="551"/>
      <c r="H327" s="551"/>
      <c r="I327" s="2513"/>
      <c r="J327" s="2513"/>
      <c r="K327" s="2513"/>
      <c r="L327" s="2513"/>
      <c r="M327" s="2513"/>
      <c r="N327" s="2513"/>
      <c r="O327" s="2513"/>
      <c r="P327" s="2513"/>
      <c r="Q327" s="2513"/>
      <c r="R327" s="2513"/>
      <c r="S327" s="2513"/>
      <c r="T327" s="2513"/>
      <c r="U327" s="2513"/>
      <c r="V327" s="2513"/>
      <c r="W327" s="2513"/>
      <c r="X327" s="2513"/>
      <c r="Y327" s="2513"/>
      <c r="Z327" s="2513"/>
      <c r="AA327" s="2513"/>
      <c r="AB327" s="2513"/>
      <c r="AC327" s="2513"/>
      <c r="AD327" s="2514"/>
      <c r="AE327" s="551"/>
      <c r="AF327" s="551"/>
      <c r="AG327" s="539"/>
      <c r="AH327" s="551"/>
      <c r="AI327" s="551"/>
      <c r="AJ327" s="550"/>
      <c r="AK327" s="550"/>
      <c r="AL327" s="550"/>
      <c r="AM327" s="550"/>
      <c r="AN327" s="73"/>
      <c r="AO327" s="14"/>
      <c r="AP327" s="557" t="s">
        <v>1734</v>
      </c>
    </row>
    <row r="328" spans="1:42" ht="13.15"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15" hidden="1">
      <c r="A329" s="550"/>
      <c r="B329" s="551"/>
      <c r="C329" s="651"/>
      <c r="D329" s="651"/>
      <c r="E329" s="547"/>
      <c r="F329" s="654"/>
      <c r="G329" s="551" t="s">
        <v>509</v>
      </c>
      <c r="H329" s="551"/>
      <c r="I329" s="2511" t="s">
        <v>1184</v>
      </c>
      <c r="J329" s="2511"/>
      <c r="K329" s="2511"/>
      <c r="L329" s="2511"/>
      <c r="M329" s="2511"/>
      <c r="N329" s="2511"/>
      <c r="O329" s="2511"/>
      <c r="P329" s="2511"/>
      <c r="Q329" s="2511"/>
      <c r="R329" s="2511"/>
      <c r="S329" s="2511"/>
      <c r="T329" s="2511"/>
      <c r="U329" s="2511"/>
      <c r="V329" s="2511"/>
      <c r="W329" s="2511"/>
      <c r="X329" s="2511"/>
      <c r="Y329" s="2511"/>
      <c r="Z329" s="2511"/>
      <c r="AA329" s="2511"/>
      <c r="AB329" s="2511"/>
      <c r="AC329" s="2511"/>
      <c r="AD329" s="2512"/>
      <c r="AE329" s="551"/>
      <c r="AF329" s="551"/>
      <c r="AG329" s="539"/>
      <c r="AH329" s="551"/>
      <c r="AI329" s="551"/>
      <c r="AJ329" s="550"/>
      <c r="AK329" s="550"/>
      <c r="AL329" s="550"/>
      <c r="AM329" s="550"/>
      <c r="AN329" s="73"/>
      <c r="AO329" s="14"/>
    </row>
    <row r="330" spans="1:42" ht="13.15" hidden="1">
      <c r="A330" s="550"/>
      <c r="B330" s="551"/>
      <c r="C330" s="651"/>
      <c r="D330" s="651"/>
      <c r="E330" s="547"/>
      <c r="F330" s="654"/>
      <c r="G330" s="551"/>
      <c r="H330" s="551"/>
      <c r="I330" s="2511"/>
      <c r="J330" s="2511"/>
      <c r="K330" s="2511"/>
      <c r="L330" s="2511"/>
      <c r="M330" s="2511"/>
      <c r="N330" s="2511"/>
      <c r="O330" s="2511"/>
      <c r="P330" s="2511"/>
      <c r="Q330" s="2511"/>
      <c r="R330" s="2511"/>
      <c r="S330" s="2511"/>
      <c r="T330" s="2511"/>
      <c r="U330" s="2511"/>
      <c r="V330" s="2511"/>
      <c r="W330" s="2511"/>
      <c r="X330" s="2511"/>
      <c r="Y330" s="2511"/>
      <c r="Z330" s="2511"/>
      <c r="AA330" s="2511"/>
      <c r="AB330" s="2511"/>
      <c r="AC330" s="2511"/>
      <c r="AD330" s="2512"/>
      <c r="AE330" s="551"/>
      <c r="AF330" s="551"/>
      <c r="AG330" s="539"/>
      <c r="AH330" s="551"/>
      <c r="AI330" s="551"/>
      <c r="AJ330" s="550"/>
      <c r="AK330" s="550"/>
      <c r="AL330" s="550"/>
      <c r="AM330" s="550"/>
      <c r="AN330" s="73"/>
      <c r="AO330" s="14"/>
      <c r="AP330" s="557" t="s">
        <v>1184</v>
      </c>
    </row>
    <row r="331" spans="1:42" ht="13.15" hidden="1">
      <c r="A331" s="550"/>
      <c r="B331" s="551"/>
      <c r="C331" s="651"/>
      <c r="D331" s="651"/>
      <c r="E331" s="547"/>
      <c r="F331" s="657"/>
      <c r="G331" s="658"/>
      <c r="H331" s="658"/>
      <c r="I331" s="2513"/>
      <c r="J331" s="2513"/>
      <c r="K331" s="2513"/>
      <c r="L331" s="2513"/>
      <c r="M331" s="2513"/>
      <c r="N331" s="2513"/>
      <c r="O331" s="2513"/>
      <c r="P331" s="2513"/>
      <c r="Q331" s="2513"/>
      <c r="R331" s="2513"/>
      <c r="S331" s="2513"/>
      <c r="T331" s="2513"/>
      <c r="U331" s="2513"/>
      <c r="V331" s="2513"/>
      <c r="W331" s="2513"/>
      <c r="X331" s="2513"/>
      <c r="Y331" s="2513"/>
      <c r="Z331" s="2513"/>
      <c r="AA331" s="2513"/>
      <c r="AB331" s="2513"/>
      <c r="AC331" s="2513"/>
      <c r="AD331" s="251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0" t="s">
        <v>1392</v>
      </c>
      <c r="B333" s="1630"/>
      <c r="C333" s="2473" t="s">
        <v>591</v>
      </c>
      <c r="D333" s="2473"/>
      <c r="E333" s="547"/>
      <c r="F333" s="2397" t="s">
        <v>2028</v>
      </c>
      <c r="G333" s="2398"/>
      <c r="H333" s="2398"/>
      <c r="I333" s="2398"/>
      <c r="J333" s="2398"/>
      <c r="K333" s="2398"/>
      <c r="L333" s="2398"/>
      <c r="M333" s="2398"/>
      <c r="N333" s="2398"/>
      <c r="O333" s="2398"/>
      <c r="P333" s="2398"/>
      <c r="Q333" s="2398"/>
      <c r="R333" s="2398"/>
      <c r="S333" s="2398"/>
      <c r="T333" s="2398"/>
      <c r="U333" s="2398"/>
      <c r="V333" s="2398"/>
      <c r="W333" s="2398"/>
      <c r="X333" s="2398"/>
      <c r="Y333" s="2398"/>
      <c r="Z333" s="2398"/>
      <c r="AA333" s="2398"/>
      <c r="AB333" s="2398"/>
      <c r="AC333" s="2398"/>
      <c r="AD333" s="2399"/>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3"/>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c r="AA334" s="2404"/>
      <c r="AB334" s="2404"/>
      <c r="AC334" s="2404"/>
      <c r="AD334" s="2405"/>
      <c r="AE334" s="551"/>
      <c r="AF334" s="551"/>
      <c r="AG334" s="551"/>
      <c r="AH334" s="551"/>
      <c r="AI334" s="551"/>
      <c r="AJ334" s="550"/>
      <c r="AK334" s="550"/>
      <c r="AL334" s="550"/>
      <c r="AM334" s="550"/>
      <c r="AN334" s="73"/>
      <c r="AO334" s="14"/>
    </row>
    <row r="335" spans="1:42" ht="15" hidden="1" customHeight="1">
      <c r="A335" s="550"/>
      <c r="B335" s="551"/>
      <c r="C335" s="551"/>
      <c r="D335" s="551"/>
      <c r="E335" s="551"/>
      <c r="F335" s="2403"/>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c r="AA335" s="2404"/>
      <c r="AB335" s="2404"/>
      <c r="AC335" s="2404"/>
      <c r="AD335" s="240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15">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6">
        <f>IF(NOT(OR(Application!M355="Yes",Application!M356="Yes")),0,AP295)</f>
        <v>10</v>
      </c>
      <c r="AL338" s="2477"/>
      <c r="AM338" s="247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6" t="s">
        <v>1314</v>
      </c>
      <c r="AF341" s="2406"/>
      <c r="AG341" s="2406"/>
      <c r="AH341" s="2406"/>
      <c r="AI341" s="2406"/>
      <c r="AJ341" s="2406"/>
      <c r="AK341" s="240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5" t="s">
        <v>1454</v>
      </c>
      <c r="D343" s="2515"/>
      <c r="E343" s="2515"/>
      <c r="F343" s="2515"/>
      <c r="G343" s="2515"/>
      <c r="H343" s="2515"/>
      <c r="I343" s="2515"/>
      <c r="J343" s="2515"/>
      <c r="K343" s="2515"/>
      <c r="L343" s="2515"/>
      <c r="M343" s="2515"/>
      <c r="N343" s="2515"/>
      <c r="O343" s="2515"/>
      <c r="P343" s="2515"/>
      <c r="Q343" s="2515"/>
      <c r="R343" s="2515"/>
      <c r="S343" s="2515"/>
      <c r="T343" s="2515"/>
      <c r="U343" s="2515"/>
      <c r="V343" s="2515"/>
      <c r="W343" s="2515"/>
      <c r="X343" s="2515"/>
      <c r="Y343" s="2515"/>
      <c r="Z343" s="2515"/>
      <c r="AA343" s="2515"/>
      <c r="AB343" s="2515"/>
      <c r="AC343" s="2515"/>
      <c r="AD343" s="2515"/>
      <c r="AE343" s="2515"/>
      <c r="AF343" s="2515"/>
      <c r="AG343" s="2515"/>
      <c r="AH343" s="2515"/>
      <c r="AI343" s="2515"/>
      <c r="AJ343" s="2515"/>
      <c r="AK343" s="603"/>
      <c r="AL343" s="603"/>
      <c r="AM343" s="603"/>
      <c r="AN343" s="597"/>
    </row>
    <row r="344" spans="1:44" s="550" customFormat="1" ht="12.75" customHeight="1">
      <c r="A344" s="603"/>
      <c r="B344" s="611"/>
      <c r="C344" s="2515"/>
      <c r="D344" s="2515"/>
      <c r="E344" s="2515"/>
      <c r="F344" s="2515"/>
      <c r="G344" s="2515"/>
      <c r="H344" s="2515"/>
      <c r="I344" s="2515"/>
      <c r="J344" s="2515"/>
      <c r="K344" s="2515"/>
      <c r="L344" s="2515"/>
      <c r="M344" s="2515"/>
      <c r="N344" s="2515"/>
      <c r="O344" s="2515"/>
      <c r="P344" s="2515"/>
      <c r="Q344" s="2515"/>
      <c r="R344" s="2515"/>
      <c r="S344" s="2515"/>
      <c r="T344" s="2515"/>
      <c r="U344" s="2515"/>
      <c r="V344" s="2515"/>
      <c r="W344" s="2515"/>
      <c r="X344" s="2515"/>
      <c r="Y344" s="2515"/>
      <c r="Z344" s="2515"/>
      <c r="AA344" s="2515"/>
      <c r="AB344" s="2515"/>
      <c r="AC344" s="2515"/>
      <c r="AD344" s="2515"/>
      <c r="AE344" s="2515"/>
      <c r="AF344" s="2515"/>
      <c r="AG344" s="2515"/>
      <c r="AH344" s="2515"/>
      <c r="AI344" s="2515"/>
      <c r="AJ344" s="2515"/>
      <c r="AK344" s="603"/>
      <c r="AL344" s="603"/>
      <c r="AM344" s="603"/>
      <c r="AN344" s="597"/>
    </row>
    <row r="345" spans="1:44" s="550" customFormat="1" ht="12.75" customHeight="1">
      <c r="A345" s="603"/>
      <c r="B345" s="611"/>
      <c r="C345" s="2515"/>
      <c r="D345" s="2515"/>
      <c r="E345" s="2515"/>
      <c r="F345" s="2515"/>
      <c r="G345" s="2515"/>
      <c r="H345" s="2515"/>
      <c r="I345" s="2515"/>
      <c r="J345" s="2515"/>
      <c r="K345" s="2515"/>
      <c r="L345" s="2515"/>
      <c r="M345" s="2515"/>
      <c r="N345" s="2515"/>
      <c r="O345" s="2515"/>
      <c r="P345" s="2515"/>
      <c r="Q345" s="2515"/>
      <c r="R345" s="2515"/>
      <c r="S345" s="2515"/>
      <c r="T345" s="2515"/>
      <c r="U345" s="2515"/>
      <c r="V345" s="2515"/>
      <c r="W345" s="2515"/>
      <c r="X345" s="2515"/>
      <c r="Y345" s="2515"/>
      <c r="Z345" s="2515"/>
      <c r="AA345" s="2515"/>
      <c r="AB345" s="2515"/>
      <c r="AC345" s="2515"/>
      <c r="AD345" s="2515"/>
      <c r="AE345" s="2515"/>
      <c r="AF345" s="2515"/>
      <c r="AG345" s="2515"/>
      <c r="AH345" s="2515"/>
      <c r="AI345" s="2515"/>
      <c r="AJ345" s="2515"/>
      <c r="AK345" s="603"/>
      <c r="AL345" s="603"/>
      <c r="AM345" s="603"/>
      <c r="AN345" s="597"/>
      <c r="AQ345" s="570"/>
    </row>
    <row r="346" spans="1:44" s="550" customFormat="1" ht="12.75" customHeight="1">
      <c r="A346" s="603"/>
      <c r="B346" s="611"/>
      <c r="C346" s="2515"/>
      <c r="D346" s="2515"/>
      <c r="E346" s="2515"/>
      <c r="F346" s="2515"/>
      <c r="G346" s="2515"/>
      <c r="H346" s="2515"/>
      <c r="I346" s="2515"/>
      <c r="J346" s="2515"/>
      <c r="K346" s="2515"/>
      <c r="L346" s="2515"/>
      <c r="M346" s="2515"/>
      <c r="N346" s="2515"/>
      <c r="O346" s="2515"/>
      <c r="P346" s="2515"/>
      <c r="Q346" s="2515"/>
      <c r="R346" s="2515"/>
      <c r="S346" s="2515"/>
      <c r="T346" s="2515"/>
      <c r="U346" s="2515"/>
      <c r="V346" s="2515"/>
      <c r="W346" s="2515"/>
      <c r="X346" s="2515"/>
      <c r="Y346" s="2515"/>
      <c r="Z346" s="2515"/>
      <c r="AA346" s="2515"/>
      <c r="AB346" s="2515"/>
      <c r="AC346" s="2515"/>
      <c r="AD346" s="2515"/>
      <c r="AE346" s="2515"/>
      <c r="AF346" s="2515"/>
      <c r="AG346" s="2515"/>
      <c r="AH346" s="2515"/>
      <c r="AI346" s="2515"/>
      <c r="AJ346" s="2515"/>
      <c r="AK346" s="603"/>
      <c r="AL346" s="603"/>
      <c r="AM346" s="603"/>
      <c r="AN346" s="597"/>
      <c r="AQ346" s="570"/>
    </row>
    <row r="347" spans="1:44" s="550" customFormat="1" ht="12.4" customHeight="1">
      <c r="A347" s="603"/>
      <c r="B347" s="611"/>
      <c r="C347" s="2515"/>
      <c r="D347" s="2515"/>
      <c r="E347" s="2515"/>
      <c r="F347" s="2515"/>
      <c r="G347" s="2515"/>
      <c r="H347" s="2515"/>
      <c r="I347" s="2515"/>
      <c r="J347" s="2515"/>
      <c r="K347" s="2515"/>
      <c r="L347" s="2515"/>
      <c r="M347" s="2515"/>
      <c r="N347" s="2515"/>
      <c r="O347" s="2515"/>
      <c r="P347" s="2515"/>
      <c r="Q347" s="2515"/>
      <c r="R347" s="2515"/>
      <c r="S347" s="2515"/>
      <c r="T347" s="2515"/>
      <c r="U347" s="2515"/>
      <c r="V347" s="2515"/>
      <c r="W347" s="2515"/>
      <c r="X347" s="2515"/>
      <c r="Y347" s="2515"/>
      <c r="Z347" s="2515"/>
      <c r="AA347" s="2515"/>
      <c r="AB347" s="2515"/>
      <c r="AC347" s="2515"/>
      <c r="AD347" s="2515"/>
      <c r="AE347" s="2515"/>
      <c r="AF347" s="2515"/>
      <c r="AG347" s="2515"/>
      <c r="AH347" s="2515"/>
      <c r="AI347" s="2515"/>
      <c r="AJ347" s="2515"/>
      <c r="AK347" s="603"/>
      <c r="AL347" s="603"/>
      <c r="AM347" s="603"/>
      <c r="AN347" s="597"/>
      <c r="AQ347" s="570"/>
      <c r="AR347" s="570"/>
    </row>
    <row r="348" spans="1:44" s="550" customFormat="1" ht="45.75" customHeight="1">
      <c r="A348" s="603"/>
      <c r="B348" s="611"/>
      <c r="C348" s="2515" t="s">
        <v>2093</v>
      </c>
      <c r="D348" s="2515"/>
      <c r="E348" s="2515"/>
      <c r="F348" s="2515"/>
      <c r="G348" s="2515"/>
      <c r="H348" s="2515"/>
      <c r="I348" s="2515"/>
      <c r="J348" s="2515"/>
      <c r="K348" s="2515"/>
      <c r="L348" s="2515"/>
      <c r="M348" s="2515"/>
      <c r="N348" s="2515"/>
      <c r="O348" s="2515"/>
      <c r="P348" s="2515"/>
      <c r="Q348" s="2515"/>
      <c r="R348" s="2515"/>
      <c r="S348" s="2515"/>
      <c r="T348" s="2515"/>
      <c r="U348" s="2515"/>
      <c r="V348" s="2515"/>
      <c r="W348" s="2515"/>
      <c r="X348" s="2515"/>
      <c r="Y348" s="2515"/>
      <c r="Z348" s="2515"/>
      <c r="AA348" s="2515"/>
      <c r="AB348" s="2515"/>
      <c r="AC348" s="2515"/>
      <c r="AD348" s="2515"/>
      <c r="AE348" s="2515"/>
      <c r="AF348" s="2515"/>
      <c r="AG348" s="2515"/>
      <c r="AH348" s="2515"/>
      <c r="AI348" s="2515"/>
      <c r="AJ348" s="251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5" t="s">
        <v>2208</v>
      </c>
      <c r="D350" s="2515"/>
      <c r="E350" s="2515"/>
      <c r="F350" s="2515"/>
      <c r="G350" s="2515"/>
      <c r="H350" s="2515"/>
      <c r="I350" s="2515"/>
      <c r="J350" s="2515"/>
      <c r="K350" s="2515"/>
      <c r="L350" s="2515"/>
      <c r="M350" s="2515"/>
      <c r="N350" s="2515"/>
      <c r="O350" s="2515"/>
      <c r="P350" s="2515"/>
      <c r="Q350" s="2515"/>
      <c r="R350" s="2515"/>
      <c r="S350" s="2515"/>
      <c r="T350" s="2515"/>
      <c r="U350" s="2515"/>
      <c r="V350" s="2515"/>
      <c r="W350" s="2515"/>
      <c r="X350" s="2515"/>
      <c r="Y350" s="2515"/>
      <c r="Z350" s="2515"/>
      <c r="AA350" s="2515"/>
      <c r="AB350" s="2515"/>
      <c r="AC350" s="2515"/>
      <c r="AD350" s="2515"/>
      <c r="AE350" s="2515"/>
      <c r="AF350" s="2515"/>
      <c r="AG350" s="2515"/>
      <c r="AH350" s="2515"/>
      <c r="AI350" s="2515"/>
      <c r="AJ350" s="2515"/>
      <c r="AK350" s="603"/>
      <c r="AL350" s="603"/>
      <c r="AM350" s="603"/>
      <c r="AN350" s="597"/>
      <c r="AQ350" s="570"/>
      <c r="AR350" s="570"/>
    </row>
    <row r="351" spans="1:44" s="550" customFormat="1" ht="30" customHeight="1">
      <c r="A351" s="603"/>
      <c r="B351" s="611"/>
      <c r="C351" s="2515"/>
      <c r="D351" s="2515"/>
      <c r="E351" s="2515"/>
      <c r="F351" s="2515"/>
      <c r="G351" s="2515"/>
      <c r="H351" s="2515"/>
      <c r="I351" s="2515"/>
      <c r="J351" s="2515"/>
      <c r="K351" s="2515"/>
      <c r="L351" s="2515"/>
      <c r="M351" s="2515"/>
      <c r="N351" s="2515"/>
      <c r="O351" s="2515"/>
      <c r="P351" s="2515"/>
      <c r="Q351" s="2515"/>
      <c r="R351" s="2515"/>
      <c r="S351" s="2515"/>
      <c r="T351" s="2515"/>
      <c r="U351" s="2515"/>
      <c r="V351" s="2515"/>
      <c r="W351" s="2515"/>
      <c r="X351" s="2515"/>
      <c r="Y351" s="2515"/>
      <c r="Z351" s="2515"/>
      <c r="AA351" s="2515"/>
      <c r="AB351" s="2515"/>
      <c r="AC351" s="2515"/>
      <c r="AD351" s="2515"/>
      <c r="AE351" s="2515"/>
      <c r="AF351" s="2515"/>
      <c r="AG351" s="2515"/>
      <c r="AH351" s="2515"/>
      <c r="AI351" s="2515"/>
      <c r="AJ351" s="2515"/>
      <c r="AK351" s="603"/>
      <c r="AL351" s="603"/>
      <c r="AM351" s="603"/>
      <c r="AN351" s="597"/>
      <c r="AR351" s="570"/>
    </row>
    <row r="352" spans="1:44" s="550" customFormat="1" ht="12.75" customHeight="1">
      <c r="A352" s="603"/>
      <c r="B352" s="611"/>
      <c r="C352" s="2515"/>
      <c r="D352" s="2515"/>
      <c r="E352" s="2515"/>
      <c r="F352" s="2515"/>
      <c r="G352" s="2515"/>
      <c r="H352" s="2515"/>
      <c r="I352" s="2515"/>
      <c r="J352" s="2515"/>
      <c r="K352" s="2515"/>
      <c r="L352" s="2515"/>
      <c r="M352" s="2515"/>
      <c r="N352" s="2515"/>
      <c r="O352" s="2515"/>
      <c r="P352" s="2515"/>
      <c r="Q352" s="2515"/>
      <c r="R352" s="2515"/>
      <c r="S352" s="2515"/>
      <c r="T352" s="2515"/>
      <c r="U352" s="2515"/>
      <c r="V352" s="2515"/>
      <c r="W352" s="2515"/>
      <c r="X352" s="2515"/>
      <c r="Y352" s="2515"/>
      <c r="Z352" s="2515"/>
      <c r="AA352" s="2515"/>
      <c r="AB352" s="2515"/>
      <c r="AC352" s="2515"/>
      <c r="AD352" s="2515"/>
      <c r="AE352" s="2515"/>
      <c r="AF352" s="2515"/>
      <c r="AG352" s="2515"/>
      <c r="AH352" s="2515"/>
      <c r="AI352" s="2515"/>
      <c r="AJ352" s="2515"/>
      <c r="AK352" s="603"/>
      <c r="AL352" s="603"/>
      <c r="AM352" s="603"/>
      <c r="AN352" s="597"/>
      <c r="AR352" s="570"/>
    </row>
    <row r="353" spans="1:46" s="550" customFormat="1" ht="12.75" customHeight="1">
      <c r="A353" s="603"/>
      <c r="B353" s="611"/>
      <c r="C353" s="2515" t="s">
        <v>1455</v>
      </c>
      <c r="D353" s="2515"/>
      <c r="E353" s="2515"/>
      <c r="F353" s="2515"/>
      <c r="G353" s="2515"/>
      <c r="H353" s="2515"/>
      <c r="I353" s="2515"/>
      <c r="J353" s="2515"/>
      <c r="K353" s="2515"/>
      <c r="L353" s="2515"/>
      <c r="M353" s="2515"/>
      <c r="N353" s="2515"/>
      <c r="O353" s="2515"/>
      <c r="P353" s="2515"/>
      <c r="Q353" s="2515"/>
      <c r="R353" s="2515"/>
      <c r="S353" s="2515"/>
      <c r="T353" s="2515"/>
      <c r="U353" s="2515"/>
      <c r="V353" s="2515"/>
      <c r="W353" s="2515"/>
      <c r="X353" s="2515"/>
      <c r="Y353" s="2515"/>
      <c r="Z353" s="2515"/>
      <c r="AA353" s="2515"/>
      <c r="AB353" s="2515"/>
      <c r="AC353" s="2515"/>
      <c r="AD353" s="2515"/>
      <c r="AE353" s="2515"/>
      <c r="AF353" s="2515"/>
      <c r="AG353" s="2515"/>
      <c r="AH353" s="2515"/>
      <c r="AI353" s="2515"/>
      <c r="AJ353" s="2515"/>
      <c r="AK353" s="603"/>
      <c r="AL353" s="603"/>
      <c r="AM353" s="603"/>
      <c r="AN353" s="597"/>
      <c r="AQ353" s="570"/>
      <c r="AR353" s="570"/>
    </row>
    <row r="354" spans="1:46" s="550" customFormat="1" ht="12.75" customHeight="1">
      <c r="A354" s="603"/>
      <c r="B354" s="611"/>
      <c r="C354" s="2515"/>
      <c r="D354" s="2515"/>
      <c r="E354" s="2515"/>
      <c r="F354" s="2515"/>
      <c r="G354" s="2515"/>
      <c r="H354" s="2515"/>
      <c r="I354" s="2515"/>
      <c r="J354" s="2515"/>
      <c r="K354" s="2515"/>
      <c r="L354" s="2515"/>
      <c r="M354" s="2515"/>
      <c r="N354" s="2515"/>
      <c r="O354" s="2515"/>
      <c r="P354" s="2515"/>
      <c r="Q354" s="2515"/>
      <c r="R354" s="2515"/>
      <c r="S354" s="2515"/>
      <c r="T354" s="2515"/>
      <c r="U354" s="2515"/>
      <c r="V354" s="2515"/>
      <c r="W354" s="2515"/>
      <c r="X354" s="2515"/>
      <c r="Y354" s="2515"/>
      <c r="Z354" s="2515"/>
      <c r="AA354" s="2515"/>
      <c r="AB354" s="2515"/>
      <c r="AC354" s="2515"/>
      <c r="AD354" s="2515"/>
      <c r="AE354" s="2515"/>
      <c r="AF354" s="2515"/>
      <c r="AG354" s="2515"/>
      <c r="AH354" s="2515"/>
      <c r="AI354" s="2515"/>
      <c r="AJ354" s="2515"/>
      <c r="AK354" s="603"/>
      <c r="AL354" s="603"/>
      <c r="AM354" s="603"/>
      <c r="AN354" s="597"/>
      <c r="AQ354" s="570"/>
      <c r="AR354" s="570"/>
    </row>
    <row r="355" spans="1:46" s="550" customFormat="1" ht="13.15" customHeight="1">
      <c r="A355" s="603"/>
      <c r="B355" s="611"/>
      <c r="C355" s="2515"/>
      <c r="D355" s="2515"/>
      <c r="E355" s="2515"/>
      <c r="F355" s="2515"/>
      <c r="G355" s="2515"/>
      <c r="H355" s="2515"/>
      <c r="I355" s="2515"/>
      <c r="J355" s="2515"/>
      <c r="K355" s="2515"/>
      <c r="L355" s="2515"/>
      <c r="M355" s="2515"/>
      <c r="N355" s="2515"/>
      <c r="O355" s="2515"/>
      <c r="P355" s="2515"/>
      <c r="Q355" s="2515"/>
      <c r="R355" s="2515"/>
      <c r="S355" s="2515"/>
      <c r="T355" s="2515"/>
      <c r="U355" s="2515"/>
      <c r="V355" s="2515"/>
      <c r="W355" s="2515"/>
      <c r="X355" s="2515"/>
      <c r="Y355" s="2515"/>
      <c r="Z355" s="2515"/>
      <c r="AA355" s="2515"/>
      <c r="AB355" s="2515"/>
      <c r="AC355" s="2515"/>
      <c r="AD355" s="2515"/>
      <c r="AE355" s="2515"/>
      <c r="AF355" s="2515"/>
      <c r="AG355" s="2515"/>
      <c r="AH355" s="2515"/>
      <c r="AI355" s="2515"/>
      <c r="AJ355" s="2515"/>
      <c r="AK355" s="603"/>
      <c r="AL355" s="603"/>
      <c r="AM355" s="603"/>
      <c r="AN355" s="597"/>
      <c r="AQ355" s="570"/>
      <c r="AR355" s="570"/>
    </row>
    <row r="356" spans="1:46" s="550" customFormat="1" ht="12.75" customHeight="1">
      <c r="A356" s="603"/>
      <c r="B356" s="611"/>
      <c r="C356" s="2515"/>
      <c r="D356" s="2515"/>
      <c r="E356" s="2515"/>
      <c r="F356" s="2515"/>
      <c r="G356" s="2515"/>
      <c r="H356" s="2515"/>
      <c r="I356" s="2515"/>
      <c r="J356" s="2515"/>
      <c r="K356" s="2515"/>
      <c r="L356" s="2515"/>
      <c r="M356" s="2515"/>
      <c r="N356" s="2515"/>
      <c r="O356" s="2515"/>
      <c r="P356" s="2515"/>
      <c r="Q356" s="2515"/>
      <c r="R356" s="2515"/>
      <c r="S356" s="2515"/>
      <c r="T356" s="2515"/>
      <c r="U356" s="2515"/>
      <c r="V356" s="2515"/>
      <c r="W356" s="2515"/>
      <c r="X356" s="2515"/>
      <c r="Y356" s="2515"/>
      <c r="Z356" s="2515"/>
      <c r="AA356" s="2515"/>
      <c r="AB356" s="2515"/>
      <c r="AC356" s="2515"/>
      <c r="AD356" s="2515"/>
      <c r="AE356" s="2515"/>
      <c r="AF356" s="2515"/>
      <c r="AG356" s="2515"/>
      <c r="AH356" s="2515"/>
      <c r="AI356" s="2515"/>
      <c r="AJ356" s="2515"/>
      <c r="AK356" s="603"/>
      <c r="AL356" s="603"/>
      <c r="AM356" s="603"/>
      <c r="AN356" s="597"/>
      <c r="AO356" s="694"/>
      <c r="AP356" s="694"/>
      <c r="AQ356" s="570"/>
    </row>
    <row r="357" spans="1:46" s="550" customFormat="1" ht="11.85" customHeight="1">
      <c r="A357" s="603"/>
      <c r="B357" s="611"/>
      <c r="C357" s="2515"/>
      <c r="D357" s="2515"/>
      <c r="E357" s="2515"/>
      <c r="F357" s="2515"/>
      <c r="G357" s="2515"/>
      <c r="H357" s="2515"/>
      <c r="I357" s="2515"/>
      <c r="J357" s="2515"/>
      <c r="K357" s="2515"/>
      <c r="L357" s="2515"/>
      <c r="M357" s="2515"/>
      <c r="N357" s="2515"/>
      <c r="O357" s="2515"/>
      <c r="P357" s="2515"/>
      <c r="Q357" s="2515"/>
      <c r="R357" s="2515"/>
      <c r="S357" s="2515"/>
      <c r="T357" s="2515"/>
      <c r="U357" s="2515"/>
      <c r="V357" s="2515"/>
      <c r="W357" s="2515"/>
      <c r="X357" s="2515"/>
      <c r="Y357" s="2515"/>
      <c r="Z357" s="2515"/>
      <c r="AA357" s="2515"/>
      <c r="AB357" s="2515"/>
      <c r="AC357" s="2515"/>
      <c r="AD357" s="2515"/>
      <c r="AE357" s="2515"/>
      <c r="AF357" s="2515"/>
      <c r="AG357" s="2515"/>
      <c r="AH357" s="2515"/>
      <c r="AI357" s="2515"/>
      <c r="AJ357" s="2515"/>
      <c r="AK357" s="603"/>
      <c r="AL357" s="603"/>
      <c r="AM357" s="603"/>
      <c r="AN357" s="597"/>
      <c r="AO357" s="695" t="s">
        <v>112</v>
      </c>
      <c r="AP357" s="696">
        <f>IF(C381="Yes",5,0)</f>
        <v>0</v>
      </c>
      <c r="AS357" s="539" t="s">
        <v>1456</v>
      </c>
    </row>
    <row r="358" spans="1:46" s="550" customFormat="1" ht="12.75" customHeight="1">
      <c r="A358" s="603"/>
      <c r="B358" s="611"/>
      <c r="C358" s="2515"/>
      <c r="D358" s="2515"/>
      <c r="E358" s="2515"/>
      <c r="F358" s="2515"/>
      <c r="G358" s="2515"/>
      <c r="H358" s="2515"/>
      <c r="I358" s="2515"/>
      <c r="J358" s="2515"/>
      <c r="K358" s="2515"/>
      <c r="L358" s="2515"/>
      <c r="M358" s="2515"/>
      <c r="N358" s="2515"/>
      <c r="O358" s="2515"/>
      <c r="P358" s="2515"/>
      <c r="Q358" s="2515"/>
      <c r="R358" s="2515"/>
      <c r="S358" s="2515"/>
      <c r="T358" s="2515"/>
      <c r="U358" s="2515"/>
      <c r="V358" s="2515"/>
      <c r="W358" s="2515"/>
      <c r="X358" s="2515"/>
      <c r="Y358" s="2515"/>
      <c r="Z358" s="2515"/>
      <c r="AA358" s="2515"/>
      <c r="AB358" s="2515"/>
      <c r="AC358" s="2515"/>
      <c r="AD358" s="2515"/>
      <c r="AE358" s="2515"/>
      <c r="AF358" s="2515"/>
      <c r="AG358" s="2515"/>
      <c r="AH358" s="2515"/>
      <c r="AI358" s="2515"/>
      <c r="AJ358" s="2515"/>
      <c r="AK358" s="603"/>
      <c r="AL358" s="603"/>
      <c r="AM358" s="603"/>
      <c r="AN358" s="597"/>
      <c r="AO358" s="695" t="s">
        <v>113</v>
      </c>
      <c r="AP358" s="696">
        <f>IF(C389="Yes",5,0)</f>
        <v>0</v>
      </c>
      <c r="AS358" s="2536">
        <f>IF(Application!D211="Non-Targeted",(SUM(AQ366+AQ375)),AS362)</f>
        <v>10</v>
      </c>
      <c r="AT358" s="2536"/>
    </row>
    <row r="359" spans="1:46" s="550" customFormat="1" ht="12.75" customHeight="1">
      <c r="A359" s="603"/>
      <c r="B359" s="611"/>
      <c r="C359" s="2515"/>
      <c r="D359" s="2515"/>
      <c r="E359" s="2515"/>
      <c r="F359" s="2515"/>
      <c r="G359" s="2515"/>
      <c r="H359" s="2515"/>
      <c r="I359" s="2515"/>
      <c r="J359" s="2515"/>
      <c r="K359" s="2515"/>
      <c r="L359" s="2515"/>
      <c r="M359" s="2515"/>
      <c r="N359" s="2515"/>
      <c r="O359" s="2515"/>
      <c r="P359" s="2515"/>
      <c r="Q359" s="2515"/>
      <c r="R359" s="2515"/>
      <c r="S359" s="2515"/>
      <c r="T359" s="2515"/>
      <c r="U359" s="2515"/>
      <c r="V359" s="2515"/>
      <c r="W359" s="2515"/>
      <c r="X359" s="2515"/>
      <c r="Y359" s="2515"/>
      <c r="Z359" s="2515"/>
      <c r="AA359" s="2515"/>
      <c r="AB359" s="2515"/>
      <c r="AC359" s="2515"/>
      <c r="AD359" s="2515"/>
      <c r="AE359" s="2515"/>
      <c r="AF359" s="2515"/>
      <c r="AG359" s="2515"/>
      <c r="AH359" s="2515"/>
      <c r="AI359" s="2515"/>
      <c r="AJ359" s="2515"/>
      <c r="AK359" s="603"/>
      <c r="AL359" s="603"/>
      <c r="AM359" s="603"/>
      <c r="AN359" s="597"/>
      <c r="AO359" s="695" t="s">
        <v>119</v>
      </c>
      <c r="AP359" s="696">
        <f>IF(C397="Yes",7,0)</f>
        <v>0</v>
      </c>
      <c r="AS359" s="539" t="s">
        <v>1457</v>
      </c>
    </row>
    <row r="360" spans="1:46" s="550" customFormat="1" ht="12.75" customHeight="1">
      <c r="A360" s="603"/>
      <c r="B360" s="611"/>
      <c r="C360" s="2515"/>
      <c r="D360" s="2515"/>
      <c r="E360" s="2515"/>
      <c r="F360" s="2515"/>
      <c r="G360" s="2515"/>
      <c r="H360" s="2515"/>
      <c r="I360" s="2515"/>
      <c r="J360" s="2515"/>
      <c r="K360" s="2515"/>
      <c r="L360" s="2515"/>
      <c r="M360" s="2515"/>
      <c r="N360" s="2515"/>
      <c r="O360" s="2515"/>
      <c r="P360" s="2515"/>
      <c r="Q360" s="2515"/>
      <c r="R360" s="2515"/>
      <c r="S360" s="2515"/>
      <c r="T360" s="2515"/>
      <c r="U360" s="2515"/>
      <c r="V360" s="2515"/>
      <c r="W360" s="2515"/>
      <c r="X360" s="2515"/>
      <c r="Y360" s="2515"/>
      <c r="Z360" s="2515"/>
      <c r="AA360" s="2515"/>
      <c r="AB360" s="2515"/>
      <c r="AC360" s="2515"/>
      <c r="AD360" s="2515"/>
      <c r="AE360" s="2515"/>
      <c r="AF360" s="2515"/>
      <c r="AG360" s="2515"/>
      <c r="AH360" s="2515"/>
      <c r="AI360" s="2515"/>
      <c r="AJ360" s="2515"/>
      <c r="AK360" s="603"/>
      <c r="AL360" s="603"/>
      <c r="AM360" s="603"/>
      <c r="AN360" s="597"/>
      <c r="AO360" s="597"/>
      <c r="AP360" s="696">
        <f>IF(C399="Yes",5,0)</f>
        <v>0</v>
      </c>
      <c r="AS360" s="2536">
        <f>IF(AND(AQ366&gt;0,AQ375&gt;0),(AQ366+AQ375)/2,0)</f>
        <v>0</v>
      </c>
      <c r="AT360" s="2536"/>
    </row>
    <row r="361" spans="1:46" s="550" customFormat="1" ht="12.75" customHeight="1">
      <c r="A361" s="603"/>
      <c r="B361" s="611"/>
      <c r="C361" s="2515"/>
      <c r="D361" s="2515"/>
      <c r="E361" s="2515"/>
      <c r="F361" s="2515"/>
      <c r="G361" s="2515"/>
      <c r="H361" s="2515"/>
      <c r="I361" s="2515"/>
      <c r="J361" s="2515"/>
      <c r="K361" s="2515"/>
      <c r="L361" s="2515"/>
      <c r="M361" s="2515"/>
      <c r="N361" s="2515"/>
      <c r="O361" s="2515"/>
      <c r="P361" s="2515"/>
      <c r="Q361" s="2515"/>
      <c r="R361" s="2515"/>
      <c r="S361" s="2515"/>
      <c r="T361" s="2515"/>
      <c r="U361" s="2515"/>
      <c r="V361" s="2515"/>
      <c r="W361" s="2515"/>
      <c r="X361" s="2515"/>
      <c r="Y361" s="2515"/>
      <c r="Z361" s="2515"/>
      <c r="AA361" s="2515"/>
      <c r="AB361" s="2515"/>
      <c r="AC361" s="2515"/>
      <c r="AD361" s="2515"/>
      <c r="AE361" s="2515"/>
      <c r="AF361" s="2515"/>
      <c r="AG361" s="2515"/>
      <c r="AH361" s="2515"/>
      <c r="AI361" s="2515"/>
      <c r="AJ361" s="2515"/>
      <c r="AK361" s="603"/>
      <c r="AL361" s="603"/>
      <c r="AM361" s="603"/>
      <c r="AN361" s="597"/>
      <c r="AO361" s="695" t="s">
        <v>581</v>
      </c>
      <c r="AP361" s="696">
        <f>IF(C407="Yes",5,0)</f>
        <v>0</v>
      </c>
      <c r="AS361" s="539" t="s">
        <v>1879</v>
      </c>
    </row>
    <row r="362" spans="1:46" s="550" customFormat="1" ht="12.75" customHeight="1">
      <c r="A362" s="603"/>
      <c r="B362" s="611"/>
      <c r="C362" s="2537" t="s">
        <v>2233</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0</v>
      </c>
      <c r="AS362" s="2536">
        <f>IF(AQ366=0,AQ375,AQ366)</f>
        <v>10</v>
      </c>
      <c r="AT362" s="2536"/>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763</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584</v>
      </c>
      <c r="AP364" s="696">
        <f>IF(C421="Yes",5,0)</f>
        <v>0</v>
      </c>
    </row>
    <row r="365" spans="1:46" s="550" customFormat="1" ht="11.85"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4"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226</v>
      </c>
      <c r="AP366" s="700">
        <f>SUM(AP357:AP365)</f>
        <v>0</v>
      </c>
      <c r="AQ366" s="2538">
        <f>IF(AP366&gt;0,AP366,0)</f>
        <v>0</v>
      </c>
      <c r="AR366" s="2538"/>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5</v>
      </c>
    </row>
    <row r="369" spans="1:81" s="550" customFormat="1" ht="12.75" customHeight="1">
      <c r="A369" s="603"/>
      <c r="B369" s="611"/>
      <c r="C369" s="2515" t="s">
        <v>1458</v>
      </c>
      <c r="D369" s="2515"/>
      <c r="E369" s="2515"/>
      <c r="F369" s="2515"/>
      <c r="G369" s="2515"/>
      <c r="H369" s="2515"/>
      <c r="I369" s="2515"/>
      <c r="J369" s="2515"/>
      <c r="K369" s="2515"/>
      <c r="L369" s="2515"/>
      <c r="M369" s="2515"/>
      <c r="N369" s="2515"/>
      <c r="O369" s="2515"/>
      <c r="P369" s="2515"/>
      <c r="Q369" s="2515"/>
      <c r="R369" s="2515"/>
      <c r="S369" s="2515"/>
      <c r="T369" s="2515"/>
      <c r="U369" s="2515"/>
      <c r="V369" s="2515"/>
      <c r="W369" s="2515"/>
      <c r="X369" s="2515"/>
      <c r="Y369" s="2515"/>
      <c r="Z369" s="2515"/>
      <c r="AA369" s="2515"/>
      <c r="AB369" s="2515"/>
      <c r="AC369" s="2515"/>
      <c r="AD369" s="2515"/>
      <c r="AE369" s="2515"/>
      <c r="AF369" s="2515"/>
      <c r="AG369" s="2515"/>
      <c r="AH369" s="2515"/>
      <c r="AI369" s="2515"/>
      <c r="AJ369" s="2515"/>
      <c r="AK369" s="603"/>
      <c r="AL369" s="603"/>
      <c r="AM369" s="603"/>
      <c r="AN369" s="597"/>
      <c r="AO369" s="695" t="s">
        <v>456</v>
      </c>
      <c r="AP369" s="696">
        <f>IF(C442="Yes",5,0)</f>
        <v>5</v>
      </c>
    </row>
    <row r="370" spans="1:81" s="550" customFormat="1" ht="12.75" customHeight="1">
      <c r="A370" s="603"/>
      <c r="B370" s="611"/>
      <c r="C370" s="2515"/>
      <c r="D370" s="2515"/>
      <c r="E370" s="2515"/>
      <c r="F370" s="2515"/>
      <c r="G370" s="2515"/>
      <c r="H370" s="2515"/>
      <c r="I370" s="2515"/>
      <c r="J370" s="2515"/>
      <c r="K370" s="2515"/>
      <c r="L370" s="2515"/>
      <c r="M370" s="2515"/>
      <c r="N370" s="2515"/>
      <c r="O370" s="2515"/>
      <c r="P370" s="2515"/>
      <c r="Q370" s="2515"/>
      <c r="R370" s="2515"/>
      <c r="S370" s="2515"/>
      <c r="T370" s="2515"/>
      <c r="U370" s="2515"/>
      <c r="V370" s="2515"/>
      <c r="W370" s="2515"/>
      <c r="X370" s="2515"/>
      <c r="Y370" s="2515"/>
      <c r="Z370" s="2515"/>
      <c r="AA370" s="2515"/>
      <c r="AB370" s="2515"/>
      <c r="AC370" s="2515"/>
      <c r="AD370" s="2515"/>
      <c r="AE370" s="2515"/>
      <c r="AF370" s="2515"/>
      <c r="AG370" s="2515"/>
      <c r="AH370" s="2515"/>
      <c r="AI370" s="2515"/>
      <c r="AJ370" s="2515"/>
      <c r="AK370" s="603"/>
      <c r="AL370" s="603"/>
      <c r="AM370" s="603"/>
      <c r="AN370" s="597"/>
      <c r="AO370" s="695" t="s">
        <v>461</v>
      </c>
      <c r="AP370" s="696">
        <f>IF(C449="Yes",5,0)</f>
        <v>0</v>
      </c>
    </row>
    <row r="371" spans="1:81" s="550" customFormat="1" ht="68.099999999999994" customHeight="1">
      <c r="A371" s="603"/>
      <c r="B371" s="611"/>
      <c r="C371" s="2515"/>
      <c r="D371" s="2515"/>
      <c r="E371" s="2515"/>
      <c r="F371" s="2515"/>
      <c r="G371" s="2515"/>
      <c r="H371" s="2515"/>
      <c r="I371" s="2515"/>
      <c r="J371" s="2515"/>
      <c r="K371" s="2515"/>
      <c r="L371" s="2515"/>
      <c r="M371" s="2515"/>
      <c r="N371" s="2515"/>
      <c r="O371" s="2515"/>
      <c r="P371" s="2515"/>
      <c r="Q371" s="2515"/>
      <c r="R371" s="2515"/>
      <c r="S371" s="2515"/>
      <c r="T371" s="2515"/>
      <c r="U371" s="2515"/>
      <c r="V371" s="2515"/>
      <c r="W371" s="2515"/>
      <c r="X371" s="2515"/>
      <c r="Y371" s="2515"/>
      <c r="Z371" s="2515"/>
      <c r="AA371" s="2515"/>
      <c r="AB371" s="2515"/>
      <c r="AC371" s="2515"/>
      <c r="AD371" s="2515"/>
      <c r="AE371" s="2515"/>
      <c r="AF371" s="2515"/>
      <c r="AG371" s="2515"/>
      <c r="AH371" s="2515"/>
      <c r="AI371" s="2515"/>
      <c r="AJ371" s="2515"/>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3">
        <f>Application!DU802-U374</f>
        <v>0</v>
      </c>
      <c r="V373" s="2623"/>
      <c r="W373" s="2623"/>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4">
        <f>IF(Application!D211="SRO",Application!DU755,Application!AG756)</f>
        <v>80</v>
      </c>
      <c r="V374" s="2624"/>
      <c r="W374" s="262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10</v>
      </c>
      <c r="AQ375" s="2538">
        <f>IF(AP375&gt;0,AP375,0)</f>
        <v>10</v>
      </c>
      <c r="AR375" s="25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9" t="s">
        <v>1460</v>
      </c>
      <c r="G377" s="2519"/>
      <c r="H377" s="2519"/>
      <c r="I377" s="2519"/>
      <c r="J377" s="2519"/>
      <c r="K377" s="2519"/>
      <c r="L377" s="2519"/>
      <c r="M377" s="2519"/>
      <c r="N377" s="2519"/>
      <c r="O377" s="2519"/>
      <c r="P377" s="2519"/>
      <c r="Q377" s="2519"/>
      <c r="R377" s="2519"/>
      <c r="S377" s="2519"/>
      <c r="T377" s="2519"/>
      <c r="U377" s="2519"/>
      <c r="V377" s="2519"/>
      <c r="W377" s="2519"/>
      <c r="X377" s="2519"/>
      <c r="Y377" s="2519"/>
      <c r="Z377" s="2519"/>
      <c r="AA377" s="2519"/>
      <c r="AB377" s="2519"/>
      <c r="AC377" s="2519"/>
      <c r="AD377" s="2519"/>
      <c r="AE377" s="2519"/>
      <c r="AF377" s="251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0"/>
      <c r="G378" s="2520"/>
      <c r="H378" s="2520"/>
      <c r="I378" s="2520"/>
      <c r="J378" s="2520"/>
      <c r="K378" s="2520"/>
      <c r="L378" s="2520"/>
      <c r="M378" s="2520"/>
      <c r="N378" s="2520"/>
      <c r="O378" s="2520"/>
      <c r="P378" s="2520"/>
      <c r="Q378" s="2520"/>
      <c r="R378" s="2520"/>
      <c r="S378" s="2520"/>
      <c r="T378" s="2520"/>
      <c r="U378" s="2520"/>
      <c r="V378" s="2520"/>
      <c r="W378" s="2520"/>
      <c r="X378" s="2520"/>
      <c r="Y378" s="2520"/>
      <c r="Z378" s="2520"/>
      <c r="AA378" s="2520"/>
      <c r="AB378" s="2520"/>
      <c r="AC378" s="2520"/>
      <c r="AD378" s="2520"/>
      <c r="AE378" s="2520"/>
      <c r="AF378" s="252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0"/>
      <c r="G379" s="2520"/>
      <c r="H379" s="2520"/>
      <c r="I379" s="2520"/>
      <c r="J379" s="2520"/>
      <c r="K379" s="2520"/>
      <c r="L379" s="2520"/>
      <c r="M379" s="2520"/>
      <c r="N379" s="2520"/>
      <c r="O379" s="2520"/>
      <c r="P379" s="2520"/>
      <c r="Q379" s="2520"/>
      <c r="R379" s="2520"/>
      <c r="S379" s="2520"/>
      <c r="T379" s="2520"/>
      <c r="U379" s="2520"/>
      <c r="V379" s="2520"/>
      <c r="W379" s="2520"/>
      <c r="X379" s="2520"/>
      <c r="Y379" s="2520"/>
      <c r="Z379" s="2520"/>
      <c r="AA379" s="2520"/>
      <c r="AB379" s="2520"/>
      <c r="AC379" s="2520"/>
      <c r="AD379" s="2520"/>
      <c r="AE379" s="2520"/>
      <c r="AF379" s="252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0"/>
      <c r="G380" s="2520"/>
      <c r="H380" s="2520"/>
      <c r="I380" s="2520"/>
      <c r="J380" s="2520"/>
      <c r="K380" s="2520"/>
      <c r="L380" s="2520"/>
      <c r="M380" s="2520"/>
      <c r="N380" s="2520"/>
      <c r="O380" s="2520"/>
      <c r="P380" s="2520"/>
      <c r="Q380" s="2520"/>
      <c r="R380" s="2520"/>
      <c r="S380" s="2520"/>
      <c r="T380" s="2520"/>
      <c r="U380" s="2520"/>
      <c r="V380" s="2520"/>
      <c r="W380" s="2520"/>
      <c r="X380" s="2520"/>
      <c r="Y380" s="2520"/>
      <c r="Z380" s="2520"/>
      <c r="AA380" s="2520"/>
      <c r="AB380" s="2520"/>
      <c r="AC380" s="2520"/>
      <c r="AD380" s="2520"/>
      <c r="AE380" s="2520"/>
      <c r="AF380" s="252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6" t="s">
        <v>591</v>
      </c>
      <c r="D381" s="2473"/>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7" t="s">
        <v>1462</v>
      </c>
      <c r="AG381" s="2517"/>
      <c r="AH381" s="2517"/>
      <c r="AI381" s="2517"/>
      <c r="AJ381" s="2517"/>
      <c r="AK381" s="2517"/>
      <c r="AL381" s="251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9" t="s">
        <v>1463</v>
      </c>
      <c r="G384" s="2519"/>
      <c r="H384" s="2519"/>
      <c r="I384" s="2519"/>
      <c r="J384" s="2519"/>
      <c r="K384" s="2519"/>
      <c r="L384" s="2519"/>
      <c r="M384" s="2519"/>
      <c r="N384" s="2519"/>
      <c r="O384" s="2519"/>
      <c r="P384" s="2519"/>
      <c r="Q384" s="2519"/>
      <c r="R384" s="2519"/>
      <c r="S384" s="2519"/>
      <c r="T384" s="2519"/>
      <c r="U384" s="2519"/>
      <c r="V384" s="2519"/>
      <c r="W384" s="2519"/>
      <c r="X384" s="2519"/>
      <c r="Y384" s="2519"/>
      <c r="Z384" s="2519"/>
      <c r="AA384" s="2519"/>
      <c r="AB384" s="2519"/>
      <c r="AC384" s="2519"/>
      <c r="AD384" s="2519"/>
      <c r="AE384" s="2519"/>
      <c r="AF384" s="251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0"/>
      <c r="G385" s="2520"/>
      <c r="H385" s="2520"/>
      <c r="I385" s="2520"/>
      <c r="J385" s="2520"/>
      <c r="K385" s="2520"/>
      <c r="L385" s="2520"/>
      <c r="M385" s="2520"/>
      <c r="N385" s="2520"/>
      <c r="O385" s="2520"/>
      <c r="P385" s="2520"/>
      <c r="Q385" s="2520"/>
      <c r="R385" s="2520"/>
      <c r="S385" s="2520"/>
      <c r="T385" s="2520"/>
      <c r="U385" s="2520"/>
      <c r="V385" s="2520"/>
      <c r="W385" s="2520"/>
      <c r="X385" s="2520"/>
      <c r="Y385" s="2520"/>
      <c r="Z385" s="2520"/>
      <c r="AA385" s="2520"/>
      <c r="AB385" s="2520"/>
      <c r="AC385" s="2520"/>
      <c r="AD385" s="2520"/>
      <c r="AE385" s="2520"/>
      <c r="AF385" s="252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0"/>
      <c r="G386" s="2520"/>
      <c r="H386" s="2520"/>
      <c r="I386" s="2520"/>
      <c r="J386" s="2520"/>
      <c r="K386" s="2520"/>
      <c r="L386" s="2520"/>
      <c r="M386" s="2520"/>
      <c r="N386" s="2520"/>
      <c r="O386" s="2520"/>
      <c r="P386" s="2520"/>
      <c r="Q386" s="2520"/>
      <c r="R386" s="2520"/>
      <c r="S386" s="2520"/>
      <c r="T386" s="2520"/>
      <c r="U386" s="2520"/>
      <c r="V386" s="2520"/>
      <c r="W386" s="2520"/>
      <c r="X386" s="2520"/>
      <c r="Y386" s="2520"/>
      <c r="Z386" s="2520"/>
      <c r="AA386" s="2520"/>
      <c r="AB386" s="2520"/>
      <c r="AC386" s="2520"/>
      <c r="AD386" s="2520"/>
      <c r="AE386" s="2520"/>
      <c r="AF386" s="252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0"/>
      <c r="G387" s="2520"/>
      <c r="H387" s="2520"/>
      <c r="I387" s="2520"/>
      <c r="J387" s="2520"/>
      <c r="K387" s="2520"/>
      <c r="L387" s="2520"/>
      <c r="M387" s="2520"/>
      <c r="N387" s="2520"/>
      <c r="O387" s="2520"/>
      <c r="P387" s="2520"/>
      <c r="Q387" s="2520"/>
      <c r="R387" s="2520"/>
      <c r="S387" s="2520"/>
      <c r="T387" s="2520"/>
      <c r="U387" s="2520"/>
      <c r="V387" s="2520"/>
      <c r="W387" s="2520"/>
      <c r="X387" s="2520"/>
      <c r="Y387" s="2520"/>
      <c r="Z387" s="2520"/>
      <c r="AA387" s="2520"/>
      <c r="AB387" s="2520"/>
      <c r="AC387" s="2520"/>
      <c r="AD387" s="2520"/>
      <c r="AE387" s="2520"/>
      <c r="AF387" s="252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0"/>
      <c r="G388" s="2520"/>
      <c r="H388" s="2520"/>
      <c r="I388" s="2520"/>
      <c r="J388" s="2520"/>
      <c r="K388" s="2520"/>
      <c r="L388" s="2520"/>
      <c r="M388" s="2520"/>
      <c r="N388" s="2520"/>
      <c r="O388" s="2520"/>
      <c r="P388" s="2520"/>
      <c r="Q388" s="2520"/>
      <c r="R388" s="2520"/>
      <c r="S388" s="2520"/>
      <c r="T388" s="2520"/>
      <c r="U388" s="2520"/>
      <c r="V388" s="2520"/>
      <c r="W388" s="2520"/>
      <c r="X388" s="2520"/>
      <c r="Y388" s="2520"/>
      <c r="Z388" s="2520"/>
      <c r="AA388" s="2520"/>
      <c r="AB388" s="2520"/>
      <c r="AC388" s="2520"/>
      <c r="AD388" s="2520"/>
      <c r="AE388" s="2520"/>
      <c r="AF388" s="2520"/>
      <c r="AL388" s="732"/>
      <c r="AN388" s="597"/>
      <c r="BS388" s="30"/>
      <c r="BT388" s="30"/>
      <c r="BU388" s="14"/>
      <c r="BV388" s="14"/>
      <c r="BW388" s="14"/>
      <c r="BX388" s="14"/>
      <c r="BY388" s="14"/>
      <c r="BZ388" s="14"/>
      <c r="CA388" s="14"/>
      <c r="CB388" s="14"/>
      <c r="CC388" s="14"/>
    </row>
    <row r="389" spans="1:81" s="550" customFormat="1" ht="12.75" customHeight="1">
      <c r="A389" s="536"/>
      <c r="B389" s="14"/>
      <c r="C389" s="2516" t="s">
        <v>591</v>
      </c>
      <c r="D389" s="2473"/>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7" t="s">
        <v>1462</v>
      </c>
      <c r="AG389" s="2517"/>
      <c r="AH389" s="2517"/>
      <c r="AI389" s="2517"/>
      <c r="AJ389" s="2517"/>
      <c r="AK389" s="2517"/>
      <c r="AL389" s="251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9" t="s">
        <v>1465</v>
      </c>
      <c r="G392" s="2519"/>
      <c r="H392" s="2519"/>
      <c r="I392" s="2519"/>
      <c r="J392" s="2519"/>
      <c r="K392" s="2519"/>
      <c r="L392" s="2519"/>
      <c r="M392" s="2519"/>
      <c r="N392" s="2519"/>
      <c r="O392" s="2519"/>
      <c r="P392" s="2519"/>
      <c r="Q392" s="2519"/>
      <c r="R392" s="2519"/>
      <c r="S392" s="2519"/>
      <c r="T392" s="2519"/>
      <c r="U392" s="2519"/>
      <c r="V392" s="2519"/>
      <c r="W392" s="2519"/>
      <c r="X392" s="2519"/>
      <c r="Y392" s="2519"/>
      <c r="Z392" s="2519"/>
      <c r="AA392" s="2519"/>
      <c r="AB392" s="2519"/>
      <c r="AC392" s="2519"/>
      <c r="AD392" s="2519"/>
      <c r="AE392" s="2519"/>
      <c r="AF392" s="251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0"/>
      <c r="G393" s="2520"/>
      <c r="H393" s="2520"/>
      <c r="I393" s="2520"/>
      <c r="J393" s="2520"/>
      <c r="K393" s="2520"/>
      <c r="L393" s="2520"/>
      <c r="M393" s="2520"/>
      <c r="N393" s="2520"/>
      <c r="O393" s="2520"/>
      <c r="P393" s="2520"/>
      <c r="Q393" s="2520"/>
      <c r="R393" s="2520"/>
      <c r="S393" s="2520"/>
      <c r="T393" s="2520"/>
      <c r="U393" s="2520"/>
      <c r="V393" s="2520"/>
      <c r="W393" s="2520"/>
      <c r="X393" s="2520"/>
      <c r="Y393" s="2520"/>
      <c r="Z393" s="2520"/>
      <c r="AA393" s="2520"/>
      <c r="AB393" s="2520"/>
      <c r="AC393" s="2520"/>
      <c r="AD393" s="2520"/>
      <c r="AE393" s="2520"/>
      <c r="AF393" s="252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0"/>
      <c r="G394" s="2520"/>
      <c r="H394" s="2520"/>
      <c r="I394" s="2520"/>
      <c r="J394" s="2520"/>
      <c r="K394" s="2520"/>
      <c r="L394" s="2520"/>
      <c r="M394" s="2520"/>
      <c r="N394" s="2520"/>
      <c r="O394" s="2520"/>
      <c r="P394" s="2520"/>
      <c r="Q394" s="2520"/>
      <c r="R394" s="2520"/>
      <c r="S394" s="2520"/>
      <c r="T394" s="2520"/>
      <c r="U394" s="2520"/>
      <c r="V394" s="2520"/>
      <c r="W394" s="2520"/>
      <c r="X394" s="2520"/>
      <c r="Y394" s="2520"/>
      <c r="Z394" s="2520"/>
      <c r="AA394" s="2520"/>
      <c r="AB394" s="2520"/>
      <c r="AC394" s="2520"/>
      <c r="AD394" s="2520"/>
      <c r="AE394" s="2520"/>
      <c r="AF394" s="252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0"/>
      <c r="G395" s="2520"/>
      <c r="H395" s="2520"/>
      <c r="I395" s="2520"/>
      <c r="J395" s="2520"/>
      <c r="K395" s="2520"/>
      <c r="L395" s="2520"/>
      <c r="M395" s="2520"/>
      <c r="N395" s="2520"/>
      <c r="O395" s="2520"/>
      <c r="P395" s="2520"/>
      <c r="Q395" s="2520"/>
      <c r="R395" s="2520"/>
      <c r="S395" s="2520"/>
      <c r="T395" s="2520"/>
      <c r="U395" s="2520"/>
      <c r="V395" s="2520"/>
      <c r="W395" s="2520"/>
      <c r="X395" s="2520"/>
      <c r="Y395" s="2520"/>
      <c r="Z395" s="2520"/>
      <c r="AA395" s="2520"/>
      <c r="AB395" s="2520"/>
      <c r="AC395" s="2520"/>
      <c r="AD395" s="2520"/>
      <c r="AE395" s="2520"/>
      <c r="AF395" s="252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0"/>
      <c r="G396" s="2520"/>
      <c r="H396" s="2520"/>
      <c r="I396" s="2520"/>
      <c r="J396" s="2520"/>
      <c r="K396" s="2520"/>
      <c r="L396" s="2520"/>
      <c r="M396" s="2520"/>
      <c r="N396" s="2520"/>
      <c r="O396" s="2520"/>
      <c r="P396" s="2520"/>
      <c r="Q396" s="2520"/>
      <c r="R396" s="2520"/>
      <c r="S396" s="2520"/>
      <c r="T396" s="2520"/>
      <c r="U396" s="2520"/>
      <c r="V396" s="2520"/>
      <c r="W396" s="2520"/>
      <c r="X396" s="2520"/>
      <c r="Y396" s="2520"/>
      <c r="Z396" s="2520"/>
      <c r="AA396" s="2520"/>
      <c r="AB396" s="2520"/>
      <c r="AC396" s="2520"/>
      <c r="AD396" s="2520"/>
      <c r="AE396" s="2520"/>
      <c r="AF396" s="252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6" t="s">
        <v>591</v>
      </c>
      <c r="D397" s="2473"/>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7" t="s">
        <v>1467</v>
      </c>
      <c r="AG397" s="2517"/>
      <c r="AH397" s="2517"/>
      <c r="AI397" s="2517"/>
      <c r="AJ397" s="2517"/>
      <c r="AK397" s="2517"/>
      <c r="AL397" s="251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6" t="s">
        <v>591</v>
      </c>
      <c r="D399" s="2473"/>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7" t="s">
        <v>1462</v>
      </c>
      <c r="AG399" s="2517"/>
      <c r="AH399" s="2517"/>
      <c r="AI399" s="2517"/>
      <c r="AJ399" s="2517"/>
      <c r="AK399" s="2517"/>
      <c r="AL399" s="251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9" t="s">
        <v>1471</v>
      </c>
      <c r="G403" s="2519"/>
      <c r="H403" s="2519"/>
      <c r="I403" s="2519"/>
      <c r="J403" s="2519"/>
      <c r="K403" s="2519"/>
      <c r="L403" s="2519"/>
      <c r="M403" s="2519"/>
      <c r="N403" s="2519"/>
      <c r="O403" s="2519"/>
      <c r="P403" s="2519"/>
      <c r="Q403" s="2519"/>
      <c r="R403" s="2519"/>
      <c r="S403" s="2519"/>
      <c r="T403" s="2519"/>
      <c r="U403" s="2519"/>
      <c r="V403" s="2519"/>
      <c r="W403" s="2519"/>
      <c r="X403" s="2519"/>
      <c r="Y403" s="2519"/>
      <c r="Z403" s="2519"/>
      <c r="AA403" s="2519"/>
      <c r="AB403" s="2519"/>
      <c r="AC403" s="2519"/>
      <c r="AD403" s="2519"/>
      <c r="AE403" s="2519"/>
      <c r="AF403" s="251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0"/>
      <c r="G404" s="2520"/>
      <c r="H404" s="2520"/>
      <c r="I404" s="2520"/>
      <c r="J404" s="2520"/>
      <c r="K404" s="2520"/>
      <c r="L404" s="2520"/>
      <c r="M404" s="2520"/>
      <c r="N404" s="2520"/>
      <c r="O404" s="2520"/>
      <c r="P404" s="2520"/>
      <c r="Q404" s="2520"/>
      <c r="R404" s="2520"/>
      <c r="S404" s="2520"/>
      <c r="T404" s="2520"/>
      <c r="U404" s="2520"/>
      <c r="V404" s="2520"/>
      <c r="W404" s="2520"/>
      <c r="X404" s="2520"/>
      <c r="Y404" s="2520"/>
      <c r="Z404" s="2520"/>
      <c r="AA404" s="2520"/>
      <c r="AB404" s="2520"/>
      <c r="AC404" s="2520"/>
      <c r="AD404" s="2520"/>
      <c r="AE404" s="2520"/>
      <c r="AF404" s="252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15">
      <c r="A405" s="536"/>
      <c r="C405" s="731"/>
      <c r="E405" s="691"/>
      <c r="F405" s="2520"/>
      <c r="G405" s="2520"/>
      <c r="H405" s="2520"/>
      <c r="I405" s="2520"/>
      <c r="J405" s="2520"/>
      <c r="K405" s="2520"/>
      <c r="L405" s="2520"/>
      <c r="M405" s="2520"/>
      <c r="N405" s="2520"/>
      <c r="O405" s="2520"/>
      <c r="P405" s="2520"/>
      <c r="Q405" s="2520"/>
      <c r="R405" s="2520"/>
      <c r="S405" s="2520"/>
      <c r="T405" s="2520"/>
      <c r="U405" s="2520"/>
      <c r="V405" s="2520"/>
      <c r="W405" s="2520"/>
      <c r="X405" s="2520"/>
      <c r="Y405" s="2520"/>
      <c r="Z405" s="2520"/>
      <c r="AA405" s="2520"/>
      <c r="AB405" s="2520"/>
      <c r="AC405" s="2520"/>
      <c r="AD405" s="2520"/>
      <c r="AE405" s="2520"/>
      <c r="AF405" s="252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0"/>
      <c r="G406" s="2520"/>
      <c r="H406" s="2520"/>
      <c r="I406" s="2520"/>
      <c r="J406" s="2520"/>
      <c r="K406" s="2520"/>
      <c r="L406" s="2520"/>
      <c r="M406" s="2520"/>
      <c r="N406" s="2520"/>
      <c r="O406" s="2520"/>
      <c r="P406" s="2520"/>
      <c r="Q406" s="2520"/>
      <c r="R406" s="2520"/>
      <c r="S406" s="2520"/>
      <c r="T406" s="2520"/>
      <c r="U406" s="2520"/>
      <c r="V406" s="2520"/>
      <c r="W406" s="2520"/>
      <c r="X406" s="2520"/>
      <c r="Y406" s="2520"/>
      <c r="Z406" s="2520"/>
      <c r="AA406" s="2520"/>
      <c r="AB406" s="2520"/>
      <c r="AC406" s="2520"/>
      <c r="AD406" s="2520"/>
      <c r="AE406" s="2520"/>
      <c r="AF406" s="252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6" t="s">
        <v>591</v>
      </c>
      <c r="D407" s="2473"/>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7" t="s">
        <v>1462</v>
      </c>
      <c r="AG407" s="2517"/>
      <c r="AH407" s="2517"/>
      <c r="AI407" s="2517"/>
      <c r="AJ407" s="2517"/>
      <c r="AK407" s="2517"/>
      <c r="AL407" s="251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6" t="s">
        <v>591</v>
      </c>
      <c r="D409" s="2473"/>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7" t="s">
        <v>1474</v>
      </c>
      <c r="AG409" s="2517"/>
      <c r="AH409" s="2517"/>
      <c r="AI409" s="2517"/>
      <c r="AJ409" s="2517"/>
      <c r="AK409" s="2517"/>
      <c r="AL409" s="251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6" t="s">
        <v>591</v>
      </c>
      <c r="D412" s="2473"/>
      <c r="E412" s="715" t="s">
        <v>1475</v>
      </c>
      <c r="F412" s="2519" t="s">
        <v>1476</v>
      </c>
      <c r="G412" s="2519"/>
      <c r="H412" s="2519"/>
      <c r="I412" s="2519"/>
      <c r="J412" s="2519"/>
      <c r="K412" s="2519"/>
      <c r="L412" s="2519"/>
      <c r="M412" s="2519"/>
      <c r="N412" s="2519"/>
      <c r="O412" s="2519"/>
      <c r="P412" s="2519"/>
      <c r="Q412" s="2519"/>
      <c r="R412" s="2519"/>
      <c r="S412" s="2519"/>
      <c r="T412" s="2519"/>
      <c r="U412" s="2519"/>
      <c r="V412" s="2519"/>
      <c r="W412" s="2519"/>
      <c r="X412" s="2519"/>
      <c r="Y412" s="2519"/>
      <c r="Z412" s="2519"/>
      <c r="AA412" s="2519"/>
      <c r="AB412" s="2519"/>
      <c r="AC412" s="2519"/>
      <c r="AD412" s="2519"/>
      <c r="AE412" s="251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0"/>
      <c r="G413" s="2520"/>
      <c r="H413" s="2520"/>
      <c r="I413" s="2520"/>
      <c r="J413" s="2520"/>
      <c r="K413" s="2520"/>
      <c r="L413" s="2520"/>
      <c r="M413" s="2520"/>
      <c r="N413" s="2520"/>
      <c r="O413" s="2520"/>
      <c r="P413" s="2520"/>
      <c r="Q413" s="2520"/>
      <c r="R413" s="2520"/>
      <c r="S413" s="2520"/>
      <c r="T413" s="2520"/>
      <c r="U413" s="2520"/>
      <c r="V413" s="2520"/>
      <c r="W413" s="2520"/>
      <c r="X413" s="2520"/>
      <c r="Y413" s="2520"/>
      <c r="Z413" s="2520"/>
      <c r="AA413" s="2520"/>
      <c r="AB413" s="2520"/>
      <c r="AC413" s="2520"/>
      <c r="AD413" s="2520"/>
      <c r="AE413" s="2520"/>
      <c r="AF413" s="2441" t="s">
        <v>1462</v>
      </c>
      <c r="AG413" s="2441"/>
      <c r="AH413" s="2441"/>
      <c r="AI413" s="2441"/>
      <c r="AJ413" s="2441"/>
      <c r="AK413" s="2441"/>
      <c r="AL413" s="2521"/>
      <c r="AM413" s="570"/>
      <c r="AN413" s="597"/>
      <c r="BS413" s="570"/>
      <c r="BT413" s="570"/>
      <c r="BY413" s="570"/>
      <c r="BZ413" s="570"/>
      <c r="CA413" s="570"/>
      <c r="CB413" s="570"/>
      <c r="CC413" s="570"/>
    </row>
    <row r="414" spans="1:81" s="550" customFormat="1" ht="12.75" customHeight="1">
      <c r="A414" s="536"/>
      <c r="B414" s="14"/>
      <c r="C414" s="731"/>
      <c r="D414" s="14"/>
      <c r="E414" s="691"/>
      <c r="F414" s="2520"/>
      <c r="G414" s="2520"/>
      <c r="H414" s="2520"/>
      <c r="I414" s="2520"/>
      <c r="J414" s="2520"/>
      <c r="K414" s="2520"/>
      <c r="L414" s="2520"/>
      <c r="M414" s="2520"/>
      <c r="N414" s="2520"/>
      <c r="O414" s="2520"/>
      <c r="P414" s="2520"/>
      <c r="Q414" s="2520"/>
      <c r="R414" s="2520"/>
      <c r="S414" s="2520"/>
      <c r="T414" s="2520"/>
      <c r="U414" s="2520"/>
      <c r="V414" s="2520"/>
      <c r="W414" s="2520"/>
      <c r="X414" s="2520"/>
      <c r="Y414" s="2520"/>
      <c r="Z414" s="2520"/>
      <c r="AA414" s="2520"/>
      <c r="AB414" s="2520"/>
      <c r="AC414" s="2520"/>
      <c r="AD414" s="2520"/>
      <c r="AE414" s="252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9"/>
      <c r="G415" s="2539"/>
      <c r="H415" s="2539"/>
      <c r="I415" s="2539"/>
      <c r="J415" s="2539"/>
      <c r="K415" s="2539"/>
      <c r="L415" s="2539"/>
      <c r="M415" s="2539"/>
      <c r="N415" s="2539"/>
      <c r="O415" s="2539"/>
      <c r="P415" s="2539"/>
      <c r="Q415" s="2539"/>
      <c r="R415" s="2539"/>
      <c r="S415" s="2539"/>
      <c r="T415" s="2539"/>
      <c r="U415" s="2539"/>
      <c r="V415" s="2539"/>
      <c r="W415" s="2539"/>
      <c r="X415" s="2539"/>
      <c r="Y415" s="2539"/>
      <c r="Z415" s="2539"/>
      <c r="AA415" s="2539"/>
      <c r="AB415" s="2539"/>
      <c r="AC415" s="2539"/>
      <c r="AD415" s="2539"/>
      <c r="AE415" s="2539"/>
      <c r="AF415" s="583"/>
      <c r="AG415" s="737"/>
      <c r="AH415" s="727"/>
      <c r="AI415" s="727"/>
      <c r="AJ415" s="727"/>
      <c r="AK415" s="727"/>
      <c r="AL415" s="742"/>
      <c r="AM415" s="570"/>
      <c r="AN415" s="597"/>
    </row>
    <row r="416" spans="1:81" ht="13.15">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9" t="s">
        <v>1478</v>
      </c>
      <c r="G417" s="2519"/>
      <c r="H417" s="2519"/>
      <c r="I417" s="2519"/>
      <c r="J417" s="2519"/>
      <c r="K417" s="2519"/>
      <c r="L417" s="2519"/>
      <c r="M417" s="2519"/>
      <c r="N417" s="2519"/>
      <c r="O417" s="2519"/>
      <c r="P417" s="2519"/>
      <c r="Q417" s="2519"/>
      <c r="R417" s="2519"/>
      <c r="S417" s="2519"/>
      <c r="T417" s="2519"/>
      <c r="U417" s="2519"/>
      <c r="V417" s="2519"/>
      <c r="W417" s="2519"/>
      <c r="X417" s="2519"/>
      <c r="Y417" s="2519"/>
      <c r="Z417" s="2519"/>
      <c r="AA417" s="2519"/>
      <c r="AB417" s="2519"/>
      <c r="AC417" s="2519"/>
      <c r="AD417" s="2519"/>
      <c r="AE417" s="2519"/>
      <c r="AF417" s="747"/>
      <c r="AG417" s="747"/>
      <c r="AH417" s="747"/>
      <c r="AI417" s="747"/>
      <c r="AJ417" s="747"/>
      <c r="AK417" s="747"/>
      <c r="AL417" s="748"/>
      <c r="AM417" s="570"/>
    </row>
    <row r="418" spans="1:55" ht="13.15">
      <c r="A418" s="536"/>
      <c r="C418" s="731"/>
      <c r="E418" s="691"/>
      <c r="F418" s="2520"/>
      <c r="G418" s="2520"/>
      <c r="H418" s="2520"/>
      <c r="I418" s="2520"/>
      <c r="J418" s="2520"/>
      <c r="K418" s="2520"/>
      <c r="L418" s="2520"/>
      <c r="M418" s="2520"/>
      <c r="N418" s="2520"/>
      <c r="O418" s="2520"/>
      <c r="P418" s="2520"/>
      <c r="Q418" s="2520"/>
      <c r="R418" s="2520"/>
      <c r="S418" s="2520"/>
      <c r="T418" s="2520"/>
      <c r="U418" s="2520"/>
      <c r="V418" s="2520"/>
      <c r="W418" s="2520"/>
      <c r="X418" s="2520"/>
      <c r="Y418" s="2520"/>
      <c r="Z418" s="2520"/>
      <c r="AA418" s="2520"/>
      <c r="AB418" s="2520"/>
      <c r="AC418" s="2520"/>
      <c r="AD418" s="2520"/>
      <c r="AE418" s="2520"/>
      <c r="AF418" s="539"/>
      <c r="AG418" s="536"/>
      <c r="AH418" s="550"/>
      <c r="AI418" s="550"/>
      <c r="AJ418" s="550"/>
      <c r="AK418" s="550"/>
      <c r="AL418" s="732"/>
      <c r="AM418" s="570"/>
    </row>
    <row r="419" spans="1:55" s="550" customFormat="1" ht="12.75" customHeight="1">
      <c r="A419" s="536"/>
      <c r="B419" s="14"/>
      <c r="C419" s="731"/>
      <c r="D419" s="14"/>
      <c r="E419" s="691"/>
      <c r="F419" s="2520"/>
      <c r="G419" s="2520"/>
      <c r="H419" s="2520"/>
      <c r="I419" s="2520"/>
      <c r="J419" s="2520"/>
      <c r="K419" s="2520"/>
      <c r="L419" s="2520"/>
      <c r="M419" s="2520"/>
      <c r="N419" s="2520"/>
      <c r="O419" s="2520"/>
      <c r="P419" s="2520"/>
      <c r="Q419" s="2520"/>
      <c r="R419" s="2520"/>
      <c r="S419" s="2520"/>
      <c r="T419" s="2520"/>
      <c r="U419" s="2520"/>
      <c r="V419" s="2520"/>
      <c r="W419" s="2520"/>
      <c r="X419" s="2520"/>
      <c r="Y419" s="2520"/>
      <c r="Z419" s="2520"/>
      <c r="AA419" s="2520"/>
      <c r="AB419" s="2520"/>
      <c r="AC419" s="2520"/>
      <c r="AD419" s="2520"/>
      <c r="AE419" s="2520"/>
      <c r="AL419" s="732"/>
      <c r="AM419" s="570"/>
      <c r="AN419" s="597"/>
    </row>
    <row r="420" spans="1:55" s="550" customFormat="1" ht="12.75" customHeight="1">
      <c r="A420" s="536"/>
      <c r="B420" s="14"/>
      <c r="C420" s="739"/>
      <c r="F420" s="2520"/>
      <c r="G420" s="2520"/>
      <c r="H420" s="2520"/>
      <c r="I420" s="2520"/>
      <c r="J420" s="2520"/>
      <c r="K420" s="2520"/>
      <c r="L420" s="2520"/>
      <c r="M420" s="2520"/>
      <c r="N420" s="2520"/>
      <c r="O420" s="2520"/>
      <c r="P420" s="2520"/>
      <c r="Q420" s="2520"/>
      <c r="R420" s="2520"/>
      <c r="S420" s="2520"/>
      <c r="T420" s="2520"/>
      <c r="U420" s="2520"/>
      <c r="V420" s="2520"/>
      <c r="W420" s="2520"/>
      <c r="X420" s="2520"/>
      <c r="Y420" s="2520"/>
      <c r="Z420" s="2520"/>
      <c r="AA420" s="2520"/>
      <c r="AB420" s="2520"/>
      <c r="AC420" s="2520"/>
      <c r="AD420" s="2520"/>
      <c r="AE420" s="2520"/>
      <c r="AL420" s="732"/>
      <c r="AM420" s="570"/>
      <c r="AN420" s="597"/>
    </row>
    <row r="421" spans="1:55" s="550" customFormat="1" ht="12.75" customHeight="1">
      <c r="A421" s="536"/>
      <c r="B421" s="14"/>
      <c r="C421" s="2516" t="s">
        <v>591</v>
      </c>
      <c r="D421" s="2473"/>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1" t="s">
        <v>1462</v>
      </c>
      <c r="AG421" s="2441"/>
      <c r="AH421" s="2441"/>
      <c r="AI421" s="2441"/>
      <c r="AJ421" s="2441"/>
      <c r="AK421" s="2441"/>
      <c r="AL421" s="2521"/>
      <c r="AM421" s="570"/>
      <c r="AN421" s="597"/>
    </row>
    <row r="422" spans="1:55" s="550" customFormat="1" ht="12.75" customHeight="1">
      <c r="A422" s="536"/>
      <c r="B422" s="14"/>
      <c r="C422" s="739"/>
      <c r="AL422" s="732"/>
      <c r="AM422" s="570"/>
      <c r="AN422" s="597"/>
    </row>
    <row r="423" spans="1:55" s="550" customFormat="1" ht="12.75" customHeight="1">
      <c r="A423" s="536"/>
      <c r="B423" s="14"/>
      <c r="C423" s="2516" t="s">
        <v>591</v>
      </c>
      <c r="D423" s="2473"/>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1" t="s">
        <v>1474</v>
      </c>
      <c r="AG423" s="2441"/>
      <c r="AH423" s="2441"/>
      <c r="AI423" s="2441"/>
      <c r="AJ423" s="2441"/>
      <c r="AK423" s="2441"/>
      <c r="AL423" s="252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9" t="s">
        <v>1482</v>
      </c>
      <c r="G427" s="2519"/>
      <c r="H427" s="2519"/>
      <c r="I427" s="2519"/>
      <c r="J427" s="2519"/>
      <c r="K427" s="2519"/>
      <c r="L427" s="2519"/>
      <c r="M427" s="2519"/>
      <c r="N427" s="2519"/>
      <c r="O427" s="2519"/>
      <c r="P427" s="2519"/>
      <c r="Q427" s="2519"/>
      <c r="R427" s="2519"/>
      <c r="S427" s="2519"/>
      <c r="T427" s="2519"/>
      <c r="U427" s="2519"/>
      <c r="V427" s="2519"/>
      <c r="W427" s="2519"/>
      <c r="X427" s="2519"/>
      <c r="Y427" s="2519"/>
      <c r="Z427" s="2519"/>
      <c r="AA427" s="2519"/>
      <c r="AB427" s="2519"/>
      <c r="AC427" s="2519"/>
      <c r="AD427" s="2519"/>
      <c r="AE427" s="2519"/>
      <c r="AF427" s="714"/>
      <c r="AG427" s="714"/>
      <c r="AH427" s="714"/>
      <c r="AI427" s="714"/>
      <c r="AJ427" s="714"/>
      <c r="AK427" s="714"/>
      <c r="AL427" s="745"/>
      <c r="AM427" s="570"/>
      <c r="AN427" s="597"/>
    </row>
    <row r="428" spans="1:55" s="550" customFormat="1" ht="12.75" customHeight="1">
      <c r="A428" s="536"/>
      <c r="B428" s="14"/>
      <c r="C428" s="731"/>
      <c r="D428" s="14"/>
      <c r="E428" s="691"/>
      <c r="F428" s="2520"/>
      <c r="G428" s="2520"/>
      <c r="H428" s="2520"/>
      <c r="I428" s="2520"/>
      <c r="J428" s="2520"/>
      <c r="K428" s="2520"/>
      <c r="L428" s="2520"/>
      <c r="M428" s="2520"/>
      <c r="N428" s="2520"/>
      <c r="O428" s="2520"/>
      <c r="P428" s="2520"/>
      <c r="Q428" s="2520"/>
      <c r="R428" s="2520"/>
      <c r="S428" s="2520"/>
      <c r="T428" s="2520"/>
      <c r="U428" s="2520"/>
      <c r="V428" s="2520"/>
      <c r="W428" s="2520"/>
      <c r="X428" s="2520"/>
      <c r="Y428" s="2520"/>
      <c r="Z428" s="2520"/>
      <c r="AA428" s="2520"/>
      <c r="AB428" s="2520"/>
      <c r="AC428" s="2520"/>
      <c r="AD428" s="2520"/>
      <c r="AE428" s="2520"/>
      <c r="AF428" s="539"/>
      <c r="AG428" s="536"/>
      <c r="AL428" s="732"/>
      <c r="AM428" s="570"/>
      <c r="AN428" s="597"/>
    </row>
    <row r="429" spans="1:55" s="550" customFormat="1" ht="12.4" customHeight="1">
      <c r="A429" s="536"/>
      <c r="B429" s="14"/>
      <c r="C429" s="731"/>
      <c r="D429" s="14"/>
      <c r="E429" s="691"/>
      <c r="F429" s="2520"/>
      <c r="G429" s="2520"/>
      <c r="H429" s="2520"/>
      <c r="I429" s="2520"/>
      <c r="J429" s="2520"/>
      <c r="K429" s="2520"/>
      <c r="L429" s="2520"/>
      <c r="M429" s="2520"/>
      <c r="N429" s="2520"/>
      <c r="O429" s="2520"/>
      <c r="P429" s="2520"/>
      <c r="Q429" s="2520"/>
      <c r="R429" s="2520"/>
      <c r="S429" s="2520"/>
      <c r="T429" s="2520"/>
      <c r="U429" s="2520"/>
      <c r="V429" s="2520"/>
      <c r="W429" s="2520"/>
      <c r="X429" s="2520"/>
      <c r="Y429" s="2520"/>
      <c r="Z429" s="2520"/>
      <c r="AA429" s="2520"/>
      <c r="AB429" s="2520"/>
      <c r="AC429" s="2520"/>
      <c r="AD429" s="2520"/>
      <c r="AE429" s="2520"/>
      <c r="AL429" s="732"/>
      <c r="AM429" s="570"/>
      <c r="AN429" s="597"/>
    </row>
    <row r="430" spans="1:55" s="550" customFormat="1" ht="12.75" customHeight="1">
      <c r="A430" s="536"/>
      <c r="B430" s="14"/>
      <c r="C430" s="2516" t="s">
        <v>545</v>
      </c>
      <c r="D430" s="2473"/>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1" t="s">
        <v>1462</v>
      </c>
      <c r="AG430" s="2441"/>
      <c r="AH430" s="2441"/>
      <c r="AI430" s="2441"/>
      <c r="AJ430" s="2441"/>
      <c r="AK430" s="2441"/>
      <c r="AL430" s="252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19" t="s">
        <v>1485</v>
      </c>
      <c r="G433" s="2519"/>
      <c r="H433" s="2519"/>
      <c r="I433" s="2519"/>
      <c r="J433" s="2519"/>
      <c r="K433" s="2519"/>
      <c r="L433" s="2519"/>
      <c r="M433" s="2519"/>
      <c r="N433" s="2519"/>
      <c r="O433" s="2519"/>
      <c r="P433" s="2519"/>
      <c r="Q433" s="2519"/>
      <c r="R433" s="2519"/>
      <c r="S433" s="2519"/>
      <c r="T433" s="2519"/>
      <c r="U433" s="2519"/>
      <c r="V433" s="2519"/>
      <c r="W433" s="2519"/>
      <c r="X433" s="2519"/>
      <c r="Y433" s="2519"/>
      <c r="Z433" s="2519"/>
      <c r="AA433" s="2519"/>
      <c r="AB433" s="2519"/>
      <c r="AC433" s="2519"/>
      <c r="AD433" s="2519"/>
      <c r="AE433" s="2519"/>
      <c r="AF433" s="747"/>
      <c r="AG433" s="747"/>
      <c r="AH433" s="747"/>
      <c r="AI433" s="747"/>
      <c r="AJ433" s="747"/>
      <c r="AK433" s="747"/>
      <c r="AL433" s="748"/>
      <c r="AM433" s="570"/>
      <c r="AO433" s="550"/>
      <c r="AP433" s="550"/>
      <c r="BD433" s="14"/>
      <c r="BE433" s="14"/>
      <c r="BF433" s="14"/>
      <c r="BG433" s="14"/>
      <c r="BH433" s="14"/>
    </row>
    <row r="434" spans="1:60" ht="13.15">
      <c r="A434" s="536"/>
      <c r="C434" s="731"/>
      <c r="E434" s="691"/>
      <c r="F434" s="2520"/>
      <c r="G434" s="2520"/>
      <c r="H434" s="2520"/>
      <c r="I434" s="2520"/>
      <c r="J434" s="2520"/>
      <c r="K434" s="2520"/>
      <c r="L434" s="2520"/>
      <c r="M434" s="2520"/>
      <c r="N434" s="2520"/>
      <c r="O434" s="2520"/>
      <c r="P434" s="2520"/>
      <c r="Q434" s="2520"/>
      <c r="R434" s="2520"/>
      <c r="S434" s="2520"/>
      <c r="T434" s="2520"/>
      <c r="U434" s="2520"/>
      <c r="V434" s="2520"/>
      <c r="W434" s="2520"/>
      <c r="X434" s="2520"/>
      <c r="Y434" s="2520"/>
      <c r="Z434" s="2520"/>
      <c r="AA434" s="2520"/>
      <c r="AB434" s="2520"/>
      <c r="AC434" s="2520"/>
      <c r="AD434" s="2520"/>
      <c r="AE434" s="2520"/>
      <c r="AF434" s="594"/>
      <c r="AG434" s="594"/>
      <c r="AH434" s="594"/>
      <c r="AI434" s="594"/>
      <c r="AJ434" s="594"/>
      <c r="AK434" s="594"/>
      <c r="AL434" s="750"/>
      <c r="AM434" s="570"/>
      <c r="AO434" s="550"/>
      <c r="AP434" s="550"/>
    </row>
    <row r="435" spans="1:60" s="550" customFormat="1" ht="12.75" customHeight="1">
      <c r="A435" s="536"/>
      <c r="B435" s="14"/>
      <c r="C435" s="731"/>
      <c r="D435" s="14"/>
      <c r="E435" s="691"/>
      <c r="F435" s="2520"/>
      <c r="G435" s="2520"/>
      <c r="H435" s="2520"/>
      <c r="I435" s="2520"/>
      <c r="J435" s="2520"/>
      <c r="K435" s="2520"/>
      <c r="L435" s="2520"/>
      <c r="M435" s="2520"/>
      <c r="N435" s="2520"/>
      <c r="O435" s="2520"/>
      <c r="P435" s="2520"/>
      <c r="Q435" s="2520"/>
      <c r="R435" s="2520"/>
      <c r="S435" s="2520"/>
      <c r="T435" s="2520"/>
      <c r="U435" s="2520"/>
      <c r="V435" s="2520"/>
      <c r="W435" s="2520"/>
      <c r="X435" s="2520"/>
      <c r="Y435" s="2520"/>
      <c r="Z435" s="2520"/>
      <c r="AA435" s="2520"/>
      <c r="AB435" s="2520"/>
      <c r="AC435" s="2520"/>
      <c r="AD435" s="2520"/>
      <c r="AE435" s="2520"/>
      <c r="AF435" s="594"/>
      <c r="AG435" s="594"/>
      <c r="AH435" s="594"/>
      <c r="AI435" s="594"/>
      <c r="AJ435" s="594"/>
      <c r="AK435" s="594"/>
      <c r="AL435" s="750"/>
      <c r="AM435" s="570"/>
      <c r="AN435" s="597"/>
    </row>
    <row r="436" spans="1:60" s="550" customFormat="1" ht="12.75" customHeight="1">
      <c r="A436" s="536"/>
      <c r="B436" s="14"/>
      <c r="C436" s="751"/>
      <c r="D436" s="730"/>
      <c r="E436" s="719"/>
      <c r="F436" s="2520"/>
      <c r="G436" s="2520"/>
      <c r="H436" s="2520"/>
      <c r="I436" s="2520"/>
      <c r="J436" s="2520"/>
      <c r="K436" s="2520"/>
      <c r="L436" s="2520"/>
      <c r="M436" s="2520"/>
      <c r="N436" s="2520"/>
      <c r="O436" s="2520"/>
      <c r="P436" s="2520"/>
      <c r="Q436" s="2520"/>
      <c r="R436" s="2520"/>
      <c r="S436" s="2520"/>
      <c r="T436" s="2520"/>
      <c r="U436" s="2520"/>
      <c r="V436" s="2520"/>
      <c r="W436" s="2520"/>
      <c r="X436" s="2520"/>
      <c r="Y436" s="2520"/>
      <c r="Z436" s="2520"/>
      <c r="AA436" s="2520"/>
      <c r="AB436" s="2520"/>
      <c r="AC436" s="2520"/>
      <c r="AD436" s="2520"/>
      <c r="AE436" s="252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0"/>
      <c r="G437" s="2520"/>
      <c r="H437" s="2520"/>
      <c r="I437" s="2520"/>
      <c r="J437" s="2520"/>
      <c r="K437" s="2520"/>
      <c r="L437" s="2520"/>
      <c r="M437" s="2520"/>
      <c r="N437" s="2520"/>
      <c r="O437" s="2520"/>
      <c r="P437" s="2520"/>
      <c r="Q437" s="2520"/>
      <c r="R437" s="2520"/>
      <c r="S437" s="2520"/>
      <c r="T437" s="2520"/>
      <c r="U437" s="2520"/>
      <c r="V437" s="2520"/>
      <c r="W437" s="2520"/>
      <c r="X437" s="2520"/>
      <c r="Y437" s="2520"/>
      <c r="Z437" s="2520"/>
      <c r="AA437" s="2520"/>
      <c r="AB437" s="2520"/>
      <c r="AC437" s="2520"/>
      <c r="AD437" s="2520"/>
      <c r="AE437" s="2520"/>
      <c r="AF437" s="594"/>
      <c r="AG437" s="594"/>
      <c r="AH437" s="594"/>
      <c r="AI437" s="594"/>
      <c r="AJ437" s="594"/>
      <c r="AK437" s="594"/>
      <c r="AL437" s="750"/>
      <c r="AM437" s="570"/>
      <c r="AN437" s="597"/>
    </row>
    <row r="438" spans="1:60" s="550" customFormat="1" ht="12.75" customHeight="1">
      <c r="A438" s="536"/>
      <c r="B438" s="14"/>
      <c r="C438" s="751"/>
      <c r="D438" s="730"/>
      <c r="E438" s="719"/>
      <c r="F438" s="2520"/>
      <c r="G438" s="2520"/>
      <c r="H438" s="2520"/>
      <c r="I438" s="2520"/>
      <c r="J438" s="2520"/>
      <c r="K438" s="2520"/>
      <c r="L438" s="2520"/>
      <c r="M438" s="2520"/>
      <c r="N438" s="2520"/>
      <c r="O438" s="2520"/>
      <c r="P438" s="2520"/>
      <c r="Q438" s="2520"/>
      <c r="R438" s="2520"/>
      <c r="S438" s="2520"/>
      <c r="T438" s="2520"/>
      <c r="U438" s="2520"/>
      <c r="V438" s="2520"/>
      <c r="W438" s="2520"/>
      <c r="X438" s="2520"/>
      <c r="Y438" s="2520"/>
      <c r="Z438" s="2520"/>
      <c r="AA438" s="2520"/>
      <c r="AB438" s="2520"/>
      <c r="AC438" s="2520"/>
      <c r="AD438" s="2520"/>
      <c r="AE438" s="2520"/>
      <c r="AF438" s="594"/>
      <c r="AG438" s="594"/>
      <c r="AH438" s="594"/>
      <c r="AI438" s="594"/>
      <c r="AJ438" s="594"/>
      <c r="AK438" s="594"/>
      <c r="AL438" s="750"/>
      <c r="AM438" s="570"/>
      <c r="AN438" s="597"/>
    </row>
    <row r="439" spans="1:60" s="550" customFormat="1" ht="12.75" customHeight="1">
      <c r="A439" s="536"/>
      <c r="B439" s="14"/>
      <c r="C439" s="751"/>
      <c r="D439" s="730"/>
      <c r="E439" s="719"/>
      <c r="F439" s="2520"/>
      <c r="G439" s="2520"/>
      <c r="H439" s="2520"/>
      <c r="I439" s="2520"/>
      <c r="J439" s="2520"/>
      <c r="K439" s="2520"/>
      <c r="L439" s="2520"/>
      <c r="M439" s="2520"/>
      <c r="N439" s="2520"/>
      <c r="O439" s="2520"/>
      <c r="P439" s="2520"/>
      <c r="Q439" s="2520"/>
      <c r="R439" s="2520"/>
      <c r="S439" s="2520"/>
      <c r="T439" s="2520"/>
      <c r="U439" s="2520"/>
      <c r="V439" s="2520"/>
      <c r="W439" s="2520"/>
      <c r="X439" s="2520"/>
      <c r="Y439" s="2520"/>
      <c r="Z439" s="2520"/>
      <c r="AA439" s="2520"/>
      <c r="AB439" s="2520"/>
      <c r="AC439" s="2520"/>
      <c r="AD439" s="2520"/>
      <c r="AE439" s="2520"/>
      <c r="AF439" s="594"/>
      <c r="AG439" s="594"/>
      <c r="AH439" s="594"/>
      <c r="AI439" s="594"/>
      <c r="AJ439" s="594"/>
      <c r="AK439" s="594"/>
      <c r="AL439" s="750"/>
      <c r="AM439" s="570"/>
      <c r="AN439" s="597"/>
    </row>
    <row r="440" spans="1:60" s="550" customFormat="1" ht="12.75" customHeight="1">
      <c r="A440" s="536"/>
      <c r="B440" s="14"/>
      <c r="C440" s="751"/>
      <c r="D440" s="730"/>
      <c r="E440" s="719"/>
      <c r="F440" s="2520"/>
      <c r="G440" s="2520"/>
      <c r="H440" s="2520"/>
      <c r="I440" s="2520"/>
      <c r="J440" s="2520"/>
      <c r="K440" s="2520"/>
      <c r="L440" s="2520"/>
      <c r="M440" s="2520"/>
      <c r="N440" s="2520"/>
      <c r="O440" s="2520"/>
      <c r="P440" s="2520"/>
      <c r="Q440" s="2520"/>
      <c r="R440" s="2520"/>
      <c r="S440" s="2520"/>
      <c r="T440" s="2520"/>
      <c r="U440" s="2520"/>
      <c r="V440" s="2520"/>
      <c r="W440" s="2520"/>
      <c r="X440" s="2520"/>
      <c r="Y440" s="2520"/>
      <c r="Z440" s="2520"/>
      <c r="AA440" s="2520"/>
      <c r="AB440" s="2520"/>
      <c r="AC440" s="2520"/>
      <c r="AD440" s="2520"/>
      <c r="AE440" s="2520"/>
      <c r="AF440" s="594"/>
      <c r="AG440" s="594"/>
      <c r="AH440" s="594"/>
      <c r="AI440" s="594"/>
      <c r="AJ440" s="594"/>
      <c r="AK440" s="594"/>
      <c r="AL440" s="750"/>
      <c r="AM440" s="570"/>
      <c r="AN440" s="597"/>
    </row>
    <row r="441" spans="1:60" s="550" customFormat="1" ht="17.25" customHeight="1">
      <c r="A441" s="536"/>
      <c r="B441" s="14"/>
      <c r="C441" s="751"/>
      <c r="D441" s="730"/>
      <c r="E441" s="719"/>
      <c r="F441" s="2520"/>
      <c r="G441" s="2520"/>
      <c r="H441" s="2520"/>
      <c r="I441" s="2520"/>
      <c r="J441" s="2520"/>
      <c r="K441" s="2520"/>
      <c r="L441" s="2520"/>
      <c r="M441" s="2520"/>
      <c r="N441" s="2520"/>
      <c r="O441" s="2520"/>
      <c r="P441" s="2520"/>
      <c r="Q441" s="2520"/>
      <c r="R441" s="2520"/>
      <c r="S441" s="2520"/>
      <c r="T441" s="2520"/>
      <c r="U441" s="2520"/>
      <c r="V441" s="2520"/>
      <c r="W441" s="2520"/>
      <c r="X441" s="2520"/>
      <c r="Y441" s="2520"/>
      <c r="Z441" s="2520"/>
      <c r="AA441" s="2520"/>
      <c r="AB441" s="2520"/>
      <c r="AC441" s="2520"/>
      <c r="AD441" s="2520"/>
      <c r="AE441" s="2520"/>
      <c r="AL441" s="732"/>
      <c r="AM441" s="570"/>
      <c r="AN441" s="597"/>
    </row>
    <row r="442" spans="1:60" s="550" customFormat="1" ht="12.75" customHeight="1">
      <c r="A442" s="536"/>
      <c r="B442" s="14"/>
      <c r="C442" s="2516" t="s">
        <v>545</v>
      </c>
      <c r="D442" s="2473"/>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1" t="s">
        <v>1462</v>
      </c>
      <c r="AG442" s="2441"/>
      <c r="AH442" s="2441"/>
      <c r="AI442" s="2441"/>
      <c r="AJ442" s="2441"/>
      <c r="AK442" s="2441"/>
      <c r="AL442" s="252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9" t="s">
        <v>1488</v>
      </c>
      <c r="G445" s="2519"/>
      <c r="H445" s="2519"/>
      <c r="I445" s="2519"/>
      <c r="J445" s="2519"/>
      <c r="K445" s="2519"/>
      <c r="L445" s="2519"/>
      <c r="M445" s="2519"/>
      <c r="N445" s="2519"/>
      <c r="O445" s="2519"/>
      <c r="P445" s="2519"/>
      <c r="Q445" s="2519"/>
      <c r="R445" s="2519"/>
      <c r="S445" s="2519"/>
      <c r="T445" s="2519"/>
      <c r="U445" s="2519"/>
      <c r="V445" s="2519"/>
      <c r="W445" s="2519"/>
      <c r="X445" s="2519"/>
      <c r="Y445" s="2519"/>
      <c r="Z445" s="2519"/>
      <c r="AA445" s="2519"/>
      <c r="AB445" s="2519"/>
      <c r="AC445" s="2519"/>
      <c r="AD445" s="2519"/>
      <c r="AE445" s="2519"/>
      <c r="AF445" s="714"/>
      <c r="AG445" s="714"/>
      <c r="AH445" s="714"/>
      <c r="AI445" s="714"/>
      <c r="AJ445" s="714"/>
      <c r="AK445" s="714"/>
      <c r="AL445" s="745"/>
      <c r="AM445" s="570"/>
      <c r="AN445" s="597"/>
    </row>
    <row r="446" spans="1:60" s="550" customFormat="1" ht="12.75" customHeight="1">
      <c r="A446" s="536"/>
      <c r="B446" s="14"/>
      <c r="C446" s="751"/>
      <c r="D446" s="730"/>
      <c r="E446" s="719"/>
      <c r="F446" s="2520"/>
      <c r="G446" s="2520"/>
      <c r="H446" s="2520"/>
      <c r="I446" s="2520"/>
      <c r="J446" s="2520"/>
      <c r="K446" s="2520"/>
      <c r="L446" s="2520"/>
      <c r="M446" s="2520"/>
      <c r="N446" s="2520"/>
      <c r="O446" s="2520"/>
      <c r="P446" s="2520"/>
      <c r="Q446" s="2520"/>
      <c r="R446" s="2520"/>
      <c r="S446" s="2520"/>
      <c r="T446" s="2520"/>
      <c r="U446" s="2520"/>
      <c r="V446" s="2520"/>
      <c r="W446" s="2520"/>
      <c r="X446" s="2520"/>
      <c r="Y446" s="2520"/>
      <c r="Z446" s="2520"/>
      <c r="AA446" s="2520"/>
      <c r="AB446" s="2520"/>
      <c r="AC446" s="2520"/>
      <c r="AD446" s="2520"/>
      <c r="AE446" s="2520"/>
      <c r="AF446" s="591"/>
      <c r="AG446" s="591"/>
      <c r="AH446" s="591"/>
      <c r="AI446" s="591"/>
      <c r="AJ446" s="591"/>
      <c r="AK446" s="591"/>
      <c r="AL446" s="720"/>
      <c r="AM446" s="570"/>
      <c r="AN446" s="597"/>
    </row>
    <row r="447" spans="1:60" s="550" customFormat="1" ht="12.75" customHeight="1">
      <c r="A447" s="536"/>
      <c r="B447" s="14"/>
      <c r="C447" s="751"/>
      <c r="D447" s="730"/>
      <c r="E447" s="719"/>
      <c r="F447" s="2520"/>
      <c r="G447" s="2520"/>
      <c r="H447" s="2520"/>
      <c r="I447" s="2520"/>
      <c r="J447" s="2520"/>
      <c r="K447" s="2520"/>
      <c r="L447" s="2520"/>
      <c r="M447" s="2520"/>
      <c r="N447" s="2520"/>
      <c r="O447" s="2520"/>
      <c r="P447" s="2520"/>
      <c r="Q447" s="2520"/>
      <c r="R447" s="2520"/>
      <c r="S447" s="2520"/>
      <c r="T447" s="2520"/>
      <c r="U447" s="2520"/>
      <c r="V447" s="2520"/>
      <c r="W447" s="2520"/>
      <c r="X447" s="2520"/>
      <c r="Y447" s="2520"/>
      <c r="Z447" s="2520"/>
      <c r="AA447" s="2520"/>
      <c r="AB447" s="2520"/>
      <c r="AC447" s="2520"/>
      <c r="AD447" s="2520"/>
      <c r="AE447" s="2520"/>
      <c r="AF447" s="591"/>
      <c r="AG447" s="591"/>
      <c r="AH447" s="591"/>
      <c r="AI447" s="591"/>
      <c r="AJ447" s="591"/>
      <c r="AK447" s="591"/>
      <c r="AL447" s="720"/>
      <c r="AM447" s="570"/>
      <c r="AN447" s="597"/>
    </row>
    <row r="448" spans="1:60" s="550" customFormat="1" ht="12.75" customHeight="1">
      <c r="A448" s="536"/>
      <c r="B448" s="14"/>
      <c r="C448" s="751"/>
      <c r="D448" s="730"/>
      <c r="E448" s="719"/>
      <c r="F448" s="2520"/>
      <c r="G448" s="2520"/>
      <c r="H448" s="2520"/>
      <c r="I448" s="2520"/>
      <c r="J448" s="2520"/>
      <c r="K448" s="2520"/>
      <c r="L448" s="2520"/>
      <c r="M448" s="2520"/>
      <c r="N448" s="2520"/>
      <c r="O448" s="2520"/>
      <c r="P448" s="2520"/>
      <c r="Q448" s="2520"/>
      <c r="R448" s="2520"/>
      <c r="S448" s="2520"/>
      <c r="T448" s="2520"/>
      <c r="U448" s="2520"/>
      <c r="V448" s="2520"/>
      <c r="W448" s="2520"/>
      <c r="X448" s="2520"/>
      <c r="Y448" s="2520"/>
      <c r="Z448" s="2520"/>
      <c r="AA448" s="2520"/>
      <c r="AB448" s="2520"/>
      <c r="AC448" s="2520"/>
      <c r="AD448" s="2520"/>
      <c r="AE448" s="2520"/>
      <c r="AL448" s="732"/>
      <c r="AM448" s="570"/>
      <c r="AN448" s="597"/>
    </row>
    <row r="449" spans="1:40" s="550" customFormat="1" ht="12.75" customHeight="1">
      <c r="A449" s="536"/>
      <c r="B449" s="14"/>
      <c r="C449" s="2516" t="s">
        <v>591</v>
      </c>
      <c r="D449" s="2473"/>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1" t="s">
        <v>1462</v>
      </c>
      <c r="AG449" s="2441"/>
      <c r="AH449" s="2441"/>
      <c r="AI449" s="2441"/>
      <c r="AJ449" s="2441"/>
      <c r="AK449" s="2441"/>
      <c r="AL449" s="252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2" t="s">
        <v>591</v>
      </c>
      <c r="D453" s="2523"/>
      <c r="E453" s="715" t="s">
        <v>1497</v>
      </c>
      <c r="F453" s="2519" t="s">
        <v>1498</v>
      </c>
      <c r="G453" s="2519"/>
      <c r="H453" s="2519"/>
      <c r="I453" s="2519"/>
      <c r="J453" s="2519"/>
      <c r="K453" s="2519"/>
      <c r="L453" s="2519"/>
      <c r="M453" s="2519"/>
      <c r="N453" s="2519"/>
      <c r="O453" s="2519"/>
      <c r="P453" s="2519"/>
      <c r="Q453" s="2519"/>
      <c r="R453" s="2519"/>
      <c r="S453" s="2519"/>
      <c r="T453" s="2519"/>
      <c r="U453" s="2519"/>
      <c r="V453" s="2519"/>
      <c r="W453" s="2519"/>
      <c r="X453" s="2519"/>
      <c r="Y453" s="2519"/>
      <c r="Z453" s="2519"/>
      <c r="AA453" s="2519"/>
      <c r="AB453" s="2519"/>
      <c r="AC453" s="2519"/>
      <c r="AD453" s="2519"/>
      <c r="AE453" s="2519"/>
      <c r="AF453" s="2540" t="s">
        <v>1462</v>
      </c>
      <c r="AG453" s="2540"/>
      <c r="AH453" s="2540"/>
      <c r="AI453" s="2540"/>
      <c r="AJ453" s="2540"/>
      <c r="AK453" s="2540"/>
      <c r="AL453" s="2541"/>
      <c r="AM453" s="570"/>
      <c r="AN453" s="753"/>
    </row>
    <row r="454" spans="1:40" s="550" customFormat="1" ht="12.75" customHeight="1">
      <c r="A454" s="536"/>
      <c r="B454" s="14"/>
      <c r="C454" s="751"/>
      <c r="D454" s="730"/>
      <c r="E454" s="719"/>
      <c r="F454" s="2520"/>
      <c r="G454" s="2520"/>
      <c r="H454" s="2520"/>
      <c r="I454" s="2520"/>
      <c r="J454" s="2520"/>
      <c r="K454" s="2520"/>
      <c r="L454" s="2520"/>
      <c r="M454" s="2520"/>
      <c r="N454" s="2520"/>
      <c r="O454" s="2520"/>
      <c r="P454" s="2520"/>
      <c r="Q454" s="2520"/>
      <c r="R454" s="2520"/>
      <c r="S454" s="2520"/>
      <c r="T454" s="2520"/>
      <c r="U454" s="2520"/>
      <c r="V454" s="2520"/>
      <c r="W454" s="2520"/>
      <c r="X454" s="2520"/>
      <c r="Y454" s="2520"/>
      <c r="Z454" s="2520"/>
      <c r="AA454" s="2520"/>
      <c r="AB454" s="2520"/>
      <c r="AC454" s="2520"/>
      <c r="AD454" s="2520"/>
      <c r="AE454" s="2520"/>
      <c r="AF454" s="591"/>
      <c r="AG454" s="591"/>
      <c r="AH454" s="591"/>
      <c r="AI454" s="591"/>
      <c r="AJ454" s="591"/>
      <c r="AK454" s="591"/>
      <c r="AL454" s="720"/>
      <c r="AM454" s="570"/>
      <c r="AN454" s="754"/>
    </row>
    <row r="455" spans="1:40" s="550" customFormat="1" ht="17.649999999999999" customHeight="1">
      <c r="A455" s="536"/>
      <c r="B455" s="14"/>
      <c r="C455" s="756"/>
      <c r="D455" s="723"/>
      <c r="E455" s="724"/>
      <c r="F455" s="2539"/>
      <c r="G455" s="2539"/>
      <c r="H455" s="2539"/>
      <c r="I455" s="2539"/>
      <c r="J455" s="2539"/>
      <c r="K455" s="2539"/>
      <c r="L455" s="2539"/>
      <c r="M455" s="2539"/>
      <c r="N455" s="2539"/>
      <c r="O455" s="2539"/>
      <c r="P455" s="2539"/>
      <c r="Q455" s="2539"/>
      <c r="R455" s="2539"/>
      <c r="S455" s="2539"/>
      <c r="T455" s="2539"/>
      <c r="U455" s="2539"/>
      <c r="V455" s="2539"/>
      <c r="W455" s="2539"/>
      <c r="X455" s="2539"/>
      <c r="Y455" s="2539"/>
      <c r="Z455" s="2539"/>
      <c r="AA455" s="2539"/>
      <c r="AB455" s="2539"/>
      <c r="AC455" s="2539"/>
      <c r="AD455" s="2539"/>
      <c r="AE455" s="25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6" t="s">
        <v>591</v>
      </c>
      <c r="D457" s="2473"/>
      <c r="E457" s="715" t="s">
        <v>1503</v>
      </c>
      <c r="F457" s="2519" t="s">
        <v>1504</v>
      </c>
      <c r="G457" s="2519"/>
      <c r="H457" s="2519"/>
      <c r="I457" s="2519"/>
      <c r="J457" s="2519"/>
      <c r="K457" s="2519"/>
      <c r="L457" s="2519"/>
      <c r="M457" s="2519"/>
      <c r="N457" s="2519"/>
      <c r="O457" s="2519"/>
      <c r="P457" s="2519"/>
      <c r="Q457" s="2519"/>
      <c r="R457" s="2519"/>
      <c r="S457" s="2519"/>
      <c r="T457" s="2519"/>
      <c r="U457" s="2519"/>
      <c r="V457" s="2519"/>
      <c r="W457" s="2519"/>
      <c r="X457" s="2519"/>
      <c r="Y457" s="2519"/>
      <c r="Z457" s="2519"/>
      <c r="AA457" s="2519"/>
      <c r="AB457" s="2519"/>
      <c r="AC457" s="2519"/>
      <c r="AD457" s="2519"/>
      <c r="AE457" s="2519"/>
      <c r="AF457" s="2540" t="s">
        <v>1462</v>
      </c>
      <c r="AG457" s="2540"/>
      <c r="AH457" s="2540"/>
      <c r="AI457" s="2540"/>
      <c r="AJ457" s="2540"/>
      <c r="AK457" s="2540"/>
      <c r="AL457" s="2541"/>
      <c r="AM457" s="570"/>
      <c r="AN457" s="535"/>
    </row>
    <row r="458" spans="1:40" s="550" customFormat="1" ht="12.75" customHeight="1">
      <c r="A458" s="536"/>
      <c r="B458" s="14"/>
      <c r="C458" s="731"/>
      <c r="D458" s="14"/>
      <c r="E458" s="691"/>
      <c r="F458" s="2520"/>
      <c r="G458" s="2520"/>
      <c r="H458" s="2520"/>
      <c r="I458" s="2520"/>
      <c r="J458" s="2520"/>
      <c r="K458" s="2520"/>
      <c r="L458" s="2520"/>
      <c r="M458" s="2520"/>
      <c r="N458" s="2520"/>
      <c r="O458" s="2520"/>
      <c r="P458" s="2520"/>
      <c r="Q458" s="2520"/>
      <c r="R458" s="2520"/>
      <c r="S458" s="2520"/>
      <c r="T458" s="2520"/>
      <c r="U458" s="2520"/>
      <c r="V458" s="2520"/>
      <c r="W458" s="2520"/>
      <c r="X458" s="2520"/>
      <c r="Y458" s="2520"/>
      <c r="Z458" s="2520"/>
      <c r="AA458" s="2520"/>
      <c r="AB458" s="2520"/>
      <c r="AC458" s="2520"/>
      <c r="AD458" s="2520"/>
      <c r="AE458" s="2520"/>
      <c r="AF458" s="539"/>
      <c r="AG458" s="536"/>
      <c r="AL458" s="732"/>
      <c r="AM458" s="570"/>
      <c r="AN458" s="535"/>
    </row>
    <row r="459" spans="1:40" s="550" customFormat="1" ht="12.75" customHeight="1">
      <c r="A459" s="536"/>
      <c r="B459" s="14"/>
      <c r="C459" s="731"/>
      <c r="D459" s="14"/>
      <c r="E459" s="691"/>
      <c r="F459" s="2520"/>
      <c r="G459" s="2520"/>
      <c r="H459" s="2520"/>
      <c r="I459" s="2520"/>
      <c r="J459" s="2520"/>
      <c r="K459" s="2520"/>
      <c r="L459" s="2520"/>
      <c r="M459" s="2520"/>
      <c r="N459" s="2520"/>
      <c r="O459" s="2520"/>
      <c r="P459" s="2520"/>
      <c r="Q459" s="2520"/>
      <c r="R459" s="2520"/>
      <c r="S459" s="2520"/>
      <c r="T459" s="2520"/>
      <c r="U459" s="2520"/>
      <c r="V459" s="2520"/>
      <c r="W459" s="2520"/>
      <c r="X459" s="2520"/>
      <c r="Y459" s="2520"/>
      <c r="Z459" s="2520"/>
      <c r="AA459" s="2520"/>
      <c r="AB459" s="2520"/>
      <c r="AC459" s="2520"/>
      <c r="AD459" s="2520"/>
      <c r="AE459" s="2520"/>
      <c r="AF459" s="539"/>
      <c r="AG459" s="536"/>
      <c r="AL459" s="732"/>
      <c r="AM459" s="570"/>
      <c r="AN459" s="535"/>
    </row>
    <row r="460" spans="1:40" s="550" customFormat="1" ht="12.75" customHeight="1">
      <c r="A460" s="536"/>
      <c r="B460" s="14"/>
      <c r="C460" s="756"/>
      <c r="D460" s="723"/>
      <c r="E460" s="724"/>
      <c r="F460" s="2539"/>
      <c r="G460" s="2539"/>
      <c r="H460" s="2539"/>
      <c r="I460" s="2539"/>
      <c r="J460" s="2539"/>
      <c r="K460" s="2539"/>
      <c r="L460" s="2539"/>
      <c r="M460" s="2539"/>
      <c r="N460" s="2539"/>
      <c r="O460" s="2539"/>
      <c r="P460" s="2539"/>
      <c r="Q460" s="2539"/>
      <c r="R460" s="2539"/>
      <c r="S460" s="2539"/>
      <c r="T460" s="2539"/>
      <c r="U460" s="2539"/>
      <c r="V460" s="2539"/>
      <c r="W460" s="2539"/>
      <c r="X460" s="2539"/>
      <c r="Y460" s="2539"/>
      <c r="Z460" s="2539"/>
      <c r="AA460" s="2539"/>
      <c r="AB460" s="2539"/>
      <c r="AC460" s="2539"/>
      <c r="AD460" s="2539"/>
      <c r="AE460" s="25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9" t="s">
        <v>1507</v>
      </c>
      <c r="G462" s="2519"/>
      <c r="H462" s="2519"/>
      <c r="I462" s="2519"/>
      <c r="J462" s="2519"/>
      <c r="K462" s="2519"/>
      <c r="L462" s="2519"/>
      <c r="M462" s="2519"/>
      <c r="N462" s="2519"/>
      <c r="O462" s="2519"/>
      <c r="P462" s="2519"/>
      <c r="Q462" s="2519"/>
      <c r="R462" s="2519"/>
      <c r="S462" s="2519"/>
      <c r="T462" s="2519"/>
      <c r="U462" s="2519"/>
      <c r="V462" s="2519"/>
      <c r="W462" s="2519"/>
      <c r="X462" s="2519"/>
      <c r="Y462" s="2519"/>
      <c r="Z462" s="2519"/>
      <c r="AA462" s="2519"/>
      <c r="AB462" s="2519"/>
      <c r="AC462" s="2519"/>
      <c r="AD462" s="2519"/>
      <c r="AE462" s="2519"/>
      <c r="AF462" s="2519"/>
      <c r="AG462" s="744"/>
      <c r="AH462" s="714"/>
      <c r="AI462" s="714"/>
      <c r="AJ462" s="714"/>
      <c r="AK462" s="714"/>
      <c r="AL462" s="745"/>
      <c r="AM462" s="570"/>
      <c r="AN462" s="597"/>
    </row>
    <row r="463" spans="1:40" s="550" customFormat="1" ht="12.75" customHeight="1">
      <c r="A463" s="536"/>
      <c r="B463" s="14"/>
      <c r="C463" s="731"/>
      <c r="D463" s="14"/>
      <c r="E463" s="691"/>
      <c r="F463" s="2520"/>
      <c r="G463" s="2520"/>
      <c r="H463" s="2520"/>
      <c r="I463" s="2520"/>
      <c r="J463" s="2520"/>
      <c r="K463" s="2520"/>
      <c r="L463" s="2520"/>
      <c r="M463" s="2520"/>
      <c r="N463" s="2520"/>
      <c r="O463" s="2520"/>
      <c r="P463" s="2520"/>
      <c r="Q463" s="2520"/>
      <c r="R463" s="2520"/>
      <c r="S463" s="2520"/>
      <c r="T463" s="2520"/>
      <c r="U463" s="2520"/>
      <c r="V463" s="2520"/>
      <c r="W463" s="2520"/>
      <c r="X463" s="2520"/>
      <c r="Y463" s="2520"/>
      <c r="Z463" s="2520"/>
      <c r="AA463" s="2520"/>
      <c r="AB463" s="2520"/>
      <c r="AC463" s="2520"/>
      <c r="AD463" s="2520"/>
      <c r="AE463" s="2520"/>
      <c r="AF463" s="2520"/>
      <c r="AL463" s="732"/>
      <c r="AM463" s="570"/>
      <c r="AN463" s="597"/>
    </row>
    <row r="464" spans="1:40" s="550" customFormat="1" ht="12.75" customHeight="1">
      <c r="A464" s="536"/>
      <c r="B464" s="14"/>
      <c r="C464" s="739"/>
      <c r="F464" s="2520"/>
      <c r="G464" s="2520"/>
      <c r="H464" s="2520"/>
      <c r="I464" s="2520"/>
      <c r="J464" s="2520"/>
      <c r="K464" s="2520"/>
      <c r="L464" s="2520"/>
      <c r="M464" s="2520"/>
      <c r="N464" s="2520"/>
      <c r="O464" s="2520"/>
      <c r="P464" s="2520"/>
      <c r="Q464" s="2520"/>
      <c r="R464" s="2520"/>
      <c r="S464" s="2520"/>
      <c r="T464" s="2520"/>
      <c r="U464" s="2520"/>
      <c r="V464" s="2520"/>
      <c r="W464" s="2520"/>
      <c r="X464" s="2520"/>
      <c r="Y464" s="2520"/>
      <c r="Z464" s="2520"/>
      <c r="AA464" s="2520"/>
      <c r="AB464" s="2520"/>
      <c r="AC464" s="2520"/>
      <c r="AD464" s="2520"/>
      <c r="AE464" s="2520"/>
      <c r="AF464" s="2520"/>
      <c r="AL464" s="732"/>
      <c r="AM464" s="570"/>
      <c r="AN464" s="597"/>
    </row>
    <row r="465" spans="1:58" s="550" customFormat="1" ht="12.75" customHeight="1">
      <c r="A465" s="536"/>
      <c r="B465" s="14"/>
      <c r="C465" s="739"/>
      <c r="F465" s="2520"/>
      <c r="G465" s="2520"/>
      <c r="H465" s="2520"/>
      <c r="I465" s="2520"/>
      <c r="J465" s="2520"/>
      <c r="K465" s="2520"/>
      <c r="L465" s="2520"/>
      <c r="M465" s="2520"/>
      <c r="N465" s="2520"/>
      <c r="O465" s="2520"/>
      <c r="P465" s="2520"/>
      <c r="Q465" s="2520"/>
      <c r="R465" s="2520"/>
      <c r="S465" s="2520"/>
      <c r="T465" s="2520"/>
      <c r="U465" s="2520"/>
      <c r="V465" s="2520"/>
      <c r="W465" s="2520"/>
      <c r="X465" s="2520"/>
      <c r="Y465" s="2520"/>
      <c r="Z465" s="2520"/>
      <c r="AA465" s="2520"/>
      <c r="AB465" s="2520"/>
      <c r="AC465" s="2520"/>
      <c r="AD465" s="2520"/>
      <c r="AE465" s="2520"/>
      <c r="AF465" s="2520"/>
      <c r="AL465" s="732"/>
      <c r="AM465" s="570"/>
      <c r="AN465" s="597"/>
    </row>
    <row r="466" spans="1:58" s="550" customFormat="1" ht="12.75" customHeight="1">
      <c r="A466" s="536"/>
      <c r="B466" s="14"/>
      <c r="C466" s="2516" t="s">
        <v>591</v>
      </c>
      <c r="D466" s="2473"/>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7" t="s">
        <v>1462</v>
      </c>
      <c r="AG466" s="2517"/>
      <c r="AH466" s="2517"/>
      <c r="AI466" s="2517"/>
      <c r="AJ466" s="2517"/>
      <c r="AK466" s="2517"/>
      <c r="AL466" s="251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6">
        <f>IF(Application!D214="N/A",AS358,AS360)</f>
        <v>10</v>
      </c>
      <c r="AL469" s="2477"/>
      <c r="AM469" s="247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7" t="s">
        <v>1511</v>
      </c>
      <c r="AF472" s="2517"/>
      <c r="AG472" s="2517"/>
      <c r="AH472" s="2517"/>
      <c r="AI472" s="2517"/>
      <c r="AJ472" s="2517"/>
      <c r="AK472" s="2517"/>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2" t="s">
        <v>591</v>
      </c>
      <c r="D478" s="2543"/>
      <c r="E478" s="761" t="s">
        <v>507</v>
      </c>
      <c r="F478" s="2544" t="s">
        <v>1517</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8" t="s">
        <v>591</v>
      </c>
      <c r="G480" s="2618"/>
      <c r="H480" s="2618"/>
      <c r="I480" s="2618"/>
      <c r="J480" s="2618"/>
      <c r="K480" s="2618"/>
      <c r="L480" s="2618"/>
      <c r="M480" s="2618"/>
      <c r="N480" s="2618"/>
      <c r="O480" s="2618"/>
      <c r="P480" s="2618"/>
      <c r="Q480" s="2618"/>
      <c r="R480" s="2618"/>
      <c r="S480" s="2618"/>
      <c r="T480" s="2618"/>
      <c r="U480" s="2618"/>
      <c r="V480" s="2618"/>
      <c r="W480" s="2618"/>
      <c r="X480" s="2618"/>
      <c r="Y480" s="2618"/>
      <c r="Z480" s="2618"/>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9" t="s">
        <v>545</v>
      </c>
      <c r="D482" s="2620"/>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7" t="s">
        <v>591</v>
      </c>
      <c r="W485" s="2617"/>
      <c r="X485" s="2617"/>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7" t="s">
        <v>591</v>
      </c>
      <c r="W487" s="2617"/>
      <c r="X487" s="2617"/>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7" t="s">
        <v>591</v>
      </c>
      <c r="W492" s="2617"/>
      <c r="X492" s="2617"/>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7"/>
      <c r="E495" s="2607"/>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7" t="s">
        <v>591</v>
      </c>
      <c r="W496" s="2617"/>
      <c r="X496" s="2617"/>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7" t="s">
        <v>591</v>
      </c>
      <c r="W498" s="2617"/>
      <c r="X498" s="2617"/>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2" t="s">
        <v>591</v>
      </c>
      <c r="D501" s="2543"/>
      <c r="E501" s="761" t="s">
        <v>507</v>
      </c>
      <c r="F501" s="2544" t="s">
        <v>1517</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3" t="s">
        <v>591</v>
      </c>
      <c r="G503" s="2613"/>
      <c r="H503" s="2613"/>
      <c r="I503" s="2613"/>
      <c r="J503" s="2613"/>
      <c r="K503" s="2613"/>
      <c r="L503" s="2613"/>
      <c r="M503" s="2613"/>
      <c r="N503" s="2613"/>
      <c r="O503" s="2613"/>
      <c r="P503" s="2613"/>
      <c r="Q503" s="2613"/>
      <c r="R503" s="2613"/>
      <c r="S503" s="2613"/>
      <c r="T503" s="2613"/>
      <c r="U503" s="2613"/>
      <c r="V503" s="2613"/>
      <c r="W503" s="2613"/>
      <c r="X503" s="2613"/>
      <c r="Y503" s="2613"/>
      <c r="Z503" s="2613"/>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2" t="s">
        <v>591</v>
      </c>
      <c r="D505" s="2543"/>
      <c r="E505" s="761" t="s">
        <v>757</v>
      </c>
      <c r="F505" s="2614" t="s">
        <v>1539</v>
      </c>
      <c r="G505" s="2614"/>
      <c r="H505" s="2614"/>
      <c r="I505" s="2614"/>
      <c r="J505" s="2614"/>
      <c r="K505" s="2614"/>
      <c r="L505" s="2614"/>
      <c r="M505" s="2614"/>
      <c r="N505" s="2614"/>
      <c r="O505" s="2614"/>
      <c r="P505" s="2614"/>
      <c r="Q505" s="2614"/>
      <c r="R505" s="2614"/>
      <c r="S505" s="2614"/>
      <c r="T505" s="2614"/>
      <c r="U505" s="2614"/>
      <c r="V505" s="2614"/>
      <c r="W505" s="2614"/>
      <c r="X505" s="2614"/>
      <c r="Y505" s="2614"/>
      <c r="Z505" s="2614"/>
      <c r="AA505" s="2614"/>
      <c r="AB505" s="2614"/>
      <c r="AC505" s="2614"/>
      <c r="AD505" s="2614"/>
      <c r="AE505" s="261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5"/>
      <c r="G506" s="2615"/>
      <c r="H506" s="2615"/>
      <c r="I506" s="2615"/>
      <c r="J506" s="2615"/>
      <c r="K506" s="2615"/>
      <c r="L506" s="2615"/>
      <c r="M506" s="2615"/>
      <c r="N506" s="2615"/>
      <c r="O506" s="2615"/>
      <c r="P506" s="2615"/>
      <c r="Q506" s="2615"/>
      <c r="R506" s="2615"/>
      <c r="S506" s="2615"/>
      <c r="T506" s="2615"/>
      <c r="U506" s="2615"/>
      <c r="V506" s="2615"/>
      <c r="W506" s="2615"/>
      <c r="X506" s="2615"/>
      <c r="Y506" s="2615"/>
      <c r="Z506" s="2615"/>
      <c r="AA506" s="2615"/>
      <c r="AB506" s="2615"/>
      <c r="AC506" s="2615"/>
      <c r="AD506" s="2615"/>
      <c r="AE506" s="261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15" hidden="1">
      <c r="A508" s="550"/>
      <c r="B508" s="550"/>
      <c r="C508" s="764"/>
      <c r="D508" s="727"/>
      <c r="E508" s="765"/>
      <c r="F508" s="2616" t="s">
        <v>591</v>
      </c>
      <c r="G508" s="2616"/>
      <c r="H508" s="261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15"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15" hidden="1">
      <c r="A510" s="550"/>
      <c r="B510" s="550"/>
      <c r="C510" s="2542" t="s">
        <v>591</v>
      </c>
      <c r="D510" s="2543"/>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15" hidden="1">
      <c r="A512" s="550"/>
      <c r="B512" s="550"/>
      <c r="C512" s="2606"/>
      <c r="D512" s="2607"/>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8" t="s">
        <v>591</v>
      </c>
      <c r="H513" s="2608"/>
      <c r="I513" s="2608"/>
      <c r="J513" s="2608"/>
      <c r="K513" s="2608"/>
      <c r="L513" s="2608"/>
      <c r="M513" s="2608"/>
      <c r="N513" s="2608"/>
      <c r="O513" s="2608"/>
      <c r="P513" s="2608"/>
      <c r="Q513" s="2608"/>
      <c r="R513" s="2608"/>
      <c r="S513" s="2608"/>
      <c r="T513" s="2608"/>
      <c r="U513" s="2608"/>
      <c r="V513" s="2608"/>
      <c r="W513" s="2608"/>
      <c r="X513" s="2608"/>
      <c r="Y513" s="2608"/>
      <c r="Z513" s="2608"/>
      <c r="AA513" s="2608"/>
      <c r="AB513" s="2608"/>
      <c r="AC513" s="2608"/>
      <c r="AD513" s="2608"/>
      <c r="AE513" s="2608"/>
      <c r="AF513" s="260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6" t="s">
        <v>591</v>
      </c>
      <c r="D515" s="2547"/>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15"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6" t="s">
        <v>591</v>
      </c>
      <c r="D519" s="2547"/>
      <c r="F519" s="795" t="s">
        <v>1547</v>
      </c>
      <c r="G519" s="2520" t="s">
        <v>1548</v>
      </c>
      <c r="H519" s="2520"/>
      <c r="I519" s="2520"/>
      <c r="J519" s="2520"/>
      <c r="K519" s="2520"/>
      <c r="L519" s="2520"/>
      <c r="M519" s="2520"/>
      <c r="N519" s="2520"/>
      <c r="O519" s="2520"/>
      <c r="P519" s="2520"/>
      <c r="Q519" s="2520"/>
      <c r="R519" s="2520"/>
      <c r="S519" s="2520"/>
      <c r="T519" s="2520"/>
      <c r="U519" s="2520"/>
      <c r="V519" s="2520"/>
      <c r="W519" s="2520"/>
      <c r="X519" s="2520"/>
      <c r="Y519" s="2520"/>
      <c r="Z519" s="2520"/>
      <c r="AA519" s="2520"/>
      <c r="AB519" s="2520"/>
      <c r="AC519" s="2520"/>
      <c r="AD519" s="2520"/>
      <c r="AE519" s="2520"/>
      <c r="AF519" s="252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9"/>
      <c r="H520" s="2539"/>
      <c r="I520" s="2539"/>
      <c r="J520" s="2539"/>
      <c r="K520" s="2539"/>
      <c r="L520" s="2539"/>
      <c r="M520" s="2539"/>
      <c r="N520" s="2539"/>
      <c r="O520" s="2539"/>
      <c r="P520" s="2539"/>
      <c r="Q520" s="2539"/>
      <c r="R520" s="2539"/>
      <c r="S520" s="2539"/>
      <c r="T520" s="2539"/>
      <c r="U520" s="2539"/>
      <c r="V520" s="2539"/>
      <c r="W520" s="2539"/>
      <c r="X520" s="2539"/>
      <c r="Y520" s="2539"/>
      <c r="Z520" s="2539"/>
      <c r="AA520" s="2539"/>
      <c r="AB520" s="2539"/>
      <c r="AC520" s="2539"/>
      <c r="AD520" s="2539"/>
      <c r="AE520" s="2539"/>
      <c r="AF520" s="25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8" t="s">
        <v>591</v>
      </c>
      <c r="D523" s="2549"/>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0" t="s">
        <v>591</v>
      </c>
      <c r="G524" s="2550"/>
      <c r="H524" s="2550"/>
      <c r="I524" s="2550"/>
      <c r="J524" s="2550"/>
      <c r="K524" s="2550"/>
      <c r="L524" s="2550"/>
      <c r="M524" s="2550"/>
      <c r="N524" s="2550"/>
      <c r="O524" s="2550"/>
      <c r="P524" s="2550"/>
      <c r="Q524" s="2550"/>
      <c r="R524" s="2550"/>
      <c r="S524" s="2550"/>
      <c r="T524" s="2550"/>
      <c r="U524" s="2550"/>
      <c r="V524" s="2550"/>
      <c r="W524" s="2550"/>
      <c r="X524" s="2550"/>
      <c r="Y524" s="2550"/>
      <c r="Z524" s="2550"/>
      <c r="AA524" s="2550"/>
      <c r="AB524" s="2550"/>
      <c r="AC524" s="2550"/>
      <c r="AD524" s="2550"/>
      <c r="AE524" s="2550"/>
      <c r="AF524" s="255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1"/>
      <c r="G525" s="2551"/>
      <c r="H525" s="2551"/>
      <c r="I525" s="2551"/>
      <c r="J525" s="2551"/>
      <c r="K525" s="2551"/>
      <c r="L525" s="2551"/>
      <c r="M525" s="2551"/>
      <c r="N525" s="2551"/>
      <c r="O525" s="2551"/>
      <c r="P525" s="2551"/>
      <c r="Q525" s="2551"/>
      <c r="R525" s="2551"/>
      <c r="S525" s="2551"/>
      <c r="T525" s="2551"/>
      <c r="U525" s="2551"/>
      <c r="V525" s="2551"/>
      <c r="W525" s="2551"/>
      <c r="X525" s="2551"/>
      <c r="Y525" s="2551"/>
      <c r="Z525" s="2551"/>
      <c r="AA525" s="2551"/>
      <c r="AB525" s="2551"/>
      <c r="AC525" s="2551"/>
      <c r="AD525" s="2551"/>
      <c r="AE525" s="2551"/>
      <c r="AF525" s="255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6">
        <f>SUM(AG479:AG524)</f>
        <v>0</v>
      </c>
      <c r="AL535" s="2477"/>
      <c r="AM535" s="247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1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6" t="s">
        <v>1560</v>
      </c>
      <c r="AF538" s="2406"/>
      <c r="AG538" s="2406"/>
      <c r="AH538" s="2406"/>
      <c r="AI538" s="2406"/>
      <c r="AJ538" s="2406"/>
      <c r="AK538" s="2406"/>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3" t="s">
        <v>545</v>
      </c>
      <c r="D541" s="2473"/>
      <c r="E541" s="551"/>
      <c r="F541" s="2600" t="s">
        <v>1561</v>
      </c>
      <c r="G541" s="2601"/>
      <c r="H541" s="2601"/>
      <c r="I541" s="2601"/>
      <c r="J541" s="2601"/>
      <c r="K541" s="2601"/>
      <c r="L541" s="2601"/>
      <c r="M541" s="2601"/>
      <c r="N541" s="2601"/>
      <c r="O541" s="2601"/>
      <c r="P541" s="2601"/>
      <c r="Q541" s="2601"/>
      <c r="R541" s="2601"/>
      <c r="S541" s="2601"/>
      <c r="T541" s="2601"/>
      <c r="U541" s="2601"/>
      <c r="V541" s="2601"/>
      <c r="W541" s="2601"/>
      <c r="X541" s="2601"/>
      <c r="Y541" s="2601"/>
      <c r="Z541" s="2601"/>
      <c r="AA541" s="2601"/>
      <c r="AB541" s="2601"/>
      <c r="AC541" s="2601"/>
      <c r="AD541" s="2601"/>
      <c r="AE541" s="2601"/>
      <c r="AF541" s="2601"/>
      <c r="AG541" s="2601"/>
      <c r="AH541" s="2601"/>
      <c r="AI541" s="2601"/>
      <c r="AJ541" s="2601"/>
      <c r="AK541" s="2601"/>
      <c r="AL541" s="2602"/>
      <c r="AM541" s="595"/>
      <c r="AN541" s="597"/>
    </row>
    <row r="542" spans="1:81" s="550" customFormat="1" ht="12.75" customHeight="1">
      <c r="A542" s="539"/>
      <c r="B542" s="539"/>
      <c r="C542" s="551"/>
      <c r="D542" s="551"/>
      <c r="E542" s="551"/>
      <c r="F542" s="2603"/>
      <c r="G542" s="2604"/>
      <c r="H542" s="2604"/>
      <c r="I542" s="2604"/>
      <c r="J542" s="2604"/>
      <c r="K542" s="2604"/>
      <c r="L542" s="2604"/>
      <c r="M542" s="2604"/>
      <c r="N542" s="2604"/>
      <c r="O542" s="2604"/>
      <c r="P542" s="2604"/>
      <c r="Q542" s="2604"/>
      <c r="R542" s="2604"/>
      <c r="S542" s="2604"/>
      <c r="T542" s="2604"/>
      <c r="U542" s="2604"/>
      <c r="V542" s="2604"/>
      <c r="W542" s="2604"/>
      <c r="X542" s="2604"/>
      <c r="Y542" s="2604"/>
      <c r="Z542" s="2604"/>
      <c r="AA542" s="2604"/>
      <c r="AB542" s="2604"/>
      <c r="AC542" s="2604"/>
      <c r="AD542" s="2604"/>
      <c r="AE542" s="2604"/>
      <c r="AF542" s="2604"/>
      <c r="AG542" s="2604"/>
      <c r="AH542" s="2604"/>
      <c r="AI542" s="2604"/>
      <c r="AJ542" s="2604"/>
      <c r="AK542" s="2604"/>
      <c r="AL542" s="260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3" t="s">
        <v>545</v>
      </c>
      <c r="D544" s="2473"/>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5" t="s">
        <v>1563</v>
      </c>
      <c r="G545" s="2496"/>
      <c r="H545" s="2496"/>
      <c r="I545" s="2496"/>
      <c r="J545" s="2496"/>
      <c r="K545" s="2496"/>
      <c r="L545" s="2496"/>
      <c r="M545" s="2496"/>
      <c r="N545" s="2496"/>
      <c r="O545" s="2496"/>
      <c r="P545" s="2496"/>
      <c r="Q545" s="2496"/>
      <c r="R545" s="2496"/>
      <c r="S545" s="2496"/>
      <c r="T545" s="2496"/>
      <c r="U545" s="2496"/>
      <c r="V545" s="2496"/>
      <c r="W545" s="2496"/>
      <c r="X545" s="2496"/>
      <c r="Y545" s="2496"/>
      <c r="Z545" s="2496"/>
      <c r="AA545" s="2496"/>
      <c r="AB545" s="2496"/>
      <c r="AC545" s="2496"/>
      <c r="AD545" s="2496"/>
      <c r="AE545" s="2496"/>
      <c r="AF545" s="2496"/>
      <c r="AG545" s="2496"/>
      <c r="AH545" s="2496"/>
      <c r="AI545" s="2496"/>
      <c r="AJ545" s="2496"/>
      <c r="AK545" s="2496"/>
      <c r="AL545" s="2497"/>
      <c r="AM545" s="595"/>
      <c r="AN545" s="597"/>
      <c r="AS545" s="870"/>
      <c r="AT545" s="870"/>
      <c r="AU545" s="870"/>
      <c r="AV545" s="870"/>
      <c r="AW545" s="870"/>
    </row>
    <row r="546" spans="1:49" s="550" customFormat="1" ht="12.75" customHeight="1">
      <c r="B546" s="806"/>
      <c r="C546" s="806"/>
      <c r="D546" s="806"/>
      <c r="E546" s="806"/>
      <c r="F546" s="2495"/>
      <c r="G546" s="2496"/>
      <c r="H546" s="2496"/>
      <c r="I546" s="2496"/>
      <c r="J546" s="2496"/>
      <c r="K546" s="2496"/>
      <c r="L546" s="2496"/>
      <c r="M546" s="2496"/>
      <c r="N546" s="2496"/>
      <c r="O546" s="2496"/>
      <c r="P546" s="2496"/>
      <c r="Q546" s="2496"/>
      <c r="R546" s="2496"/>
      <c r="S546" s="2496"/>
      <c r="T546" s="2496"/>
      <c r="U546" s="2496"/>
      <c r="V546" s="2496"/>
      <c r="W546" s="2496"/>
      <c r="X546" s="2496"/>
      <c r="Y546" s="2496"/>
      <c r="Z546" s="2496"/>
      <c r="AA546" s="2496"/>
      <c r="AB546" s="2496"/>
      <c r="AC546" s="2496"/>
      <c r="AD546" s="2496"/>
      <c r="AE546" s="2496"/>
      <c r="AF546" s="2496"/>
      <c r="AG546" s="2496"/>
      <c r="AH546" s="2496"/>
      <c r="AI546" s="2496"/>
      <c r="AJ546" s="2496"/>
      <c r="AK546" s="2496"/>
      <c r="AL546" s="2497"/>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5" t="s">
        <v>1564</v>
      </c>
      <c r="G548" s="2496"/>
      <c r="H548" s="2496"/>
      <c r="I548" s="2496"/>
      <c r="J548" s="2496"/>
      <c r="K548" s="2496"/>
      <c r="L548" s="2496"/>
      <c r="M548" s="2496"/>
      <c r="N548" s="2496"/>
      <c r="O548" s="2496"/>
      <c r="P548" s="2496"/>
      <c r="Q548" s="2496"/>
      <c r="R548" s="2496"/>
      <c r="S548" s="2496"/>
      <c r="T548" s="2496"/>
      <c r="U548" s="2496"/>
      <c r="V548" s="2496"/>
      <c r="W548" s="2496"/>
      <c r="X548" s="2496"/>
      <c r="Y548" s="2496"/>
      <c r="Z548" s="2496"/>
      <c r="AA548" s="2496"/>
      <c r="AB548" s="2496"/>
      <c r="AC548" s="2496"/>
      <c r="AD548" s="2496"/>
      <c r="AE548" s="2496"/>
      <c r="AF548" s="2496"/>
      <c r="AG548" s="2496"/>
      <c r="AH548" s="2496"/>
      <c r="AI548" s="2496"/>
      <c r="AJ548" s="2496"/>
      <c r="AK548" s="2496"/>
      <c r="AL548" s="813"/>
      <c r="AM548" s="595"/>
      <c r="AN548" s="597"/>
    </row>
    <row r="549" spans="1:49" s="550" customFormat="1" ht="12.75" customHeight="1">
      <c r="B549" s="806"/>
      <c r="C549" s="806"/>
      <c r="D549" s="806"/>
      <c r="E549" s="806"/>
      <c r="F549" s="2498"/>
      <c r="G549" s="2499"/>
      <c r="H549" s="2499"/>
      <c r="I549" s="2499"/>
      <c r="J549" s="2499"/>
      <c r="K549" s="2499"/>
      <c r="L549" s="2499"/>
      <c r="M549" s="2499"/>
      <c r="N549" s="2499"/>
      <c r="O549" s="2499"/>
      <c r="P549" s="2499"/>
      <c r="Q549" s="2499"/>
      <c r="R549" s="2499"/>
      <c r="S549" s="2499"/>
      <c r="T549" s="2499"/>
      <c r="U549" s="2499"/>
      <c r="V549" s="2499"/>
      <c r="W549" s="2499"/>
      <c r="X549" s="2499"/>
      <c r="Y549" s="2499"/>
      <c r="Z549" s="2499"/>
      <c r="AA549" s="2499"/>
      <c r="AB549" s="2499"/>
      <c r="AC549" s="2499"/>
      <c r="AD549" s="2499"/>
      <c r="AE549" s="2499"/>
      <c r="AF549" s="2499"/>
      <c r="AG549" s="2499"/>
      <c r="AH549" s="2499"/>
      <c r="AI549" s="2499"/>
      <c r="AJ549" s="2499"/>
      <c r="AK549" s="249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2">
        <f>Application!AJ992</f>
        <v>31074880</v>
      </c>
      <c r="AQ550" s="2622"/>
      <c r="AR550" s="2622"/>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9">
        <f>'Sources and Uses Budget'!S107+'Sources and Uses Budget'!T107</f>
        <v>42617264</v>
      </c>
      <c r="AG551" s="2479"/>
      <c r="AH551" s="2479"/>
      <c r="AI551" s="2479"/>
      <c r="AJ551" s="2479"/>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7">
        <f>IFERROR(AP559,0)</f>
        <v>68986234</v>
      </c>
      <c r="AG552" s="2627"/>
      <c r="AH552" s="2627"/>
      <c r="AI552" s="2627"/>
      <c r="AJ552" s="2627"/>
      <c r="AK552" s="595"/>
      <c r="AL552" s="595"/>
      <c r="AM552" s="595"/>
      <c r="AN552" s="597"/>
      <c r="AP552" s="2622">
        <f>Application!AJ1045</f>
        <v>15537440</v>
      </c>
      <c r="AQ552" s="2622"/>
      <c r="AR552" s="2622"/>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8">
        <f>IFERROR(ROUNDDOWN(IF(C544="YES",((1-(AF551/AF552))*2),(1-(AF551/AF552))),2),0)</f>
        <v>0.76</v>
      </c>
      <c r="AG553" s="2628"/>
      <c r="AH553" s="2628"/>
      <c r="AI553" s="2628"/>
      <c r="AJ553" s="2628"/>
      <c r="AK553" s="595"/>
      <c r="AL553" s="595"/>
      <c r="AM553" s="595"/>
      <c r="AN553" s="597"/>
      <c r="AP553" s="2625">
        <f>Application!AJ1049</f>
        <v>31074880</v>
      </c>
      <c r="AQ553" s="2625"/>
      <c r="AR553" s="2625"/>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1">
        <f>IF(((AP552+AP553)/AP550)&gt;0.8,0.8,((AP552+AP553)/AP550))</f>
        <v>0.8</v>
      </c>
      <c r="AQ554" s="2621"/>
      <c r="AR554" s="2621"/>
      <c r="AS554" s="550" t="s">
        <v>2172</v>
      </c>
    </row>
    <row r="555" spans="1:49" s="550" customFormat="1" ht="12.75" customHeight="1">
      <c r="A555" s="624"/>
      <c r="B555" s="2558" t="s">
        <v>2032</v>
      </c>
      <c r="C555" s="2559"/>
      <c r="D555" s="2559"/>
      <c r="E555" s="2559"/>
      <c r="F555" s="2559"/>
      <c r="G555" s="2559"/>
      <c r="H555" s="2559"/>
      <c r="I555" s="2559"/>
      <c r="J555" s="2559"/>
      <c r="K555" s="2559"/>
      <c r="L555" s="2559"/>
      <c r="M555" s="2559"/>
      <c r="N555" s="2559"/>
      <c r="O555" s="2559"/>
      <c r="P555" s="2559"/>
      <c r="Q555" s="2559"/>
      <c r="R555" s="2559"/>
      <c r="S555" s="2559"/>
      <c r="T555" s="2559"/>
      <c r="U555" s="2559"/>
      <c r="V555" s="2559"/>
      <c r="W555" s="2559"/>
      <c r="X555" s="2559"/>
      <c r="Y555" s="2559"/>
      <c r="Z555" s="2559"/>
      <c r="AA555" s="2559"/>
      <c r="AB555" s="2559"/>
      <c r="AC555" s="2559"/>
      <c r="AD555" s="2559"/>
      <c r="AE555" s="2559"/>
      <c r="AF555" s="2559"/>
      <c r="AG555" s="2559"/>
      <c r="AH555" s="2559"/>
      <c r="AI555" s="2559"/>
      <c r="AJ555" s="2560"/>
      <c r="AK555" s="595"/>
      <c r="AL555" s="595"/>
      <c r="AM555" s="595"/>
      <c r="AN555" s="597"/>
    </row>
    <row r="556" spans="1:49" s="550" customFormat="1" ht="12.75" customHeight="1">
      <c r="A556" s="624"/>
      <c r="B556" s="2561"/>
      <c r="C556" s="2562"/>
      <c r="D556" s="2562"/>
      <c r="E556" s="2562"/>
      <c r="F556" s="2562"/>
      <c r="G556" s="2562"/>
      <c r="H556" s="2562"/>
      <c r="I556" s="2562"/>
      <c r="J556" s="2562"/>
      <c r="K556" s="2562"/>
      <c r="L556" s="2562"/>
      <c r="M556" s="2562"/>
      <c r="N556" s="2562"/>
      <c r="O556" s="2562"/>
      <c r="P556" s="2562"/>
      <c r="Q556" s="2562"/>
      <c r="R556" s="2562"/>
      <c r="S556" s="2562"/>
      <c r="T556" s="2562"/>
      <c r="U556" s="2562"/>
      <c r="V556" s="2562"/>
      <c r="W556" s="2562"/>
      <c r="X556" s="2562"/>
      <c r="Y556" s="2562"/>
      <c r="Z556" s="2562"/>
      <c r="AA556" s="2562"/>
      <c r="AB556" s="2562"/>
      <c r="AC556" s="2562"/>
      <c r="AD556" s="2562"/>
      <c r="AE556" s="2562"/>
      <c r="AF556" s="2562"/>
      <c r="AG556" s="2562"/>
      <c r="AH556" s="2562"/>
      <c r="AI556" s="2562"/>
      <c r="AJ556" s="2563"/>
      <c r="AK556" s="595"/>
      <c r="AL556" s="595"/>
      <c r="AM556" s="595"/>
      <c r="AN556" s="597"/>
      <c r="AP556" s="2622">
        <f>AP557-AP552-AP553</f>
        <v>44126330</v>
      </c>
      <c r="AQ556" s="2531"/>
      <c r="AR556" s="2531"/>
      <c r="AS556" s="550" t="s">
        <v>2174</v>
      </c>
    </row>
    <row r="557" spans="1:49" s="550" customFormat="1" ht="12.75" customHeight="1">
      <c r="A557" s="624"/>
      <c r="B557" s="2564"/>
      <c r="C557" s="2565"/>
      <c r="D557" s="2565"/>
      <c r="E557" s="2565"/>
      <c r="F557" s="2565"/>
      <c r="G557" s="2565"/>
      <c r="H557" s="2565"/>
      <c r="I557" s="2565"/>
      <c r="J557" s="2565"/>
      <c r="K557" s="2565"/>
      <c r="L557" s="2565"/>
      <c r="M557" s="2565"/>
      <c r="N557" s="2565"/>
      <c r="O557" s="2565"/>
      <c r="P557" s="2565"/>
      <c r="Q557" s="2565"/>
      <c r="R557" s="2565"/>
      <c r="S557" s="2565"/>
      <c r="T557" s="2565"/>
      <c r="U557" s="2565"/>
      <c r="V557" s="2565"/>
      <c r="W557" s="2565"/>
      <c r="X557" s="2565"/>
      <c r="Y557" s="2565"/>
      <c r="Z557" s="2565"/>
      <c r="AA557" s="2565"/>
      <c r="AB557" s="2565"/>
      <c r="AC557" s="2565"/>
      <c r="AD557" s="2565"/>
      <c r="AE557" s="2565"/>
      <c r="AF557" s="2565"/>
      <c r="AG557" s="2565"/>
      <c r="AH557" s="2565"/>
      <c r="AI557" s="2565"/>
      <c r="AJ557" s="2566"/>
      <c r="AK557" s="595"/>
      <c r="AL557" s="595"/>
      <c r="AM557" s="595"/>
      <c r="AN557" s="597"/>
      <c r="AP557" s="2622">
        <f>Application!AJ1053</f>
        <v>90738650</v>
      </c>
      <c r="AQ557" s="2622"/>
      <c r="AR557" s="2622"/>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7">
        <f>IFERROR(IF(AND(C541="N/A",C544="N/A"),0,IF(AF553=0,0,IF((AF553*100)&gt;12,12,(AF553*100)))),0)</f>
        <v>12</v>
      </c>
      <c r="AL559" s="2567"/>
      <c r="AM559" s="2568"/>
      <c r="AN559" s="597"/>
      <c r="AP559" s="2639">
        <f>AP556+(AP550*AP554)</f>
        <v>68986234</v>
      </c>
      <c r="AQ559" s="2640"/>
      <c r="AR559" s="264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6" t="s">
        <v>1314</v>
      </c>
      <c r="AF562" s="2406"/>
      <c r="AG562" s="2406"/>
      <c r="AH562" s="2406"/>
      <c r="AI562" s="2406"/>
      <c r="AJ562" s="2406"/>
      <c r="AK562" s="240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6" t="s">
        <v>2023</v>
      </c>
      <c r="C564" s="2496"/>
      <c r="D564" s="2496"/>
      <c r="E564" s="2496"/>
      <c r="F564" s="2496"/>
      <c r="G564" s="2496"/>
      <c r="H564" s="2496"/>
      <c r="I564" s="2496"/>
      <c r="J564" s="2496"/>
      <c r="K564" s="2496"/>
      <c r="L564" s="2496"/>
      <c r="M564" s="2496"/>
      <c r="N564" s="2496"/>
      <c r="O564" s="2496"/>
      <c r="P564" s="2496"/>
      <c r="Q564" s="2496"/>
      <c r="R564" s="2496"/>
      <c r="S564" s="2496"/>
      <c r="T564" s="2496"/>
      <c r="U564" s="2496"/>
      <c r="V564" s="2496"/>
      <c r="W564" s="2496"/>
      <c r="X564" s="2496"/>
      <c r="Y564" s="2496"/>
      <c r="Z564" s="2496"/>
      <c r="AA564" s="2496"/>
      <c r="AB564" s="2496"/>
      <c r="AC564" s="2496"/>
      <c r="AD564" s="2496"/>
      <c r="AE564" s="2496"/>
      <c r="AF564" s="2496"/>
      <c r="AG564" s="2496"/>
      <c r="AH564" s="2496"/>
      <c r="AI564" s="2496"/>
      <c r="AJ564" s="2496"/>
      <c r="AK564" s="642"/>
      <c r="AL564" s="573"/>
      <c r="AM564" s="603"/>
      <c r="AN564" s="597"/>
    </row>
    <row r="565" spans="1:42" s="550" customFormat="1" ht="12.75" customHeight="1">
      <c r="A565" s="603"/>
      <c r="B565" s="2496"/>
      <c r="C565" s="2496"/>
      <c r="D565" s="2496"/>
      <c r="E565" s="2496"/>
      <c r="F565" s="2496"/>
      <c r="G565" s="2496"/>
      <c r="H565" s="2496"/>
      <c r="I565" s="2496"/>
      <c r="J565" s="2496"/>
      <c r="K565" s="2496"/>
      <c r="L565" s="2496"/>
      <c r="M565" s="2496"/>
      <c r="N565" s="2496"/>
      <c r="O565" s="2496"/>
      <c r="P565" s="2496"/>
      <c r="Q565" s="2496"/>
      <c r="R565" s="2496"/>
      <c r="S565" s="2496"/>
      <c r="T565" s="2496"/>
      <c r="U565" s="2496"/>
      <c r="V565" s="2496"/>
      <c r="W565" s="2496"/>
      <c r="X565" s="2496"/>
      <c r="Y565" s="2496"/>
      <c r="Z565" s="2496"/>
      <c r="AA565" s="2496"/>
      <c r="AB565" s="2496"/>
      <c r="AC565" s="2496"/>
      <c r="AD565" s="2496"/>
      <c r="AE565" s="2496"/>
      <c r="AF565" s="2496"/>
      <c r="AG565" s="2496"/>
      <c r="AH565" s="2496"/>
      <c r="AI565" s="2496"/>
      <c r="AJ565" s="2496"/>
      <c r="AK565" s="642"/>
      <c r="AL565" s="573"/>
      <c r="AM565" s="603"/>
      <c r="AN565" s="597"/>
    </row>
    <row r="566" spans="1:42" s="550" customFormat="1" ht="12.75" customHeight="1">
      <c r="A566" s="603"/>
      <c r="B566" s="2496"/>
      <c r="C566" s="2496"/>
      <c r="D566" s="2496"/>
      <c r="E566" s="2496"/>
      <c r="F566" s="2496"/>
      <c r="G566" s="2496"/>
      <c r="H566" s="2496"/>
      <c r="I566" s="2496"/>
      <c r="J566" s="2496"/>
      <c r="K566" s="2496"/>
      <c r="L566" s="2496"/>
      <c r="M566" s="2496"/>
      <c r="N566" s="2496"/>
      <c r="O566" s="2496"/>
      <c r="P566" s="2496"/>
      <c r="Q566" s="2496"/>
      <c r="R566" s="2496"/>
      <c r="S566" s="2496"/>
      <c r="T566" s="2496"/>
      <c r="U566" s="2496"/>
      <c r="V566" s="2496"/>
      <c r="W566" s="2496"/>
      <c r="X566" s="2496"/>
      <c r="Y566" s="2496"/>
      <c r="Z566" s="2496"/>
      <c r="AA566" s="2496"/>
      <c r="AB566" s="2496"/>
      <c r="AC566" s="2496"/>
      <c r="AD566" s="2496"/>
      <c r="AE566" s="2496"/>
      <c r="AF566" s="2496"/>
      <c r="AG566" s="2496"/>
      <c r="AH566" s="2496"/>
      <c r="AI566" s="2496"/>
      <c r="AJ566" s="2496"/>
      <c r="AK566" s="642"/>
      <c r="AL566" s="573"/>
      <c r="AM566" s="603"/>
      <c r="AN566" s="597"/>
    </row>
    <row r="567" spans="1:42" s="550" customFormat="1" ht="12.75" customHeight="1">
      <c r="A567" s="603"/>
      <c r="B567" s="2496"/>
      <c r="C567" s="2496"/>
      <c r="D567" s="2496"/>
      <c r="E567" s="2496"/>
      <c r="F567" s="2496"/>
      <c r="G567" s="2496"/>
      <c r="H567" s="2496"/>
      <c r="I567" s="2496"/>
      <c r="J567" s="2496"/>
      <c r="K567" s="2496"/>
      <c r="L567" s="2496"/>
      <c r="M567" s="2496"/>
      <c r="N567" s="2496"/>
      <c r="O567" s="2496"/>
      <c r="P567" s="2496"/>
      <c r="Q567" s="2496"/>
      <c r="R567" s="2496"/>
      <c r="S567" s="2496"/>
      <c r="T567" s="2496"/>
      <c r="U567" s="2496"/>
      <c r="V567" s="2496"/>
      <c r="W567" s="2496"/>
      <c r="X567" s="2496"/>
      <c r="Y567" s="2496"/>
      <c r="Z567" s="2496"/>
      <c r="AA567" s="2496"/>
      <c r="AB567" s="2496"/>
      <c r="AC567" s="2496"/>
      <c r="AD567" s="2496"/>
      <c r="AE567" s="2496"/>
      <c r="AF567" s="2496"/>
      <c r="AG567" s="2496"/>
      <c r="AH567" s="2496"/>
      <c r="AI567" s="2496"/>
      <c r="AJ567" s="2496"/>
      <c r="AK567" s="642"/>
      <c r="AL567" s="573"/>
      <c r="AM567" s="603"/>
      <c r="AN567" s="597"/>
    </row>
    <row r="568" spans="1:42" s="550" customFormat="1" ht="12.75" customHeight="1">
      <c r="A568" s="603"/>
      <c r="B568" s="2496"/>
      <c r="C568" s="2496"/>
      <c r="D568" s="2496"/>
      <c r="E568" s="2496"/>
      <c r="F568" s="2496"/>
      <c r="G568" s="2496"/>
      <c r="H568" s="2496"/>
      <c r="I568" s="2496"/>
      <c r="J568" s="2496"/>
      <c r="K568" s="2496"/>
      <c r="L568" s="2496"/>
      <c r="M568" s="2496"/>
      <c r="N568" s="2496"/>
      <c r="O568" s="2496"/>
      <c r="P568" s="2496"/>
      <c r="Q568" s="2496"/>
      <c r="R568" s="2496"/>
      <c r="S568" s="2496"/>
      <c r="T568" s="2496"/>
      <c r="U568" s="2496"/>
      <c r="V568" s="2496"/>
      <c r="W568" s="2496"/>
      <c r="X568" s="2496"/>
      <c r="Y568" s="2496"/>
      <c r="Z568" s="2496"/>
      <c r="AA568" s="2496"/>
      <c r="AB568" s="2496"/>
      <c r="AC568" s="2496"/>
      <c r="AD568" s="2496"/>
      <c r="AE568" s="2496"/>
      <c r="AF568" s="2496"/>
      <c r="AG568" s="2496"/>
      <c r="AH568" s="2496"/>
      <c r="AI568" s="2496"/>
      <c r="AJ568" s="2496"/>
      <c r="AK568" s="642"/>
      <c r="AL568" s="573"/>
      <c r="AM568" s="603"/>
      <c r="AN568" s="597"/>
    </row>
    <row r="569" spans="1:42" s="550" customFormat="1" ht="12.75" customHeight="1">
      <c r="A569" s="603"/>
      <c r="B569" s="2496"/>
      <c r="C569" s="2496"/>
      <c r="D569" s="2496"/>
      <c r="E569" s="2496"/>
      <c r="F569" s="2496"/>
      <c r="G569" s="2496"/>
      <c r="H569" s="2496"/>
      <c r="I569" s="2496"/>
      <c r="J569" s="2496"/>
      <c r="K569" s="2496"/>
      <c r="L569" s="2496"/>
      <c r="M569" s="2496"/>
      <c r="N569" s="2496"/>
      <c r="O569" s="2496"/>
      <c r="P569" s="2496"/>
      <c r="Q569" s="2496"/>
      <c r="R569" s="2496"/>
      <c r="S569" s="2496"/>
      <c r="T569" s="2496"/>
      <c r="U569" s="2496"/>
      <c r="V569" s="2496"/>
      <c r="W569" s="2496"/>
      <c r="X569" s="2496"/>
      <c r="Y569" s="2496"/>
      <c r="Z569" s="2496"/>
      <c r="AA569" s="2496"/>
      <c r="AB569" s="2496"/>
      <c r="AC569" s="2496"/>
      <c r="AD569" s="2496"/>
      <c r="AE569" s="2496"/>
      <c r="AF569" s="2496"/>
      <c r="AG569" s="2496"/>
      <c r="AH569" s="2496"/>
      <c r="AI569" s="2496"/>
      <c r="AJ569" s="2496"/>
      <c r="AK569" s="642"/>
      <c r="AL569" s="573"/>
      <c r="AM569" s="603"/>
      <c r="AN569" s="597"/>
    </row>
    <row r="570" spans="1:42" s="550" customFormat="1" ht="12.75" customHeight="1">
      <c r="A570" s="603"/>
      <c r="B570" s="2496"/>
      <c r="C570" s="2496"/>
      <c r="D570" s="2496"/>
      <c r="E570" s="2496"/>
      <c r="F570" s="2496"/>
      <c r="G570" s="2496"/>
      <c r="H570" s="2496"/>
      <c r="I570" s="2496"/>
      <c r="J570" s="2496"/>
      <c r="K570" s="2496"/>
      <c r="L570" s="2496"/>
      <c r="M570" s="2496"/>
      <c r="N570" s="2496"/>
      <c r="O570" s="2496"/>
      <c r="P570" s="2496"/>
      <c r="Q570" s="2496"/>
      <c r="R570" s="2496"/>
      <c r="S570" s="2496"/>
      <c r="T570" s="2496"/>
      <c r="U570" s="2496"/>
      <c r="V570" s="2496"/>
      <c r="W570" s="2496"/>
      <c r="X570" s="2496"/>
      <c r="Y570" s="2496"/>
      <c r="Z570" s="2496"/>
      <c r="AA570" s="2496"/>
      <c r="AB570" s="2496"/>
      <c r="AC570" s="2496"/>
      <c r="AD570" s="2496"/>
      <c r="AE570" s="2496"/>
      <c r="AF570" s="2496"/>
      <c r="AG570" s="2496"/>
      <c r="AH570" s="2496"/>
      <c r="AI570" s="2496"/>
      <c r="AJ570" s="2496"/>
      <c r="AK570" s="642"/>
      <c r="AL570" s="573"/>
      <c r="AM570" s="603"/>
      <c r="AN570" s="597"/>
    </row>
    <row r="571" spans="1:42" ht="12.75" customHeight="1">
      <c r="A571" s="603"/>
      <c r="B571" s="2496"/>
      <c r="C571" s="2496"/>
      <c r="D571" s="2496"/>
      <c r="E571" s="2496"/>
      <c r="F571" s="2496"/>
      <c r="G571" s="2496"/>
      <c r="H571" s="2496"/>
      <c r="I571" s="2496"/>
      <c r="J571" s="2496"/>
      <c r="K571" s="2496"/>
      <c r="L571" s="2496"/>
      <c r="M571" s="2496"/>
      <c r="N571" s="2496"/>
      <c r="O571" s="2496"/>
      <c r="P571" s="2496"/>
      <c r="Q571" s="2496"/>
      <c r="R571" s="2496"/>
      <c r="S571" s="2496"/>
      <c r="T571" s="2496"/>
      <c r="U571" s="2496"/>
      <c r="V571" s="2496"/>
      <c r="W571" s="2496"/>
      <c r="X571" s="2496"/>
      <c r="Y571" s="2496"/>
      <c r="Z571" s="2496"/>
      <c r="AA571" s="2496"/>
      <c r="AB571" s="2496"/>
      <c r="AC571" s="2496"/>
      <c r="AD571" s="2496"/>
      <c r="AE571" s="2496"/>
      <c r="AF571" s="2496"/>
      <c r="AG571" s="2496"/>
      <c r="AH571" s="2496"/>
      <c r="AI571" s="2496"/>
      <c r="AJ571" s="2496"/>
      <c r="AK571" s="642"/>
      <c r="AL571" s="573"/>
      <c r="AM571" s="603"/>
    </row>
    <row r="572" spans="1:42" s="550" customFormat="1" ht="12.75" customHeight="1">
      <c r="B572" s="2496"/>
      <c r="C572" s="2496"/>
      <c r="D572" s="2496"/>
      <c r="E572" s="2496"/>
      <c r="F572" s="2496"/>
      <c r="G572" s="2496"/>
      <c r="H572" s="2496"/>
      <c r="I572" s="2496"/>
      <c r="J572" s="2496"/>
      <c r="K572" s="2496"/>
      <c r="L572" s="2496"/>
      <c r="M572" s="2496"/>
      <c r="N572" s="2496"/>
      <c r="O572" s="2496"/>
      <c r="P572" s="2496"/>
      <c r="Q572" s="2496"/>
      <c r="R572" s="2496"/>
      <c r="S572" s="2496"/>
      <c r="T572" s="2496"/>
      <c r="U572" s="2496"/>
      <c r="V572" s="2496"/>
      <c r="W572" s="2496"/>
      <c r="X572" s="2496"/>
      <c r="Y572" s="2496"/>
      <c r="Z572" s="2496"/>
      <c r="AA572" s="2496"/>
      <c r="AB572" s="2496"/>
      <c r="AC572" s="2496"/>
      <c r="AD572" s="2496"/>
      <c r="AE572" s="2496"/>
      <c r="AF572" s="2496"/>
      <c r="AG572" s="2496"/>
      <c r="AH572" s="2496"/>
      <c r="AI572" s="2496"/>
      <c r="AJ572" s="249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1" t="s">
        <v>1338</v>
      </c>
      <c r="AG578" s="2441"/>
      <c r="AH578" s="2441"/>
      <c r="AI578" s="2441"/>
      <c r="AJ578" s="2441"/>
      <c r="AK578" s="2441"/>
      <c r="AL578" s="2441"/>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1" t="s">
        <v>1396</v>
      </c>
      <c r="AG585" s="2441"/>
      <c r="AH585" s="2441"/>
      <c r="AI585" s="2441"/>
      <c r="AJ585" s="2441"/>
      <c r="AK585" s="2441"/>
      <c r="AL585" s="2441"/>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1" t="s">
        <v>1378</v>
      </c>
      <c r="AG591" s="2441"/>
      <c r="AH591" s="2441"/>
      <c r="AI591" s="2441"/>
      <c r="AJ591" s="2441"/>
      <c r="AK591" s="2441"/>
      <c r="AL591" s="2441"/>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1" t="s">
        <v>1399</v>
      </c>
      <c r="AG597" s="2441"/>
      <c r="AH597" s="2441"/>
      <c r="AI597" s="2441"/>
      <c r="AJ597" s="2441"/>
      <c r="AK597" s="2441"/>
      <c r="AL597" s="2441"/>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7" t="s">
        <v>1184</v>
      </c>
      <c r="P601" s="2527"/>
      <c r="Q601" s="2527"/>
      <c r="R601" s="2527"/>
      <c r="S601" s="2527"/>
      <c r="T601" s="2527"/>
      <c r="U601" s="2527"/>
      <c r="V601" s="2527"/>
      <c r="W601" s="2527"/>
      <c r="X601" s="2527"/>
      <c r="Y601" s="2527"/>
      <c r="Z601" s="2527"/>
      <c r="AA601" s="2527"/>
      <c r="AB601" s="252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1" t="s">
        <v>1352</v>
      </c>
      <c r="AG603" s="2441"/>
      <c r="AH603" s="2441"/>
      <c r="AI603" s="2441"/>
      <c r="AJ603" s="2441"/>
      <c r="AK603" s="2441"/>
      <c r="AL603" s="2441"/>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5" t="s">
        <v>1397</v>
      </c>
      <c r="I606" s="2525"/>
      <c r="J606" s="936"/>
      <c r="K606" s="936"/>
      <c r="L606" s="936"/>
      <c r="N606" s="22"/>
      <c r="O606" s="22"/>
      <c r="P606" s="22"/>
      <c r="Q606" s="1151" t="s">
        <v>2177</v>
      </c>
      <c r="R606" s="2528"/>
      <c r="S606" s="2528"/>
      <c r="T606" s="2528"/>
      <c r="U606" s="2528"/>
      <c r="V606" s="2528"/>
      <c r="W606" s="2528"/>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9" t="str">
        <f>IF(AND(H606="(i)",NOT(AP582)),AO599,IF(AND(H606="(iv)",OR(R606=AO595,R606=AO594),NOT(AP583)),AO600,""))</f>
        <v/>
      </c>
      <c r="Z607" s="2529"/>
      <c r="AA607" s="2529"/>
      <c r="AB607" s="2529"/>
      <c r="AC607" s="2529"/>
      <c r="AD607" s="2529"/>
      <c r="AE607" s="2529"/>
      <c r="AF607" s="2529"/>
      <c r="AG607" s="2529"/>
      <c r="AH607" s="2529"/>
      <c r="AI607" s="2529"/>
      <c r="AJ607" s="2529"/>
      <c r="AK607" s="2529"/>
      <c r="AL607" s="2529"/>
      <c r="AM607" s="2530"/>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9"/>
      <c r="Z608" s="2529"/>
      <c r="AA608" s="2529"/>
      <c r="AB608" s="2529"/>
      <c r="AC608" s="2529"/>
      <c r="AD608" s="2529"/>
      <c r="AE608" s="2529"/>
      <c r="AF608" s="2529"/>
      <c r="AG608" s="2529"/>
      <c r="AH608" s="2529"/>
      <c r="AI608" s="2529"/>
      <c r="AJ608" s="2529"/>
      <c r="AK608" s="2529"/>
      <c r="AL608" s="2529"/>
      <c r="AM608" s="2530"/>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6" t="s">
        <v>591</v>
      </c>
      <c r="J614" s="2526"/>
      <c r="K614" s="2526"/>
      <c r="L614" s="2526"/>
      <c r="M614" s="2526"/>
      <c r="N614" s="2526"/>
      <c r="O614" s="2526"/>
      <c r="P614" s="2526"/>
      <c r="Q614" s="2526"/>
      <c r="R614" s="2526"/>
      <c r="S614" s="2526"/>
      <c r="T614" s="2526"/>
      <c r="U614" s="2526"/>
      <c r="V614" s="2526"/>
      <c r="W614" s="2526"/>
      <c r="X614" s="2526"/>
      <c r="Y614" s="2526"/>
      <c r="Z614" s="2526"/>
      <c r="AA614" s="2526"/>
      <c r="AB614" s="2526"/>
      <c r="AC614" s="2526"/>
      <c r="AD614" s="2526"/>
      <c r="AE614" s="2526"/>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9" t="s">
        <v>591</v>
      </c>
      <c r="C616" s="2469"/>
      <c r="D616" s="642"/>
      <c r="E616" s="2496" t="s">
        <v>1403</v>
      </c>
      <c r="F616" s="2496"/>
      <c r="G616" s="2496"/>
      <c r="H616" s="2496"/>
      <c r="I616" s="2496"/>
      <c r="J616" s="2496"/>
      <c r="K616" s="2496"/>
      <c r="L616" s="2496"/>
      <c r="M616" s="2496"/>
      <c r="N616" s="2496"/>
      <c r="O616" s="2496"/>
      <c r="P616" s="2496"/>
      <c r="Q616" s="2496"/>
      <c r="R616" s="2496"/>
      <c r="S616" s="2496"/>
      <c r="T616" s="2496"/>
      <c r="U616" s="2496"/>
      <c r="V616" s="2496"/>
      <c r="W616" s="2496"/>
      <c r="X616" s="2496"/>
      <c r="Y616" s="2496"/>
      <c r="Z616" s="2496"/>
      <c r="AA616" s="2496"/>
      <c r="AB616" s="2496"/>
      <c r="AC616" s="2496"/>
      <c r="AD616" s="2496"/>
      <c r="AE616" s="2496"/>
      <c r="AF616" s="2496"/>
      <c r="AG616" s="2496"/>
      <c r="AH616" s="642"/>
      <c r="AI616" s="642"/>
      <c r="AJ616" s="642"/>
      <c r="AK616" s="642"/>
      <c r="AL616" s="642"/>
      <c r="AN616" s="597"/>
    </row>
    <row r="617" spans="1:42" s="550" customFormat="1" ht="12.75" customHeight="1">
      <c r="B617" s="536"/>
      <c r="C617" s="933"/>
      <c r="D617" s="642"/>
      <c r="E617" s="2496"/>
      <c r="F617" s="2496"/>
      <c r="G617" s="2496"/>
      <c r="H617" s="2496"/>
      <c r="I617" s="2496"/>
      <c r="J617" s="2496"/>
      <c r="K617" s="2496"/>
      <c r="L617" s="2496"/>
      <c r="M617" s="2496"/>
      <c r="N617" s="2496"/>
      <c r="O617" s="2496"/>
      <c r="P617" s="2496"/>
      <c r="Q617" s="2496"/>
      <c r="R617" s="2496"/>
      <c r="S617" s="2496"/>
      <c r="T617" s="2496"/>
      <c r="U617" s="2496"/>
      <c r="V617" s="2496"/>
      <c r="W617" s="2496"/>
      <c r="X617" s="2496"/>
      <c r="Y617" s="2496"/>
      <c r="Z617" s="2496"/>
      <c r="AA617" s="2496"/>
      <c r="AB617" s="2496"/>
      <c r="AC617" s="2496"/>
      <c r="AD617" s="2496"/>
      <c r="AE617" s="2496"/>
      <c r="AF617" s="2496"/>
      <c r="AG617" s="2496"/>
      <c r="AH617" s="642"/>
      <c r="AI617" s="642"/>
      <c r="AJ617" s="642"/>
      <c r="AK617" s="642"/>
      <c r="AL617" s="642"/>
      <c r="AN617" s="597"/>
    </row>
    <row r="618" spans="1:42" s="550" customFormat="1" ht="12.75" customHeight="1">
      <c r="B618" s="536"/>
      <c r="C618" s="933"/>
      <c r="D618" s="642"/>
      <c r="E618" s="2496"/>
      <c r="F618" s="2496"/>
      <c r="G618" s="2496"/>
      <c r="H618" s="2496"/>
      <c r="I618" s="2496"/>
      <c r="J618" s="2496"/>
      <c r="K618" s="2496"/>
      <c r="L618" s="2496"/>
      <c r="M618" s="2496"/>
      <c r="N618" s="2496"/>
      <c r="O618" s="2496"/>
      <c r="P618" s="2496"/>
      <c r="Q618" s="2496"/>
      <c r="R618" s="2496"/>
      <c r="S618" s="2496"/>
      <c r="T618" s="2496"/>
      <c r="U618" s="2496"/>
      <c r="V618" s="2496"/>
      <c r="W618" s="2496"/>
      <c r="X618" s="2496"/>
      <c r="Y618" s="2496"/>
      <c r="Z618" s="2496"/>
      <c r="AA618" s="2496"/>
      <c r="AB618" s="2496"/>
      <c r="AC618" s="2496"/>
      <c r="AD618" s="2496"/>
      <c r="AE618" s="2496"/>
      <c r="AF618" s="2496"/>
      <c r="AG618" s="2496"/>
      <c r="AH618" s="642"/>
      <c r="AI618" s="642"/>
      <c r="AJ618" s="642"/>
      <c r="AK618" s="642"/>
      <c r="AL618" s="642"/>
      <c r="AN618" s="597"/>
    </row>
    <row r="619" spans="1:42" s="550" customFormat="1" ht="12.75" customHeight="1">
      <c r="B619" s="536"/>
      <c r="C619" s="933"/>
      <c r="D619" s="642"/>
      <c r="E619" s="2496"/>
      <c r="F619" s="2496"/>
      <c r="G619" s="2496"/>
      <c r="H619" s="2496"/>
      <c r="I619" s="2496"/>
      <c r="J619" s="2496"/>
      <c r="K619" s="2496"/>
      <c r="L619" s="2496"/>
      <c r="M619" s="2496"/>
      <c r="N619" s="2496"/>
      <c r="O619" s="2496"/>
      <c r="P619" s="2496"/>
      <c r="Q619" s="2496"/>
      <c r="R619" s="2496"/>
      <c r="S619" s="2496"/>
      <c r="T619" s="2496"/>
      <c r="U619" s="2496"/>
      <c r="V619" s="2496"/>
      <c r="W619" s="2496"/>
      <c r="X619" s="2496"/>
      <c r="Y619" s="2496"/>
      <c r="Z619" s="2496"/>
      <c r="AA619" s="2496"/>
      <c r="AB619" s="2496"/>
      <c r="AC619" s="2496"/>
      <c r="AD619" s="2496"/>
      <c r="AE619" s="2496"/>
      <c r="AF619" s="2496"/>
      <c r="AG619" s="249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6">
        <f>VLOOKUP($H$606,$AO$586:$AP$591,2,FALSE)+IF(R606=AO594,0,VLOOKUP($I$614,$AO$613:$AP$615,2,FALSE))</f>
        <v>4</v>
      </c>
      <c r="AK621" s="247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4" t="s">
        <v>1694</v>
      </c>
      <c r="F625" s="2524"/>
      <c r="G625" s="2524"/>
      <c r="H625" s="2524"/>
      <c r="I625" s="2524"/>
      <c r="J625" s="2524"/>
      <c r="K625" s="2524"/>
      <c r="L625" s="2524"/>
      <c r="M625" s="2524"/>
      <c r="N625" s="2524"/>
      <c r="O625" s="2524"/>
      <c r="P625" s="2524"/>
      <c r="Q625" s="2524"/>
      <c r="R625" s="2524"/>
      <c r="S625" s="2524"/>
      <c r="T625" s="2524"/>
      <c r="U625" s="2524"/>
      <c r="V625" s="2524"/>
      <c r="W625" s="2524"/>
      <c r="X625" s="2524"/>
      <c r="Y625" s="2524"/>
      <c r="Z625" s="2524"/>
      <c r="AA625" s="2524"/>
      <c r="AB625" s="2524"/>
      <c r="AC625" s="2524"/>
      <c r="AD625" s="2524"/>
      <c r="AE625" s="539"/>
      <c r="AF625" s="2441" t="s">
        <v>1352</v>
      </c>
      <c r="AG625" s="2441"/>
      <c r="AH625" s="2441"/>
      <c r="AI625" s="2441"/>
      <c r="AJ625" s="2441"/>
      <c r="AK625" s="2441"/>
      <c r="AL625" s="2441"/>
      <c r="AM625" s="550"/>
      <c r="AN625" s="678"/>
    </row>
    <row r="626" spans="1:42" s="550" customFormat="1" ht="12.75" customHeight="1">
      <c r="A626" s="679"/>
      <c r="B626" s="536"/>
      <c r="C626" s="933"/>
      <c r="D626" s="663"/>
      <c r="E626" s="2524"/>
      <c r="F626" s="2524"/>
      <c r="G626" s="2524"/>
      <c r="H626" s="2524"/>
      <c r="I626" s="2524"/>
      <c r="J626" s="2524"/>
      <c r="K626" s="2524"/>
      <c r="L626" s="2524"/>
      <c r="M626" s="2524"/>
      <c r="N626" s="2524"/>
      <c r="O626" s="2524"/>
      <c r="P626" s="2524"/>
      <c r="Q626" s="2524"/>
      <c r="R626" s="2524"/>
      <c r="S626" s="2524"/>
      <c r="T626" s="2524"/>
      <c r="U626" s="2524"/>
      <c r="V626" s="2524"/>
      <c r="W626" s="2524"/>
      <c r="X626" s="2524"/>
      <c r="Y626" s="2524"/>
      <c r="Z626" s="2524"/>
      <c r="AA626" s="2524"/>
      <c r="AB626" s="2524"/>
      <c r="AC626" s="2524"/>
      <c r="AD626" s="2524"/>
      <c r="AE626" s="536"/>
      <c r="AF626" s="536"/>
      <c r="AG626" s="536"/>
      <c r="AH626" s="536"/>
      <c r="AI626" s="536"/>
      <c r="AJ626" s="536"/>
      <c r="AK626" s="536"/>
      <c r="AL626" s="536"/>
      <c r="AN626" s="597"/>
    </row>
    <row r="627" spans="1:42" s="550" customFormat="1" ht="12.75" customHeight="1">
      <c r="B627" s="536"/>
      <c r="C627" s="931"/>
      <c r="D627" s="663"/>
      <c r="E627" s="2524"/>
      <c r="F627" s="2524"/>
      <c r="G627" s="2524"/>
      <c r="H627" s="2524"/>
      <c r="I627" s="2524"/>
      <c r="J627" s="2524"/>
      <c r="K627" s="2524"/>
      <c r="L627" s="2524"/>
      <c r="M627" s="2524"/>
      <c r="N627" s="2524"/>
      <c r="O627" s="2524"/>
      <c r="P627" s="2524"/>
      <c r="Q627" s="2524"/>
      <c r="R627" s="2524"/>
      <c r="S627" s="2524"/>
      <c r="T627" s="2524"/>
      <c r="U627" s="2524"/>
      <c r="V627" s="2524"/>
      <c r="W627" s="2524"/>
      <c r="X627" s="2524"/>
      <c r="Y627" s="2524"/>
      <c r="Z627" s="2524"/>
      <c r="AA627" s="2524"/>
      <c r="AB627" s="2524"/>
      <c r="AC627" s="2524"/>
      <c r="AD627" s="2524"/>
      <c r="AE627" s="536"/>
      <c r="AF627" s="536"/>
      <c r="AG627" s="536"/>
      <c r="AH627" s="536"/>
      <c r="AI627" s="536"/>
      <c r="AJ627" s="536"/>
      <c r="AK627" s="536"/>
      <c r="AL627" s="536"/>
      <c r="AN627" s="597"/>
    </row>
    <row r="628" spans="1:42" s="550" customFormat="1" ht="12.75" customHeight="1">
      <c r="B628" s="536"/>
      <c r="C628" s="931"/>
      <c r="D628" s="663"/>
      <c r="E628" s="2524"/>
      <c r="F628" s="2524"/>
      <c r="G628" s="2524"/>
      <c r="H628" s="2524"/>
      <c r="I628" s="2524"/>
      <c r="J628" s="2524"/>
      <c r="K628" s="2524"/>
      <c r="L628" s="2524"/>
      <c r="M628" s="2524"/>
      <c r="N628" s="2524"/>
      <c r="O628" s="2524"/>
      <c r="P628" s="2524"/>
      <c r="Q628" s="2524"/>
      <c r="R628" s="2524"/>
      <c r="S628" s="2524"/>
      <c r="T628" s="2524"/>
      <c r="U628" s="2524"/>
      <c r="V628" s="2524"/>
      <c r="W628" s="2524"/>
      <c r="X628" s="2524"/>
      <c r="Y628" s="2524"/>
      <c r="Z628" s="2524"/>
      <c r="AA628" s="2524"/>
      <c r="AB628" s="2524"/>
      <c r="AC628" s="2524"/>
      <c r="AD628" s="2524"/>
      <c r="AE628" s="536"/>
      <c r="AF628" s="536"/>
      <c r="AG628" s="536"/>
      <c r="AH628" s="536"/>
      <c r="AI628" s="536"/>
      <c r="AJ628" s="536"/>
      <c r="AK628" s="536"/>
      <c r="AL628" s="536"/>
      <c r="AN628" s="597"/>
    </row>
    <row r="629" spans="1:42" s="550" customFormat="1" ht="12.75" customHeight="1">
      <c r="B629" s="536"/>
      <c r="C629" s="931"/>
      <c r="D629" s="663"/>
      <c r="E629" s="2524"/>
      <c r="F629" s="2524"/>
      <c r="G629" s="2524"/>
      <c r="H629" s="2524"/>
      <c r="I629" s="2524"/>
      <c r="J629" s="2524"/>
      <c r="K629" s="2524"/>
      <c r="L629" s="2524"/>
      <c r="M629" s="2524"/>
      <c r="N629" s="2524"/>
      <c r="O629" s="2524"/>
      <c r="P629" s="2524"/>
      <c r="Q629" s="2524"/>
      <c r="R629" s="2524"/>
      <c r="S629" s="2524"/>
      <c r="T629" s="2524"/>
      <c r="U629" s="2524"/>
      <c r="V629" s="2524"/>
      <c r="W629" s="2524"/>
      <c r="X629" s="2524"/>
      <c r="Y629" s="2524"/>
      <c r="Z629" s="2524"/>
      <c r="AA629" s="2524"/>
      <c r="AB629" s="2524"/>
      <c r="AC629" s="2524"/>
      <c r="AD629" s="2524"/>
      <c r="AE629" s="536"/>
      <c r="AF629" s="536"/>
      <c r="AG629" s="536"/>
      <c r="AH629" s="536"/>
      <c r="AI629" s="536"/>
      <c r="AJ629" s="536"/>
      <c r="AK629" s="536"/>
      <c r="AL629" s="536"/>
      <c r="AN629" s="597"/>
    </row>
    <row r="630" spans="1:42" s="550" customFormat="1" ht="12.75" customHeight="1">
      <c r="B630" s="536"/>
      <c r="C630" s="931"/>
      <c r="D630" s="663"/>
      <c r="E630" s="2524"/>
      <c r="F630" s="2524"/>
      <c r="G630" s="2524"/>
      <c r="H630" s="2524"/>
      <c r="I630" s="2524"/>
      <c r="J630" s="2524"/>
      <c r="K630" s="2524"/>
      <c r="L630" s="2524"/>
      <c r="M630" s="2524"/>
      <c r="N630" s="2524"/>
      <c r="O630" s="2524"/>
      <c r="P630" s="2524"/>
      <c r="Q630" s="2524"/>
      <c r="R630" s="2524"/>
      <c r="S630" s="2524"/>
      <c r="T630" s="2524"/>
      <c r="U630" s="2524"/>
      <c r="V630" s="2524"/>
      <c r="W630" s="2524"/>
      <c r="X630" s="2524"/>
      <c r="Y630" s="2524"/>
      <c r="Z630" s="2524"/>
      <c r="AA630" s="2524"/>
      <c r="AB630" s="2524"/>
      <c r="AC630" s="2524"/>
      <c r="AD630" s="2524"/>
      <c r="AE630" s="536"/>
      <c r="AF630" s="536"/>
      <c r="AG630" s="536"/>
      <c r="AH630" s="536"/>
      <c r="AI630" s="536"/>
      <c r="AJ630" s="536"/>
      <c r="AK630" s="536"/>
      <c r="AL630" s="536"/>
      <c r="AN630" s="597"/>
    </row>
    <row r="631" spans="1:42" s="550" customFormat="1" ht="12.75" customHeight="1">
      <c r="A631" s="637"/>
      <c r="B631" s="616"/>
      <c r="C631" s="940"/>
      <c r="D631" s="663"/>
      <c r="E631" s="2524"/>
      <c r="F631" s="2524"/>
      <c r="G631" s="2524"/>
      <c r="H631" s="2524"/>
      <c r="I631" s="2524"/>
      <c r="J631" s="2524"/>
      <c r="K631" s="2524"/>
      <c r="L631" s="2524"/>
      <c r="M631" s="2524"/>
      <c r="N631" s="2524"/>
      <c r="O631" s="2524"/>
      <c r="P631" s="2524"/>
      <c r="Q631" s="2524"/>
      <c r="R631" s="2524"/>
      <c r="S631" s="2524"/>
      <c r="T631" s="2524"/>
      <c r="U631" s="2524"/>
      <c r="V631" s="2524"/>
      <c r="W631" s="2524"/>
      <c r="X631" s="2524"/>
      <c r="Y631" s="2524"/>
      <c r="Z631" s="2524"/>
      <c r="AA631" s="2524"/>
      <c r="AB631" s="2524"/>
      <c r="AC631" s="2524"/>
      <c r="AD631" s="2524"/>
      <c r="AE631" s="616"/>
      <c r="AF631" s="616"/>
      <c r="AG631" s="616"/>
      <c r="AH631" s="616"/>
      <c r="AI631" s="616"/>
      <c r="AJ631" s="616"/>
      <c r="AK631" s="536"/>
      <c r="AL631" s="536"/>
      <c r="AN631" s="597"/>
    </row>
    <row r="632" spans="1:42" s="550" customFormat="1" ht="12.75" customHeight="1">
      <c r="B632" s="616"/>
      <c r="C632" s="940"/>
      <c r="D632" s="663"/>
      <c r="E632" s="2524"/>
      <c r="F632" s="2524"/>
      <c r="G632" s="2524"/>
      <c r="H632" s="2524"/>
      <c r="I632" s="2524"/>
      <c r="J632" s="2524"/>
      <c r="K632" s="2524"/>
      <c r="L632" s="2524"/>
      <c r="M632" s="2524"/>
      <c r="N632" s="2524"/>
      <c r="O632" s="2524"/>
      <c r="P632" s="2524"/>
      <c r="Q632" s="2524"/>
      <c r="R632" s="2524"/>
      <c r="S632" s="2524"/>
      <c r="T632" s="2524"/>
      <c r="U632" s="2524"/>
      <c r="V632" s="2524"/>
      <c r="W632" s="2524"/>
      <c r="X632" s="2524"/>
      <c r="Y632" s="2524"/>
      <c r="Z632" s="2524"/>
      <c r="AA632" s="2524"/>
      <c r="AB632" s="2524"/>
      <c r="AC632" s="2524"/>
      <c r="AD632" s="252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9" t="s">
        <v>591</v>
      </c>
      <c r="Y634" s="2469"/>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1" t="s">
        <v>1408</v>
      </c>
      <c r="AG636" s="2441"/>
      <c r="AH636" s="2441"/>
      <c r="AI636" s="2441"/>
      <c r="AJ636" s="2441"/>
      <c r="AK636" s="2441"/>
      <c r="AL636" s="2441"/>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5" t="s">
        <v>687</v>
      </c>
      <c r="I638" s="252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6">
        <f>VLOOKUP($H$638,$AO$605:$AP$607,2,FALSE)</f>
        <v>3</v>
      </c>
      <c r="AK640" s="247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6" t="s">
        <v>2098</v>
      </c>
      <c r="F644" s="2496"/>
      <c r="G644" s="2496"/>
      <c r="H644" s="2496"/>
      <c r="I644" s="2496"/>
      <c r="J644" s="2496"/>
      <c r="K644" s="2496"/>
      <c r="L644" s="2496"/>
      <c r="M644" s="2496"/>
      <c r="N644" s="2496"/>
      <c r="O644" s="2496"/>
      <c r="P644" s="2496"/>
      <c r="Q644" s="2496"/>
      <c r="R644" s="2496"/>
      <c r="S644" s="2496"/>
      <c r="T644" s="2496"/>
      <c r="U644" s="2496"/>
      <c r="V644" s="2496"/>
      <c r="W644" s="2496"/>
      <c r="X644" s="2496"/>
      <c r="Y644" s="2496"/>
      <c r="Z644" s="2496"/>
      <c r="AA644" s="2496"/>
      <c r="AB644" s="2496"/>
      <c r="AC644" s="2496"/>
      <c r="AD644" s="2496"/>
      <c r="AE644" s="536"/>
      <c r="AF644" s="2441" t="s">
        <v>1352</v>
      </c>
      <c r="AG644" s="2441"/>
      <c r="AH644" s="2441"/>
      <c r="AI644" s="2441"/>
      <c r="AJ644" s="2441"/>
      <c r="AK644" s="2441"/>
      <c r="AL644" s="2441"/>
      <c r="AN644" s="597"/>
    </row>
    <row r="645" spans="1:42" s="550" customFormat="1" ht="12.75" customHeight="1">
      <c r="B645" s="536"/>
      <c r="C645" s="536"/>
      <c r="D645" s="663"/>
      <c r="E645" s="2496"/>
      <c r="F645" s="2496"/>
      <c r="G645" s="2496"/>
      <c r="H645" s="2496"/>
      <c r="I645" s="2496"/>
      <c r="J645" s="2496"/>
      <c r="K645" s="2496"/>
      <c r="L645" s="2496"/>
      <c r="M645" s="2496"/>
      <c r="N645" s="2496"/>
      <c r="O645" s="2496"/>
      <c r="P645" s="2496"/>
      <c r="Q645" s="2496"/>
      <c r="R645" s="2496"/>
      <c r="S645" s="2496"/>
      <c r="T645" s="2496"/>
      <c r="U645" s="2496"/>
      <c r="V645" s="2496"/>
      <c r="W645" s="2496"/>
      <c r="X645" s="2496"/>
      <c r="Y645" s="2496"/>
      <c r="Z645" s="2496"/>
      <c r="AA645" s="2496"/>
      <c r="AB645" s="2496"/>
      <c r="AC645" s="2496"/>
      <c r="AD645" s="249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1" t="s">
        <v>1408</v>
      </c>
      <c r="AG647" s="2441"/>
      <c r="AH647" s="2441"/>
      <c r="AI647" s="2441"/>
      <c r="AJ647" s="2441"/>
      <c r="AK647" s="2441"/>
      <c r="AL647" s="2441"/>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5" t="s">
        <v>591</v>
      </c>
      <c r="I650" s="252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6">
        <f>VLOOKUP(H650,AT605:AU607,2,FALSE)</f>
        <v>0</v>
      </c>
      <c r="AK652" s="247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6" t="s">
        <v>1418</v>
      </c>
      <c r="F657" s="2496"/>
      <c r="G657" s="2496"/>
      <c r="H657" s="2496"/>
      <c r="I657" s="2496"/>
      <c r="J657" s="2496"/>
      <c r="K657" s="2496"/>
      <c r="L657" s="2496"/>
      <c r="M657" s="2496"/>
      <c r="N657" s="2496"/>
      <c r="O657" s="2496"/>
      <c r="P657" s="2496"/>
      <c r="Q657" s="2496"/>
      <c r="R657" s="2496"/>
      <c r="S657" s="2496"/>
      <c r="T657" s="2496"/>
      <c r="U657" s="2496"/>
      <c r="V657" s="2496"/>
      <c r="W657" s="2496"/>
      <c r="X657" s="2496"/>
      <c r="Y657" s="2496"/>
      <c r="Z657" s="2496"/>
      <c r="AA657" s="2496"/>
      <c r="AB657" s="2496"/>
      <c r="AC657" s="2496"/>
      <c r="AD657" s="536"/>
      <c r="AE657" s="536"/>
      <c r="AF657" s="2441" t="s">
        <v>1378</v>
      </c>
      <c r="AG657" s="2441"/>
      <c r="AH657" s="2441"/>
      <c r="AI657" s="2441"/>
      <c r="AJ657" s="2441"/>
      <c r="AK657" s="2441"/>
      <c r="AL657" s="2441"/>
      <c r="AN657" s="597"/>
    </row>
    <row r="658" spans="1:42" s="550" customFormat="1" ht="12.75" customHeight="1">
      <c r="B658" s="536"/>
      <c r="C658" s="539"/>
      <c r="D658" s="536"/>
      <c r="E658" s="2496"/>
      <c r="F658" s="2496"/>
      <c r="G658" s="2496"/>
      <c r="H658" s="2496"/>
      <c r="I658" s="2496"/>
      <c r="J658" s="2496"/>
      <c r="K658" s="2496"/>
      <c r="L658" s="2496"/>
      <c r="M658" s="2496"/>
      <c r="N658" s="2496"/>
      <c r="O658" s="2496"/>
      <c r="P658" s="2496"/>
      <c r="Q658" s="2496"/>
      <c r="R658" s="2496"/>
      <c r="S658" s="2496"/>
      <c r="T658" s="2496"/>
      <c r="U658" s="2496"/>
      <c r="V658" s="2496"/>
      <c r="W658" s="2496"/>
      <c r="X658" s="2496"/>
      <c r="Y658" s="2496"/>
      <c r="Z658" s="2496"/>
      <c r="AA658" s="2496"/>
      <c r="AB658" s="2496"/>
      <c r="AC658" s="2496"/>
      <c r="AD658" s="536"/>
      <c r="AE658" s="536"/>
      <c r="AF658" s="536"/>
      <c r="AG658" s="536"/>
      <c r="AH658" s="536"/>
      <c r="AI658" s="536"/>
      <c r="AJ658" s="536"/>
      <c r="AK658" s="536"/>
      <c r="AL658" s="536"/>
      <c r="AN658" s="597"/>
    </row>
    <row r="659" spans="1:42" s="550" customFormat="1" ht="12.75" customHeight="1">
      <c r="B659" s="536"/>
      <c r="C659" s="539"/>
      <c r="D659" s="663"/>
      <c r="E659" s="2496"/>
      <c r="F659" s="2496"/>
      <c r="G659" s="2496"/>
      <c r="H659" s="2496"/>
      <c r="I659" s="2496"/>
      <c r="J659" s="2496"/>
      <c r="K659" s="2496"/>
      <c r="L659" s="2496"/>
      <c r="M659" s="2496"/>
      <c r="N659" s="2496"/>
      <c r="O659" s="2496"/>
      <c r="P659" s="2496"/>
      <c r="Q659" s="2496"/>
      <c r="R659" s="2496"/>
      <c r="S659" s="2496"/>
      <c r="T659" s="2496"/>
      <c r="U659" s="2496"/>
      <c r="V659" s="2496"/>
      <c r="W659" s="2496"/>
      <c r="X659" s="2496"/>
      <c r="Y659" s="2496"/>
      <c r="Z659" s="2496"/>
      <c r="AA659" s="2496"/>
      <c r="AB659" s="2496"/>
      <c r="AC659" s="249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6" t="s">
        <v>1419</v>
      </c>
      <c r="F661" s="2496"/>
      <c r="G661" s="2496"/>
      <c r="H661" s="2496"/>
      <c r="I661" s="2496"/>
      <c r="J661" s="2496"/>
      <c r="K661" s="2496"/>
      <c r="L661" s="2496"/>
      <c r="M661" s="2496"/>
      <c r="N661" s="2496"/>
      <c r="O661" s="2496"/>
      <c r="P661" s="2496"/>
      <c r="Q661" s="2496"/>
      <c r="R661" s="2496"/>
      <c r="S661" s="2496"/>
      <c r="T661" s="2496"/>
      <c r="U661" s="2496"/>
      <c r="V661" s="2496"/>
      <c r="W661" s="2496"/>
      <c r="X661" s="2496"/>
      <c r="Y661" s="2496"/>
      <c r="Z661" s="2496"/>
      <c r="AA661" s="2496"/>
      <c r="AB661" s="2496"/>
      <c r="AC661" s="2496"/>
      <c r="AD661" s="536"/>
      <c r="AE661" s="536"/>
      <c r="AF661" s="2441" t="s">
        <v>1399</v>
      </c>
      <c r="AG661" s="2441"/>
      <c r="AH661" s="2441"/>
      <c r="AI661" s="2441"/>
      <c r="AJ661" s="2441"/>
      <c r="AK661" s="2441"/>
      <c r="AL661" s="2441"/>
      <c r="AN661" s="597"/>
    </row>
    <row r="662" spans="1:42" s="550" customFormat="1" ht="12.75" customHeight="1">
      <c r="B662" s="536"/>
      <c r="C662" s="539"/>
      <c r="D662" s="536"/>
      <c r="E662" s="2496"/>
      <c r="F662" s="2496"/>
      <c r="G662" s="2496"/>
      <c r="H662" s="2496"/>
      <c r="I662" s="2496"/>
      <c r="J662" s="2496"/>
      <c r="K662" s="2496"/>
      <c r="L662" s="2496"/>
      <c r="M662" s="2496"/>
      <c r="N662" s="2496"/>
      <c r="O662" s="2496"/>
      <c r="P662" s="2496"/>
      <c r="Q662" s="2496"/>
      <c r="R662" s="2496"/>
      <c r="S662" s="2496"/>
      <c r="T662" s="2496"/>
      <c r="U662" s="2496"/>
      <c r="V662" s="2496"/>
      <c r="W662" s="2496"/>
      <c r="X662" s="2496"/>
      <c r="Y662" s="2496"/>
      <c r="Z662" s="2496"/>
      <c r="AA662" s="2496"/>
      <c r="AB662" s="2496"/>
      <c r="AC662" s="2496"/>
      <c r="AD662" s="536"/>
      <c r="AE662" s="536"/>
      <c r="AF662" s="536"/>
      <c r="AG662" s="536"/>
      <c r="AH662" s="536"/>
      <c r="AI662" s="536"/>
      <c r="AJ662" s="536"/>
      <c r="AK662" s="536"/>
      <c r="AL662" s="536"/>
      <c r="AN662" s="597"/>
    </row>
    <row r="663" spans="1:42" s="550" customFormat="1" ht="15" customHeight="1">
      <c r="B663" s="536"/>
      <c r="C663" s="539"/>
      <c r="D663" s="663"/>
      <c r="E663" s="2496"/>
      <c r="F663" s="2496"/>
      <c r="G663" s="2496"/>
      <c r="H663" s="2496"/>
      <c r="I663" s="2496"/>
      <c r="J663" s="2496"/>
      <c r="K663" s="2496"/>
      <c r="L663" s="2496"/>
      <c r="M663" s="2496"/>
      <c r="N663" s="2496"/>
      <c r="O663" s="2496"/>
      <c r="P663" s="2496"/>
      <c r="Q663" s="2496"/>
      <c r="R663" s="2496"/>
      <c r="S663" s="2496"/>
      <c r="T663" s="2496"/>
      <c r="U663" s="2496"/>
      <c r="V663" s="2496"/>
      <c r="W663" s="2496"/>
      <c r="X663" s="2496"/>
      <c r="Y663" s="2496"/>
      <c r="Z663" s="2496"/>
      <c r="AA663" s="2496"/>
      <c r="AB663" s="2496"/>
      <c r="AC663" s="249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6" t="s">
        <v>1420</v>
      </c>
      <c r="F665" s="2496"/>
      <c r="G665" s="2496"/>
      <c r="H665" s="2496"/>
      <c r="I665" s="2496"/>
      <c r="J665" s="2496"/>
      <c r="K665" s="2496"/>
      <c r="L665" s="2496"/>
      <c r="M665" s="2496"/>
      <c r="N665" s="2496"/>
      <c r="O665" s="2496"/>
      <c r="P665" s="2496"/>
      <c r="Q665" s="2496"/>
      <c r="R665" s="2496"/>
      <c r="S665" s="2496"/>
      <c r="T665" s="2496"/>
      <c r="U665" s="2496"/>
      <c r="V665" s="2496"/>
      <c r="W665" s="2496"/>
      <c r="X665" s="2496"/>
      <c r="Y665" s="2496"/>
      <c r="Z665" s="2496"/>
      <c r="AA665" s="2496"/>
      <c r="AB665" s="2496"/>
      <c r="AC665" s="2496"/>
      <c r="AD665" s="536"/>
      <c r="AE665" s="536"/>
      <c r="AF665" s="2441" t="s">
        <v>1352</v>
      </c>
      <c r="AG665" s="2441"/>
      <c r="AH665" s="2441"/>
      <c r="AI665" s="2441"/>
      <c r="AJ665" s="2441"/>
      <c r="AK665" s="2441"/>
      <c r="AL665" s="2441"/>
      <c r="AN665" s="597"/>
    </row>
    <row r="666" spans="1:42" s="550" customFormat="1" ht="12.75" customHeight="1">
      <c r="B666" s="536"/>
      <c r="C666" s="931"/>
      <c r="D666" s="536"/>
      <c r="E666" s="2496"/>
      <c r="F666" s="2496"/>
      <c r="G666" s="2496"/>
      <c r="H666" s="2496"/>
      <c r="I666" s="2496"/>
      <c r="J666" s="2496"/>
      <c r="K666" s="2496"/>
      <c r="L666" s="2496"/>
      <c r="M666" s="2496"/>
      <c r="N666" s="2496"/>
      <c r="O666" s="2496"/>
      <c r="P666" s="2496"/>
      <c r="Q666" s="2496"/>
      <c r="R666" s="2496"/>
      <c r="S666" s="2496"/>
      <c r="T666" s="2496"/>
      <c r="U666" s="2496"/>
      <c r="V666" s="2496"/>
      <c r="W666" s="2496"/>
      <c r="X666" s="2496"/>
      <c r="Y666" s="2496"/>
      <c r="Z666" s="2496"/>
      <c r="AA666" s="2496"/>
      <c r="AB666" s="2496"/>
      <c r="AC666" s="2496"/>
      <c r="AD666" s="536"/>
      <c r="AE666" s="2441"/>
      <c r="AF666" s="2441"/>
      <c r="AG666" s="2441"/>
      <c r="AH666" s="2441"/>
      <c r="AI666" s="2441"/>
      <c r="AJ666" s="2441"/>
      <c r="AK666" s="2441"/>
      <c r="AL666" s="594"/>
      <c r="AN666" s="597"/>
      <c r="AO666" s="550" t="s">
        <v>591</v>
      </c>
      <c r="AP666" s="673">
        <v>0</v>
      </c>
    </row>
    <row r="667" spans="1:42" s="550" customFormat="1" ht="12.75" customHeight="1">
      <c r="A667" s="679"/>
      <c r="B667" s="536"/>
      <c r="C667" s="536"/>
      <c r="D667" s="663"/>
      <c r="E667" s="2496"/>
      <c r="F667" s="2496"/>
      <c r="G667" s="2496"/>
      <c r="H667" s="2496"/>
      <c r="I667" s="2496"/>
      <c r="J667" s="2496"/>
      <c r="K667" s="2496"/>
      <c r="L667" s="2496"/>
      <c r="M667" s="2496"/>
      <c r="N667" s="2496"/>
      <c r="O667" s="2496"/>
      <c r="P667" s="2496"/>
      <c r="Q667" s="2496"/>
      <c r="R667" s="2496"/>
      <c r="S667" s="2496"/>
      <c r="T667" s="2496"/>
      <c r="U667" s="2496"/>
      <c r="V667" s="2496"/>
      <c r="W667" s="2496"/>
      <c r="X667" s="2496"/>
      <c r="Y667" s="2496"/>
      <c r="Z667" s="2496"/>
      <c r="AA667" s="2496"/>
      <c r="AB667" s="2496"/>
      <c r="AC667" s="2496"/>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6" t="s">
        <v>1421</v>
      </c>
      <c r="F669" s="2496"/>
      <c r="G669" s="2496"/>
      <c r="H669" s="2496"/>
      <c r="I669" s="2496"/>
      <c r="J669" s="2496"/>
      <c r="K669" s="2496"/>
      <c r="L669" s="2496"/>
      <c r="M669" s="2496"/>
      <c r="N669" s="2496"/>
      <c r="O669" s="2496"/>
      <c r="P669" s="2496"/>
      <c r="Q669" s="2496"/>
      <c r="R669" s="2496"/>
      <c r="S669" s="2496"/>
      <c r="T669" s="2496"/>
      <c r="U669" s="2496"/>
      <c r="V669" s="2496"/>
      <c r="W669" s="2496"/>
      <c r="X669" s="2496"/>
      <c r="Y669" s="2496"/>
      <c r="Z669" s="2496"/>
      <c r="AA669" s="2496"/>
      <c r="AB669" s="2496"/>
      <c r="AC669" s="2496"/>
      <c r="AD669" s="536"/>
      <c r="AE669" s="536"/>
      <c r="AF669" s="2441" t="s">
        <v>1399</v>
      </c>
      <c r="AG669" s="2441"/>
      <c r="AH669" s="2441"/>
      <c r="AI669" s="2441"/>
      <c r="AJ669" s="2441"/>
      <c r="AK669" s="2441"/>
      <c r="AL669" s="2441"/>
      <c r="AN669" s="597"/>
    </row>
    <row r="670" spans="1:42" s="550" customFormat="1" ht="12.75" customHeight="1">
      <c r="A670" s="670"/>
      <c r="B670" s="536"/>
      <c r="C670" s="947"/>
      <c r="D670" s="663"/>
      <c r="E670" s="2496"/>
      <c r="F670" s="2496"/>
      <c r="G670" s="2496"/>
      <c r="H670" s="2496"/>
      <c r="I670" s="2496"/>
      <c r="J670" s="2496"/>
      <c r="K670" s="2496"/>
      <c r="L670" s="2496"/>
      <c r="M670" s="2496"/>
      <c r="N670" s="2496"/>
      <c r="O670" s="2496"/>
      <c r="P670" s="2496"/>
      <c r="Q670" s="2496"/>
      <c r="R670" s="2496"/>
      <c r="S670" s="2496"/>
      <c r="T670" s="2496"/>
      <c r="U670" s="2496"/>
      <c r="V670" s="2496"/>
      <c r="W670" s="2496"/>
      <c r="X670" s="2496"/>
      <c r="Y670" s="2496"/>
      <c r="Z670" s="2496"/>
      <c r="AA670" s="2496"/>
      <c r="AB670" s="2496"/>
      <c r="AC670" s="249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6"/>
      <c r="F671" s="2496"/>
      <c r="G671" s="2496"/>
      <c r="H671" s="2496"/>
      <c r="I671" s="2496"/>
      <c r="J671" s="2496"/>
      <c r="K671" s="2496"/>
      <c r="L671" s="2496"/>
      <c r="M671" s="2496"/>
      <c r="N671" s="2496"/>
      <c r="O671" s="2496"/>
      <c r="P671" s="2496"/>
      <c r="Q671" s="2496"/>
      <c r="R671" s="2496"/>
      <c r="S671" s="2496"/>
      <c r="T671" s="2496"/>
      <c r="U671" s="2496"/>
      <c r="V671" s="2496"/>
      <c r="W671" s="2496"/>
      <c r="X671" s="2496"/>
      <c r="Y671" s="2496"/>
      <c r="Z671" s="2496"/>
      <c r="AA671" s="2496"/>
      <c r="AB671" s="2496"/>
      <c r="AC671" s="249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6" t="s">
        <v>1422</v>
      </c>
      <c r="F673" s="2496"/>
      <c r="G673" s="2496"/>
      <c r="H673" s="2496"/>
      <c r="I673" s="2496"/>
      <c r="J673" s="2496"/>
      <c r="K673" s="2496"/>
      <c r="L673" s="2496"/>
      <c r="M673" s="2496"/>
      <c r="N673" s="2496"/>
      <c r="O673" s="2496"/>
      <c r="P673" s="2496"/>
      <c r="Q673" s="2496"/>
      <c r="R673" s="2496"/>
      <c r="S673" s="2496"/>
      <c r="T673" s="2496"/>
      <c r="U673" s="2496"/>
      <c r="V673" s="2496"/>
      <c r="W673" s="2496"/>
      <c r="X673" s="2496"/>
      <c r="Y673" s="2496"/>
      <c r="Z673" s="2496"/>
      <c r="AA673" s="2496"/>
      <c r="AB673" s="2496"/>
      <c r="AC673" s="2496"/>
      <c r="AD673" s="536"/>
      <c r="AE673" s="536"/>
      <c r="AF673" s="2441" t="s">
        <v>1352</v>
      </c>
      <c r="AG673" s="2441"/>
      <c r="AH673" s="2441"/>
      <c r="AI673" s="2441"/>
      <c r="AJ673" s="2441"/>
      <c r="AK673" s="2441"/>
      <c r="AL673" s="2441"/>
      <c r="AM673" s="596"/>
      <c r="AN673" s="597"/>
    </row>
    <row r="674" spans="1:42" s="550" customFormat="1" ht="12.75" customHeight="1">
      <c r="B674" s="536"/>
      <c r="C674" s="931"/>
      <c r="D674" s="663"/>
      <c r="E674" s="2496"/>
      <c r="F674" s="2496"/>
      <c r="G674" s="2496"/>
      <c r="H674" s="2496"/>
      <c r="I674" s="2496"/>
      <c r="J674" s="2496"/>
      <c r="K674" s="2496"/>
      <c r="L674" s="2496"/>
      <c r="M674" s="2496"/>
      <c r="N674" s="2496"/>
      <c r="O674" s="2496"/>
      <c r="P674" s="2496"/>
      <c r="Q674" s="2496"/>
      <c r="R674" s="2496"/>
      <c r="S674" s="2496"/>
      <c r="T674" s="2496"/>
      <c r="U674" s="2496"/>
      <c r="V674" s="2496"/>
      <c r="W674" s="2496"/>
      <c r="X674" s="2496"/>
      <c r="Y674" s="2496"/>
      <c r="Z674" s="2496"/>
      <c r="AA674" s="2496"/>
      <c r="AB674" s="2496"/>
      <c r="AC674" s="2496"/>
      <c r="AD674" s="536"/>
      <c r="AE674" s="536"/>
      <c r="AF674" s="536"/>
      <c r="AG674" s="536"/>
      <c r="AH674" s="536"/>
      <c r="AI674" s="536"/>
      <c r="AJ674" s="536"/>
      <c r="AK674" s="536"/>
      <c r="AL674" s="536"/>
      <c r="AM674" s="596"/>
      <c r="AN674" s="597"/>
    </row>
    <row r="675" spans="1:42" s="550" customFormat="1" ht="12.75" customHeight="1">
      <c r="B675" s="536"/>
      <c r="C675" s="931"/>
      <c r="D675" s="663"/>
      <c r="E675" s="2496"/>
      <c r="F675" s="2496"/>
      <c r="G675" s="2496"/>
      <c r="H675" s="2496"/>
      <c r="I675" s="2496"/>
      <c r="J675" s="2496"/>
      <c r="K675" s="2496"/>
      <c r="L675" s="2496"/>
      <c r="M675" s="2496"/>
      <c r="N675" s="2496"/>
      <c r="O675" s="2496"/>
      <c r="P675" s="2496"/>
      <c r="Q675" s="2496"/>
      <c r="R675" s="2496"/>
      <c r="S675" s="2496"/>
      <c r="T675" s="2496"/>
      <c r="U675" s="2496"/>
      <c r="V675" s="2496"/>
      <c r="W675" s="2496"/>
      <c r="X675" s="2496"/>
      <c r="Y675" s="2496"/>
      <c r="Z675" s="2496"/>
      <c r="AA675" s="2496"/>
      <c r="AB675" s="2496"/>
      <c r="AC675" s="249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6" t="s">
        <v>1423</v>
      </c>
      <c r="F677" s="2496"/>
      <c r="G677" s="2496"/>
      <c r="H677" s="2496"/>
      <c r="I677" s="2496"/>
      <c r="J677" s="2496"/>
      <c r="K677" s="2496"/>
      <c r="L677" s="2496"/>
      <c r="M677" s="2496"/>
      <c r="N677" s="2496"/>
      <c r="O677" s="2496"/>
      <c r="P677" s="2496"/>
      <c r="Q677" s="2496"/>
      <c r="R677" s="2496"/>
      <c r="S677" s="2496"/>
      <c r="T677" s="2496"/>
      <c r="U677" s="2496"/>
      <c r="V677" s="2496"/>
      <c r="W677" s="2496"/>
      <c r="X677" s="2496"/>
      <c r="Y677" s="2496"/>
      <c r="Z677" s="2496"/>
      <c r="AA677" s="2496"/>
      <c r="AB677" s="2496"/>
      <c r="AC677" s="2496"/>
      <c r="AD677" s="536"/>
      <c r="AE677" s="536"/>
      <c r="AF677" s="2441" t="s">
        <v>1408</v>
      </c>
      <c r="AG677" s="2441"/>
      <c r="AH677" s="2441"/>
      <c r="AI677" s="2441"/>
      <c r="AJ677" s="2441"/>
      <c r="AK677" s="2441"/>
      <c r="AL677" s="2441"/>
      <c r="AM677" s="596"/>
      <c r="AN677" s="597"/>
    </row>
    <row r="678" spans="1:42" s="550" customFormat="1" ht="12.75" customHeight="1">
      <c r="A678" s="679"/>
      <c r="B678" s="536"/>
      <c r="C678" s="931"/>
      <c r="D678" s="663"/>
      <c r="E678" s="2496"/>
      <c r="F678" s="2496"/>
      <c r="G678" s="2496"/>
      <c r="H678" s="2496"/>
      <c r="I678" s="2496"/>
      <c r="J678" s="2496"/>
      <c r="K678" s="2496"/>
      <c r="L678" s="2496"/>
      <c r="M678" s="2496"/>
      <c r="N678" s="2496"/>
      <c r="O678" s="2496"/>
      <c r="P678" s="2496"/>
      <c r="Q678" s="2496"/>
      <c r="R678" s="2496"/>
      <c r="S678" s="2496"/>
      <c r="T678" s="2496"/>
      <c r="U678" s="2496"/>
      <c r="V678" s="2496"/>
      <c r="W678" s="2496"/>
      <c r="X678" s="2496"/>
      <c r="Y678" s="2496"/>
      <c r="Z678" s="2496"/>
      <c r="AA678" s="2496"/>
      <c r="AB678" s="2496"/>
      <c r="AC678" s="249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6"/>
      <c r="F679" s="2496"/>
      <c r="G679" s="2496"/>
      <c r="H679" s="2496"/>
      <c r="I679" s="2496"/>
      <c r="J679" s="2496"/>
      <c r="K679" s="2496"/>
      <c r="L679" s="2496"/>
      <c r="M679" s="2496"/>
      <c r="N679" s="2496"/>
      <c r="O679" s="2496"/>
      <c r="P679" s="2496"/>
      <c r="Q679" s="2496"/>
      <c r="R679" s="2496"/>
      <c r="S679" s="2496"/>
      <c r="T679" s="2496"/>
      <c r="U679" s="2496"/>
      <c r="V679" s="2496"/>
      <c r="W679" s="2496"/>
      <c r="X679" s="2496"/>
      <c r="Y679" s="2496"/>
      <c r="Z679" s="2496"/>
      <c r="AA679" s="2496"/>
      <c r="AB679" s="2496"/>
      <c r="AC679" s="249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6" t="s">
        <v>1424</v>
      </c>
      <c r="F681" s="2496"/>
      <c r="G681" s="2496"/>
      <c r="H681" s="2496"/>
      <c r="I681" s="2496"/>
      <c r="J681" s="2496"/>
      <c r="K681" s="2496"/>
      <c r="L681" s="2496"/>
      <c r="M681" s="2496"/>
      <c r="N681" s="2496"/>
      <c r="O681" s="2496"/>
      <c r="P681" s="2496"/>
      <c r="Q681" s="2496"/>
      <c r="R681" s="2496"/>
      <c r="S681" s="2496"/>
      <c r="T681" s="2496"/>
      <c r="U681" s="2496"/>
      <c r="V681" s="2496"/>
      <c r="W681" s="2496"/>
      <c r="X681" s="2496"/>
      <c r="Y681" s="2496"/>
      <c r="Z681" s="2496"/>
      <c r="AA681" s="2496"/>
      <c r="AB681" s="2496"/>
      <c r="AC681" s="2496"/>
      <c r="AD681" s="536"/>
      <c r="AE681" s="536"/>
      <c r="AF681" s="2441" t="s">
        <v>1425</v>
      </c>
      <c r="AG681" s="2441"/>
      <c r="AH681" s="2441"/>
      <c r="AI681" s="2441"/>
      <c r="AJ681" s="2441"/>
      <c r="AK681" s="2441"/>
      <c r="AL681" s="2441"/>
      <c r="AM681" s="596"/>
      <c r="AN681" s="597"/>
      <c r="AO681" s="611" t="s">
        <v>687</v>
      </c>
      <c r="AP681" s="550">
        <v>3</v>
      </c>
    </row>
    <row r="682" spans="1:42" s="550" customFormat="1" ht="12.75" customHeight="1">
      <c r="A682" s="679"/>
      <c r="B682" s="536"/>
      <c r="C682" s="931"/>
      <c r="D682" s="663"/>
      <c r="E682" s="2496"/>
      <c r="F682" s="2496"/>
      <c r="G682" s="2496"/>
      <c r="H682" s="2496"/>
      <c r="I682" s="2496"/>
      <c r="J682" s="2496"/>
      <c r="K682" s="2496"/>
      <c r="L682" s="2496"/>
      <c r="M682" s="2496"/>
      <c r="N682" s="2496"/>
      <c r="O682" s="2496"/>
      <c r="P682" s="2496"/>
      <c r="Q682" s="2496"/>
      <c r="R682" s="2496"/>
      <c r="S682" s="2496"/>
      <c r="T682" s="2496"/>
      <c r="U682" s="2496"/>
      <c r="V682" s="2496"/>
      <c r="W682" s="2496"/>
      <c r="X682" s="2496"/>
      <c r="Y682" s="2496"/>
      <c r="Z682" s="2496"/>
      <c r="AA682" s="2496"/>
      <c r="AB682" s="2496"/>
      <c r="AC682" s="2496"/>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6"/>
      <c r="F683" s="2496"/>
      <c r="G683" s="2496"/>
      <c r="H683" s="2496"/>
      <c r="I683" s="2496"/>
      <c r="J683" s="2496"/>
      <c r="K683" s="2496"/>
      <c r="L683" s="2496"/>
      <c r="M683" s="2496"/>
      <c r="N683" s="2496"/>
      <c r="O683" s="2496"/>
      <c r="P683" s="2496"/>
      <c r="Q683" s="2496"/>
      <c r="R683" s="2496"/>
      <c r="S683" s="2496"/>
      <c r="T683" s="2496"/>
      <c r="U683" s="2496"/>
      <c r="V683" s="2496"/>
      <c r="W683" s="2496"/>
      <c r="X683" s="2496"/>
      <c r="Y683" s="2496"/>
      <c r="Z683" s="2496"/>
      <c r="AA683" s="2496"/>
      <c r="AB683" s="2496"/>
      <c r="AC683" s="249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5" t="s">
        <v>687</v>
      </c>
      <c r="I685" s="252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6">
        <f>VLOOKUP($H$685,$AO$633:$AP$640,2,FALSE)</f>
        <v>5</v>
      </c>
      <c r="AK687" s="247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80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80</v>
      </c>
    </row>
    <row r="691" spans="1:51" s="550" customFormat="1" ht="12.75" customHeight="1">
      <c r="A691" s="679"/>
      <c r="B691" s="536"/>
      <c r="C691" s="948"/>
      <c r="D691" s="663" t="s">
        <v>687</v>
      </c>
      <c r="E691" s="2532" t="s">
        <v>2190</v>
      </c>
      <c r="F691" s="2532"/>
      <c r="G691" s="2532"/>
      <c r="H691" s="2532"/>
      <c r="I691" s="2532"/>
      <c r="J691" s="2532"/>
      <c r="K691" s="2532"/>
      <c r="L691" s="2532"/>
      <c r="M691" s="2532"/>
      <c r="N691" s="2532"/>
      <c r="O691" s="2532"/>
      <c r="P691" s="2532"/>
      <c r="Q691" s="2532"/>
      <c r="R691" s="2532"/>
      <c r="S691" s="2532"/>
      <c r="T691" s="2532"/>
      <c r="U691" s="2532"/>
      <c r="V691" s="2532"/>
      <c r="W691" s="2532"/>
      <c r="X691" s="2532"/>
      <c r="Y691" s="2532"/>
      <c r="Z691" s="2532"/>
      <c r="AA691" s="2532"/>
      <c r="AB691" s="2532"/>
      <c r="AC691" s="536"/>
      <c r="AD691" s="536"/>
      <c r="AE691" s="536"/>
      <c r="AF691" s="2441" t="s">
        <v>1352</v>
      </c>
      <c r="AG691" s="2441"/>
      <c r="AH691" s="2441"/>
      <c r="AI691" s="2441"/>
      <c r="AJ691" s="2441"/>
      <c r="AK691" s="2441"/>
      <c r="AL691" s="2441"/>
      <c r="AN691" s="597"/>
      <c r="AW691" s="22" t="s">
        <v>2185</v>
      </c>
      <c r="AX691" s="550">
        <f>Application!DE753</f>
        <v>0</v>
      </c>
    </row>
    <row r="692" spans="1:51" s="550" customFormat="1" ht="12.75" customHeight="1">
      <c r="A692" s="679"/>
      <c r="B692" s="536"/>
      <c r="C692" s="948"/>
      <c r="D692" s="663"/>
      <c r="E692" s="2532"/>
      <c r="F692" s="2532"/>
      <c r="G692" s="2532"/>
      <c r="H692" s="2532"/>
      <c r="I692" s="2532"/>
      <c r="J692" s="2532"/>
      <c r="K692" s="2532"/>
      <c r="L692" s="2532"/>
      <c r="M692" s="2532"/>
      <c r="N692" s="2532"/>
      <c r="O692" s="2532"/>
      <c r="P692" s="2532"/>
      <c r="Q692" s="2532"/>
      <c r="R692" s="2532"/>
      <c r="S692" s="2532"/>
      <c r="T692" s="2532"/>
      <c r="U692" s="2532"/>
      <c r="V692" s="2532"/>
      <c r="W692" s="2532"/>
      <c r="X692" s="2532"/>
      <c r="Y692" s="2532"/>
      <c r="Z692" s="2532"/>
      <c r="AA692" s="2532"/>
      <c r="AB692" s="2532"/>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6" t="s">
        <v>2134</v>
      </c>
      <c r="F694" s="2496"/>
      <c r="G694" s="2496"/>
      <c r="H694" s="2496"/>
      <c r="I694" s="2496"/>
      <c r="J694" s="2496"/>
      <c r="K694" s="2496"/>
      <c r="L694" s="2496"/>
      <c r="M694" s="2496"/>
      <c r="N694" s="2496"/>
      <c r="O694" s="2496"/>
      <c r="P694" s="2496"/>
      <c r="Q694" s="2496"/>
      <c r="R694" s="2496"/>
      <c r="S694" s="2496"/>
      <c r="T694" s="2496"/>
      <c r="U694" s="2496"/>
      <c r="V694" s="2496"/>
      <c r="W694" s="2496"/>
      <c r="X694" s="2496"/>
      <c r="Y694" s="2496"/>
      <c r="Z694" s="2496"/>
      <c r="AA694" s="2496"/>
      <c r="AB694" s="2496"/>
      <c r="AC694" s="536"/>
      <c r="AD694" s="536"/>
      <c r="AE694" s="536"/>
      <c r="AF694" s="2441" t="s">
        <v>1352</v>
      </c>
      <c r="AG694" s="2441"/>
      <c r="AH694" s="2441"/>
      <c r="AI694" s="2441"/>
      <c r="AJ694" s="2441"/>
      <c r="AK694" s="2441"/>
      <c r="AL694" s="2441"/>
      <c r="AN694" s="597"/>
      <c r="AW694" s="22" t="s">
        <v>2188</v>
      </c>
      <c r="AX694" s="550">
        <f>AX691+AX692+AX693</f>
        <v>0</v>
      </c>
    </row>
    <row r="695" spans="1:51" s="550" customFormat="1" ht="12.75" customHeight="1">
      <c r="B695" s="536"/>
      <c r="C695" s="940"/>
      <c r="D695" s="663"/>
      <c r="E695" s="2496"/>
      <c r="F695" s="2496"/>
      <c r="G695" s="2496"/>
      <c r="H695" s="2496"/>
      <c r="I695" s="2496"/>
      <c r="J695" s="2496"/>
      <c r="K695" s="2496"/>
      <c r="L695" s="2496"/>
      <c r="M695" s="2496"/>
      <c r="N695" s="2496"/>
      <c r="O695" s="2496"/>
      <c r="P695" s="2496"/>
      <c r="Q695" s="2496"/>
      <c r="R695" s="2496"/>
      <c r="S695" s="2496"/>
      <c r="T695" s="2496"/>
      <c r="U695" s="2496"/>
      <c r="V695" s="2496"/>
      <c r="W695" s="2496"/>
      <c r="X695" s="2496"/>
      <c r="Y695" s="2496"/>
      <c r="Z695" s="2496"/>
      <c r="AA695" s="2496"/>
      <c r="AB695" s="2496"/>
      <c r="AC695" s="536"/>
      <c r="AD695" s="536"/>
      <c r="AE695" s="616"/>
      <c r="AF695" s="536"/>
      <c r="AG695" s="536"/>
      <c r="AH695" s="536"/>
      <c r="AI695" s="536"/>
      <c r="AJ695" s="536"/>
      <c r="AK695" s="536"/>
      <c r="AL695" s="536"/>
      <c r="AN695" s="597"/>
      <c r="AO695" s="2531" t="b">
        <f>IF(Application!D211="Special Needs",IF(AY695&gt;=0.25,TRUE,FALSE),IF(AX695&gt;=0.25,TRUE,FALSE))</f>
        <v>0</v>
      </c>
      <c r="AP695" s="2531"/>
      <c r="AW695" s="22" t="s">
        <v>2189</v>
      </c>
      <c r="AX695" s="550">
        <f>IFERROR(AX694/AX690,0)</f>
        <v>0</v>
      </c>
      <c r="AY695" s="550">
        <f>IFERROR(AX694/(AX690-AX689),0)</f>
        <v>0</v>
      </c>
    </row>
    <row r="696" spans="1:51" s="550" customFormat="1" ht="12.75" customHeight="1">
      <c r="B696" s="536"/>
      <c r="C696" s="940"/>
      <c r="E696" s="2496"/>
      <c r="F696" s="2496"/>
      <c r="G696" s="2496"/>
      <c r="H696" s="2496"/>
      <c r="I696" s="2496"/>
      <c r="J696" s="2496"/>
      <c r="K696" s="2496"/>
      <c r="L696" s="2496"/>
      <c r="M696" s="2496"/>
      <c r="N696" s="2496"/>
      <c r="O696" s="2496"/>
      <c r="P696" s="2496"/>
      <c r="Q696" s="2496"/>
      <c r="R696" s="2496"/>
      <c r="S696" s="2496"/>
      <c r="T696" s="2496"/>
      <c r="U696" s="2496"/>
      <c r="V696" s="2496"/>
      <c r="W696" s="2496"/>
      <c r="X696" s="2496"/>
      <c r="Y696" s="2496"/>
      <c r="Z696" s="2496"/>
      <c r="AA696" s="2496"/>
      <c r="AB696" s="249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6"/>
      <c r="F697" s="2496"/>
      <c r="G697" s="2496"/>
      <c r="H697" s="2496"/>
      <c r="I697" s="2496"/>
      <c r="J697" s="2496"/>
      <c r="K697" s="2496"/>
      <c r="L697" s="2496"/>
      <c r="M697" s="2496"/>
      <c r="N697" s="2496"/>
      <c r="O697" s="2496"/>
      <c r="P697" s="2496"/>
      <c r="Q697" s="2496"/>
      <c r="R697" s="2496"/>
      <c r="S697" s="2496"/>
      <c r="T697" s="2496"/>
      <c r="U697" s="2496"/>
      <c r="V697" s="2496"/>
      <c r="W697" s="2496"/>
      <c r="X697" s="2496"/>
      <c r="Y697" s="2496"/>
      <c r="Z697" s="2496"/>
      <c r="AA697" s="2496"/>
      <c r="AB697" s="2496"/>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6" t="s">
        <v>2135</v>
      </c>
      <c r="F699" s="2496"/>
      <c r="G699" s="2496"/>
      <c r="H699" s="2496"/>
      <c r="I699" s="2496"/>
      <c r="J699" s="2496"/>
      <c r="K699" s="2496"/>
      <c r="L699" s="2496"/>
      <c r="M699" s="2496"/>
      <c r="N699" s="2496"/>
      <c r="O699" s="2496"/>
      <c r="P699" s="2496"/>
      <c r="Q699" s="2496"/>
      <c r="R699" s="2496"/>
      <c r="S699" s="2496"/>
      <c r="T699" s="2496"/>
      <c r="U699" s="2496"/>
      <c r="V699" s="2496"/>
      <c r="W699" s="2496"/>
      <c r="X699" s="2496"/>
      <c r="Y699" s="2496"/>
      <c r="Z699" s="2496"/>
      <c r="AA699" s="2496"/>
      <c r="AB699" s="2496"/>
      <c r="AC699" s="536"/>
      <c r="AD699" s="536"/>
      <c r="AE699" s="536"/>
      <c r="AF699" s="2441" t="s">
        <v>1408</v>
      </c>
      <c r="AG699" s="2441"/>
      <c r="AH699" s="2441"/>
      <c r="AI699" s="2441"/>
      <c r="AJ699" s="2441"/>
      <c r="AK699" s="2441"/>
      <c r="AL699" s="2441"/>
      <c r="AN699" s="597"/>
      <c r="AO699" s="611" t="s">
        <v>509</v>
      </c>
      <c r="AP699" s="550">
        <v>1</v>
      </c>
    </row>
    <row r="700" spans="1:51" s="550" customFormat="1" ht="12" customHeight="1">
      <c r="B700" s="536"/>
      <c r="C700" s="931"/>
      <c r="E700" s="2496"/>
      <c r="F700" s="2496"/>
      <c r="G700" s="2496"/>
      <c r="H700" s="2496"/>
      <c r="I700" s="2496"/>
      <c r="J700" s="2496"/>
      <c r="K700" s="2496"/>
      <c r="L700" s="2496"/>
      <c r="M700" s="2496"/>
      <c r="N700" s="2496"/>
      <c r="O700" s="2496"/>
      <c r="P700" s="2496"/>
      <c r="Q700" s="2496"/>
      <c r="R700" s="2496"/>
      <c r="S700" s="2496"/>
      <c r="T700" s="2496"/>
      <c r="U700" s="2496"/>
      <c r="V700" s="2496"/>
      <c r="W700" s="2496"/>
      <c r="X700" s="2496"/>
      <c r="Y700" s="2496"/>
      <c r="Z700" s="2496"/>
      <c r="AA700" s="2496"/>
      <c r="AB700" s="2496"/>
      <c r="AC700" s="536"/>
      <c r="AD700" s="536"/>
      <c r="AE700" s="616"/>
      <c r="AF700" s="536"/>
      <c r="AG700" s="536"/>
      <c r="AH700" s="536"/>
      <c r="AI700" s="536"/>
      <c r="AJ700" s="536"/>
      <c r="AK700" s="536"/>
      <c r="AL700" s="536"/>
      <c r="AN700" s="597"/>
    </row>
    <row r="701" spans="1:51" s="550" customFormat="1" ht="12" customHeight="1">
      <c r="B701" s="536"/>
      <c r="C701" s="931"/>
      <c r="D701" s="536"/>
      <c r="E701" s="2496"/>
      <c r="F701" s="2496"/>
      <c r="G701" s="2496"/>
      <c r="H701" s="2496"/>
      <c r="I701" s="2496"/>
      <c r="J701" s="2496"/>
      <c r="K701" s="2496"/>
      <c r="L701" s="2496"/>
      <c r="M701" s="2496"/>
      <c r="N701" s="2496"/>
      <c r="O701" s="2496"/>
      <c r="P701" s="2496"/>
      <c r="Q701" s="2496"/>
      <c r="R701" s="2496"/>
      <c r="S701" s="2496"/>
      <c r="T701" s="2496"/>
      <c r="U701" s="2496"/>
      <c r="V701" s="2496"/>
      <c r="W701" s="2496"/>
      <c r="X701" s="2496"/>
      <c r="Y701" s="2496"/>
      <c r="Z701" s="2496"/>
      <c r="AA701" s="2496"/>
      <c r="AB701" s="2496"/>
      <c r="AC701" s="536"/>
      <c r="AD701" s="536"/>
      <c r="AE701" s="616"/>
      <c r="AF701" s="536"/>
      <c r="AG701" s="536"/>
      <c r="AH701" s="536"/>
      <c r="AI701" s="536"/>
      <c r="AJ701" s="536"/>
      <c r="AK701" s="536"/>
      <c r="AL701" s="536"/>
      <c r="AN701" s="597"/>
    </row>
    <row r="702" spans="1:51" s="550" customFormat="1" ht="12" customHeight="1">
      <c r="B702" s="536"/>
      <c r="C702" s="931"/>
      <c r="D702" s="536"/>
      <c r="E702" s="2496"/>
      <c r="F702" s="2496"/>
      <c r="G702" s="2496"/>
      <c r="H702" s="2496"/>
      <c r="I702" s="2496"/>
      <c r="J702" s="2496"/>
      <c r="K702" s="2496"/>
      <c r="L702" s="2496"/>
      <c r="M702" s="2496"/>
      <c r="N702" s="2496"/>
      <c r="O702" s="2496"/>
      <c r="P702" s="2496"/>
      <c r="Q702" s="2496"/>
      <c r="R702" s="2496"/>
      <c r="S702" s="2496"/>
      <c r="T702" s="2496"/>
      <c r="U702" s="2496"/>
      <c r="V702" s="2496"/>
      <c r="W702" s="2496"/>
      <c r="X702" s="2496"/>
      <c r="Y702" s="2496"/>
      <c r="Z702" s="2496"/>
      <c r="AA702" s="2496"/>
      <c r="AB702" s="249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6"/>
      <c r="F703" s="2496"/>
      <c r="G703" s="2496"/>
      <c r="H703" s="2496"/>
      <c r="I703" s="2496"/>
      <c r="J703" s="2496"/>
      <c r="K703" s="2496"/>
      <c r="L703" s="2496"/>
      <c r="M703" s="2496"/>
      <c r="N703" s="2496"/>
      <c r="O703" s="2496"/>
      <c r="P703" s="2496"/>
      <c r="Q703" s="2496"/>
      <c r="R703" s="2496"/>
      <c r="S703" s="2496"/>
      <c r="T703" s="2496"/>
      <c r="U703" s="2496"/>
      <c r="V703" s="2496"/>
      <c r="W703" s="2496"/>
      <c r="X703" s="2496"/>
      <c r="Y703" s="2496"/>
      <c r="Z703" s="2496"/>
      <c r="AA703" s="2496"/>
      <c r="AB703" s="2496"/>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6" t="s">
        <v>1693</v>
      </c>
      <c r="F705" s="2496"/>
      <c r="G705" s="2496"/>
      <c r="H705" s="2496"/>
      <c r="I705" s="2496"/>
      <c r="J705" s="2496"/>
      <c r="K705" s="2496"/>
      <c r="L705" s="2496"/>
      <c r="M705" s="2496"/>
      <c r="N705" s="2496"/>
      <c r="O705" s="2496"/>
      <c r="P705" s="2496"/>
      <c r="Q705" s="2496"/>
      <c r="R705" s="2496"/>
      <c r="S705" s="2496"/>
      <c r="T705" s="2496"/>
      <c r="U705" s="2496"/>
      <c r="V705" s="2496"/>
      <c r="W705" s="2496"/>
      <c r="X705" s="2496"/>
      <c r="Y705" s="2496"/>
      <c r="Z705" s="2496"/>
      <c r="AA705" s="2496"/>
      <c r="AB705" s="2496"/>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6"/>
      <c r="F706" s="2496"/>
      <c r="G706" s="2496"/>
      <c r="H706" s="2496"/>
      <c r="I706" s="2496"/>
      <c r="J706" s="2496"/>
      <c r="K706" s="2496"/>
      <c r="L706" s="2496"/>
      <c r="M706" s="2496"/>
      <c r="N706" s="2496"/>
      <c r="O706" s="2496"/>
      <c r="P706" s="2496"/>
      <c r="Q706" s="2496"/>
      <c r="R706" s="2496"/>
      <c r="S706" s="2496"/>
      <c r="T706" s="2496"/>
      <c r="U706" s="2496"/>
      <c r="V706" s="2496"/>
      <c r="W706" s="2496"/>
      <c r="X706" s="2496"/>
      <c r="Y706" s="2496"/>
      <c r="Z706" s="2496"/>
      <c r="AA706" s="2496"/>
      <c r="AB706" s="2496"/>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6"/>
      <c r="F707" s="2496"/>
      <c r="G707" s="2496"/>
      <c r="H707" s="2496"/>
      <c r="I707" s="2496"/>
      <c r="J707" s="2496"/>
      <c r="K707" s="2496"/>
      <c r="L707" s="2496"/>
      <c r="M707" s="2496"/>
      <c r="N707" s="2496"/>
      <c r="O707" s="2496"/>
      <c r="P707" s="2496"/>
      <c r="Q707" s="2496"/>
      <c r="R707" s="2496"/>
      <c r="S707" s="2496"/>
      <c r="T707" s="2496"/>
      <c r="U707" s="2496"/>
      <c r="V707" s="2496"/>
      <c r="W707" s="2496"/>
      <c r="X707" s="2496"/>
      <c r="Y707" s="2496"/>
      <c r="Z707" s="2496"/>
      <c r="AA707" s="2496"/>
      <c r="AB707" s="249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5" t="s">
        <v>591</v>
      </c>
      <c r="I709" s="252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6">
        <f>VLOOKUP($H$709,$AO$703:$AP$706,2,FALSE)</f>
        <v>0</v>
      </c>
      <c r="AK711" s="247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441" t="s">
        <v>1352</v>
      </c>
      <c r="AG715" s="2441"/>
      <c r="AH715" s="2441"/>
      <c r="AI715" s="2441"/>
      <c r="AJ715" s="2441"/>
      <c r="AK715" s="2441"/>
      <c r="AL715" s="2441"/>
      <c r="AM715" s="550"/>
      <c r="AN715" s="684"/>
      <c r="AP715" s="570" t="s">
        <v>1432</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441" t="s">
        <v>1408</v>
      </c>
      <c r="AG719" s="2441"/>
      <c r="AH719" s="2441"/>
      <c r="AI719" s="2441"/>
      <c r="AJ719" s="2441"/>
      <c r="AK719" s="2441"/>
      <c r="AL719" s="244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5" t="s">
        <v>591</v>
      </c>
      <c r="I723" s="252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6">
        <f>VLOOKUP($H$723,$AP$720:$AQ$722,2,FALSE)</f>
        <v>0</v>
      </c>
      <c r="AK725" s="2478"/>
      <c r="AL725" s="595"/>
      <c r="AM725" s="550"/>
      <c r="AN725" s="684"/>
      <c r="AP725" s="2476"/>
      <c r="AQ725" s="247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15">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15">
      <c r="A729" s="550"/>
      <c r="B729" s="536"/>
      <c r="C729" s="931"/>
      <c r="D729" s="663" t="s">
        <v>687</v>
      </c>
      <c r="E729" s="2496" t="s">
        <v>1696</v>
      </c>
      <c r="F729" s="2496"/>
      <c r="G729" s="2496"/>
      <c r="H729" s="2496"/>
      <c r="I729" s="2496"/>
      <c r="J729" s="2496"/>
      <c r="K729" s="2496"/>
      <c r="L729" s="2496"/>
      <c r="M729" s="2496"/>
      <c r="N729" s="2496"/>
      <c r="O729" s="2496"/>
      <c r="P729" s="2496"/>
      <c r="Q729" s="2496"/>
      <c r="R729" s="2496"/>
      <c r="S729" s="2496"/>
      <c r="T729" s="2496"/>
      <c r="U729" s="2496"/>
      <c r="V729" s="2496"/>
      <c r="W729" s="2496"/>
      <c r="X729" s="2496"/>
      <c r="Y729" s="2496"/>
      <c r="Z729" s="2496"/>
      <c r="AA729" s="2496"/>
      <c r="AB729" s="2496"/>
      <c r="AC729" s="536"/>
      <c r="AD729" s="536"/>
      <c r="AE729" s="536"/>
      <c r="AF729" s="2441" t="s">
        <v>1352</v>
      </c>
      <c r="AG729" s="2441"/>
      <c r="AH729" s="2441"/>
      <c r="AI729" s="2441"/>
      <c r="AJ729" s="2441"/>
      <c r="AK729" s="2441"/>
      <c r="AL729" s="2441"/>
      <c r="AM729" s="550"/>
      <c r="AN729" s="684"/>
      <c r="AT729" s="14"/>
      <c r="AU729" s="14"/>
      <c r="AV729" s="14"/>
      <c r="AW729" s="14"/>
      <c r="AX729" s="14"/>
      <c r="AY729" s="14"/>
      <c r="AZ729" s="14"/>
    </row>
    <row r="730" spans="1:81" s="570" customFormat="1">
      <c r="A730" s="550"/>
      <c r="B730" s="536"/>
      <c r="C730" s="933"/>
      <c r="D730" s="663"/>
      <c r="E730" s="2496"/>
      <c r="F730" s="2496"/>
      <c r="G730" s="2496"/>
      <c r="H730" s="2496"/>
      <c r="I730" s="2496"/>
      <c r="J730" s="2496"/>
      <c r="K730" s="2496"/>
      <c r="L730" s="2496"/>
      <c r="M730" s="2496"/>
      <c r="N730" s="2496"/>
      <c r="O730" s="2496"/>
      <c r="P730" s="2496"/>
      <c r="Q730" s="2496"/>
      <c r="R730" s="2496"/>
      <c r="S730" s="2496"/>
      <c r="T730" s="2496"/>
      <c r="U730" s="2496"/>
      <c r="V730" s="2496"/>
      <c r="W730" s="2496"/>
      <c r="X730" s="2496"/>
      <c r="Y730" s="2496"/>
      <c r="Z730" s="2496"/>
      <c r="AA730" s="2496"/>
      <c r="AB730" s="249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6" t="s">
        <v>1439</v>
      </c>
      <c r="F732" s="2496"/>
      <c r="G732" s="2496"/>
      <c r="H732" s="2496"/>
      <c r="I732" s="2496"/>
      <c r="J732" s="2496"/>
      <c r="K732" s="2496"/>
      <c r="L732" s="2496"/>
      <c r="M732" s="2496"/>
      <c r="N732" s="2496"/>
      <c r="O732" s="2496"/>
      <c r="P732" s="2496"/>
      <c r="Q732" s="2496"/>
      <c r="R732" s="2496"/>
      <c r="S732" s="2496"/>
      <c r="T732" s="2496"/>
      <c r="U732" s="2496"/>
      <c r="V732" s="2496"/>
      <c r="W732" s="2496"/>
      <c r="X732" s="2496"/>
      <c r="Y732" s="2496"/>
      <c r="Z732" s="2496"/>
      <c r="AA732" s="2496"/>
      <c r="AB732" s="2496"/>
      <c r="AC732" s="536"/>
      <c r="AD732" s="536"/>
      <c r="AE732" s="536"/>
      <c r="AF732" s="2441" t="s">
        <v>1408</v>
      </c>
      <c r="AG732" s="2441"/>
      <c r="AH732" s="2441"/>
      <c r="AI732" s="2441"/>
      <c r="AJ732" s="2441"/>
      <c r="AK732" s="2441"/>
      <c r="AL732" s="2441"/>
      <c r="AM732" s="550"/>
      <c r="AN732" s="684"/>
      <c r="AT732" s="14"/>
      <c r="AU732" s="14"/>
      <c r="AV732" s="14"/>
      <c r="AW732" s="14"/>
      <c r="AX732" s="14"/>
      <c r="AY732" s="14"/>
      <c r="AZ732" s="14"/>
    </row>
    <row r="733" spans="1:81" s="570" customFormat="1">
      <c r="A733" s="550"/>
      <c r="B733" s="536"/>
      <c r="C733" s="933"/>
      <c r="D733" s="536"/>
      <c r="E733" s="2496"/>
      <c r="F733" s="2496"/>
      <c r="G733" s="2496"/>
      <c r="H733" s="2496"/>
      <c r="I733" s="2496"/>
      <c r="J733" s="2496"/>
      <c r="K733" s="2496"/>
      <c r="L733" s="2496"/>
      <c r="M733" s="2496"/>
      <c r="N733" s="2496"/>
      <c r="O733" s="2496"/>
      <c r="P733" s="2496"/>
      <c r="Q733" s="2496"/>
      <c r="R733" s="2496"/>
      <c r="S733" s="2496"/>
      <c r="T733" s="2496"/>
      <c r="U733" s="2496"/>
      <c r="V733" s="2496"/>
      <c r="W733" s="2496"/>
      <c r="X733" s="2496"/>
      <c r="Y733" s="2496"/>
      <c r="Z733" s="2496"/>
      <c r="AA733" s="2496"/>
      <c r="AB733" s="249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5" t="s">
        <v>591</v>
      </c>
      <c r="I735" s="252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15">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6">
        <f>VLOOKUP($H$735,$AO$666:$AP$668,2,FALSE)</f>
        <v>0</v>
      </c>
      <c r="AK737" s="247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15">
      <c r="A741" s="550"/>
      <c r="B741" s="536"/>
      <c r="C741" s="931"/>
      <c r="D741" s="663" t="s">
        <v>687</v>
      </c>
      <c r="E741" s="2496" t="s">
        <v>1442</v>
      </c>
      <c r="F741" s="2496"/>
      <c r="G741" s="2496"/>
      <c r="H741" s="2496"/>
      <c r="I741" s="2496"/>
      <c r="J741" s="2496"/>
      <c r="K741" s="2496"/>
      <c r="L741" s="2496"/>
      <c r="M741" s="2496"/>
      <c r="N741" s="2496"/>
      <c r="O741" s="2496"/>
      <c r="P741" s="2496"/>
      <c r="Q741" s="2496"/>
      <c r="R741" s="2496"/>
      <c r="S741" s="2496"/>
      <c r="T741" s="2496"/>
      <c r="U741" s="2496"/>
      <c r="V741" s="2496"/>
      <c r="W741" s="2496"/>
      <c r="X741" s="2496"/>
      <c r="Y741" s="2496"/>
      <c r="Z741" s="2496"/>
      <c r="AA741" s="2496"/>
      <c r="AB741" s="2496"/>
      <c r="AC741" s="536"/>
      <c r="AD741" s="536"/>
      <c r="AE741" s="536"/>
      <c r="AF741" s="2441" t="s">
        <v>1352</v>
      </c>
      <c r="AG741" s="2441"/>
      <c r="AH741" s="2441"/>
      <c r="AI741" s="2441"/>
      <c r="AJ741" s="2441"/>
      <c r="AK741" s="2441"/>
      <c r="AL741" s="2441"/>
      <c r="AM741" s="550"/>
      <c r="AN741" s="684"/>
      <c r="AT741" s="14"/>
      <c r="AU741" s="14"/>
      <c r="AV741" s="14"/>
      <c r="AW741" s="14"/>
      <c r="AX741" s="14"/>
      <c r="AY741" s="14"/>
      <c r="AZ741" s="14"/>
    </row>
    <row r="742" spans="1:81" s="570" customFormat="1" ht="13.15">
      <c r="A742" s="550"/>
      <c r="B742" s="536"/>
      <c r="C742" s="931"/>
      <c r="D742" s="663"/>
      <c r="E742" s="2496"/>
      <c r="F742" s="2496"/>
      <c r="G742" s="2496"/>
      <c r="H742" s="2496"/>
      <c r="I742" s="2496"/>
      <c r="J742" s="2496"/>
      <c r="K742" s="2496"/>
      <c r="L742" s="2496"/>
      <c r="M742" s="2496"/>
      <c r="N742" s="2496"/>
      <c r="O742" s="2496"/>
      <c r="P742" s="2496"/>
      <c r="Q742" s="2496"/>
      <c r="R742" s="2496"/>
      <c r="S742" s="2496"/>
      <c r="T742" s="2496"/>
      <c r="U742" s="2496"/>
      <c r="V742" s="2496"/>
      <c r="W742" s="2496"/>
      <c r="X742" s="2496"/>
      <c r="Y742" s="2496"/>
      <c r="Z742" s="2496"/>
      <c r="AA742" s="2496"/>
      <c r="AB742" s="249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6"/>
      <c r="F743" s="2496"/>
      <c r="G743" s="2496"/>
      <c r="H743" s="2496"/>
      <c r="I743" s="2496"/>
      <c r="J743" s="2496"/>
      <c r="K743" s="2496"/>
      <c r="L743" s="2496"/>
      <c r="M743" s="2496"/>
      <c r="N743" s="2496"/>
      <c r="O743" s="2496"/>
      <c r="P743" s="2496"/>
      <c r="Q743" s="2496"/>
      <c r="R743" s="2496"/>
      <c r="S743" s="2496"/>
      <c r="T743" s="2496"/>
      <c r="U743" s="2496"/>
      <c r="V743" s="2496"/>
      <c r="W743" s="2496"/>
      <c r="X743" s="2496"/>
      <c r="Y743" s="2496"/>
      <c r="Z743" s="2496"/>
      <c r="AA743" s="2496"/>
      <c r="AB743" s="249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6"/>
      <c r="F744" s="2496"/>
      <c r="G744" s="2496"/>
      <c r="H744" s="2496"/>
      <c r="I744" s="2496"/>
      <c r="J744" s="2496"/>
      <c r="K744" s="2496"/>
      <c r="L744" s="2496"/>
      <c r="M744" s="2496"/>
      <c r="N744" s="2496"/>
      <c r="O744" s="2496"/>
      <c r="P744" s="2496"/>
      <c r="Q744" s="2496"/>
      <c r="R744" s="2496"/>
      <c r="S744" s="2496"/>
      <c r="T744" s="2496"/>
      <c r="U744" s="2496"/>
      <c r="V744" s="2496"/>
      <c r="W744" s="2496"/>
      <c r="X744" s="2496"/>
      <c r="Y744" s="2496"/>
      <c r="Z744" s="2496"/>
      <c r="AA744" s="2496"/>
      <c r="AB744" s="249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15">
      <c r="A746" s="550"/>
      <c r="B746" s="536"/>
      <c r="C746" s="931"/>
      <c r="D746" s="663" t="s">
        <v>509</v>
      </c>
      <c r="E746" s="2496" t="s">
        <v>1443</v>
      </c>
      <c r="F746" s="2496"/>
      <c r="G746" s="2496"/>
      <c r="H746" s="2496"/>
      <c r="I746" s="2496"/>
      <c r="J746" s="2496"/>
      <c r="K746" s="2496"/>
      <c r="L746" s="2496"/>
      <c r="M746" s="2496"/>
      <c r="N746" s="2496"/>
      <c r="O746" s="2496"/>
      <c r="P746" s="2496"/>
      <c r="Q746" s="2496"/>
      <c r="R746" s="2496"/>
      <c r="S746" s="2496"/>
      <c r="T746" s="2496"/>
      <c r="U746" s="2496"/>
      <c r="V746" s="2496"/>
      <c r="W746" s="2496"/>
      <c r="X746" s="2496"/>
      <c r="Y746" s="2496"/>
      <c r="Z746" s="2496"/>
      <c r="AA746" s="2496"/>
      <c r="AB746" s="575"/>
      <c r="AC746" s="536"/>
      <c r="AD746" s="536"/>
      <c r="AE746" s="536"/>
      <c r="AF746" s="2441" t="s">
        <v>1408</v>
      </c>
      <c r="AG746" s="2441"/>
      <c r="AH746" s="2441"/>
      <c r="AI746" s="2441"/>
      <c r="AJ746" s="2441"/>
      <c r="AK746" s="2441"/>
      <c r="AL746" s="2441"/>
      <c r="AM746" s="550"/>
      <c r="AN746" s="684"/>
      <c r="AO746" s="30"/>
      <c r="AP746" s="14"/>
    </row>
    <row r="747" spans="1:81" s="570" customFormat="1" ht="13.15">
      <c r="A747" s="550"/>
      <c r="B747" s="536"/>
      <c r="C747" s="931"/>
      <c r="D747" s="663"/>
      <c r="E747" s="2496"/>
      <c r="F747" s="2496"/>
      <c r="G747" s="2496"/>
      <c r="H747" s="2496"/>
      <c r="I747" s="2496"/>
      <c r="J747" s="2496"/>
      <c r="K747" s="2496"/>
      <c r="L747" s="2496"/>
      <c r="M747" s="2496"/>
      <c r="N747" s="2496"/>
      <c r="O747" s="2496"/>
      <c r="P747" s="2496"/>
      <c r="Q747" s="2496"/>
      <c r="R747" s="2496"/>
      <c r="S747" s="2496"/>
      <c r="T747" s="2496"/>
      <c r="U747" s="2496"/>
      <c r="V747" s="2496"/>
      <c r="W747" s="2496"/>
      <c r="X747" s="2496"/>
      <c r="Y747" s="2496"/>
      <c r="Z747" s="2496"/>
      <c r="AA747" s="2496"/>
      <c r="AB747" s="575"/>
      <c r="AC747" s="536"/>
      <c r="AD747" s="536"/>
      <c r="AE747" s="536"/>
      <c r="AF747" s="594"/>
      <c r="AG747" s="594"/>
      <c r="AH747" s="594"/>
      <c r="AI747" s="594"/>
      <c r="AJ747" s="594"/>
      <c r="AK747" s="594"/>
      <c r="AL747" s="594"/>
      <c r="AM747" s="550"/>
      <c r="AN747" s="684"/>
      <c r="AO747" s="30"/>
      <c r="AP747" s="14"/>
    </row>
    <row r="748" spans="1:81" s="570" customFormat="1" ht="13.15">
      <c r="A748" s="550"/>
      <c r="B748" s="536"/>
      <c r="C748" s="931"/>
      <c r="D748" s="536"/>
      <c r="E748" s="2496"/>
      <c r="F748" s="2496"/>
      <c r="G748" s="2496"/>
      <c r="H748" s="2496"/>
      <c r="I748" s="2496"/>
      <c r="J748" s="2496"/>
      <c r="K748" s="2496"/>
      <c r="L748" s="2496"/>
      <c r="M748" s="2496"/>
      <c r="N748" s="2496"/>
      <c r="O748" s="2496"/>
      <c r="P748" s="2496"/>
      <c r="Q748" s="2496"/>
      <c r="R748" s="2496"/>
      <c r="S748" s="2496"/>
      <c r="T748" s="2496"/>
      <c r="U748" s="2496"/>
      <c r="V748" s="2496"/>
      <c r="W748" s="2496"/>
      <c r="X748" s="2496"/>
      <c r="Y748" s="2496"/>
      <c r="Z748" s="2496"/>
      <c r="AA748" s="2496"/>
      <c r="AB748" s="575"/>
      <c r="AC748" s="594"/>
      <c r="AD748" s="594"/>
      <c r="AE748" s="594"/>
      <c r="AF748" s="594"/>
      <c r="AG748" s="594"/>
      <c r="AH748" s="594"/>
      <c r="AI748" s="594"/>
      <c r="AJ748" s="536"/>
      <c r="AK748" s="536"/>
      <c r="AL748" s="536"/>
      <c r="AM748" s="550"/>
      <c r="AN748" s="684"/>
      <c r="AO748" s="30"/>
      <c r="AP748" s="14"/>
    </row>
    <row r="749" spans="1:81" s="570" customFormat="1" ht="13.15">
      <c r="A749" s="550"/>
      <c r="B749" s="536"/>
      <c r="C749" s="931"/>
      <c r="D749" s="536"/>
      <c r="E749" s="2496"/>
      <c r="F749" s="2496"/>
      <c r="G749" s="2496"/>
      <c r="H749" s="2496"/>
      <c r="I749" s="2496"/>
      <c r="J749" s="2496"/>
      <c r="K749" s="2496"/>
      <c r="L749" s="2496"/>
      <c r="M749" s="2496"/>
      <c r="N749" s="2496"/>
      <c r="O749" s="2496"/>
      <c r="P749" s="2496"/>
      <c r="Q749" s="2496"/>
      <c r="R749" s="2496"/>
      <c r="S749" s="2496"/>
      <c r="T749" s="2496"/>
      <c r="U749" s="2496"/>
      <c r="V749" s="2496"/>
      <c r="W749" s="2496"/>
      <c r="X749" s="2496"/>
      <c r="Y749" s="2496"/>
      <c r="Z749" s="2496"/>
      <c r="AA749" s="2496"/>
      <c r="AB749" s="575"/>
      <c r="AC749" s="594"/>
      <c r="AD749" s="594"/>
      <c r="AE749" s="594"/>
      <c r="AF749" s="594"/>
      <c r="AG749" s="594"/>
      <c r="AH749" s="594"/>
      <c r="AI749" s="594"/>
      <c r="AJ749" s="536"/>
      <c r="AK749" s="536"/>
      <c r="AL749" s="536"/>
      <c r="AM749" s="550"/>
      <c r="AN749" s="684"/>
      <c r="AO749" s="30"/>
      <c r="AP749" s="14"/>
    </row>
    <row r="750" spans="1:81" s="570" customFormat="1" ht="13.15">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5" t="s">
        <v>591</v>
      </c>
      <c r="I751" s="252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15">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6">
        <f>VLOOKUP($H$751,$AO$680:$AP$682,2,FALSE)</f>
        <v>0</v>
      </c>
      <c r="AK753" s="247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15">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15">
      <c r="A757" s="550"/>
      <c r="B757" s="536"/>
      <c r="C757" s="931"/>
      <c r="D757" s="663" t="s">
        <v>687</v>
      </c>
      <c r="E757" s="2496" t="s">
        <v>1445</v>
      </c>
      <c r="F757" s="2496"/>
      <c r="G757" s="2496"/>
      <c r="H757" s="2496"/>
      <c r="I757" s="2496"/>
      <c r="J757" s="2496"/>
      <c r="K757" s="2496"/>
      <c r="L757" s="2496"/>
      <c r="M757" s="2496"/>
      <c r="N757" s="2496"/>
      <c r="O757" s="2496"/>
      <c r="P757" s="2496"/>
      <c r="Q757" s="2496"/>
      <c r="R757" s="2496"/>
      <c r="S757" s="2496"/>
      <c r="T757" s="2496"/>
      <c r="U757" s="2496"/>
      <c r="V757" s="2496"/>
      <c r="W757" s="2496"/>
      <c r="X757" s="2496"/>
      <c r="Y757" s="2496"/>
      <c r="Z757" s="2496"/>
      <c r="AA757" s="2496"/>
      <c r="AB757" s="2496"/>
      <c r="AC757" s="536"/>
      <c r="AD757" s="536"/>
      <c r="AE757" s="536"/>
      <c r="AF757" s="2441" t="s">
        <v>1408</v>
      </c>
      <c r="AG757" s="2441"/>
      <c r="AH757" s="2441"/>
      <c r="AI757" s="2441"/>
      <c r="AJ757" s="2441"/>
      <c r="AK757" s="2441"/>
      <c r="AL757" s="244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6"/>
      <c r="F758" s="2496"/>
      <c r="G758" s="2496"/>
      <c r="H758" s="2496"/>
      <c r="I758" s="2496"/>
      <c r="J758" s="2496"/>
      <c r="K758" s="2496"/>
      <c r="L758" s="2496"/>
      <c r="M758" s="2496"/>
      <c r="N758" s="2496"/>
      <c r="O758" s="2496"/>
      <c r="P758" s="2496"/>
      <c r="Q758" s="2496"/>
      <c r="R758" s="2496"/>
      <c r="S758" s="2496"/>
      <c r="T758" s="2496"/>
      <c r="U758" s="2496"/>
      <c r="V758" s="2496"/>
      <c r="W758" s="2496"/>
      <c r="X758" s="2496"/>
      <c r="Y758" s="2496"/>
      <c r="Z758" s="2496"/>
      <c r="AA758" s="2496"/>
      <c r="AB758" s="249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15">
      <c r="A760" s="637"/>
      <c r="B760" s="536"/>
      <c r="C760" s="931"/>
      <c r="D760" s="663" t="s">
        <v>509</v>
      </c>
      <c r="E760" s="2496" t="s">
        <v>1446</v>
      </c>
      <c r="F760" s="2496"/>
      <c r="G760" s="2496"/>
      <c r="H760" s="2496"/>
      <c r="I760" s="2496"/>
      <c r="J760" s="2496"/>
      <c r="K760" s="2496"/>
      <c r="L760" s="2496"/>
      <c r="M760" s="2496"/>
      <c r="N760" s="2496"/>
      <c r="O760" s="2496"/>
      <c r="P760" s="2496"/>
      <c r="Q760" s="2496"/>
      <c r="R760" s="2496"/>
      <c r="S760" s="2496"/>
      <c r="T760" s="2496"/>
      <c r="U760" s="2496"/>
      <c r="V760" s="2496"/>
      <c r="W760" s="2496"/>
      <c r="X760" s="2496"/>
      <c r="Y760" s="2496"/>
      <c r="Z760" s="2496"/>
      <c r="AA760" s="2496"/>
      <c r="AB760" s="2496"/>
      <c r="AC760" s="536"/>
      <c r="AD760" s="536"/>
      <c r="AE760" s="536"/>
      <c r="AF760" s="2441" t="s">
        <v>1425</v>
      </c>
      <c r="AG760" s="2441"/>
      <c r="AH760" s="2441"/>
      <c r="AI760" s="2441"/>
      <c r="AJ760" s="2441"/>
      <c r="AK760" s="2441"/>
      <c r="AL760" s="244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6"/>
      <c r="F761" s="2496"/>
      <c r="G761" s="2496"/>
      <c r="H761" s="2496"/>
      <c r="I761" s="2496"/>
      <c r="J761" s="2496"/>
      <c r="K761" s="2496"/>
      <c r="L761" s="2496"/>
      <c r="M761" s="2496"/>
      <c r="N761" s="2496"/>
      <c r="O761" s="2496"/>
      <c r="P761" s="2496"/>
      <c r="Q761" s="2496"/>
      <c r="R761" s="2496"/>
      <c r="S761" s="2496"/>
      <c r="T761" s="2496"/>
      <c r="U761" s="2496"/>
      <c r="V761" s="2496"/>
      <c r="W761" s="2496"/>
      <c r="X761" s="2496"/>
      <c r="Y761" s="2496"/>
      <c r="Z761" s="2496"/>
      <c r="AA761" s="2496"/>
      <c r="AB761" s="249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5" t="s">
        <v>687</v>
      </c>
      <c r="I763" s="252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6">
        <f>VLOOKUP($H$763,$AO$697:$AP$699,2,FALSE)</f>
        <v>2</v>
      </c>
      <c r="AK765" s="247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15">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15">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15">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6" t="s">
        <v>1692</v>
      </c>
      <c r="F769" s="2496"/>
      <c r="G769" s="2496"/>
      <c r="H769" s="2496"/>
      <c r="I769" s="2496"/>
      <c r="J769" s="2496"/>
      <c r="K769" s="2496"/>
      <c r="L769" s="2496"/>
      <c r="M769" s="2496"/>
      <c r="N769" s="2496"/>
      <c r="O769" s="2496"/>
      <c r="P769" s="2496"/>
      <c r="Q769" s="2496"/>
      <c r="R769" s="2496"/>
      <c r="S769" s="2496"/>
      <c r="T769" s="2496"/>
      <c r="U769" s="2496"/>
      <c r="V769" s="2496"/>
      <c r="W769" s="2496"/>
      <c r="X769" s="2496"/>
      <c r="Y769" s="2496"/>
      <c r="Z769" s="2496"/>
      <c r="AA769" s="2496"/>
      <c r="AB769" s="2496"/>
      <c r="AC769" s="2496"/>
      <c r="AD769" s="2496"/>
      <c r="AE769" s="536"/>
      <c r="AF769" s="2441" t="s">
        <v>1408</v>
      </c>
      <c r="AG769" s="2441"/>
      <c r="AH769" s="2441"/>
      <c r="AI769" s="2441"/>
      <c r="AJ769" s="2441"/>
      <c r="AK769" s="2441"/>
      <c r="AL769" s="2441"/>
      <c r="AM769" s="613"/>
      <c r="AN769" s="684"/>
      <c r="AO769" s="550" t="s">
        <v>591</v>
      </c>
      <c r="AP769" s="673">
        <v>0</v>
      </c>
    </row>
    <row r="770" spans="1:81" s="570" customFormat="1" ht="13.7" customHeight="1">
      <c r="A770" s="550"/>
      <c r="B770" s="616"/>
      <c r="C770" s="940"/>
      <c r="D770" s="663"/>
      <c r="E770" s="2496"/>
      <c r="F770" s="2496"/>
      <c r="G770" s="2496"/>
      <c r="H770" s="2496"/>
      <c r="I770" s="2496"/>
      <c r="J770" s="2496"/>
      <c r="K770" s="2496"/>
      <c r="L770" s="2496"/>
      <c r="M770" s="2496"/>
      <c r="N770" s="2496"/>
      <c r="O770" s="2496"/>
      <c r="P770" s="2496"/>
      <c r="Q770" s="2496"/>
      <c r="R770" s="2496"/>
      <c r="S770" s="2496"/>
      <c r="T770" s="2496"/>
      <c r="U770" s="2496"/>
      <c r="V770" s="2496"/>
      <c r="W770" s="2496"/>
      <c r="X770" s="2496"/>
      <c r="Y770" s="2496"/>
      <c r="Z770" s="2496"/>
      <c r="AA770" s="2496"/>
      <c r="AB770" s="2496"/>
      <c r="AC770" s="2496"/>
      <c r="AD770" s="2496"/>
      <c r="AE770" s="536"/>
      <c r="AF770" s="594"/>
      <c r="AG770" s="594"/>
      <c r="AH770" s="594"/>
      <c r="AI770" s="594"/>
      <c r="AJ770" s="594"/>
      <c r="AK770" s="594"/>
      <c r="AL770" s="594"/>
      <c r="AM770" s="613"/>
      <c r="AN770" s="684"/>
      <c r="AO770" s="611" t="s">
        <v>687</v>
      </c>
      <c r="AP770" s="550">
        <v>2</v>
      </c>
    </row>
    <row r="771" spans="1:81" s="570" customFormat="1" ht="13.15">
      <c r="A771" s="550"/>
      <c r="B771" s="616"/>
      <c r="C771" s="940"/>
      <c r="D771" s="663"/>
      <c r="E771" s="2496"/>
      <c r="F771" s="2496"/>
      <c r="G771" s="2496"/>
      <c r="H771" s="2496"/>
      <c r="I771" s="2496"/>
      <c r="J771" s="2496"/>
      <c r="K771" s="2496"/>
      <c r="L771" s="2496"/>
      <c r="M771" s="2496"/>
      <c r="N771" s="2496"/>
      <c r="O771" s="2496"/>
      <c r="P771" s="2496"/>
      <c r="Q771" s="2496"/>
      <c r="R771" s="2496"/>
      <c r="S771" s="2496"/>
      <c r="T771" s="2496"/>
      <c r="U771" s="2496"/>
      <c r="V771" s="2496"/>
      <c r="W771" s="2496"/>
      <c r="X771" s="2496"/>
      <c r="Y771" s="2496"/>
      <c r="Z771" s="2496"/>
      <c r="AA771" s="2496"/>
      <c r="AB771" s="2496"/>
      <c r="AC771" s="2496"/>
      <c r="AD771" s="2496"/>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6"/>
      <c r="F772" s="2496"/>
      <c r="G772" s="2496"/>
      <c r="H772" s="2496"/>
      <c r="I772" s="2496"/>
      <c r="J772" s="2496"/>
      <c r="K772" s="2496"/>
      <c r="L772" s="2496"/>
      <c r="M772" s="2496"/>
      <c r="N772" s="2496"/>
      <c r="O772" s="2496"/>
      <c r="P772" s="2496"/>
      <c r="Q772" s="2496"/>
      <c r="R772" s="2496"/>
      <c r="S772" s="2496"/>
      <c r="T772" s="2496"/>
      <c r="U772" s="2496"/>
      <c r="V772" s="2496"/>
      <c r="W772" s="2496"/>
      <c r="X772" s="2496"/>
      <c r="Y772" s="2496"/>
      <c r="Z772" s="2496"/>
      <c r="AA772" s="2496"/>
      <c r="AB772" s="2496"/>
      <c r="AC772" s="2496"/>
      <c r="AD772" s="249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1697</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441" t="s">
        <v>1352</v>
      </c>
      <c r="AG774" s="2441"/>
      <c r="AH774" s="2441"/>
      <c r="AI774" s="2441"/>
      <c r="AJ774" s="2441"/>
      <c r="AK774" s="2441"/>
      <c r="AL774" s="2441"/>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5" t="s">
        <v>591</v>
      </c>
      <c r="I779" s="252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6">
        <f>VLOOKUP($H$779,$AO$769:$AP$771,2,FALSE)</f>
        <v>0</v>
      </c>
      <c r="AK781" s="2478"/>
      <c r="AL781" s="595"/>
      <c r="AN781" s="597"/>
    </row>
    <row r="782" spans="1:81" s="570" customFormat="1" ht="13.15">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15">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6" t="s">
        <v>2033</v>
      </c>
      <c r="F785" s="2496"/>
      <c r="G785" s="2496"/>
      <c r="H785" s="2496"/>
      <c r="I785" s="2496"/>
      <c r="J785" s="2496"/>
      <c r="K785" s="2496"/>
      <c r="L785" s="2496"/>
      <c r="M785" s="2496"/>
      <c r="N785" s="2496"/>
      <c r="O785" s="2496"/>
      <c r="P785" s="2496"/>
      <c r="Q785" s="2496"/>
      <c r="R785" s="2496"/>
      <c r="S785" s="2496"/>
      <c r="T785" s="2496"/>
      <c r="U785" s="2496"/>
      <c r="V785" s="2496"/>
      <c r="W785" s="2496"/>
      <c r="X785" s="2496"/>
      <c r="Y785" s="2496"/>
      <c r="Z785" s="2496"/>
      <c r="AA785" s="2496"/>
      <c r="AB785" s="2496"/>
      <c r="AC785" s="2496"/>
      <c r="AD785" s="2496"/>
      <c r="AE785" s="536"/>
      <c r="AF785" s="2441" t="s">
        <v>1352</v>
      </c>
      <c r="AG785" s="2441"/>
      <c r="AH785" s="2441"/>
      <c r="AI785" s="2441"/>
      <c r="AJ785" s="2441"/>
      <c r="AK785" s="2441"/>
      <c r="AL785" s="2441"/>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6"/>
      <c r="F786" s="2496"/>
      <c r="G786" s="2496"/>
      <c r="H786" s="2496"/>
      <c r="I786" s="2496"/>
      <c r="J786" s="2496"/>
      <c r="K786" s="2496"/>
      <c r="L786" s="2496"/>
      <c r="M786" s="2496"/>
      <c r="N786" s="2496"/>
      <c r="O786" s="2496"/>
      <c r="P786" s="2496"/>
      <c r="Q786" s="2496"/>
      <c r="R786" s="2496"/>
      <c r="S786" s="2496"/>
      <c r="T786" s="2496"/>
      <c r="U786" s="2496"/>
      <c r="V786" s="2496"/>
      <c r="W786" s="2496"/>
      <c r="X786" s="2496"/>
      <c r="Y786" s="2496"/>
      <c r="Z786" s="2496"/>
      <c r="AA786" s="2496"/>
      <c r="AB786" s="2496"/>
      <c r="AC786" s="2496"/>
      <c r="AD786" s="249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15">
      <c r="A787" s="550"/>
      <c r="B787" s="616"/>
      <c r="C787" s="940"/>
      <c r="D787" s="663"/>
      <c r="E787" s="2496"/>
      <c r="F787" s="2496"/>
      <c r="G787" s="2496"/>
      <c r="H787" s="2496"/>
      <c r="I787" s="2496"/>
      <c r="J787" s="2496"/>
      <c r="K787" s="2496"/>
      <c r="L787" s="2496"/>
      <c r="M787" s="2496"/>
      <c r="N787" s="2496"/>
      <c r="O787" s="2496"/>
      <c r="P787" s="2496"/>
      <c r="Q787" s="2496"/>
      <c r="R787" s="2496"/>
      <c r="S787" s="2496"/>
      <c r="T787" s="2496"/>
      <c r="U787" s="2496"/>
      <c r="V787" s="2496"/>
      <c r="W787" s="2496"/>
      <c r="X787" s="2496"/>
      <c r="Y787" s="2496"/>
      <c r="Z787" s="2496"/>
      <c r="AA787" s="2496"/>
      <c r="AB787" s="2496"/>
      <c r="AC787" s="2496"/>
      <c r="AD787" s="249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15">
      <c r="A788" s="550"/>
      <c r="B788" s="616"/>
      <c r="C788" s="940"/>
      <c r="D788" s="663"/>
      <c r="E788" s="2496"/>
      <c r="F788" s="2496"/>
      <c r="G788" s="2496"/>
      <c r="H788" s="2496"/>
      <c r="I788" s="2496"/>
      <c r="J788" s="2496"/>
      <c r="K788" s="2496"/>
      <c r="L788" s="2496"/>
      <c r="M788" s="2496"/>
      <c r="N788" s="2496"/>
      <c r="O788" s="2496"/>
      <c r="P788" s="2496"/>
      <c r="Q788" s="2496"/>
      <c r="R788" s="2496"/>
      <c r="S788" s="2496"/>
      <c r="T788" s="2496"/>
      <c r="U788" s="2496"/>
      <c r="V788" s="2496"/>
      <c r="W788" s="2496"/>
      <c r="X788" s="2496"/>
      <c r="Y788" s="2496"/>
      <c r="Z788" s="2496"/>
      <c r="AA788" s="2496"/>
      <c r="AB788" s="2496"/>
      <c r="AC788" s="2496"/>
      <c r="AD788" s="249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15">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15">
      <c r="A790" s="550"/>
      <c r="B790" s="616"/>
      <c r="C790" s="940"/>
      <c r="D790" s="536" t="s">
        <v>1400</v>
      </c>
      <c r="E790" s="936"/>
      <c r="F790" s="936"/>
      <c r="G790" s="936"/>
      <c r="H790" s="2525" t="s">
        <v>591</v>
      </c>
      <c r="I790" s="252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15">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6">
        <f>VLOOKUP($H$790,$AO$784:$AP$785,2,FALSE)</f>
        <v>0</v>
      </c>
      <c r="AK792" s="247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6">
        <f>IF(($AJ$621+$AJ$640+$AJ$652+$AJ$687+$AJ$711+$AJ$725+$AJ$737+$AJ$753+$AJ$765+$AJ$781+AJ792)&gt;10,10,($AJ$621+$AJ$640+$AJ$652+$AJ$687+$AJ$711+$AJ$725+$AJ$737+$AJ$753+$AJ$765+$AJ$781+AJ792))</f>
        <v>10</v>
      </c>
      <c r="AL794" s="2477"/>
      <c r="AM794" s="247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9" t="s">
        <v>1568</v>
      </c>
      <c r="B797" s="2570"/>
      <c r="C797" s="2570"/>
      <c r="D797" s="2570"/>
      <c r="E797" s="2570"/>
      <c r="F797" s="2570"/>
      <c r="G797" s="2570"/>
      <c r="H797" s="2570"/>
      <c r="I797" s="2570"/>
      <c r="J797" s="2570"/>
      <c r="K797" s="2570"/>
      <c r="L797" s="2570"/>
      <c r="M797" s="2570"/>
      <c r="N797" s="2570"/>
      <c r="O797" s="2570"/>
      <c r="P797" s="2570"/>
      <c r="Q797" s="2570"/>
      <c r="R797" s="2570"/>
      <c r="S797" s="2570"/>
      <c r="T797" s="2570"/>
      <c r="U797" s="2570"/>
      <c r="V797" s="2570"/>
      <c r="W797" s="2570"/>
      <c r="X797" s="2570"/>
      <c r="Y797" s="2570"/>
      <c r="Z797" s="2570"/>
      <c r="AA797" s="2570"/>
      <c r="AB797" s="2570"/>
      <c r="AC797" s="2570"/>
      <c r="AD797" s="2570"/>
      <c r="AE797" s="2570"/>
      <c r="AF797" s="2570"/>
      <c r="AG797" s="2570"/>
      <c r="AH797" s="2570"/>
      <c r="AI797" s="2570"/>
      <c r="AJ797" s="2570"/>
      <c r="AK797" s="2570"/>
      <c r="AL797" s="2570"/>
      <c r="AM797" s="2570"/>
    </row>
    <row r="798" spans="1:81">
      <c r="A798" s="2571"/>
      <c r="B798" s="2571"/>
      <c r="C798" s="2571"/>
      <c r="D798" s="2571"/>
      <c r="E798" s="2571"/>
      <c r="F798" s="2571"/>
      <c r="G798" s="2571"/>
      <c r="H798" s="2571"/>
      <c r="I798" s="2571"/>
      <c r="J798" s="2571"/>
      <c r="K798" s="2571"/>
      <c r="L798" s="2571"/>
      <c r="M798" s="2571"/>
      <c r="N798" s="2571"/>
      <c r="O798" s="2571"/>
      <c r="P798" s="2571"/>
      <c r="Q798" s="2571"/>
      <c r="R798" s="2571"/>
      <c r="S798" s="2571"/>
      <c r="T798" s="2571"/>
      <c r="U798" s="2571"/>
      <c r="V798" s="2571"/>
      <c r="W798" s="2571"/>
      <c r="X798" s="2571"/>
      <c r="Y798" s="2571"/>
      <c r="Z798" s="2571"/>
      <c r="AA798" s="2571"/>
      <c r="AB798" s="2571"/>
      <c r="AC798" s="2571"/>
      <c r="AD798" s="2571"/>
      <c r="AE798" s="2571"/>
      <c r="AF798" s="2571"/>
      <c r="AG798" s="2571"/>
      <c r="AH798" s="2571"/>
      <c r="AI798" s="2571"/>
      <c r="AJ798" s="2571"/>
      <c r="AK798" s="2571"/>
      <c r="AL798" s="2571"/>
      <c r="AM798" s="2571"/>
      <c r="AO798" s="816"/>
      <c r="AP798" s="816"/>
      <c r="AQ798" s="816"/>
    </row>
    <row r="799" spans="1:81" ht="13.15">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15">
      <c r="A800" s="2517"/>
      <c r="B800" s="2517"/>
      <c r="C800" s="2517"/>
      <c r="D800" s="2517"/>
      <c r="E800" s="2517"/>
      <c r="F800" s="2517"/>
      <c r="G800" s="2517"/>
      <c r="H800" s="2517"/>
      <c r="I800" s="2517"/>
      <c r="J800" s="2517"/>
      <c r="K800" s="2517"/>
      <c r="L800" s="2517"/>
      <c r="M800" s="2517"/>
      <c r="N800" s="2517"/>
      <c r="O800" s="2517"/>
      <c r="P800" s="2517"/>
      <c r="Q800" s="2517"/>
      <c r="R800" s="2517"/>
      <c r="S800" s="2517"/>
      <c r="T800" s="2517"/>
      <c r="U800" s="2517"/>
      <c r="V800" s="2517"/>
      <c r="W800" s="2517"/>
      <c r="X800" s="2517"/>
      <c r="Y800" s="2517"/>
      <c r="Z800" s="2517"/>
      <c r="AA800" s="2517"/>
      <c r="AB800" s="2517"/>
      <c r="AC800" s="2517"/>
      <c r="AD800" s="2517"/>
      <c r="AE800" s="2517"/>
      <c r="AF800" s="2517"/>
      <c r="AG800" s="2517"/>
      <c r="AH800" s="2517"/>
      <c r="AI800" s="2517"/>
      <c r="AJ800" s="2517"/>
      <c r="AK800" s="2517"/>
      <c r="AL800" s="2517"/>
      <c r="AM800" s="2517"/>
      <c r="AP800" s="816"/>
      <c r="AQ800" s="816"/>
    </row>
    <row r="801" spans="1:81" ht="13.15">
      <c r="A801" s="2517"/>
      <c r="B801" s="2517"/>
      <c r="C801" s="2517"/>
      <c r="D801" s="2517"/>
      <c r="E801" s="2517"/>
      <c r="F801" s="2517"/>
      <c r="G801" s="2517"/>
      <c r="H801" s="2517"/>
      <c r="I801" s="2517"/>
      <c r="J801" s="2517"/>
      <c r="K801" s="2517"/>
      <c r="L801" s="2517"/>
      <c r="M801" s="2517"/>
      <c r="N801" s="2517"/>
      <c r="O801" s="2517"/>
      <c r="P801" s="2517"/>
      <c r="Q801" s="2517"/>
      <c r="R801" s="2517"/>
      <c r="S801" s="2517"/>
      <c r="T801" s="2517"/>
      <c r="U801" s="2517"/>
      <c r="V801" s="2517"/>
      <c r="W801" s="2517"/>
      <c r="X801" s="2517"/>
      <c r="Y801" s="2517"/>
      <c r="Z801" s="2517"/>
      <c r="AA801" s="2517"/>
      <c r="AB801" s="2517"/>
      <c r="AC801" s="2517"/>
      <c r="AD801" s="2517"/>
      <c r="AE801" s="2517"/>
      <c r="AF801" s="2517"/>
      <c r="AG801" s="2517"/>
      <c r="AH801" s="2517"/>
      <c r="AI801" s="2517"/>
      <c r="AJ801" s="2517"/>
      <c r="AK801" s="2517"/>
      <c r="AL801" s="2517"/>
      <c r="AM801" s="2517"/>
      <c r="AO801" s="816"/>
      <c r="AQ801" s="816"/>
    </row>
    <row r="802" spans="1:81" ht="13.15">
      <c r="A802" s="817"/>
      <c r="B802" s="667"/>
      <c r="C802" s="667"/>
      <c r="D802" s="667"/>
      <c r="E802" s="667"/>
      <c r="F802" s="667"/>
      <c r="G802" s="667"/>
      <c r="H802" s="667"/>
      <c r="I802" s="667"/>
      <c r="J802" s="667"/>
      <c r="K802" s="667"/>
      <c r="L802" s="667"/>
      <c r="M802" s="667"/>
      <c r="N802" s="667"/>
      <c r="O802" s="667"/>
      <c r="P802" s="667"/>
      <c r="Q802" s="667"/>
      <c r="R802" s="667"/>
      <c r="S802" s="669"/>
      <c r="T802" s="2572" t="s">
        <v>1569</v>
      </c>
      <c r="U802" s="2573"/>
      <c r="V802" s="2573"/>
      <c r="W802" s="2573"/>
      <c r="X802" s="2573"/>
      <c r="Y802" s="2574"/>
      <c r="Z802" s="2572" t="s">
        <v>1570</v>
      </c>
      <c r="AA802" s="2573"/>
      <c r="AB802" s="2573"/>
      <c r="AC802" s="2573"/>
      <c r="AD802" s="2573"/>
      <c r="AE802" s="2574"/>
      <c r="AF802" s="2572" t="s">
        <v>1571</v>
      </c>
      <c r="AG802" s="2573"/>
      <c r="AH802" s="2573"/>
      <c r="AI802" s="2573"/>
      <c r="AJ802" s="2573"/>
      <c r="AK802" s="2574"/>
      <c r="AL802" s="818"/>
      <c r="AM802" s="596"/>
      <c r="AO802" s="816"/>
      <c r="AP802" s="816"/>
      <c r="AQ802" s="816"/>
    </row>
    <row r="803" spans="1:81" ht="13.15">
      <c r="A803" s="819"/>
      <c r="B803" s="694"/>
      <c r="C803" s="694"/>
      <c r="D803" s="694"/>
      <c r="E803" s="694"/>
      <c r="F803" s="694"/>
      <c r="G803" s="694"/>
      <c r="H803" s="694"/>
      <c r="I803" s="694"/>
      <c r="J803" s="694"/>
      <c r="K803" s="694"/>
      <c r="L803" s="694"/>
      <c r="M803" s="694"/>
      <c r="N803" s="694"/>
      <c r="O803" s="694"/>
      <c r="P803" s="694"/>
      <c r="Q803" s="694"/>
      <c r="R803" s="694"/>
      <c r="S803" s="708"/>
      <c r="T803" s="2575"/>
      <c r="U803" s="2576"/>
      <c r="V803" s="2576"/>
      <c r="W803" s="2576"/>
      <c r="X803" s="2576"/>
      <c r="Y803" s="2577"/>
      <c r="Z803" s="2575"/>
      <c r="AA803" s="2576"/>
      <c r="AB803" s="2576"/>
      <c r="AC803" s="2576"/>
      <c r="AD803" s="2576"/>
      <c r="AE803" s="2577"/>
      <c r="AF803" s="2575"/>
      <c r="AG803" s="2576"/>
      <c r="AH803" s="2576"/>
      <c r="AI803" s="2576"/>
      <c r="AJ803" s="2576"/>
      <c r="AK803" s="2577"/>
      <c r="AL803" s="818"/>
      <c r="AM803" s="596"/>
      <c r="AO803" s="816"/>
      <c r="AP803" s="816"/>
      <c r="AQ803" s="816"/>
    </row>
    <row r="804" spans="1:81" ht="13.15">
      <c r="A804" s="819" t="s">
        <v>757</v>
      </c>
      <c r="B804" s="2552" t="s">
        <v>1304</v>
      </c>
      <c r="C804" s="2552"/>
      <c r="D804" s="2552"/>
      <c r="E804" s="2552"/>
      <c r="F804" s="2552"/>
      <c r="G804" s="2552"/>
      <c r="H804" s="2552"/>
      <c r="I804" s="2552"/>
      <c r="J804" s="2552"/>
      <c r="K804" s="2552"/>
      <c r="L804" s="2552"/>
      <c r="M804" s="2552"/>
      <c r="N804" s="2552"/>
      <c r="O804" s="2552"/>
      <c r="P804" s="2552"/>
      <c r="Q804" s="2552"/>
      <c r="R804" s="2552"/>
      <c r="S804" s="2553"/>
      <c r="T804" s="2554">
        <f>AK62</f>
        <v>0</v>
      </c>
      <c r="U804" s="2555"/>
      <c r="V804" s="2555"/>
      <c r="W804" s="2555"/>
      <c r="X804" s="2555"/>
      <c r="Y804" s="2556"/>
      <c r="Z804" s="2557">
        <v>20</v>
      </c>
      <c r="AA804" s="2555"/>
      <c r="AB804" s="2555"/>
      <c r="AC804" s="2555"/>
      <c r="AD804" s="2555"/>
      <c r="AE804" s="2556"/>
      <c r="AF804" s="2538">
        <f>IF(T804&gt;Z804,Z804,T804)</f>
        <v>0</v>
      </c>
      <c r="AG804" s="2538"/>
      <c r="AH804" s="2538"/>
      <c r="AI804" s="2538"/>
      <c r="AJ804" s="2538"/>
      <c r="AK804" s="2538"/>
      <c r="AL804" s="818"/>
      <c r="AM804" s="596"/>
      <c r="AO804" s="816"/>
      <c r="AP804" s="816"/>
      <c r="AQ804" s="816"/>
    </row>
    <row r="805" spans="1:81" ht="13.15">
      <c r="A805" s="819" t="s">
        <v>1541</v>
      </c>
      <c r="B805" s="2552" t="s">
        <v>1313</v>
      </c>
      <c r="C805" s="2552"/>
      <c r="D805" s="2552"/>
      <c r="E805" s="2552"/>
      <c r="F805" s="2552"/>
      <c r="G805" s="2552"/>
      <c r="H805" s="2552"/>
      <c r="I805" s="2552"/>
      <c r="J805" s="2552"/>
      <c r="K805" s="2552"/>
      <c r="L805" s="2552"/>
      <c r="M805" s="2552"/>
      <c r="N805" s="2552"/>
      <c r="O805" s="2552"/>
      <c r="P805" s="2552"/>
      <c r="Q805" s="2552"/>
      <c r="R805" s="2552"/>
      <c r="S805" s="2553"/>
      <c r="T805" s="2554">
        <f>AK84</f>
        <v>10</v>
      </c>
      <c r="U805" s="2555"/>
      <c r="V805" s="2555"/>
      <c r="W805" s="2555"/>
      <c r="X805" s="2555"/>
      <c r="Y805" s="2556"/>
      <c r="Z805" s="2557">
        <v>10</v>
      </c>
      <c r="AA805" s="2555"/>
      <c r="AB805" s="2555"/>
      <c r="AC805" s="2555"/>
      <c r="AD805" s="2555"/>
      <c r="AE805" s="2556"/>
      <c r="AF805" s="2538">
        <f>IF(T805&gt;Z805,Z805,T805)</f>
        <v>10</v>
      </c>
      <c r="AG805" s="2538"/>
      <c r="AH805" s="2538"/>
      <c r="AI805" s="2538"/>
      <c r="AJ805" s="2538"/>
      <c r="AK805" s="2538"/>
      <c r="AL805" s="818"/>
      <c r="AM805" s="596"/>
      <c r="AO805" s="816"/>
      <c r="AP805" s="816"/>
      <c r="AQ805" s="816"/>
    </row>
    <row r="806" spans="1:81" ht="13.15">
      <c r="A806" s="819" t="s">
        <v>1550</v>
      </c>
      <c r="B806" s="2552" t="s">
        <v>1323</v>
      </c>
      <c r="C806" s="2552"/>
      <c r="D806" s="2552"/>
      <c r="E806" s="2552"/>
      <c r="F806" s="2552"/>
      <c r="G806" s="2552"/>
      <c r="H806" s="2552"/>
      <c r="I806" s="2552"/>
      <c r="J806" s="2552"/>
      <c r="K806" s="2552"/>
      <c r="L806" s="2552"/>
      <c r="M806" s="2552"/>
      <c r="N806" s="2552"/>
      <c r="O806" s="2552"/>
      <c r="P806" s="2552"/>
      <c r="Q806" s="2552"/>
      <c r="R806" s="2552"/>
      <c r="S806" s="2553"/>
      <c r="T806" s="2554">
        <f>AK109</f>
        <v>20</v>
      </c>
      <c r="U806" s="2555"/>
      <c r="V806" s="2555"/>
      <c r="W806" s="2555"/>
      <c r="X806" s="2555"/>
      <c r="Y806" s="2556"/>
      <c r="Z806" s="2557">
        <v>20</v>
      </c>
      <c r="AA806" s="2555"/>
      <c r="AB806" s="2555"/>
      <c r="AC806" s="2555"/>
      <c r="AD806" s="2555"/>
      <c r="AE806" s="2556"/>
      <c r="AF806" s="2538">
        <f>IF(T806&gt;Z806,Z806,T806)</f>
        <v>20</v>
      </c>
      <c r="AG806" s="2538"/>
      <c r="AH806" s="2538"/>
      <c r="AI806" s="2538"/>
      <c r="AJ806" s="2538"/>
      <c r="AK806" s="2538"/>
      <c r="AL806" s="818"/>
      <c r="AM806" s="596"/>
      <c r="AO806" s="816"/>
      <c r="AP806" s="816"/>
      <c r="AQ806" s="816"/>
    </row>
    <row r="807" spans="1:81" ht="13.15">
      <c r="A807" s="819" t="s">
        <v>1572</v>
      </c>
      <c r="B807" s="2552" t="s">
        <v>1333</v>
      </c>
      <c r="C807" s="2552"/>
      <c r="D807" s="2552"/>
      <c r="E807" s="2552"/>
      <c r="F807" s="2552"/>
      <c r="G807" s="2552"/>
      <c r="H807" s="2552"/>
      <c r="I807" s="2552"/>
      <c r="J807" s="2552"/>
      <c r="K807" s="2552"/>
      <c r="L807" s="2552"/>
      <c r="M807" s="2552"/>
      <c r="N807" s="2552"/>
      <c r="O807" s="2552"/>
      <c r="P807" s="2552"/>
      <c r="Q807" s="2552"/>
      <c r="R807" s="2552"/>
      <c r="S807" s="2553"/>
      <c r="T807" s="2554">
        <f>AK143</f>
        <v>10</v>
      </c>
      <c r="U807" s="2555"/>
      <c r="V807" s="2555"/>
      <c r="W807" s="2555"/>
      <c r="X807" s="2555"/>
      <c r="Y807" s="2556"/>
      <c r="Z807" s="2557">
        <v>10</v>
      </c>
      <c r="AA807" s="2555"/>
      <c r="AB807" s="2555"/>
      <c r="AC807" s="2555"/>
      <c r="AD807" s="2555"/>
      <c r="AE807" s="2556"/>
      <c r="AF807" s="2538">
        <f>IF(T807&gt;Z807,Z807,T807)</f>
        <v>10</v>
      </c>
      <c r="AG807" s="2538"/>
      <c r="AH807" s="2538"/>
      <c r="AI807" s="2538"/>
      <c r="AJ807" s="2538"/>
      <c r="AK807" s="2538"/>
      <c r="AL807" s="818"/>
      <c r="AM807" s="596"/>
      <c r="AO807" s="816"/>
      <c r="AP807" s="816"/>
      <c r="AQ807" s="816"/>
    </row>
    <row r="808" spans="1:81" ht="13.15">
      <c r="A808" s="820" t="s">
        <v>1573</v>
      </c>
      <c r="B808" s="2552" t="s">
        <v>1574</v>
      </c>
      <c r="C808" s="2552"/>
      <c r="D808" s="2552"/>
      <c r="E808" s="2552"/>
      <c r="F808" s="2552"/>
      <c r="G808" s="2552"/>
      <c r="H808" s="2552"/>
      <c r="I808" s="2552"/>
      <c r="J808" s="2552"/>
      <c r="K808" s="2552"/>
      <c r="L808" s="2552"/>
      <c r="M808" s="2552"/>
      <c r="N808" s="2552"/>
      <c r="O808" s="2552"/>
      <c r="P808" s="2552"/>
      <c r="Q808" s="2552"/>
      <c r="R808" s="2552"/>
      <c r="S808" s="2553"/>
      <c r="T808" s="2578">
        <f>SUM(T809:Y810)</f>
        <v>10</v>
      </c>
      <c r="U808" s="2578"/>
      <c r="V808" s="2578"/>
      <c r="W808" s="2578"/>
      <c r="X808" s="2578"/>
      <c r="Y808" s="2578"/>
      <c r="Z808" s="2538">
        <v>10</v>
      </c>
      <c r="AA808" s="2538"/>
      <c r="AB808" s="2538"/>
      <c r="AC808" s="2538"/>
      <c r="AD808" s="2538"/>
      <c r="AE808" s="2538"/>
      <c r="AF808" s="2538">
        <f>IF(T808&gt;Z808,Z808,T808)</f>
        <v>10</v>
      </c>
      <c r="AG808" s="2538"/>
      <c r="AH808" s="2538"/>
      <c r="AI808" s="2538"/>
      <c r="AJ808" s="2538"/>
      <c r="AK808" s="2538"/>
      <c r="AL808" s="818"/>
      <c r="AM808" s="596"/>
    </row>
    <row r="809" spans="1:81" ht="13.15">
      <c r="A809" s="535"/>
      <c r="B809" s="601"/>
      <c r="C809" s="2579" t="s">
        <v>1575</v>
      </c>
      <c r="D809" s="2579"/>
      <c r="E809" s="2579"/>
      <c r="F809" s="2579"/>
      <c r="G809" s="2579"/>
      <c r="H809" s="2579"/>
      <c r="I809" s="2579"/>
      <c r="J809" s="2579"/>
      <c r="K809" s="2579"/>
      <c r="L809" s="2579"/>
      <c r="M809" s="2579"/>
      <c r="N809" s="2579"/>
      <c r="O809" s="2579"/>
      <c r="P809" s="2579"/>
      <c r="Q809" s="2579"/>
      <c r="R809" s="2579"/>
      <c r="S809" s="2580"/>
      <c r="T809" s="2471">
        <f>AJ166</f>
        <v>7</v>
      </c>
      <c r="U809" s="2471"/>
      <c r="V809" s="2471"/>
      <c r="W809" s="2471"/>
      <c r="X809" s="2471"/>
      <c r="Y809" s="2471"/>
      <c r="Z809" s="2472">
        <v>7</v>
      </c>
      <c r="AA809" s="2472"/>
      <c r="AB809" s="2472"/>
      <c r="AC809" s="2472"/>
      <c r="AD809" s="2472"/>
      <c r="AE809" s="2472"/>
      <c r="AF809" s="2581"/>
      <c r="AG809" s="2581"/>
      <c r="AH809" s="2581"/>
      <c r="AI809" s="2581"/>
      <c r="AJ809" s="2581"/>
      <c r="AK809" s="2581"/>
      <c r="AL809" s="818"/>
      <c r="AM809" s="596"/>
    </row>
    <row r="810" spans="1:81" ht="13.15">
      <c r="A810" s="600"/>
      <c r="B810" s="601"/>
      <c r="C810" s="2579" t="s">
        <v>1576</v>
      </c>
      <c r="D810" s="2579"/>
      <c r="E810" s="2579"/>
      <c r="F810" s="2579"/>
      <c r="G810" s="2579"/>
      <c r="H810" s="2579"/>
      <c r="I810" s="2579"/>
      <c r="J810" s="2579"/>
      <c r="K810" s="2579"/>
      <c r="L810" s="2579"/>
      <c r="M810" s="2579"/>
      <c r="N810" s="2579"/>
      <c r="O810" s="2579"/>
      <c r="P810" s="2579"/>
      <c r="Q810" s="2579"/>
      <c r="R810" s="2579"/>
      <c r="S810" s="2580"/>
      <c r="T810" s="2471">
        <f>AJ180</f>
        <v>3</v>
      </c>
      <c r="U810" s="2471"/>
      <c r="V810" s="2471"/>
      <c r="W810" s="2471"/>
      <c r="X810" s="2471"/>
      <c r="Y810" s="2471"/>
      <c r="Z810" s="2472">
        <v>3</v>
      </c>
      <c r="AA810" s="2472"/>
      <c r="AB810" s="2472"/>
      <c r="AC810" s="2472"/>
      <c r="AD810" s="2472"/>
      <c r="AE810" s="2472"/>
      <c r="AF810" s="2581"/>
      <c r="AG810" s="2581"/>
      <c r="AH810" s="2581"/>
      <c r="AI810" s="2581"/>
      <c r="AJ810" s="2581"/>
      <c r="AK810" s="2581"/>
      <c r="AL810" s="818"/>
      <c r="AM810" s="596"/>
      <c r="AO810" s="550"/>
    </row>
    <row r="811" spans="1:81" ht="13.15">
      <c r="A811" s="820" t="s">
        <v>1361</v>
      </c>
      <c r="B811" s="2552" t="s">
        <v>1577</v>
      </c>
      <c r="C811" s="2552"/>
      <c r="D811" s="2552"/>
      <c r="E811" s="2552"/>
      <c r="F811" s="2552"/>
      <c r="G811" s="2552"/>
      <c r="H811" s="2552"/>
      <c r="I811" s="2552"/>
      <c r="J811" s="2552"/>
      <c r="K811" s="2552"/>
      <c r="L811" s="2552"/>
      <c r="M811" s="2552"/>
      <c r="N811" s="2552"/>
      <c r="O811" s="2552"/>
      <c r="P811" s="2552"/>
      <c r="Q811" s="2552"/>
      <c r="R811" s="2552"/>
      <c r="S811" s="2553"/>
      <c r="T811" s="2578">
        <f>AK191</f>
        <v>10</v>
      </c>
      <c r="U811" s="2578"/>
      <c r="V811" s="2578"/>
      <c r="W811" s="2578"/>
      <c r="X811" s="2578"/>
      <c r="Y811" s="2578"/>
      <c r="Z811" s="2538">
        <v>10</v>
      </c>
      <c r="AA811" s="2538"/>
      <c r="AB811" s="2538"/>
      <c r="AC811" s="2538"/>
      <c r="AD811" s="2538"/>
      <c r="AE811" s="2538"/>
      <c r="AF811" s="2538">
        <f>IF(T811&gt;Z811,Z811,T811)</f>
        <v>10</v>
      </c>
      <c r="AG811" s="2538"/>
      <c r="AH811" s="2538"/>
      <c r="AI811" s="2538"/>
      <c r="AJ811" s="2538"/>
      <c r="AK811" s="2538"/>
      <c r="AL811" s="818"/>
      <c r="AM811" s="596"/>
    </row>
    <row r="812" spans="1:81" ht="13.15">
      <c r="A812" s="819" t="s">
        <v>1370</v>
      </c>
      <c r="B812" s="2552" t="s">
        <v>1371</v>
      </c>
      <c r="C812" s="2552"/>
      <c r="D812" s="2552"/>
      <c r="E812" s="2552"/>
      <c r="F812" s="2552"/>
      <c r="G812" s="2552"/>
      <c r="H812" s="2552"/>
      <c r="I812" s="2552"/>
      <c r="J812" s="2552"/>
      <c r="K812" s="2552"/>
      <c r="L812" s="2552"/>
      <c r="M812" s="2552"/>
      <c r="N812" s="2552"/>
      <c r="O812" s="2552"/>
      <c r="P812" s="2552"/>
      <c r="Q812" s="2552"/>
      <c r="R812" s="2552"/>
      <c r="S812" s="2553"/>
      <c r="T812" s="2578">
        <f>AK273</f>
        <v>8</v>
      </c>
      <c r="U812" s="2578"/>
      <c r="V812" s="2578"/>
      <c r="W812" s="2578"/>
      <c r="X812" s="2578"/>
      <c r="Y812" s="2578"/>
      <c r="Z812" s="2557">
        <v>8</v>
      </c>
      <c r="AA812" s="2555"/>
      <c r="AB812" s="2555"/>
      <c r="AC812" s="2555"/>
      <c r="AD812" s="2555"/>
      <c r="AE812" s="2556"/>
      <c r="AF812" s="2538">
        <f>IF(T812&gt;Z812,Z812,T812)</f>
        <v>8</v>
      </c>
      <c r="AG812" s="2538"/>
      <c r="AH812" s="2538"/>
      <c r="AI812" s="2538"/>
      <c r="AJ812" s="2538"/>
      <c r="AK812" s="2538"/>
      <c r="AL812" s="818"/>
      <c r="AM812" s="596"/>
    </row>
    <row r="813" spans="1:81" s="534" customFormat="1" ht="13.15" hidden="1">
      <c r="A813" s="820" t="s">
        <v>589</v>
      </c>
      <c r="B813" s="2552" t="s">
        <v>1578</v>
      </c>
      <c r="C813" s="2552"/>
      <c r="D813" s="2552"/>
      <c r="E813" s="2552"/>
      <c r="F813" s="2552"/>
      <c r="G813" s="2552"/>
      <c r="H813" s="2552"/>
      <c r="I813" s="2552"/>
      <c r="J813" s="2552"/>
      <c r="K813" s="2552"/>
      <c r="L813" s="2552"/>
      <c r="M813" s="2552"/>
      <c r="N813" s="2552"/>
      <c r="O813" s="2552"/>
      <c r="P813" s="2552"/>
      <c r="Q813" s="2552"/>
      <c r="R813" s="2552"/>
      <c r="S813" s="2553"/>
      <c r="T813" s="2578">
        <f>IF(AK535&gt;5,5,AK535)</f>
        <v>0</v>
      </c>
      <c r="U813" s="2578"/>
      <c r="V813" s="2578"/>
      <c r="W813" s="2578"/>
      <c r="X813" s="2578"/>
      <c r="Y813" s="2578"/>
      <c r="Z813" s="2538">
        <v>5</v>
      </c>
      <c r="AA813" s="2538"/>
      <c r="AB813" s="2538"/>
      <c r="AC813" s="2538"/>
      <c r="AD813" s="2538"/>
      <c r="AE813" s="2538"/>
      <c r="AF813" s="2538">
        <f>IF(T813&gt;Z813,5,T813)</f>
        <v>0</v>
      </c>
      <c r="AG813" s="2538"/>
      <c r="AH813" s="2538"/>
      <c r="AI813" s="2538"/>
      <c r="AJ813" s="2538"/>
      <c r="AK813" s="25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15">
      <c r="A814" s="819" t="s">
        <v>1376</v>
      </c>
      <c r="B814" s="2552" t="s">
        <v>1579</v>
      </c>
      <c r="C814" s="2552"/>
      <c r="D814" s="2552"/>
      <c r="E814" s="2552"/>
      <c r="F814" s="2552"/>
      <c r="G814" s="2552"/>
      <c r="H814" s="2552"/>
      <c r="I814" s="2552"/>
      <c r="J814" s="2552"/>
      <c r="K814" s="2552"/>
      <c r="L814" s="2552"/>
      <c r="M814" s="2552"/>
      <c r="N814" s="2552"/>
      <c r="O814" s="2552"/>
      <c r="P814" s="2552"/>
      <c r="Q814" s="2552"/>
      <c r="R814" s="2552"/>
      <c r="S814" s="2553"/>
      <c r="T814" s="2578">
        <f>AK285</f>
        <v>10</v>
      </c>
      <c r="U814" s="2578"/>
      <c r="V814" s="2578"/>
      <c r="W814" s="2578"/>
      <c r="X814" s="2578"/>
      <c r="Y814" s="2578"/>
      <c r="Z814" s="2538">
        <v>10</v>
      </c>
      <c r="AA814" s="2538"/>
      <c r="AB814" s="2538"/>
      <c r="AC814" s="2538"/>
      <c r="AD814" s="2538"/>
      <c r="AE814" s="2538"/>
      <c r="AF814" s="2584">
        <f>IF(T814&gt;Z814,Z814,T814)</f>
        <v>10</v>
      </c>
      <c r="AG814" s="2585"/>
      <c r="AH814" s="2585"/>
      <c r="AI814" s="2585"/>
      <c r="AJ814" s="2585"/>
      <c r="AK814" s="25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15">
      <c r="A815" s="820" t="s">
        <v>1380</v>
      </c>
      <c r="B815" s="2552" t="s">
        <v>1381</v>
      </c>
      <c r="C815" s="2552"/>
      <c r="D815" s="2552"/>
      <c r="E815" s="2552"/>
      <c r="F815" s="2552"/>
      <c r="G815" s="2552"/>
      <c r="H815" s="2552"/>
      <c r="I815" s="2552"/>
      <c r="J815" s="2552"/>
      <c r="K815" s="2552"/>
      <c r="L815" s="2552"/>
      <c r="M815" s="2552"/>
      <c r="N815" s="2552"/>
      <c r="O815" s="2552"/>
      <c r="P815" s="2552"/>
      <c r="Q815" s="2552"/>
      <c r="R815" s="2552"/>
      <c r="S815" s="2553"/>
      <c r="T815" s="2578">
        <f>AK338</f>
        <v>10</v>
      </c>
      <c r="U815" s="2578"/>
      <c r="V815" s="2578"/>
      <c r="W815" s="2578"/>
      <c r="X815" s="2578"/>
      <c r="Y815" s="2578"/>
      <c r="Z815" s="2584">
        <v>10</v>
      </c>
      <c r="AA815" s="2585"/>
      <c r="AB815" s="2585"/>
      <c r="AC815" s="2585"/>
      <c r="AD815" s="2585"/>
      <c r="AE815" s="2586"/>
      <c r="AF815" s="2584">
        <f>IF(T815&gt;Z815,Z815,T815)</f>
        <v>10</v>
      </c>
      <c r="AG815" s="2585"/>
      <c r="AH815" s="2585"/>
      <c r="AI815" s="2585"/>
      <c r="AJ815" s="2585"/>
      <c r="AK815" s="25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15"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1">
        <f>AK338</f>
        <v>10</v>
      </c>
      <c r="U816" s="2471"/>
      <c r="V816" s="2471"/>
      <c r="W816" s="2471"/>
      <c r="X816" s="2471"/>
      <c r="Y816" s="2471"/>
      <c r="Z816" s="2476">
        <v>20</v>
      </c>
      <c r="AA816" s="2477"/>
      <c r="AB816" s="2477"/>
      <c r="AC816" s="2477"/>
      <c r="AD816" s="2477"/>
      <c r="AE816" s="2478"/>
      <c r="AF816" s="2581"/>
      <c r="AG816" s="2581"/>
      <c r="AH816" s="2581"/>
      <c r="AI816" s="2581"/>
      <c r="AJ816" s="2581"/>
      <c r="AK816" s="25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15">
      <c r="A817" s="820" t="s">
        <v>1453</v>
      </c>
      <c r="B817" s="2552" t="s">
        <v>845</v>
      </c>
      <c r="C817" s="2552"/>
      <c r="D817" s="2552"/>
      <c r="E817" s="2552"/>
      <c r="F817" s="2552"/>
      <c r="G817" s="2552"/>
      <c r="H817" s="2552"/>
      <c r="I817" s="2552"/>
      <c r="J817" s="2552"/>
      <c r="K817" s="2552"/>
      <c r="L817" s="2552"/>
      <c r="M817" s="2552"/>
      <c r="N817" s="2552"/>
      <c r="O817" s="2552"/>
      <c r="P817" s="2552"/>
      <c r="Q817" s="2552"/>
      <c r="R817" s="2552"/>
      <c r="S817" s="2553"/>
      <c r="T817" s="2578">
        <f>AK469</f>
        <v>10</v>
      </c>
      <c r="U817" s="2578"/>
      <c r="V817" s="2578"/>
      <c r="W817" s="2578"/>
      <c r="X817" s="2578"/>
      <c r="Y817" s="2578"/>
      <c r="Z817" s="2584">
        <v>10</v>
      </c>
      <c r="AA817" s="2585"/>
      <c r="AB817" s="2585"/>
      <c r="AC817" s="2585"/>
      <c r="AD817" s="2585"/>
      <c r="AE817" s="2586"/>
      <c r="AF817" s="2538">
        <f>IF(T817&gt;Z817,Z817,T817)</f>
        <v>10</v>
      </c>
      <c r="AG817" s="2538"/>
      <c r="AH817" s="2538"/>
      <c r="AI817" s="2538"/>
      <c r="AJ817" s="2538"/>
      <c r="AK817" s="25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15">
      <c r="A818" s="820" t="s">
        <v>1558</v>
      </c>
      <c r="B818" s="2552" t="s">
        <v>1559</v>
      </c>
      <c r="C818" s="2552"/>
      <c r="D818" s="2552"/>
      <c r="E818" s="2552"/>
      <c r="F818" s="2552"/>
      <c r="G818" s="2552"/>
      <c r="H818" s="2552"/>
      <c r="I818" s="2552"/>
      <c r="J818" s="2552"/>
      <c r="K818" s="2552"/>
      <c r="L818" s="2552"/>
      <c r="M818" s="2552"/>
      <c r="N818" s="2552"/>
      <c r="O818" s="2552"/>
      <c r="P818" s="2552"/>
      <c r="Q818" s="2552"/>
      <c r="R818" s="2552"/>
      <c r="S818" s="2553"/>
      <c r="T818" s="2578">
        <f>AK559</f>
        <v>12</v>
      </c>
      <c r="U818" s="2578"/>
      <c r="V818" s="2578"/>
      <c r="W818" s="2578"/>
      <c r="X818" s="2578"/>
      <c r="Y818" s="2578"/>
      <c r="Z818" s="2584">
        <v>12</v>
      </c>
      <c r="AA818" s="2585"/>
      <c r="AB818" s="2585"/>
      <c r="AC818" s="2585"/>
      <c r="AD818" s="2585"/>
      <c r="AE818" s="2586"/>
      <c r="AF818" s="2538">
        <f>IF(T818&gt;Z818,Z818,T818)</f>
        <v>12</v>
      </c>
      <c r="AG818" s="2538"/>
      <c r="AH818" s="2538"/>
      <c r="AI818" s="2538"/>
      <c r="AJ818" s="2538"/>
      <c r="AK818" s="25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15">
      <c r="A819" s="820" t="s">
        <v>2021</v>
      </c>
      <c r="B819" s="2552" t="s">
        <v>1581</v>
      </c>
      <c r="C819" s="2552"/>
      <c r="D819" s="2552"/>
      <c r="E819" s="2552"/>
      <c r="F819" s="2552"/>
      <c r="G819" s="2552"/>
      <c r="H819" s="2552"/>
      <c r="I819" s="2552"/>
      <c r="J819" s="2552"/>
      <c r="K819" s="2552"/>
      <c r="L819" s="2552"/>
      <c r="M819" s="2552"/>
      <c r="N819" s="2552"/>
      <c r="O819" s="2552"/>
      <c r="P819" s="2552"/>
      <c r="Q819" s="2552"/>
      <c r="R819" s="2552"/>
      <c r="S819" s="2553"/>
      <c r="T819" s="2578">
        <f>AK794</f>
        <v>10</v>
      </c>
      <c r="U819" s="2578"/>
      <c r="V819" s="2578"/>
      <c r="W819" s="2578"/>
      <c r="X819" s="2578"/>
      <c r="Y819" s="2578"/>
      <c r="Z819" s="2584">
        <v>10</v>
      </c>
      <c r="AA819" s="2585"/>
      <c r="AB819" s="2585"/>
      <c r="AC819" s="2585"/>
      <c r="AD819" s="2585"/>
      <c r="AE819" s="2586"/>
      <c r="AF819" s="2538">
        <f>IF(T819&gt;Z819,Z819,T819)</f>
        <v>10</v>
      </c>
      <c r="AG819" s="2538"/>
      <c r="AH819" s="2538"/>
      <c r="AI819" s="2538"/>
      <c r="AJ819" s="2538"/>
      <c r="AK819" s="25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15">
      <c r="A820" s="2582" t="s">
        <v>1582</v>
      </c>
      <c r="B820" s="2552"/>
      <c r="C820" s="2552"/>
      <c r="D820" s="2552"/>
      <c r="E820" s="2552"/>
      <c r="F820" s="2552"/>
      <c r="G820" s="2552"/>
      <c r="H820" s="2552"/>
      <c r="I820" s="2552"/>
      <c r="J820" s="2552"/>
      <c r="K820" s="2552"/>
      <c r="L820" s="2552"/>
      <c r="M820" s="2552"/>
      <c r="N820" s="2552"/>
      <c r="O820" s="2552"/>
      <c r="P820" s="2552"/>
      <c r="Q820" s="2552"/>
      <c r="R820" s="2552"/>
      <c r="S820" s="2553"/>
      <c r="T820" s="2583"/>
      <c r="U820" s="2583"/>
      <c r="V820" s="2583"/>
      <c r="W820" s="2583"/>
      <c r="X820" s="2583"/>
      <c r="Y820" s="2583"/>
      <c r="Z820" s="2472" t="s">
        <v>1583</v>
      </c>
      <c r="AA820" s="2472"/>
      <c r="AB820" s="2472"/>
      <c r="AC820" s="2472"/>
      <c r="AD820" s="2472"/>
      <c r="AE820" s="2472"/>
      <c r="AF820" s="2584">
        <f>IF(T820&gt;0,T820,0)</f>
        <v>0</v>
      </c>
      <c r="AG820" s="2585"/>
      <c r="AH820" s="2585"/>
      <c r="AI820" s="2585"/>
      <c r="AJ820" s="2585"/>
      <c r="AK820" s="25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
      <c r="A821" s="2587" t="s">
        <v>1584</v>
      </c>
      <c r="B821" s="2588"/>
      <c r="C821" s="2588"/>
      <c r="D821" s="2588"/>
      <c r="E821" s="2588"/>
      <c r="F821" s="2588"/>
      <c r="G821" s="2588"/>
      <c r="H821" s="2588"/>
      <c r="I821" s="2588"/>
      <c r="J821" s="2588"/>
      <c r="K821" s="2588"/>
      <c r="L821" s="2588"/>
      <c r="M821" s="2588"/>
      <c r="N821" s="2588"/>
      <c r="O821" s="2588"/>
      <c r="P821" s="2588"/>
      <c r="Q821" s="2588"/>
      <c r="R821" s="2588"/>
      <c r="S821" s="2588"/>
      <c r="T821" s="2588"/>
      <c r="U821" s="2588"/>
      <c r="V821" s="2588"/>
      <c r="W821" s="2588"/>
      <c r="X821" s="2588"/>
      <c r="Y821" s="2588"/>
      <c r="Z821" s="2588"/>
      <c r="AA821" s="2588"/>
      <c r="AB821" s="2588"/>
      <c r="AC821" s="2588"/>
      <c r="AD821" s="2588"/>
      <c r="AE821" s="2589"/>
      <c r="AF821" s="2593">
        <f>SUM(AF804:AK819)-AF820</f>
        <v>120</v>
      </c>
      <c r="AG821" s="2594"/>
      <c r="AH821" s="2594"/>
      <c r="AI821" s="2594"/>
      <c r="AJ821" s="2594"/>
      <c r="AK821" s="25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
      <c r="A822" s="2590"/>
      <c r="B822" s="2591"/>
      <c r="C822" s="2591"/>
      <c r="D822" s="2591"/>
      <c r="E822" s="2591"/>
      <c r="F822" s="2591"/>
      <c r="G822" s="2591"/>
      <c r="H822" s="2591"/>
      <c r="I822" s="2591"/>
      <c r="J822" s="2591"/>
      <c r="K822" s="2591"/>
      <c r="L822" s="2591"/>
      <c r="M822" s="2591"/>
      <c r="N822" s="2591"/>
      <c r="O822" s="2591"/>
      <c r="P822" s="2591"/>
      <c r="Q822" s="2591"/>
      <c r="R822" s="2591"/>
      <c r="S822" s="2591"/>
      <c r="T822" s="2591"/>
      <c r="U822" s="2591"/>
      <c r="V822" s="2591"/>
      <c r="W822" s="2591"/>
      <c r="X822" s="2591"/>
      <c r="Y822" s="2591"/>
      <c r="Z822" s="2591"/>
      <c r="AA822" s="2591"/>
      <c r="AB822" s="2591"/>
      <c r="AC822" s="2591"/>
      <c r="AD822" s="2591"/>
      <c r="AE822" s="2592"/>
      <c r="AF822" s="2596"/>
      <c r="AG822" s="2597"/>
      <c r="AH822" s="2597"/>
      <c r="AI822" s="2597"/>
      <c r="AJ822" s="2597"/>
      <c r="AK822" s="25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26" priority="1">
      <formula>AND(NOT($AO$695),OR($H$709="(ii)",$H$709="(iii)"))</formula>
    </cfRule>
  </conditionalFormatting>
  <conditionalFormatting sqref="Q606">
    <cfRule type="expression" dxfId="25" priority="2">
      <formula>$H$606="(iv)"</formula>
    </cfRule>
  </conditionalFormatting>
  <conditionalFormatting sqref="R606:W606">
    <cfRule type="expression" dxfId="24" priority="3">
      <formula>$H$606="(iv)"</formula>
    </cfRule>
  </conditionalFormatting>
  <conditionalFormatting sqref="T812:Y812">
    <cfRule type="expression" dxfId="23" priority="10" stopIfTrue="1">
      <formula>ISERROR(T812)</formula>
    </cfRule>
  </conditionalFormatting>
  <conditionalFormatting sqref="T817:Z819">
    <cfRule type="expression" dxfId="22" priority="4" stopIfTrue="1">
      <formula>ISERROR(T817)</formula>
    </cfRule>
  </conditionalFormatting>
  <conditionalFormatting sqref="AF804:AK807">
    <cfRule type="expression" dxfId="21" priority="6" stopIfTrue="1">
      <formula>ISERROR(AF804)</formula>
    </cfRule>
  </conditionalFormatting>
  <conditionalFormatting sqref="AF812:AK812">
    <cfRule type="expression" dxfId="20" priority="11" stopIfTrue="1">
      <formula>ISERROR(AF812)</formula>
    </cfRule>
  </conditionalFormatting>
  <conditionalFormatting sqref="AF817:AK819">
    <cfRule type="expression" dxfId="19" priority="12" stopIfTrue="1">
      <formula>ISERROR(AF817)</formula>
    </cfRule>
  </conditionalFormatting>
  <conditionalFormatting sqref="AN455:AN459 AU471 AV472:AV474 T808:AK808 T809:AF811 AG811:AK811 T813:AK815 T816:AF816 AF819:AF821 T820:AE820 AG820:AL820">
    <cfRule type="expression" dxfId="18" priority="16" stopIfTrue="1">
      <formula>ISERROR(T455)</formula>
    </cfRule>
  </conditionalFormatting>
  <conditionalFormatting sqref="AP471">
    <cfRule type="expression" dxfId="17"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85" firstPageNumber="29" fitToHeight="0" orientation="portrait" useFirstPageNumber="1" r:id="rId1"/>
  <headerFooter alignWithMargins="0">
    <oddFooter>&amp;C&amp;P&amp;R&amp;8&amp;A</oddFooter>
  </headerFooter>
  <rowBreaks count="8" manualBreakCount="8">
    <brk id="63" max="38" man="1"/>
    <brk id="110" max="38" man="1"/>
    <brk id="286" max="38" man="1"/>
    <brk id="391" max="38" man="1"/>
    <brk id="560" max="38" man="1"/>
    <brk id="680" max="16383" man="1"/>
    <brk id="738" max="16383"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Peter Enzminger</cp:lastModifiedBy>
  <cp:lastPrinted>2025-05-19T18:45:59Z</cp:lastPrinted>
  <dcterms:created xsi:type="dcterms:W3CDTF">2007-12-27T18:26:28Z</dcterms:created>
  <dcterms:modified xsi:type="dcterms:W3CDTF">2025-05-20T14:39:27Z</dcterms:modified>
</cp:coreProperties>
</file>