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D:\10. 2025 R2 4% &amp; Conduit Apps\01. Creekside - CalHFA\Models and Excel\"/>
    </mc:Choice>
  </mc:AlternateContent>
  <xr:revisionPtr revIDLastSave="0" documentId="13_ncr:1_{3FB31B49-440C-4F2D-A769-36507B9D93EA}" xr6:coauthVersionLast="47" xr6:coauthVersionMax="47" xr10:uidLastSave="{00000000-0000-0000-0000-000000000000}"/>
  <bookViews>
    <workbookView xWindow="-108" yWindow="-108" windowWidth="23256" windowHeight="12456"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27" i="3" l="1"/>
  <c r="S45" i="4"/>
  <c r="E45" i="4"/>
  <c r="C95" i="4" l="1"/>
  <c r="AG446" i="3" l="1"/>
  <c r="AG448" i="3" s="1"/>
  <c r="AG442" i="3"/>
  <c r="F80" i="4" l="1"/>
  <c r="E99" i="4"/>
  <c r="F79" i="4"/>
  <c r="F75" i="4"/>
  <c r="F52" i="4"/>
  <c r="F49" i="4"/>
  <c r="F48" i="4"/>
  <c r="F47" i="4"/>
  <c r="F46" i="4"/>
  <c r="E41" i="4"/>
  <c r="E40" i="4"/>
  <c r="E35" i="4"/>
  <c r="E34" i="4"/>
  <c r="E33" i="4"/>
  <c r="E32" i="4"/>
  <c r="E31" i="4"/>
  <c r="C30" i="4"/>
  <c r="E30" i="4" s="1"/>
  <c r="AA918" i="3"/>
  <c r="AM554" i="3"/>
  <c r="AM560" i="3" s="1"/>
  <c r="AC878" i="3"/>
  <c r="AA878" i="3" s="1"/>
  <c r="Y878" i="3" s="1"/>
  <c r="AB878" i="3"/>
  <c r="Z878" i="3" s="1"/>
  <c r="X878" i="3" l="1"/>
  <c r="E24" i="7" l="1"/>
  <c r="F95" i="4" l="1"/>
  <c r="C94" i="4"/>
  <c r="F94" i="4" s="1"/>
  <c r="F84" i="4"/>
  <c r="F85" i="4"/>
  <c r="F86" i="4"/>
  <c r="F88" i="4"/>
  <c r="F89" i="4"/>
  <c r="F90" i="4"/>
  <c r="F91" i="4"/>
  <c r="F92" i="4"/>
  <c r="F93" i="4"/>
  <c r="F83" i="4"/>
  <c r="C69" i="4"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P48" i="21" a="1"/>
  <c r="P48" i="21" s="1"/>
  <c r="S48" i="21"/>
  <c r="R48" i="21" a="1"/>
  <c r="R48" i="21" s="1"/>
  <c r="O51" i="21"/>
  <c r="O49" i="21"/>
  <c r="P52" i="21" a="1"/>
  <c r="P52" i="21" s="1"/>
  <c r="U53" i="21"/>
  <c r="R53" i="21" a="1"/>
  <c r="R53" i="21" s="1"/>
  <c r="P50" i="21" a="1"/>
  <c r="P50" i="21" s="1"/>
  <c r="O50" i="21"/>
  <c r="T53" i="21"/>
  <c r="U46" i="21"/>
  <c r="S52" i="21"/>
  <c r="R51" i="21" a="1"/>
  <c r="R51" i="21" s="1"/>
  <c r="R49" i="21" a="1"/>
  <c r="R49" i="21" s="1"/>
  <c r="S47" i="21"/>
  <c r="P51" i="21" a="1"/>
  <c r="P51" i="21" s="1"/>
  <c r="P49" i="21" a="1"/>
  <c r="P49" i="21" s="1"/>
  <c r="R47" i="21" a="1"/>
  <c r="R47" i="21" s="1"/>
  <c r="U50" i="21"/>
  <c r="U48" i="21"/>
  <c r="T46" i="21"/>
  <c r="S50" i="21"/>
  <c r="T48" i="21"/>
  <c r="S46" i="21"/>
  <c r="T45" i="21"/>
  <c r="U51" i="21"/>
  <c r="U49" i="21"/>
  <c r="S45" i="2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1" i="11"/>
  <c r="B81" i="11"/>
  <c r="I96" i="13"/>
  <c r="J96" i="13"/>
  <c r="J81" i="13"/>
  <c r="I81" i="13"/>
  <c r="G81" i="13"/>
  <c r="D81" i="13"/>
  <c r="H80" i="13"/>
  <c r="B80" i="13"/>
  <c r="C80" i="13" s="1"/>
  <c r="R80" i="4"/>
  <c r="S80" i="4" s="1"/>
  <c r="E80" i="13" s="1"/>
  <c r="F80" i="13" s="1"/>
  <c r="R79" i="4"/>
  <c r="S79" i="4" s="1"/>
  <c r="S70" i="4"/>
  <c r="E70" i="13" s="1"/>
  <c r="D81" i="4"/>
  <c r="E81" i="4"/>
  <c r="F81" i="4"/>
  <c r="G81" i="4"/>
  <c r="H81" i="4"/>
  <c r="I81" i="4"/>
  <c r="J81" i="4"/>
  <c r="K81" i="4"/>
  <c r="L81" i="4"/>
  <c r="M81" i="4"/>
  <c r="N81" i="4"/>
  <c r="O81" i="4"/>
  <c r="P81" i="4"/>
  <c r="Q81" i="4"/>
  <c r="T81" i="4"/>
  <c r="H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3" i="13"/>
  <c r="F93" i="13" s="1"/>
  <c r="E92" i="13"/>
  <c r="F92" i="13" s="1"/>
  <c r="E91" i="13"/>
  <c r="F91" i="13" s="1"/>
  <c r="E90" i="13"/>
  <c r="F90" i="13" s="1"/>
  <c r="E89" i="13"/>
  <c r="F89" i="13" s="1"/>
  <c r="E87" i="13"/>
  <c r="E86" i="13"/>
  <c r="F86" i="13" s="1"/>
  <c r="E85" i="13"/>
  <c r="F85" i="13" s="1"/>
  <c r="E84" i="13"/>
  <c r="F84" i="13" s="1"/>
  <c r="E65" i="13"/>
  <c r="F65" i="13" s="1"/>
  <c r="E53" i="13"/>
  <c r="E52" i="13"/>
  <c r="F52" i="13" s="1"/>
  <c r="E51" i="13"/>
  <c r="F51" i="13" s="1"/>
  <c r="E50" i="13"/>
  <c r="F50" i="13" s="1"/>
  <c r="E49" i="13"/>
  <c r="F49" i="13" s="1"/>
  <c r="E47" i="13"/>
  <c r="F47" i="13" s="1"/>
  <c r="E46" i="13"/>
  <c r="F46" i="13" s="1"/>
  <c r="E45" i="13"/>
  <c r="F45" i="13" s="1"/>
  <c r="E43" i="13"/>
  <c r="E37" i="13"/>
  <c r="E29" i="13"/>
  <c r="F29" i="13" s="1"/>
  <c r="E27" i="13"/>
  <c r="E25" i="13"/>
  <c r="E23" i="13"/>
  <c r="E22" i="13"/>
  <c r="E21" i="13"/>
  <c r="E20" i="13"/>
  <c r="E19" i="13"/>
  <c r="E18" i="13"/>
  <c r="E17" i="13"/>
  <c r="E15" i="13"/>
  <c r="E14" i="13"/>
  <c r="E13" i="13"/>
  <c r="E10" i="13"/>
  <c r="B99" i="13"/>
  <c r="C99" i="13" s="1"/>
  <c r="C104" i="13" s="1"/>
  <c r="B95" i="13"/>
  <c r="C95" i="13" s="1"/>
  <c r="B94" i="13"/>
  <c r="C94" i="13" s="1"/>
  <c r="B93" i="13"/>
  <c r="C93" i="13" s="1"/>
  <c r="B92" i="13"/>
  <c r="C92" i="13" s="1"/>
  <c r="B91" i="13"/>
  <c r="C91" i="13" s="1"/>
  <c r="B90" i="13"/>
  <c r="C90" i="13" s="1"/>
  <c r="B89" i="13"/>
  <c r="C89" i="13" s="1"/>
  <c r="B88" i="13"/>
  <c r="C88" i="13" s="1"/>
  <c r="B87" i="13"/>
  <c r="B86" i="13"/>
  <c r="C86" i="13" s="1"/>
  <c r="B85" i="13"/>
  <c r="C85" i="13" s="1"/>
  <c r="B84" i="13"/>
  <c r="C84" i="13" s="1"/>
  <c r="B76" i="13"/>
  <c r="B74" i="13"/>
  <c r="B73" i="13"/>
  <c r="B72" i="13"/>
  <c r="B65" i="13"/>
  <c r="C65" i="13" s="1"/>
  <c r="B61" i="13"/>
  <c r="C61" i="13" s="1"/>
  <c r="B60" i="13"/>
  <c r="B59" i="13"/>
  <c r="B58" i="13"/>
  <c r="C58" i="13" s="1"/>
  <c r="B57" i="13"/>
  <c r="B56" i="13"/>
  <c r="B53" i="13"/>
  <c r="B52" i="13"/>
  <c r="C52" i="13" s="1"/>
  <c r="B51" i="13"/>
  <c r="C51" i="13" s="1"/>
  <c r="B50" i="13"/>
  <c r="C50" i="13" s="1"/>
  <c r="B49" i="13"/>
  <c r="C49" i="13" s="1"/>
  <c r="B48" i="13"/>
  <c r="C48" i="13" s="1"/>
  <c r="B47" i="13"/>
  <c r="C47" i="13" s="1"/>
  <c r="B46" i="13"/>
  <c r="C46" i="13" s="1"/>
  <c r="B45" i="13"/>
  <c r="C45" i="13" s="1"/>
  <c r="B43" i="13"/>
  <c r="C42" i="4"/>
  <c r="B42" i="13" s="1"/>
  <c r="B41" i="13"/>
  <c r="C41" i="13" s="1"/>
  <c r="B40" i="13"/>
  <c r="C40"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C8" i="13"/>
  <c r="D8" i="13"/>
  <c r="T104" i="4"/>
  <c r="H104" i="13" s="1"/>
  <c r="R103" i="4"/>
  <c r="R102" i="4"/>
  <c r="R101" i="4"/>
  <c r="R99" i="4"/>
  <c r="S99" i="4" s="1"/>
  <c r="S104" i="4" s="1"/>
  <c r="R95" i="4"/>
  <c r="S95" i="4" s="1"/>
  <c r="E95" i="13" s="1"/>
  <c r="F95" i="13" s="1"/>
  <c r="R94" i="4"/>
  <c r="S94" i="4" s="1"/>
  <c r="E94" i="13" s="1"/>
  <c r="F94" i="13" s="1"/>
  <c r="R93" i="4"/>
  <c r="R92" i="4"/>
  <c r="R90" i="4"/>
  <c r="R89" i="4"/>
  <c r="R88" i="4"/>
  <c r="R87" i="4"/>
  <c r="R86" i="4"/>
  <c r="R85" i="4"/>
  <c r="R83" i="4"/>
  <c r="R76" i="4"/>
  <c r="R75" i="4"/>
  <c r="R72" i="4"/>
  <c r="R73" i="4"/>
  <c r="R74" i="4"/>
  <c r="R69" i="4"/>
  <c r="R65" i="4"/>
  <c r="R61" i="4"/>
  <c r="R60" i="4"/>
  <c r="R59" i="4"/>
  <c r="R58" i="4"/>
  <c r="R57" i="4"/>
  <c r="R56" i="4"/>
  <c r="R53" i="4"/>
  <c r="R52" i="4"/>
  <c r="S52" i="4" s="1"/>
  <c r="R51" i="4"/>
  <c r="R50" i="4"/>
  <c r="R49" i="4"/>
  <c r="R48" i="4"/>
  <c r="S48" i="4" s="1"/>
  <c r="E48" i="13" s="1"/>
  <c r="F48" i="13" s="1"/>
  <c r="R47" i="4"/>
  <c r="R46" i="4"/>
  <c r="R45" i="4"/>
  <c r="R43" i="4"/>
  <c r="R41" i="4"/>
  <c r="S41" i="4" s="1"/>
  <c r="E41" i="13" s="1"/>
  <c r="F41" i="13" s="1"/>
  <c r="R40" i="4"/>
  <c r="S40" i="4" s="1"/>
  <c r="E40" i="13" s="1"/>
  <c r="F40" i="13" s="1"/>
  <c r="R37" i="4"/>
  <c r="R35" i="4"/>
  <c r="S35" i="4" s="1"/>
  <c r="E35" i="13" s="1"/>
  <c r="F35" i="13" s="1"/>
  <c r="R34" i="4"/>
  <c r="S34" i="4" s="1"/>
  <c r="R33" i="4"/>
  <c r="S33" i="4" s="1"/>
  <c r="E33" i="13" s="1"/>
  <c r="F33" i="13" s="1"/>
  <c r="R32" i="4"/>
  <c r="S32" i="4" s="1"/>
  <c r="E32" i="13" s="1"/>
  <c r="F32" i="13" s="1"/>
  <c r="R31" i="4"/>
  <c r="S31" i="4" s="1"/>
  <c r="E31" i="13" s="1"/>
  <c r="F31" i="13" s="1"/>
  <c r="R30" i="4"/>
  <c r="S30" i="4" s="1"/>
  <c r="E30" i="13" s="1"/>
  <c r="F30" i="13" s="1"/>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7" i="11"/>
  <c r="C77"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6" i="4"/>
  <c r="E77" i="4"/>
  <c r="F77" i="4"/>
  <c r="G77" i="4"/>
  <c r="H77" i="4"/>
  <c r="I77" i="4"/>
  <c r="K77" i="4"/>
  <c r="L77" i="4"/>
  <c r="Q77"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C70" i="13" l="1"/>
  <c r="S81" i="4"/>
  <c r="E81" i="13" s="1"/>
  <c r="F70" i="13"/>
  <c r="E79" i="13"/>
  <c r="F79" i="13" s="1"/>
  <c r="F81" i="13" s="1"/>
  <c r="S42" i="4"/>
  <c r="E42" i="13" s="1"/>
  <c r="C42" i="13"/>
  <c r="F42" i="13"/>
  <c r="C62" i="13"/>
  <c r="S38" i="4"/>
  <c r="E38" i="13" s="1"/>
  <c r="D36" i="11"/>
  <c r="S96" i="4"/>
  <c r="E96" i="13" s="1"/>
  <c r="S54" i="4"/>
  <c r="E54" i="13" s="1"/>
  <c r="F54" i="13"/>
  <c r="D35" i="11"/>
  <c r="C54" i="13"/>
  <c r="C38" i="13"/>
  <c r="F96" i="13"/>
  <c r="E34" i="13"/>
  <c r="F34" i="13" s="1"/>
  <c r="F38" i="13" s="1"/>
  <c r="B26" i="4"/>
  <c r="E99" i="13"/>
  <c r="F99" i="13" s="1"/>
  <c r="F104" i="13" s="1"/>
  <c r="D94" i="11"/>
  <c r="D86" i="11"/>
  <c r="D87" i="11"/>
  <c r="D103" i="11"/>
  <c r="D34" i="11"/>
  <c r="D6" i="11"/>
  <c r="D25" i="11"/>
  <c r="D91" i="11"/>
  <c r="D54" i="11"/>
  <c r="D90" i="11"/>
  <c r="D70" i="11"/>
  <c r="D93" i="11"/>
  <c r="D85" i="11"/>
  <c r="D89" i="11"/>
  <c r="D101" i="11"/>
  <c r="D32" i="11"/>
  <c r="D33" i="11"/>
  <c r="D92" i="11"/>
  <c r="D96" i="11"/>
  <c r="D88" i="11"/>
  <c r="D104" i="11"/>
  <c r="B8" i="4"/>
  <c r="N189" i="23" s="1"/>
  <c r="G144" i="21"/>
  <c r="G143" i="21"/>
  <c r="D95" i="11"/>
  <c r="C105" i="11"/>
  <c r="C12" i="4"/>
  <c r="B12" i="13" s="1"/>
  <c r="D75" i="11"/>
  <c r="D62" i="11"/>
  <c r="D58" i="11"/>
  <c r="D47" i="11"/>
  <c r="L12" i="4"/>
  <c r="D38" i="11"/>
  <c r="B42" i="4"/>
  <c r="B104" i="4"/>
  <c r="H12" i="4"/>
  <c r="D51" i="11"/>
  <c r="D49" i="11"/>
  <c r="D48" i="11"/>
  <c r="D20" i="11"/>
  <c r="D15" i="11"/>
  <c r="D8" i="11"/>
  <c r="D100" i="11"/>
  <c r="D41" i="11"/>
  <c r="D12" i="13"/>
  <c r="D74" i="11"/>
  <c r="C12" i="13"/>
  <c r="D77" i="11"/>
  <c r="D73" i="11"/>
  <c r="D53" i="11"/>
  <c r="D50" i="11"/>
  <c r="D21" i="11"/>
  <c r="D16" i="11"/>
  <c r="B12" i="11"/>
  <c r="D5" i="11"/>
  <c r="D66" i="11"/>
  <c r="D59" i="11"/>
  <c r="D42" i="11"/>
  <c r="D28" i="11"/>
  <c r="N63" i="4"/>
  <c r="N97" i="4" s="1"/>
  <c r="N105" i="4" s="1"/>
  <c r="E12" i="4"/>
  <c r="D12" i="4"/>
  <c r="C43" i="11"/>
  <c r="F12" i="4"/>
  <c r="D11" i="11"/>
  <c r="C63" i="11"/>
  <c r="B55" i="11"/>
  <c r="D24" i="11"/>
  <c r="B39" i="11"/>
  <c r="B71" i="11"/>
  <c r="B105" i="11"/>
  <c r="O12" i="4"/>
  <c r="D10" i="11"/>
  <c r="B43" i="11"/>
  <c r="BA1058" i="3"/>
  <c r="Q12" i="4"/>
  <c r="K12" i="4"/>
  <c r="D61" i="11"/>
  <c r="D57" i="11"/>
  <c r="B9" i="11"/>
  <c r="J12" i="4"/>
  <c r="B54" i="4"/>
  <c r="D30" i="11"/>
  <c r="D22" i="11"/>
  <c r="R77" i="4"/>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R11" i="4"/>
  <c r="G58" i="7"/>
  <c r="I63" i="4"/>
  <c r="I97" i="4" s="1"/>
  <c r="I105" i="4" s="1"/>
  <c r="L63" i="4"/>
  <c r="L97" i="4" s="1"/>
  <c r="L105" i="4" s="1"/>
  <c r="D52" i="11"/>
  <c r="D44" i="11"/>
  <c r="D18" i="11"/>
  <c r="C12" i="11"/>
  <c r="J63" i="4"/>
  <c r="J97" i="4" s="1"/>
  <c r="J105" i="4" s="1"/>
  <c r="Q63" i="4"/>
  <c r="Q97" i="4" s="1"/>
  <c r="Q105" i="4" s="1"/>
  <c r="B11" i="4"/>
  <c r="C39" i="11"/>
  <c r="J63" i="13"/>
  <c r="J97" i="13" s="1"/>
  <c r="J105" i="13" s="1"/>
  <c r="J107" i="13" s="1"/>
  <c r="D81" i="11"/>
  <c r="R104" i="4"/>
  <c r="D60" i="11"/>
  <c r="M12" i="4"/>
  <c r="D63" i="4"/>
  <c r="D97" i="4" s="1"/>
  <c r="D105" i="4" s="1"/>
  <c r="BE68" i="3" s="1"/>
  <c r="R26" i="4"/>
  <c r="R42" i="4"/>
  <c r="R54" i="4"/>
  <c r="R62" i="4"/>
  <c r="D63" i="13"/>
  <c r="D97" i="13" s="1"/>
  <c r="D105" i="13" s="1"/>
  <c r="C55" i="11"/>
  <c r="D23" i="11"/>
  <c r="D19" i="11"/>
  <c r="D14" i="11"/>
  <c r="D7" i="11"/>
  <c r="R8" i="4"/>
  <c r="R96" i="4"/>
  <c r="G63" i="13"/>
  <c r="G97" i="13" s="1"/>
  <c r="G105" i="13" s="1"/>
  <c r="G107" i="13" s="1"/>
  <c r="R81" i="4"/>
  <c r="M53" i="7"/>
  <c r="K58" i="7"/>
  <c r="N188" i="23"/>
  <c r="C27" i="11"/>
  <c r="AB48" i="15"/>
  <c r="D46" i="11"/>
  <c r="H63" i="4"/>
  <c r="H97" i="4" s="1"/>
  <c r="H105" i="4" s="1"/>
  <c r="G63" i="4"/>
  <c r="G97" i="4" s="1"/>
  <c r="G105" i="4" s="1"/>
  <c r="I58" i="7"/>
  <c r="C9" i="11"/>
  <c r="B63" i="11"/>
  <c r="T63" i="4"/>
  <c r="B38" i="4"/>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63" i="13" l="1"/>
  <c r="F63" i="13"/>
  <c r="F97" i="13" s="1"/>
  <c r="F105" i="13" s="1"/>
  <c r="F107" i="13" s="1"/>
  <c r="S63" i="4"/>
  <c r="E63" i="13" s="1"/>
  <c r="AJ621" i="20"/>
  <c r="AK794" i="20" s="1"/>
  <c r="T819" i="20" s="1"/>
  <c r="AF819" i="20" s="1"/>
  <c r="BE82" i="3" s="1"/>
  <c r="G94" i="21"/>
  <c r="D105" i="11"/>
  <c r="D43" i="11"/>
  <c r="D71" i="11"/>
  <c r="B12" i="4"/>
  <c r="N195" i="23"/>
  <c r="D55" i="11"/>
  <c r="D39" i="11"/>
  <c r="R12" i="4"/>
  <c r="D12" i="11"/>
  <c r="D63" i="11"/>
  <c r="B13" i="11"/>
  <c r="C64" i="11"/>
  <c r="B64" i="11"/>
  <c r="B63" i="4"/>
  <c r="R63" i="4"/>
  <c r="R97" i="4" s="1"/>
  <c r="R105" i="4" s="1"/>
  <c r="D27" i="11"/>
  <c r="T97" i="4"/>
  <c r="H63" i="13"/>
  <c r="AO39" i="20"/>
  <c r="AK62" i="20" s="1"/>
  <c r="T804" i="20" s="1"/>
  <c r="AF804" i="20" s="1"/>
  <c r="BE71" i="3" s="1"/>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AZ1046" i="3" s="1"/>
  <c r="O31" i="21"/>
  <c r="O30" i="2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AK84" i="20"/>
  <c r="AK191" i="20" s="1"/>
  <c r="T811" i="20" s="1"/>
  <c r="AF811" i="20" s="1"/>
  <c r="BE76" i="3" s="1"/>
  <c r="D13" i="11"/>
  <c r="E97" i="13"/>
  <c r="O58" i="7"/>
  <c r="Q53" i="7"/>
  <c r="T105" i="4"/>
  <c r="H97" i="13"/>
  <c r="P31" i="21" a="1"/>
  <c r="P31" i="21" s="1"/>
  <c r="S31" i="21" s="1"/>
  <c r="P30" i="21" a="1"/>
  <c r="P30" i="21" s="1"/>
  <c r="S30"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105" i="4" l="1"/>
  <c r="S107" i="4" s="1"/>
  <c r="T805" i="20"/>
  <c r="AF805" i="20" s="1"/>
  <c r="BE72" i="3" s="1"/>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E105" i="13" l="1"/>
  <c r="AJ1029" i="3"/>
  <c r="AJ1041" i="3"/>
  <c r="AJ994" i="3"/>
  <c r="AD11" i="15"/>
  <c r="AD23" i="15" s="1"/>
  <c r="AD26" i="15" s="1"/>
  <c r="AD28" i="15" s="1"/>
  <c r="AI11" i="15"/>
  <c r="AI23" i="15" s="1"/>
  <c r="AI26" i="15" s="1"/>
  <c r="AI28" i="15" s="1"/>
  <c r="AC456" i="3"/>
  <c r="BA1055" i="3"/>
  <c r="BA1059" i="3" s="1"/>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U4" i="7"/>
  <c r="S5" i="7"/>
  <c r="M48" i="7"/>
  <c r="M47" i="7"/>
  <c r="M60" i="7"/>
  <c r="O45" i="7"/>
  <c r="O49" i="7"/>
  <c r="K66" i="7"/>
  <c r="K67" i="7"/>
  <c r="K62" i="7"/>
  <c r="Q7" i="7"/>
  <c r="Q11" i="7" s="1"/>
  <c r="Q37" i="7" s="1"/>
  <c r="S6" i="7"/>
  <c r="I70" i="7"/>
  <c r="I72" i="7" s="1"/>
  <c r="W22" i="7"/>
  <c r="W35" i="7" s="1"/>
  <c r="Y15" i="7"/>
  <c r="W9" i="7"/>
  <c r="Y8" i="7"/>
  <c r="AE53" i="7" l="1"/>
  <c r="AC58" i="7"/>
  <c r="U5" i="7"/>
  <c r="W4" i="7"/>
  <c r="Q49" i="7"/>
  <c r="Q45" i="7"/>
  <c r="M62" i="7"/>
  <c r="M67"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E103" i="20"/>
  <c r="E106" i="20" s="1"/>
  <c r="AP106" i="20" s="1"/>
  <c r="AK109" i="20" l="1"/>
  <c r="T806" i="20" s="1"/>
  <c r="AF806" i="20" s="1"/>
  <c r="BE73" i="3" s="1"/>
  <c r="H3" i="21"/>
  <c r="B76" i="11"/>
  <c r="B78" i="11" s="1"/>
  <c r="C76" i="11"/>
  <c r="C78" i="11" s="1"/>
  <c r="B75" i="13"/>
  <c r="C75" i="13" s="1"/>
  <c r="C77" i="13" s="1"/>
  <c r="B75" i="4"/>
  <c r="C77" i="4"/>
  <c r="B77" i="13" s="1"/>
  <c r="D76" i="11" l="1"/>
  <c r="D78" i="11"/>
  <c r="B77" i="4"/>
  <c r="B80" i="11"/>
  <c r="B82" i="11" s="1"/>
  <c r="C80" i="11"/>
  <c r="B79" i="13"/>
  <c r="C79" i="13" s="1"/>
  <c r="C81" i="13" s="1"/>
  <c r="B79" i="4"/>
  <c r="C81" i="4"/>
  <c r="B81" i="13" s="1"/>
  <c r="D80" i="11" l="1"/>
  <c r="C82" i="11"/>
  <c r="D82" i="11" s="1"/>
  <c r="B81" i="4"/>
  <c r="B84" i="11"/>
  <c r="B97" i="11" s="1"/>
  <c r="B98" i="11" s="1"/>
  <c r="B106" i="11" s="1"/>
  <c r="C84" i="11"/>
  <c r="C97" i="11" s="1"/>
  <c r="B83" i="13"/>
  <c r="C83" i="13" s="1"/>
  <c r="C96" i="13" s="1"/>
  <c r="C97" i="13" s="1"/>
  <c r="C105" i="13" s="1"/>
  <c r="B83" i="4"/>
  <c r="C96" i="4"/>
  <c r="B96" i="13" s="1"/>
  <c r="C98" i="11" l="1"/>
  <c r="C106" i="11" s="1"/>
  <c r="D106" i="11" s="1"/>
  <c r="D97" i="11"/>
  <c r="D84" i="11"/>
  <c r="C97" i="4"/>
  <c r="B97" i="13" s="1"/>
  <c r="B96" i="4"/>
  <c r="D98" i="11" l="1"/>
  <c r="B97" i="4"/>
  <c r="C105" i="4"/>
  <c r="BE101" i="3" l="1"/>
  <c r="AC455" i="3"/>
  <c r="B105" i="13"/>
  <c r="AG269" i="20"/>
  <c r="B105" i="4"/>
  <c r="AB47" i="15" l="1"/>
  <c r="AB49" i="15" s="1"/>
  <c r="AB54" i="15" s="1"/>
  <c r="AB55" i="15" s="1"/>
  <c r="AB56" i="15" s="1"/>
  <c r="M26" i="3" s="1"/>
  <c r="AC454" i="3"/>
  <c r="AB266" i="20"/>
  <c r="AG268" i="20" s="1"/>
  <c r="AG270" i="20" s="1"/>
  <c r="AK273" i="20" s="1"/>
  <c r="T812" i="20" s="1"/>
  <c r="AF812" i="20" s="1"/>
  <c r="N185" i="23"/>
  <c r="BE22" i="3"/>
  <c r="BE77" i="3" l="1"/>
  <c r="AF821" i="20"/>
  <c r="BE70" i="3" s="1"/>
  <c r="AB57" i="15"/>
  <c r="AB59" i="15" s="1"/>
  <c r="AB77" i="15" s="1"/>
  <c r="AB78" i="15" s="1"/>
  <c r="N196" i="23"/>
  <c r="N186" i="23"/>
  <c r="F457" i="3"/>
  <c r="BE44" i="3"/>
  <c r="BE19" i="3"/>
  <c r="P204" i="3"/>
  <c r="I10" i="21" l="1"/>
  <c r="I11" i="21" s="1"/>
  <c r="I18" i="21" s="1"/>
  <c r="H4" i="21" s="1"/>
  <c r="H5" i="21" s="1"/>
  <c r="BE83" i="3" s="1"/>
  <c r="M27" i="3"/>
  <c r="AB79" i="15"/>
  <c r="AB81" i="15" s="1"/>
  <c r="J82" i="15"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<sst xmlns="http://schemas.openxmlformats.org/spreadsheetml/2006/main" count="5067" uniqueCount="2761">
  <si>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</si>
  <si>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</si>
  <si>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</si>
  <si>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</si>
  <si>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</si>
  <si>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</si>
  <si>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</si>
  <si>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</si>
  <si>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</si>
  <si>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</si>
  <si>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</si>
  <si>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</si>
  <si>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</si>
  <si>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</si>
  <si>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</si>
  <si>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</si>
  <si>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</si>
  <si>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</si>
  <si>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</si>
  <si>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</si>
  <si>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</si>
  <si>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</si>
  <si>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</si>
  <si>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</si>
  <si>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</si>
  <si>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</si>
  <si>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</si>
  <si>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</si>
  <si>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</si>
  <si>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</si>
  <si>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</si>
  <si>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</si>
  <si>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</si>
  <si>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</si>
  <si>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</si>
  <si>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</si>
  <si>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</si>
  <si>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</si>
  <si>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</si>
  <si>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</si>
  <si>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</si>
  <si>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</si>
  <si>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</si>
  <si>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</si>
  <si>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</si>
  <si>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</si>
  <si>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</si>
  <si>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</si>
  <si>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</si>
  <si>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</si>
  <si>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</si>
  <si>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</si>
  <si>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</si>
  <si>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</si>
  <si>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</si>
  <si>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</si>
  <si>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</si>
  <si>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</si>
  <si>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</si>
  <si>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</si>
  <si>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</si>
  <si>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</si>
  <si>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</si>
  <si>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</si>
  <si>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</si>
  <si>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</si>
  <si>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</si>
  <si>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</si>
  <si>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</si>
  <si>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</si>
  <si>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</si>
  <si>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</si>
  <si>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</si>
  <si>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</si>
  <si>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</si>
  <si>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</si>
  <si>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</si>
  <si>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</si>
  <si>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</si>
  <si>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</si>
  <si>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</si>
  <si>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</si>
  <si>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</si>
  <si>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</si>
  <si>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</si>
  <si>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</si>
  <si>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</si>
  <si>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</si>
  <si>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</si>
  <si>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</si>
  <si>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</si>
  <si>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</si>
  <si>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</si>
  <si>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</si>
  <si>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</si>
  <si>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</si>
  <si>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</si>
  <si>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</si>
  <si>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</si>
  <si>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</si>
  <si>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</si>
  <si>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</si>
  <si>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</si>
  <si>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</si>
  <si>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</si>
  <si>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</si>
  <si>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</si>
  <si>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</si>
  <si>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</si>
  <si>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</si>
  <si>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</si>
  <si>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</si>
  <si>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</si>
  <si>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</si>
  <si>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</si>
  <si>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</si>
  <si>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</si>
  <si>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</si>
  <si>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</si>
  <si>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</si>
  <si>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</si>
  <si>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</si>
  <si>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</si>
  <si>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</si>
  <si>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</si>
  <si>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</si>
  <si>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</si>
  <si>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</si>
  <si>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</si>
  <si>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</si>
  <si>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</si>
  <si>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</si>
  <si>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</si>
  <si>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</si>
  <si>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</si>
  <si>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</si>
  <si>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</si>
  <si>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</si>
  <si>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</si>
  <si>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</si>
  <si>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</si>
  <si>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</si>
  <si>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</si>
  <si>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</si>
  <si>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</si>
  <si>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</si>
  <si>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</si>
  <si>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</si>
  <si>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</si>
  <si>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</si>
  <si>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</si>
  <si>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</si>
  <si>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</si>
  <si>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</si>
  <si>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</si>
  <si>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</si>
  <si>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</si>
  <si>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</si>
  <si>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</si>
  <si>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</si>
  <si>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</si>
  <si>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</si>
  <si>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</si>
  <si>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</si>
  <si>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</si>
  <si>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</si>
  <si>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</si>
  <si>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</si>
  <si>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</si>
  <si>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</si>
  <si>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</si>
  <si>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</si>
  <si>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</si>
  <si>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</si>
  <si>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</si>
  <si>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</si>
  <si>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</si>
  <si>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</si>
  <si>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</si>
  <si>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</si>
  <si>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</si>
  <si>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</si>
  <si>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</si>
  <si>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</si>
  <si>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</si>
  <si>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</si>
  <si>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</si>
  <si>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</si>
  <si>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</si>
  <si>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</si>
  <si>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</si>
  <si>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</si>
  <si>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</si>
  <si>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</si>
  <si>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</si>
  <si>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</si>
  <si>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</si>
  <si>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</si>
  <si>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</si>
  <si>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</si>
  <si>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</si>
  <si>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</si>
  <si>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</si>
  <si>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</si>
  <si>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</si>
  <si>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</si>
  <si>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</si>
  <si>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</si>
  <si>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</si>
  <si>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</si>
  <si>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</si>
  <si>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</si>
  <si>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</si>
  <si>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</si>
  <si>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</si>
  <si>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</si>
  <si>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</si>
  <si>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</si>
  <si>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</si>
  <si>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</si>
  <si>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</si>
  <si>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</si>
  <si>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</si>
  <si>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</si>
  <si>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</si>
  <si>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</si>
  <si>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</si>
  <si>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</si>
  <si>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</si>
  <si>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</si>
  <si>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</si>
  <si>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</si>
  <si>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</si>
  <si>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</si>
  <si>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</si>
  <si>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</si>
  <si>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</si>
  <si>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</si>
  <si>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</si>
  <si>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</si>
  <si>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</si>
  <si>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</si>
  <si>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</si>
  <si>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</si>
  <si>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</si>
  <si>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</si>
  <si>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</si>
  <si>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</si>
  <si>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</si>
  <si>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</si>
  <si>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</si>
  <si>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</si>
  <si>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</si>
  <si>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</si>
  <si>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</si>
  <si>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</si>
  <si>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</si>
  <si>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</si>
  <si>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</si>
  <si>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</si>
  <si>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</si>
  <si>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</si>
  <si>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</si>
  <si>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</si>
  <si>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</si>
  <si>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</si>
  <si>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</si>
  <si>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</si>
  <si>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</si>
  <si>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</si>
  <si>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</si>
  <si>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</si>
  <si>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</si>
  <si>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</si>
  <si>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</si>
  <si>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</si>
  <si>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</si>
  <si>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</si>
  <si>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</si>
  <si>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</si>
  <si>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</si>
  <si>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</si>
  <si>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</si>
  <si>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</si>
  <si>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</si>
  <si>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</si>
  <si>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</si>
  <si>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</si>
  <si>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</si>
  <si>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</si>
  <si>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</si>
  <si>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</si>
  <si>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</si>
  <si>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</si>
  <si>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</si>
  <si>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</si>
  <si>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</si>
  <si>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</si>
  <si>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</si>
  <si>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</si>
  <si>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</si>
  <si>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</si>
  <si>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</si>
  <si>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</si>
  <si>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</si>
  <si>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</si>
  <si>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</si>
  <si>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</si>
  <si>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</si>
  <si>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</si>
  <si>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</si>
  <si>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</si>
  <si>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</si>
  <si>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</si>
  <si>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</si>
  <si>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</si>
  <si>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</si>
  <si>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</si>
  <si>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</si>
  <si>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</si>
  <si>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</si>
  <si>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</si>
  <si>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</si>
  <si>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</si>
  <si>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</si>
  <si>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</si>
  <si>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</si>
  <si>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</si>
  <si>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</si>
  <si>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</si>
  <si>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</si>
  <si>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</si>
  <si>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</si>
  <si>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</si>
  <si>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</si>
  <si>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</si>
  <si>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</si>
  <si>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</si>
  <si>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</si>
  <si>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</si>
  <si>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</si>
  <si>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</si>
  <si>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</si>
  <si>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</si>
  <si>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</si>
  <si>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</si>
  <si>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</si>
  <si>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</si>
  <si>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</si>
  <si>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</si>
  <si>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</si>
  <si>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</si>
  <si>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</si>
  <si>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</si>
  <si>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</si>
  <si>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</si>
  <si>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</si>
  <si>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</si>
  <si>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</si>
  <si>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</si>
  <si>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</si>
  <si>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</si>
  <si>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</si>
  <si>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</si>
  <si>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</si>
  <si>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</si>
  <si>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</si>
  <si>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</si>
  <si>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</si>
  <si>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</si>
  <si>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</si>
  <si>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</si>
  <si>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</si>
  <si>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</si>
  <si>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</si>
  <si>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</si>
  <si>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</si>
  <si>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</si>
  <si>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</si>
  <si>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</si>
  <si>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</si>
  <si>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</si>
  <si>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</si>
  <si>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</si>
  <si>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</si>
  <si>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</si>
  <si>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</si>
  <si>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</si>
  <si>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</si>
  <si>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</si>
  <si>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</si>
  <si>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</si>
  <si>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</si>
  <si>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</si>
  <si>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</si>
  <si>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</si>
  <si>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</si>
  <si>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</si>
  <si>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</si>
  <si>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</si>
  <si>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</si>
  <si>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</si>
  <si>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</si>
  <si>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</si>
  <si>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</si>
  <si>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</si>
  <si>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</si>
  <si>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</si>
  <si>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</si>
  <si>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</si>
  <si>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</si>
  <si>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</si>
  <si>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</si>
  <si>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</si>
  <si>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</si>
  <si>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</si>
  <si>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</si>
  <si>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</si>
  <si>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</si>
  <si>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</si>
  <si>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</si>
  <si>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</si>
  <si>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</si>
  <si>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</si>
  <si>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</si>
  <si>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</si>
  <si>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</si>
  <si>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</si>
  <si>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</si>
  <si>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</si>
  <si>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</si>
  <si>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</si>
  <si>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</si>
  <si>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</si>
  <si>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</si>
  <si>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</si>
  <si>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</si>
  <si>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</si>
  <si>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</si>
  <si>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</si>
  <si>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</si>
  <si>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</si>
  <si>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</si>
  <si>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</si>
  <si>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</si>
  <si>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</si>
  <si>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</si>
  <si>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</si>
  <si>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</si>
  <si>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</si>
  <si>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</si>
  <si>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</si>
  <si>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</si>
  <si>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</si>
  <si>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</si>
  <si>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</si>
  <si>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</si>
  <si>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</si>
  <si>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</si>
  <si>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</si>
  <si>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</si>
  <si>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</si>
  <si>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</si>
  <si>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</si>
  <si>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</si>
  <si>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</si>
  <si>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</si>
  <si>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</si>
  <si>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</si>
  <si>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</si>
  <si>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</si>
  <si>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</si>
  <si>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</si>
  <si>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</si>
  <si>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</si>
  <si>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</si>
  <si>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</si>
  <si>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</si>
  <si>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</si>
  <si>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</si>
  <si>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</si>
  <si>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</si>
  <si>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</si>
  <si>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</si>
  <si>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</si>
  <si>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</si>
  <si>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</si>
  <si>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</si>
  <si>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</si>
  <si>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</si>
  <si>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</si>
  <si>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</si>
  <si>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</si>
  <si>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</si>
  <si>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</si>
  <si>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</si>
  <si>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</si>
  <si>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</si>
  <si>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</si>
  <si>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</si>
  <si>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</si>
  <si>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</si>
  <si>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</si>
  <si>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</si>
  <si>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</si>
  <si>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</si>
  <si>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</si>
  <si>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</si>
  <si>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</si>
  <si>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</si>
  <si>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</si>
  <si>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</si>
  <si>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</si>
  <si>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</si>
  <si>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</si>
  <si>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</si>
  <si>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</si>
  <si>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</si>
  <si>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</si>
  <si>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</si>
  <si>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</si>
  <si>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</si>
  <si>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</si>
  <si>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</si>
  <si>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</si>
  <si>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</si>
  <si>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</si>
  <si>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</si>
  <si>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</si>
  <si>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</si>
  <si>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</si>
  <si>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</si>
  <si>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</si>
  <si>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</si>
  <si>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</si>
  <si>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</si>
  <si>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</si>
  <si>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</si>
  <si>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</si>
  <si>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</si>
  <si>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</si>
  <si>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</si>
  <si>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</si>
  <si>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</si>
  <si>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</si>
  <si>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</si>
  <si>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</si>
  <si>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(select one)</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</si>
  <si>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</si>
  <si>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</si>
  <si>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</si>
  <si>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</si>
  <si>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</si>
  <si>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</si>
  <si>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</si>
  <si>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</si>
  <si>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</si>
  <si>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</si>
  <si>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</si>
  <si>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</si>
  <si>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</si>
  <si>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</si>
  <si>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</si>
  <si>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</si>
  <si>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</si>
  <si>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</si>
  <si>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</si>
  <si>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</si>
  <si>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</si>
  <si>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</si>
  <si>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</si>
  <si>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</si>
  <si>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</si>
  <si>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</si>
  <si>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</si>
  <si>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</si>
  <si>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</si>
  <si>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</si>
  <si>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</si>
  <si>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</si>
  <si>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</si>
  <si>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</si>
  <si>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</si>
  <si>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</si>
  <si>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</si>
  <si>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</si>
  <si>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</si>
  <si>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</si>
  <si>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</si>
  <si>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</si>
  <si>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</si>
  <si>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</si>
  <si>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</si>
  <si>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</si>
  <si>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</si>
  <si>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</si>
  <si>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</si>
  <si>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</si>
  <si>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</si>
  <si>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</si>
  <si>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</si>
  <si>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</si>
  <si>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</si>
  <si>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</si>
  <si>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</si>
  <si>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</si>
  <si>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</si>
  <si>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</si>
  <si>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</si>
  <si>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</si>
  <si>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</si>
  <si>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</si>
  <si>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</si>
  <si>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</si>
  <si>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</si>
  <si>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</si>
  <si>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</si>
  <si>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</si>
  <si>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</si>
  <si>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</si>
  <si>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</si>
  <si>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</si>
  <si>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</si>
  <si>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</si>
  <si>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</si>
  <si>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</si>
  <si>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</si>
  <si>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</si>
  <si>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</si>
  <si>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</si>
  <si>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</si>
  <si>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</si>
  <si>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</si>
  <si>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</si>
  <si>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</si>
  <si>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</si>
  <si>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</si>
  <si>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</si>
  <si>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</si>
  <si>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</si>
  <si>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</si>
  <si>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</si>
  <si>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</si>
  <si>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</si>
  <si>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</si>
  <si>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</si>
  <si>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</si>
  <si>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</si>
  <si>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</si>
  <si>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</si>
  <si>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</si>
  <si>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</si>
  <si>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</si>
  <si>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</si>
  <si>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</si>
  <si>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</si>
  <si>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</si>
  <si>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</si>
  <si>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</si>
  <si>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</si>
  <si>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</si>
  <si>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</si>
  <si>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</si>
  <si>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</si>
  <si>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</si>
  <si>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</si>
  <si>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</si>
  <si>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Creekside Commons LP</t>
  </si>
  <si>
    <t>MIP Amount</t>
  </si>
  <si>
    <t>PROJECT NAME:</t>
  </si>
  <si>
    <t>Creekside Commons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</si>
  <si>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</si>
  <si>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</si>
  <si>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</si>
  <si>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</si>
  <si>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</si>
  <si>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</si>
  <si>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</si>
  <si>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</si>
  <si>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</si>
  <si>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</si>
  <si>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</si>
  <si>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</si>
  <si>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</si>
  <si>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</si>
  <si>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</si>
  <si>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</si>
  <si>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</si>
  <si>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</si>
  <si>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</si>
  <si>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</si>
  <si>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</si>
  <si>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</si>
  <si>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</si>
  <si>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</si>
  <si>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</si>
  <si>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</si>
  <si>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</si>
  <si>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</si>
  <si>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</si>
  <si>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</si>
  <si>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</si>
  <si>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</si>
  <si>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</si>
  <si>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</si>
  <si>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</si>
  <si>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</si>
  <si>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</si>
  <si>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</si>
  <si>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</si>
  <si>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</si>
  <si>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</si>
  <si>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</si>
  <si>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</si>
  <si>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</si>
  <si>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</si>
  <si>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</si>
  <si>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</si>
  <si>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</si>
  <si>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</si>
  <si>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</si>
  <si>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</si>
  <si>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</si>
  <si>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</si>
  <si>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</si>
  <si>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</si>
  <si>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</si>
  <si>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</si>
  <si>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</si>
  <si>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</si>
  <si>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</si>
  <si>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</si>
  <si>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</si>
  <si>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</si>
  <si>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</si>
  <si>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</si>
  <si>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</si>
  <si>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</si>
  <si>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</si>
  <si>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</si>
  <si>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</si>
  <si>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</si>
  <si>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</si>
  <si>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</si>
  <si>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</si>
  <si>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</si>
  <si>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</si>
  <si>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</si>
  <si>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</si>
  <si>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</si>
  <si>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</si>
  <si>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</si>
  <si>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</si>
  <si>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</si>
  <si>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</si>
  <si>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</si>
  <si>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</si>
  <si>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</si>
  <si>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</si>
  <si>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</si>
  <si>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</si>
  <si>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</si>
  <si>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</si>
  <si>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</si>
  <si>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</si>
  <si>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</si>
  <si>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</si>
  <si>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</si>
  <si>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</si>
  <si>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</si>
  <si>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</si>
  <si>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</si>
  <si>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</si>
  <si>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</si>
  <si>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</si>
  <si>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</si>
  <si>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</si>
  <si>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</si>
  <si>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</si>
  <si>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</si>
  <si>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</si>
  <si>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</si>
  <si>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</si>
  <si>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</si>
  <si>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</si>
  <si>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</si>
  <si>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</si>
  <si>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</si>
  <si>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</si>
  <si>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</si>
  <si>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</si>
  <si>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</si>
  <si>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</si>
  <si>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</si>
  <si>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</si>
  <si>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</si>
  <si>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</si>
  <si>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</si>
  <si>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</si>
  <si>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</si>
  <si>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Santa Clarita</t>
  </si>
  <si>
    <t>Inland (Fresno, Imperial, Kern, Kings, Madera, Merced, Riverside, San Bernardino, Stanislaus, and Tulare Counties)</t>
  </si>
  <si>
    <t>4% 2025 TBLs</t>
  </si>
  <si>
    <t>9% 2025 TBLs</t>
  </si>
  <si>
    <t>City Manager:</t>
  </si>
  <si>
    <t>Ms. Erin Lay</t>
  </si>
  <si>
    <t>Northern (Butte, El Dorado, Placer, Sacramento, San Joaquin, Shasta, Solano, Sutter, Yuba, and Yolo Counties)</t>
  </si>
  <si>
    <t>Title:</t>
  </si>
  <si>
    <t>Housing Program Administrator</t>
  </si>
  <si>
    <t>N/A</t>
  </si>
  <si>
    <t xml:space="preserve">Mailing Address: </t>
  </si>
  <si>
    <t>23920 Valencia Boulevard, Suite 300</t>
  </si>
  <si>
    <t>2024 100% RENTS</t>
  </si>
  <si>
    <t>2025 FAIR MARKET RENTS</t>
  </si>
  <si>
    <t xml:space="preserve">City: </t>
  </si>
  <si>
    <t>Santa Clarita</t>
  </si>
  <si>
    <t>ALAMEDA</t>
  </si>
  <si>
    <t>Alameda</t>
  </si>
  <si>
    <t>California Tax Credit Allocation Committee</t>
  </si>
  <si>
    <t>Housing and Urban Development</t>
  </si>
  <si>
    <t xml:space="preserve">Zip Code: </t>
  </si>
  <si>
    <t>ALPINE</t>
  </si>
  <si>
    <t>Alpine</t>
  </si>
  <si>
    <t>Phone Number:</t>
  </si>
  <si>
    <t>(661) 255-4972</t>
  </si>
  <si>
    <t>Ext.</t>
  </si>
  <si>
    <t>AMADOR</t>
  </si>
  <si>
    <t>Amador</t>
  </si>
  <si>
    <t>County</t>
  </si>
  <si>
    <t>SRO/Studio</t>
  </si>
  <si>
    <t>1 Bedroom</t>
  </si>
  <si>
    <t>2 Bedrooms</t>
  </si>
  <si>
    <t>3 Bedrooms</t>
  </si>
  <si>
    <t>4 Bedrooms</t>
  </si>
  <si>
    <t>5 Bedrooms</t>
  </si>
  <si>
    <t>SRO/STUDIO</t>
  </si>
  <si>
    <t>4+ Bedrooms</t>
  </si>
  <si>
    <t xml:space="preserve">FAX Number: </t>
  </si>
  <si>
    <t>(661) 286-4007</t>
  </si>
  <si>
    <t>BUTTE</t>
  </si>
  <si>
    <t>Butte</t>
  </si>
  <si>
    <t xml:space="preserve">E-mail: </t>
  </si>
  <si>
    <t>elay@santa-clarita.com</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</si>
  <si>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</si>
  <si>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</si>
  <si>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</si>
  <si>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</si>
  <si>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</si>
  <si>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</si>
  <si>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</si>
  <si>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</si>
  <si>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</si>
  <si>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</si>
  <si>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</si>
  <si>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</si>
  <si>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</si>
  <si>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</si>
  <si>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</si>
  <si>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</si>
  <si>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</si>
  <si>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</si>
  <si>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</si>
  <si>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</si>
  <si>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</si>
  <si>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</si>
  <si>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</si>
  <si>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</si>
  <si>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</si>
  <si>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</si>
  <si>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</si>
  <si>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</si>
  <si>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</si>
  <si>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</si>
  <si>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</si>
  <si>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</si>
  <si>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</si>
  <si>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</si>
  <si>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</si>
  <si>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</si>
  <si>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</si>
  <si>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</si>
  <si>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</si>
  <si>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</si>
  <si>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</si>
  <si>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</si>
  <si>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</si>
  <si>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</si>
  <si>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</si>
  <si>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</si>
  <si>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</si>
  <si>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</si>
  <si>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</si>
  <si>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</si>
  <si>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</si>
  <si>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</si>
  <si>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</si>
  <si>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</si>
  <si>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</si>
  <si>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</si>
  <si>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</si>
  <si>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</si>
  <si>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</si>
  <si>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</si>
  <si>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</si>
  <si>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</si>
  <si>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</si>
  <si>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</si>
  <si>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</si>
  <si>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</si>
  <si>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</si>
  <si>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</si>
  <si>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</si>
  <si>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</si>
  <si>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</si>
  <si>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</si>
  <si>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</si>
  <si>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</si>
  <si>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</si>
  <si>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</si>
  <si>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Flying Tiger Drive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</si>
  <si>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</si>
  <si>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</si>
  <si>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</si>
  <si>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</si>
  <si>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</si>
  <si>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</si>
  <si>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</si>
  <si>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</si>
  <si>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</si>
  <si>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</si>
  <si>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</si>
  <si>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</si>
  <si>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</si>
  <si>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</si>
  <si>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</si>
  <si>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</si>
  <si>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</si>
  <si>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</si>
  <si>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</si>
  <si>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</si>
  <si>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2844-041-002 &amp; 2844-041-003</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</si>
  <si>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</si>
  <si>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</si>
  <si>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</si>
  <si>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</si>
  <si>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</si>
  <si>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</si>
  <si>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</si>
  <si>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</si>
  <si>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</si>
  <si>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</si>
  <si>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</si>
  <si>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</si>
  <si>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</si>
  <si>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</si>
  <si>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</si>
  <si>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</si>
  <si>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</si>
  <si>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</si>
  <si>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</si>
  <si>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</si>
  <si>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</si>
  <si>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</si>
  <si>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</si>
  <si>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</si>
  <si>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</si>
  <si>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</si>
  <si>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</si>
  <si>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</si>
  <si>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</si>
  <si>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</si>
  <si>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</si>
  <si>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</si>
  <si>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</si>
  <si>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</si>
  <si>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</si>
  <si>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</si>
  <si>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</si>
  <si>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</si>
  <si>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</si>
  <si>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</si>
  <si>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</si>
  <si>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</si>
  <si>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</si>
  <si>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</si>
  <si>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</si>
  <si>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</si>
  <si>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</si>
  <si>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</si>
  <si>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</si>
  <si>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</si>
  <si>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</si>
  <si>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</si>
  <si>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</si>
  <si>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</si>
  <si>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</si>
  <si>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</si>
  <si>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</si>
  <si>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</si>
  <si>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</si>
  <si>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</si>
  <si>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</si>
  <si>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</si>
  <si>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</si>
  <si>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</si>
  <si>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</si>
  <si>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</si>
  <si>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</si>
  <si>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</si>
  <si>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</si>
  <si>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</si>
  <si>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</si>
  <si>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</si>
  <si>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</si>
  <si>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</si>
  <si>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</si>
  <si>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</si>
  <si>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</si>
  <si>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</si>
  <si>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</si>
  <si>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</si>
  <si>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</si>
  <si>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</si>
  <si>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</si>
  <si>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</si>
  <si>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</si>
  <si>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</si>
  <si>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</si>
  <si>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</si>
  <si>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</si>
  <si>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</si>
  <si>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</si>
  <si>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</si>
  <si>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</si>
  <si>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</si>
  <si>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</si>
  <si>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</si>
  <si>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</si>
  <si>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</si>
  <si>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</si>
  <si>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</si>
  <si>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</si>
  <si>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</si>
  <si>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</si>
  <si>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</si>
  <si>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</si>
  <si>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</si>
  <si>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</si>
  <si>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</si>
  <si>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</si>
  <si>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</si>
  <si>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</si>
  <si>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</si>
  <si>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</si>
  <si>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</si>
  <si>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</si>
  <si>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</si>
  <si>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</si>
  <si>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</si>
  <si>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</si>
  <si>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</si>
  <si>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</si>
  <si>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</si>
  <si>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122 E 42nd Street, Suite 1903</t>
  </si>
  <si>
    <t>New York</t>
  </si>
  <si>
    <t>State:</t>
  </si>
  <si>
    <t>NY</t>
  </si>
  <si>
    <t>Contact Person:</t>
  </si>
  <si>
    <t>Paul Salib</t>
  </si>
  <si>
    <t>Phone:</t>
  </si>
  <si>
    <t>212-776-1914</t>
  </si>
  <si>
    <t>Ext.:</t>
  </si>
  <si>
    <t>Fax:</t>
  </si>
  <si>
    <t>both nonprofits</t>
  </si>
  <si>
    <t xml:space="preserve">Email: </t>
  </si>
  <si>
    <t>psalib@crpaffordable.com</t>
  </si>
  <si>
    <t>Legal Status of Applicant:</t>
  </si>
  <si>
    <t>Parent Company:</t>
  </si>
  <si>
    <t>If Other, Specify:</t>
  </si>
  <si>
    <t>both for-profit</t>
  </si>
  <si>
    <t>General Partner(s) Information (post-closing GPs):</t>
  </si>
  <si>
    <t>D(1)</t>
  </si>
  <si>
    <t>General Partner Name:</t>
  </si>
  <si>
    <t>Creekside Commons AGP LLC</t>
  </si>
  <si>
    <t>Administrative GP</t>
  </si>
  <si>
    <t>OWNERSHIP</t>
  </si>
  <si>
    <t>Nonprofit</t>
  </si>
  <si>
    <t>INTEREST (%):</t>
  </si>
  <si>
    <t>currently exists</t>
  </si>
  <si>
    <t>to be formed</t>
  </si>
  <si>
    <t>For Profit</t>
  </si>
  <si>
    <t>Nonprofit/For Profit:</t>
  </si>
  <si>
    <t>D(2)</t>
  </si>
  <si>
    <t>General Partner Name:*</t>
  </si>
  <si>
    <t>Central Valley Coalition for Affordable Housing</t>
  </si>
  <si>
    <t>Managing GP</t>
  </si>
  <si>
    <t>3351 "M" Street #100</t>
  </si>
  <si>
    <t>CA</t>
  </si>
  <si>
    <t>Christina Alley</t>
  </si>
  <si>
    <t>209-388-0782</t>
  </si>
  <si>
    <t>chris@centralvalleycoalition.com</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</si>
  <si>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</si>
  <si>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</si>
  <si>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</si>
  <si>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</si>
  <si>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</si>
  <si>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</si>
  <si>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</si>
  <si>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</si>
  <si>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</si>
  <si>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CRP Affordable Housing and Community Development LLC</t>
  </si>
  <si>
    <t>Seth Sterneck</t>
  </si>
  <si>
    <t>646-518-7280</t>
  </si>
  <si>
    <t>ssterneck@crpaffordable.com</t>
  </si>
  <si>
    <t>Participatory Role:</t>
  </si>
  <si>
    <t>Developer</t>
  </si>
  <si>
    <t>(e.g., General Partner, Consultant, etc.)</t>
  </si>
  <si>
    <t>II. APPLICATION - SECTION 4: DEVELOPMENT TEAM INFORMATION</t>
  </si>
  <si>
    <t>Indicate and List All Development Team Members</t>
  </si>
  <si>
    <t>Developer:</t>
  </si>
  <si>
    <t>CRP Affordable Housing ad Community Development LLC</t>
  </si>
  <si>
    <t>Architect:</t>
  </si>
  <si>
    <t>BSB Design</t>
  </si>
  <si>
    <t>Address:</t>
  </si>
  <si>
    <t>4429 Morena Blvd STE A</t>
  </si>
  <si>
    <t>970 W. 190th Street, Suite 250</t>
  </si>
  <si>
    <t>City, State, Zip</t>
  </si>
  <si>
    <t>San Diego, CA 92117</t>
  </si>
  <si>
    <t>City, State, Zip:</t>
  </si>
  <si>
    <t>Torrance, CA 90502</t>
  </si>
  <si>
    <t>Dirk Thelen</t>
  </si>
  <si>
    <t>(310) 217-8885</t>
  </si>
  <si>
    <t>Email:</t>
  </si>
  <si>
    <t>dthelen@bsbdesign.com</t>
  </si>
  <si>
    <t>Attorney:</t>
  </si>
  <si>
    <t>Hobson Bernadino+ Davis LLP</t>
  </si>
  <si>
    <t>General Contractor:</t>
  </si>
  <si>
    <t>Ironcore Construction LLC</t>
  </si>
  <si>
    <t>6060 Center Drive, Floor 10</t>
  </si>
  <si>
    <t xml:space="preserve">4429 Morena Blvd Suite A, </t>
  </si>
  <si>
    <t>Los Angeles, CA 90045</t>
  </si>
  <si>
    <t>San Diego CA 92117</t>
  </si>
  <si>
    <t>Jason Hobson</t>
  </si>
  <si>
    <t>Thomas A. Hodgin</t>
  </si>
  <si>
    <t>213-235-9191</t>
  </si>
  <si>
    <t>(619) 378-7878</t>
  </si>
  <si>
    <t>jhobson@hbdlegal.com</t>
  </si>
  <si>
    <t>thodgin@ironcorecc.com</t>
  </si>
  <si>
    <t>Tax Professional:</t>
  </si>
  <si>
    <t>Novogradac &amp; Company LLP</t>
  </si>
  <si>
    <t>Energy Consultant:</t>
  </si>
  <si>
    <t>Partner Energy</t>
  </si>
  <si>
    <t>1300 114th Avenue SE, Suite 240</t>
  </si>
  <si>
    <t>680 Knox St., Suite 150</t>
  </si>
  <si>
    <t>Bellevue, WA 98004</t>
  </si>
  <si>
    <t>Thomas Stagg</t>
  </si>
  <si>
    <t>Kelsey Shaw</t>
  </si>
  <si>
    <t>425-453-5783</t>
  </si>
  <si>
    <t>310-356-2199</t>
  </si>
  <si>
    <t>thomas.stagg@novoco.com</t>
  </si>
  <si>
    <t>kshaw@ptrenergy.com</t>
  </si>
  <si>
    <t>CPA:</t>
  </si>
  <si>
    <t>Investor:</t>
  </si>
  <si>
    <t>Red Stone Equity Partners</t>
  </si>
  <si>
    <t xml:space="preserve">90 Park Ave 28th floor, </t>
  </si>
  <si>
    <t>New York, NY 10016</t>
  </si>
  <si>
    <t>Matt Grosz</t>
  </si>
  <si>
    <t>(858) 752-2066</t>
  </si>
  <si>
    <t>Matt.Grosz@rsequity.com</t>
  </si>
  <si>
    <t>Consultant:</t>
  </si>
  <si>
    <t>Market Analyst:</t>
  </si>
  <si>
    <t>Novogradac &amp;Company LLP</t>
  </si>
  <si>
    <t>Rachel Denton</t>
  </si>
  <si>
    <t>913-312-4612</t>
  </si>
  <si>
    <t>rachel.denton@novoco.com</t>
  </si>
  <si>
    <t>Appraiser:</t>
  </si>
  <si>
    <t>Novogradac Consulting LLP</t>
  </si>
  <si>
    <t>CNA Consultant:</t>
  </si>
  <si>
    <t>6700 Antioch Rd #450</t>
  </si>
  <si>
    <t>Merriam, Kansas 66204</t>
  </si>
  <si>
    <t>Bond Issuer:</t>
  </si>
  <si>
    <t>California Housing Finance Authority</t>
  </si>
  <si>
    <t>Prop. Mgmt. Co.:</t>
  </si>
  <si>
    <t>The John Stewart Company</t>
  </si>
  <si>
    <t>500 Capitola Mall, Suite 400</t>
  </si>
  <si>
    <t>1388 Sutter Street, 11th Floor</t>
  </si>
  <si>
    <t>Sacremento, CA 95814</t>
  </si>
  <si>
    <t>San Francisco, CA 94109</t>
  </si>
  <si>
    <t>Kevin Brown</t>
  </si>
  <si>
    <t>Jennifer Wood</t>
  </si>
  <si>
    <t>916-616-8899</t>
  </si>
  <si>
    <t xml:space="preserve">(415) 345-4400					</t>
  </si>
  <si>
    <t>kbrown@calhfa.ca.gov</t>
  </si>
  <si>
    <t>jwood@jsco.net</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</si>
  <si>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</si>
  <si>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</si>
  <si>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</si>
  <si>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</si>
  <si>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</si>
  <si>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</si>
  <si>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</si>
  <si>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</si>
  <si>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</si>
  <si>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</si>
  <si>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</si>
  <si>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</si>
  <si>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</si>
  <si>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</si>
  <si>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</si>
  <si>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</si>
  <si>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</si>
  <si>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</si>
  <si>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</si>
  <si>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</si>
  <si>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</si>
  <si>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</si>
  <si>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</si>
  <si>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</si>
  <si>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</si>
  <si>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</si>
  <si>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</si>
  <si>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</si>
  <si>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</si>
  <si>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</si>
  <si>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</si>
  <si>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</si>
  <si>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</si>
  <si>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CRP Flying Tiger LLC</t>
  </si>
  <si>
    <t>Signatory of Seller:</t>
  </si>
  <si>
    <t>Joel Hammer</t>
  </si>
  <si>
    <t>Seller Principal:</t>
  </si>
  <si>
    <t>Authorized Signatory</t>
  </si>
  <si>
    <t>Seller Address:</t>
  </si>
  <si>
    <t>4429 Morena Blvd, Suite A San Diego CA 92117</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</si>
  <si>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</si>
  <si>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</si>
  <si>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</si>
  <si>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</si>
  <si>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</si>
  <si>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</si>
  <si>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</si>
  <si>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</si>
  <si>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</si>
  <si>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</si>
  <si>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</si>
  <si>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</si>
  <si>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</si>
  <si>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</si>
  <si>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</si>
  <si>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</si>
  <si>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</si>
  <si>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</si>
  <si>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</si>
  <si>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</si>
  <si>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</si>
  <si>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SafeHold Inc.</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</si>
  <si>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</si>
  <si>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</si>
  <si>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</si>
  <si>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</si>
  <si>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</si>
  <si>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</si>
  <si>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</si>
  <si>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</si>
  <si>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</si>
  <si>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 xml:space="preserve">4-Stories Type V Residential Units and On Grade Parking Structure </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</si>
  <si>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</si>
  <si>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</si>
  <si>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</si>
  <si>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</si>
  <si>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</si>
  <si>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</si>
  <si>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</si>
  <si>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</si>
  <si>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</si>
  <si>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</si>
  <si>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</si>
  <si>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</si>
  <si>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</si>
  <si>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</si>
  <si>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</si>
  <si>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</si>
  <si>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</si>
  <si>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</si>
  <si>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</si>
  <si>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</si>
  <si>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</si>
  <si>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</si>
  <si>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</si>
  <si>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</si>
  <si>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</si>
  <si>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</si>
  <si>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</si>
  <si>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</si>
  <si>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</si>
  <si>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</si>
  <si>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</si>
  <si>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</si>
  <si>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</si>
  <si>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</si>
  <si>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</si>
  <si>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</si>
  <si>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</si>
  <si>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</si>
  <si>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</si>
  <si>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</si>
  <si>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</si>
  <si>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</si>
  <si>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</si>
  <si>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</si>
  <si>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</si>
  <si>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</si>
  <si>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</si>
  <si>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</si>
  <si>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</si>
  <si>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</si>
  <si>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</si>
  <si>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All ADA units are Large family as well</t>
  </si>
  <si>
    <t>II. APPLICATION - SECTION 6:  REQUIRED APPROVALS &amp; DEVELOPMENT TIMETABLE</t>
  </si>
  <si>
    <t>Project and Site Information</t>
  </si>
  <si>
    <t>Current Land Use Designation</t>
  </si>
  <si>
    <t xml:space="preserve">Vacant </t>
  </si>
  <si>
    <t>Current Zoning and Maximum Density</t>
  </si>
  <si>
    <t>Community Commercial (CC); Density - 18DU/Ac</t>
  </si>
  <si>
    <t>Proposed Zoning and Maximum Density</t>
  </si>
  <si>
    <t>Community Commercial (CC); Density - 32.7DU/Ac</t>
  </si>
  <si>
    <t>Occupancy restrictions that run with the land due to CUP’s or density bonuses?</t>
  </si>
  <si>
    <t>(if yes, explain here)</t>
  </si>
  <si>
    <t>Subject to Inclusionary Zoning?</t>
  </si>
  <si>
    <t>Building Height Requirements</t>
  </si>
  <si>
    <t>35 ft Top of Roof</t>
  </si>
  <si>
    <t>Required Parking Ratio</t>
  </si>
  <si>
    <t>1 Space/ 1 BR unit; 1.5 Spaces/ 2 and 3 BR units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</si>
  <si>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</si>
  <si>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</si>
  <si>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</si>
  <si>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</si>
  <si>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</si>
  <si>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</si>
  <si>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</si>
  <si>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</si>
  <si>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</si>
  <si>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</si>
  <si>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</si>
  <si>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</si>
  <si>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</si>
  <si>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</si>
  <si>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</si>
  <si>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</si>
  <si>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</si>
  <si>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</si>
  <si>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</si>
  <si>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</si>
  <si>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</si>
  <si>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</si>
  <si>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</si>
  <si>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</si>
  <si>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</si>
  <si>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</si>
  <si>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</si>
  <si>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</si>
  <si>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</si>
  <si>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</si>
  <si>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</si>
  <si>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</si>
  <si>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</si>
  <si>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</si>
  <si>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</si>
  <si>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</si>
  <si>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</si>
  <si>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</si>
  <si>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</si>
  <si>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</si>
  <si>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</si>
  <si>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</si>
  <si>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</si>
  <si>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</si>
  <si>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</si>
  <si>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</si>
  <si>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</si>
  <si>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</si>
  <si>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</si>
  <si>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</si>
  <si>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</si>
  <si>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</si>
  <si>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</si>
  <si>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</si>
  <si>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</si>
  <si>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</si>
  <si>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</si>
  <si>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</si>
  <si>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</si>
  <si>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</si>
  <si>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</si>
  <si>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</si>
  <si>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</si>
  <si>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</si>
  <si>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</si>
  <si>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</si>
  <si>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</si>
  <si>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</si>
  <si>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</si>
  <si>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</si>
  <si>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</si>
  <si>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 Construction Loan (Tax- Exempt)</t>
  </si>
  <si>
    <t>Variable</t>
  </si>
  <si>
    <t xml:space="preserve">CitiBank Construction Loan - Recycled (Tax-Exempt) </t>
  </si>
  <si>
    <t>CitiBank Construction Loan (Taxable)</t>
  </si>
  <si>
    <t>Federal LIHTC Equity</t>
  </si>
  <si>
    <t>State LIHTC Equity</t>
  </si>
  <si>
    <t>6)</t>
  </si>
  <si>
    <t>SafeHold TILoan</t>
  </si>
  <si>
    <t>7)</t>
  </si>
  <si>
    <t>Deferred Costs</t>
  </si>
  <si>
    <t>8)</t>
  </si>
  <si>
    <t>9)</t>
  </si>
  <si>
    <t>10)</t>
  </si>
  <si>
    <t>11)</t>
  </si>
  <si>
    <t>12)</t>
  </si>
  <si>
    <t>Total Funds For Construction:</t>
  </si>
  <si>
    <t>Lender/Source:</t>
  </si>
  <si>
    <t>300 South Grand Avenue</t>
  </si>
  <si>
    <t>Los Angeles, CA 90071</t>
  </si>
  <si>
    <t>Contact Name:</t>
  </si>
  <si>
    <t>Hao Li</t>
  </si>
  <si>
    <t>Type of Financing:</t>
  </si>
  <si>
    <t>Tax Exempt Bonds/Private</t>
  </si>
  <si>
    <t>Variable Rate Index (if applicable):</t>
  </si>
  <si>
    <t>Is the Lender/Source Committed?</t>
  </si>
  <si>
    <t>Taxable Loan/Private</t>
  </si>
  <si>
    <t>1114 Avenue of Americas</t>
  </si>
  <si>
    <t>New York NY 10036</t>
  </si>
  <si>
    <t>Steve Wydler</t>
  </si>
  <si>
    <t>310-315-5566</t>
  </si>
  <si>
    <t>Loan</t>
  </si>
  <si>
    <t>4429 Morena Blvd Suite A</t>
  </si>
  <si>
    <t>Private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</si>
  <si>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</si>
  <si>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</si>
  <si>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</si>
  <si>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</si>
  <si>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</si>
  <si>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</si>
  <si>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 Permenant Loan</t>
  </si>
  <si>
    <t>Required</t>
  </si>
  <si>
    <t>Safehold TILoan</t>
  </si>
  <si>
    <t>Deferred Developer Fee</t>
  </si>
  <si>
    <t>Deferred</t>
  </si>
  <si>
    <t>Residual</t>
  </si>
  <si>
    <t>Total Permanent Financing:</t>
  </si>
  <si>
    <t>Total Tax Credit Equity:</t>
  </si>
  <si>
    <t>Total Sources of Project Funds:</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</si>
  <si>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</si>
  <si>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</si>
  <si>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</si>
  <si>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</si>
  <si>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</si>
  <si>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</si>
  <si>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</si>
  <si>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</si>
  <si>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</si>
  <si>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</si>
  <si>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</si>
  <si>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</si>
  <si>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</si>
  <si>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</si>
  <si>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</si>
  <si>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</si>
  <si>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</si>
  <si>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</si>
  <si>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</si>
  <si>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</si>
  <si>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</si>
  <si>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</si>
  <si>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</si>
  <si>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</si>
  <si>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</si>
  <si>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</si>
  <si>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</si>
  <si>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</si>
  <si>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</si>
  <si>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</si>
  <si>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</si>
  <si>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</si>
  <si>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</si>
  <si>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</si>
  <si>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</si>
  <si>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</si>
  <si>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</si>
  <si>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</si>
  <si>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</si>
  <si>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</si>
  <si>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</si>
  <si>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</si>
  <si>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</si>
  <si>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</si>
  <si>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</si>
  <si>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</si>
  <si>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</si>
  <si>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</si>
  <si>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</si>
  <si>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</si>
  <si>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</si>
  <si>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</si>
  <si>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</si>
  <si>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</si>
  <si>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</si>
  <si>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</si>
  <si>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</si>
  <si>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</si>
  <si>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</si>
  <si>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</si>
  <si>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</si>
  <si>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</si>
  <si>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</si>
  <si>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</si>
  <si>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</si>
  <si>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</si>
  <si>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</si>
  <si>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</si>
  <si>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</si>
  <si>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</si>
  <si>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</si>
  <si>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</si>
  <si>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</si>
  <si>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</si>
  <si>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</si>
  <si>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</si>
  <si>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</si>
  <si>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</si>
  <si>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</si>
  <si>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</si>
  <si>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</si>
  <si>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</si>
  <si>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</si>
  <si>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</si>
  <si>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</si>
  <si>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</si>
  <si>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</si>
  <si>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</si>
  <si>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</si>
  <si>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</si>
  <si>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</si>
  <si>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</si>
  <si>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</si>
  <si>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Los Angeles County Development Authority</t>
  </si>
  <si>
    <t>See Regulation Section 10322(h)(21) for type of projects that are allowed to use CUAC.</t>
  </si>
  <si>
    <t>Annual Residential Operating Expenses</t>
  </si>
  <si>
    <t xml:space="preserve"> Administrative</t>
  </si>
  <si>
    <t>Advertising:</t>
  </si>
  <si>
    <t>Legal:</t>
  </si>
  <si>
    <t>Accounting/Audit:</t>
  </si>
  <si>
    <t>Security:</t>
  </si>
  <si>
    <t>Office Expenses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</si>
  <si>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</si>
  <si>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</si>
  <si>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</si>
  <si>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</si>
  <si>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</si>
  <si>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</si>
  <si>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</si>
  <si>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</si>
  <si>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</si>
  <si>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</si>
  <si>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</si>
  <si>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</si>
  <si>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</si>
  <si>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Benefits</t>
  </si>
  <si>
    <t>Total Payroll / Payroll Taxes:</t>
  </si>
  <si>
    <t>Total Insurance:</t>
  </si>
  <si>
    <t>Painting:</t>
  </si>
  <si>
    <t>Repairs:</t>
  </si>
  <si>
    <t>Trash Removal:</t>
  </si>
  <si>
    <t>Exterminating:</t>
  </si>
  <si>
    <t>Grounds:</t>
  </si>
  <si>
    <t>Elevator:</t>
  </si>
  <si>
    <t>Supplies</t>
  </si>
  <si>
    <t>Total Maintenance:</t>
  </si>
  <si>
    <t>Other Operating</t>
  </si>
  <si>
    <t>Real estate taxes</t>
  </si>
  <si>
    <t>Expenses</t>
  </si>
  <si>
    <t>Payroll taxes (project’s share)</t>
  </si>
  <si>
    <t>Property and liability insurance (hazard)</t>
  </si>
  <si>
    <t>Worker's compensation</t>
  </si>
  <si>
    <t>Health insurance, other employee benefit, insurance, License, etc.</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</si>
  <si>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</si>
  <si>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</si>
  <si>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</si>
  <si>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</si>
  <si>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</si>
  <si>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</si>
  <si>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</si>
  <si>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</si>
  <si>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</si>
  <si>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</si>
  <si>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</si>
  <si>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</si>
  <si>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</si>
  <si>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</si>
  <si>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</si>
  <si>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</si>
  <si>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</si>
  <si>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</si>
  <si>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</si>
  <si>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</si>
  <si>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</si>
  <si>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</si>
  <si>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</si>
  <si>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</si>
  <si>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</si>
  <si>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</si>
  <si>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</si>
  <si>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</si>
  <si>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</si>
  <si>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</si>
  <si>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</si>
  <si>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</si>
  <si>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</si>
  <si>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</si>
  <si>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</si>
  <si>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</si>
  <si>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</si>
  <si>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</si>
  <si>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</si>
  <si>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</si>
  <si>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</si>
  <si>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</si>
  <si>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</si>
  <si>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</si>
  <si>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</si>
  <si>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</si>
  <si>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</si>
  <si>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</si>
  <si>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</si>
  <si>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</si>
  <si>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</si>
  <si>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</si>
  <si>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</si>
  <si>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</si>
  <si>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</si>
  <si>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</si>
  <si>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</si>
  <si>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LIHTC Equity</t>
  </si>
  <si>
    <t>Local:</t>
  </si>
  <si>
    <t>State Tax- Exempt Recylced Bonds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</si>
  <si>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</si>
  <si>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</si>
  <si>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</si>
  <si>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</si>
  <si>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</si>
  <si>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</si>
  <si>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</si>
  <si>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</si>
  <si>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</si>
  <si>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</si>
  <si>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</si>
  <si>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</si>
  <si>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</si>
  <si>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</si>
  <si>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</si>
  <si>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</si>
  <si>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</si>
  <si>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</si>
  <si>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</si>
  <si>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</si>
  <si>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</si>
  <si>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</si>
  <si>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</si>
  <si>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</si>
  <si>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</si>
  <si>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</si>
  <si>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</si>
  <si>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</si>
  <si>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</si>
  <si>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</si>
  <si>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</si>
  <si>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</si>
  <si>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</si>
  <si>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</si>
  <si>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</si>
  <si>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</si>
  <si>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SB 35 Ministrial Approval</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</si>
  <si>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</si>
  <si>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</si>
  <si>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</si>
  <si>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</si>
  <si>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</si>
  <si>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</si>
  <si>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</si>
  <si>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</si>
  <si>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</si>
  <si>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</si>
  <si>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</si>
  <si>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</si>
  <si>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</si>
  <si>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</si>
  <si>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</si>
  <si>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</si>
  <si>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</si>
  <si>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</si>
  <si>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</si>
  <si>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</si>
  <si>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</si>
  <si>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</si>
  <si>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</si>
  <si>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</si>
  <si>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</si>
  <si>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</si>
  <si>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</si>
  <si>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</si>
  <si>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</si>
  <si>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</si>
  <si>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</si>
  <si>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</si>
  <si>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</si>
  <si>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</si>
  <si>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</si>
  <si>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</si>
  <si>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</si>
  <si>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</si>
  <si>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</si>
  <si>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</si>
  <si>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</si>
  <si>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</si>
  <si>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</si>
  <si>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</si>
  <si>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</si>
  <si>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</si>
  <si>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</si>
  <si>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</si>
  <si>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</si>
  <si>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</si>
  <si>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</si>
  <si>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</si>
  <si>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</si>
  <si>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</si>
  <si>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</si>
  <si>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</si>
  <si>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</si>
  <si>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</si>
  <si>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</si>
  <si>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</si>
  <si>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</si>
  <si>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</si>
  <si>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</si>
  <si>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</si>
  <si>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</si>
  <si>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</si>
  <si>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</si>
  <si>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</si>
  <si>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</si>
  <si>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</si>
  <si>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</si>
  <si>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</si>
  <si>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</si>
  <si>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</si>
  <si>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</si>
  <si>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</si>
  <si>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</si>
  <si>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</si>
  <si>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</si>
  <si>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</si>
  <si>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</si>
  <si>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</si>
  <si>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</si>
  <si>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</si>
  <si>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</si>
  <si>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</si>
  <si>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</si>
  <si>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</si>
  <si>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</si>
  <si>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</si>
  <si>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</si>
  <si>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</si>
  <si>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</si>
  <si>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</si>
  <si>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</si>
  <si>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</si>
  <si>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</si>
  <si>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</si>
  <si>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</si>
  <si>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</si>
  <si>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</si>
  <si>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</si>
  <si>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</si>
  <si>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</si>
  <si>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</si>
  <si>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</si>
  <si>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</si>
  <si>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</si>
  <si>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</si>
  <si>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</si>
  <si>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</si>
  <si>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</si>
  <si>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</si>
  <si>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</si>
  <si>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</si>
  <si>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</si>
  <si>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</si>
  <si>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</si>
  <si>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</si>
  <si>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</si>
  <si>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</si>
  <si>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</si>
  <si>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</si>
  <si>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</si>
  <si>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</si>
  <si>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</si>
  <si>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</si>
  <si>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</si>
  <si>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</si>
  <si>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</si>
  <si>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</si>
  <si>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Legal for Perm Loan</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</si>
  <si>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</si>
  <si>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</si>
  <si>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</si>
  <si>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</si>
  <si>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</si>
  <si>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</si>
  <si>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</si>
  <si>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Lender, Investor, Bond Issuer and Partner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</si>
  <si>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</si>
  <si>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</si>
  <si>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</si>
  <si>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</si>
  <si>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</si>
  <si>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</si>
  <si>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</si>
  <si>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</si>
  <si>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</si>
  <si>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</si>
  <si>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</si>
  <si>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</si>
  <si>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</si>
  <si>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</si>
  <si>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</si>
  <si>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</si>
  <si>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</si>
  <si>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</si>
  <si>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</si>
  <si>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</si>
  <si>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</si>
  <si>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</si>
  <si>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Prevailing Wage Monitoring</t>
  </si>
  <si>
    <t xml:space="preserve">Misc. Third Party Costs </t>
  </si>
  <si>
    <t>CDLAC Fee &amp; Predevelopment Interest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</si>
  <si>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</si>
  <si>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</si>
  <si>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</si>
  <si>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</si>
  <si>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</si>
  <si>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</si>
  <si>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</si>
  <si>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</si>
  <si>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</si>
  <si>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</si>
  <si>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</si>
  <si>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</si>
  <si>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</si>
  <si>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</si>
  <si>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</si>
  <si>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</si>
  <si>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</si>
  <si>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</si>
  <si>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</si>
  <si>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</si>
  <si>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</si>
  <si>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</si>
  <si>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</si>
  <si>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</si>
  <si>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</si>
  <si>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</si>
  <si>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</si>
  <si>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</si>
  <si>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</si>
  <si>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</si>
  <si>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</si>
  <si>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</si>
  <si>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</si>
  <si>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</si>
  <si>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</si>
  <si>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</si>
  <si>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</si>
  <si>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</si>
  <si>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</si>
  <si>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</si>
  <si>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</si>
  <si>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</si>
  <si>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</si>
  <si>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</si>
  <si>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</si>
  <si>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</si>
  <si>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</si>
  <si>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</si>
  <si>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</si>
  <si>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</si>
  <si>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</si>
  <si>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</si>
  <si>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</si>
  <si>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</si>
  <si>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</si>
  <si>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</si>
  <si>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</si>
  <si>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</si>
  <si>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</si>
  <si>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</si>
  <si>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</si>
  <si>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</si>
  <si>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</si>
  <si>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</si>
  <si>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</si>
  <si>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</si>
  <si>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</si>
  <si>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</si>
  <si>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</si>
  <si>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</si>
  <si>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</si>
  <si>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</si>
  <si>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</si>
  <si>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</si>
  <si>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</si>
  <si>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</si>
  <si>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</si>
  <si>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</si>
  <si>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</si>
  <si>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</si>
  <si>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</si>
  <si>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</si>
  <si>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</si>
  <si>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</si>
  <si>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</si>
  <si>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</si>
  <si>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</si>
  <si>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</si>
  <si>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</si>
  <si>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</si>
  <si>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</si>
  <si>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</si>
  <si>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</si>
  <si>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</si>
  <si>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</si>
  <si>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</si>
  <si>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</si>
  <si>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</si>
  <si>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</si>
  <si>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</si>
  <si>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</si>
  <si>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</si>
  <si>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</si>
  <si>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</si>
  <si>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</si>
  <si>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</si>
  <si>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</si>
  <si>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</si>
  <si>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</si>
  <si>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</si>
  <si>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</si>
  <si>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</si>
  <si>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</si>
  <si>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</si>
  <si>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</si>
  <si>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</si>
  <si>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</si>
  <si>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</si>
  <si>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</si>
  <si>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</si>
  <si>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</si>
  <si>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</si>
  <si>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</si>
  <si>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</si>
  <si>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</si>
  <si>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</si>
  <si>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</si>
  <si>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</si>
  <si>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</si>
  <si>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</si>
  <si>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</si>
  <si>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</si>
  <si>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</si>
  <si>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</si>
  <si>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</si>
  <si>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</si>
  <si>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</si>
  <si>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</si>
  <si>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</si>
  <si>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</si>
  <si>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</si>
  <si>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</si>
  <si>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</si>
  <si>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</si>
  <si>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</si>
  <si>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</si>
  <si>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</si>
  <si>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</si>
  <si>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</si>
  <si>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</si>
  <si>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</si>
  <si>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</si>
  <si>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</si>
  <si>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</si>
  <si>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</si>
  <si>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</si>
  <si>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</si>
  <si>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</si>
  <si>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</si>
  <si>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</si>
  <si>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</si>
  <si>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</si>
  <si>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</si>
  <si>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</si>
  <si>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</si>
  <si>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</si>
  <si>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</si>
  <si>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</si>
  <si>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</si>
  <si>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</si>
  <si>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</si>
  <si>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</si>
  <si>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</si>
  <si>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</si>
  <si>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</si>
  <si>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</si>
  <si>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</si>
  <si>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</si>
  <si>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</si>
  <si>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</si>
  <si>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</si>
  <si>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</si>
  <si>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</si>
  <si>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</si>
  <si>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</si>
  <si>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</si>
  <si>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</si>
  <si>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</si>
  <si>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</si>
  <si>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</si>
  <si>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</si>
  <si>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</si>
  <si>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</si>
  <si>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</si>
  <si>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</si>
  <si>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</si>
  <si>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</si>
  <si>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</si>
  <si>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</si>
  <si>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</si>
  <si>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</si>
  <si>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</si>
  <si>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</si>
  <si>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</si>
  <si>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</si>
  <si>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</si>
  <si>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</si>
  <si>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</si>
  <si>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</si>
  <si>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</si>
  <si>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</si>
  <si>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</si>
  <si>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</si>
  <si>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</si>
  <si>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</si>
  <si>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</si>
  <si>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</si>
  <si>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</si>
  <si>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</si>
  <si>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</si>
  <si>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</si>
  <si>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</si>
  <si>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</si>
  <si>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</si>
  <si>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</si>
  <si>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</si>
  <si>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</si>
  <si>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</si>
  <si>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</si>
  <si>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</si>
  <si>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</si>
  <si>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</si>
  <si>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</si>
  <si>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</si>
  <si>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</si>
  <si>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</si>
  <si>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</si>
  <si>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</si>
  <si>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</si>
  <si>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</si>
  <si>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</si>
  <si>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</si>
  <si>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</si>
  <si>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</si>
  <si>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</si>
  <si>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</si>
  <si>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</si>
  <si>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</si>
  <si>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</si>
  <si>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</si>
  <si>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</si>
  <si>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</si>
  <si>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</si>
  <si>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</si>
  <si>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</si>
  <si>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</si>
  <si>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</si>
  <si>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</si>
  <si>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</si>
  <si>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</si>
  <si>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</si>
  <si>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</si>
  <si>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</si>
  <si>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</si>
  <si>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</si>
  <si>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</si>
  <si>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</si>
  <si>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</si>
  <si>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</si>
  <si>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</si>
  <si>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</si>
  <si>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</si>
  <si>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</si>
  <si>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</si>
  <si>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</si>
  <si>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</si>
  <si>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</si>
  <si>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</si>
  <si>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</si>
  <si>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</si>
  <si>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</si>
  <si>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</si>
  <si>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</si>
  <si>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</si>
  <si>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</si>
  <si>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</si>
  <si>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</si>
  <si>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</si>
  <si>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</si>
  <si>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</si>
  <si>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</si>
  <si>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</si>
  <si>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</si>
  <si>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</si>
  <si>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</si>
  <si>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</si>
  <si>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</si>
  <si>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</si>
  <si>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</si>
  <si>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</si>
  <si>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</si>
  <si>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</si>
  <si>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</si>
  <si>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</si>
  <si>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</si>
  <si>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</si>
  <si>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</si>
  <si>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</si>
  <si>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</si>
  <si>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</si>
  <si>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</si>
  <si>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</si>
  <si>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</si>
  <si>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</si>
  <si>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</si>
  <si>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</si>
  <si>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</si>
  <si>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</si>
  <si>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</si>
  <si>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</si>
  <si>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</si>
  <si>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</si>
  <si>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</si>
  <si>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</si>
  <si>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</si>
  <si>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</si>
  <si>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</si>
  <si>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</si>
  <si>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</si>
  <si>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</si>
  <si>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</si>
  <si>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</si>
  <si>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</si>
  <si>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</si>
  <si>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</si>
  <si>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</si>
  <si>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</si>
  <si>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</si>
  <si>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</si>
  <si>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</si>
  <si>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</si>
  <si>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</si>
  <si>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</si>
  <si>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</si>
  <si>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</si>
  <si>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</si>
  <si>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</si>
  <si>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</si>
  <si>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</si>
  <si>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</si>
  <si>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</si>
  <si>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</si>
  <si>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</si>
  <si>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</si>
  <si>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</si>
  <si>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</si>
  <si>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</si>
  <si>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</si>
  <si>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</si>
  <si>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</si>
  <si>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</si>
  <si>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</si>
  <si>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</si>
  <si>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</si>
  <si>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</si>
  <si>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</si>
  <si>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</si>
  <si>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</si>
  <si>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</si>
  <si>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</si>
  <si>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</si>
  <si>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</si>
  <si>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</si>
  <si>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</si>
  <si>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</si>
  <si>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</si>
  <si>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</si>
  <si>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</si>
  <si>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</si>
  <si>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</si>
  <si>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</si>
  <si>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</si>
  <si>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</si>
  <si>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</si>
  <si>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</si>
  <si>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</si>
  <si>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</si>
  <si>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</si>
  <si>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</si>
  <si>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</si>
  <si>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</si>
  <si>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</si>
  <si>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</si>
  <si>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</si>
  <si>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</si>
  <si>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</si>
  <si>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</si>
  <si>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</si>
  <si>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</si>
  <si>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</si>
  <si>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</si>
  <si>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</si>
  <si>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Tax-Exempt Recycled Bonds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</si>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</sst>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 numFmtId="186" formatCode="_-* #,##0.00_-;\-* #,##0.00_-;_-* &quot;-&quot;??_-;_-@_-"/>
  </numFmts>
  <fonts count="19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i/>
      <sz val="11"/>
      <name val="Arial"/>
      <family val="2"/>
    </font>
    <font>
      <b/>
      <sz val="12"/>
      <color theme="1"/>
      <name val="Arial"/>
      <family val="2"/>
    </font>
    <font>
      <u/>
      <sz val="11"/>
      <color theme="10"/>
      <name val="Arial"/>
      <family val="2"/>
    </font>
    <font>
      <u/>
      <sz val="7.5"/>
      <color indexed="12"/>
      <name val="Arial"/>
      <family val="2"/>
    </font>
    <font>
      <sz val="11"/>
      <color rgb="FF9C0006"/>
      <name val="Arial"/>
      <family val="2"/>
    </font>
    <font>
      <sz val="11"/>
      <color rgb="FF006100"/>
      <name val="Arial"/>
      <family val="2"/>
    </font>
    <font>
      <u/>
      <sz val="10"/>
      <color theme="10"/>
      <name val="Arial"/>
      <family val="2"/>
    </font>
    <font>
      <sz val="11"/>
      <color rgb="FF9C6500"/>
      <name val="Arial"/>
      <family val="2"/>
    </font>
    <font>
      <u/>
      <sz val="11"/>
      <color theme="10"/>
      <name val="Calibri"/>
      <family val="2"/>
      <scheme val="minor"/>
    </font>
    <font>
      <sz val="11"/>
      <color indexed="8"/>
      <name val="Arial"/>
      <family val="2"/>
    </font>
    <font>
      <b/>
      <sz val="11"/>
      <color indexed="8"/>
      <name val="Arial"/>
      <family val="2"/>
    </font>
    <font>
      <sz val="20"/>
      <color indexed="9"/>
      <name val="Calibri"/>
      <family val="2"/>
    </font>
    <font>
      <u/>
      <sz val="11"/>
      <color indexed="12"/>
      <name val="Calibri"/>
      <family val="2"/>
    </font>
    <font>
      <sz val="12"/>
      <color theme="1"/>
      <name val="Calibri"/>
      <family val="2"/>
      <scheme val="minor"/>
    </font>
    <font>
      <sz val="12"/>
      <name val="Arial MT"/>
    </font>
  </fonts>
  <fills count="62">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8" tint="0.79998168889431442"/>
        <bgColor indexed="64"/>
      </patternFill>
    </fill>
    <fill>
      <patternFill patternType="solid">
        <fgColor theme="0" tint="-0.14996795556505021"/>
        <bgColor indexed="64"/>
      </patternFill>
    </fill>
    <fill>
      <patternFill patternType="solid">
        <fgColor indexed="26"/>
        <bgColor indexed="64"/>
      </patternFill>
    </fill>
    <fill>
      <patternFill patternType="solid">
        <fgColor indexed="27"/>
        <bgColor indexed="64"/>
      </patternFill>
    </fill>
    <fill>
      <patternFill patternType="solid">
        <fgColor indexed="45"/>
        <bgColor indexed="64"/>
      </patternFill>
    </fill>
    <fill>
      <patternFill patternType="solid">
        <fgColor indexed="49"/>
        <bgColor indexed="64"/>
      </patternFill>
    </fill>
    <fill>
      <patternFill patternType="solid">
        <fgColor indexed="8"/>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25886">
    <xf numFmtId="0" fontId="0" fillId="0" borderId="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6" fillId="12"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4"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8" fillId="35" borderId="0" applyNumberFormat="0" applyBorder="0" applyAlignment="0" applyProtection="0"/>
    <xf numFmtId="0" fontId="78" fillId="35" borderId="0" applyNumberFormat="0" applyBorder="0" applyAlignment="0" applyProtection="0"/>
    <xf numFmtId="0" fontId="79" fillId="36" borderId="18" applyNumberFormat="0" applyAlignment="0" applyProtection="0"/>
    <xf numFmtId="0" fontId="79" fillId="36" borderId="18" applyNumberFormat="0" applyAlignment="0" applyProtection="0"/>
    <xf numFmtId="0" fontId="80" fillId="37" borderId="19" applyNumberFormat="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8"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3"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44" fontId="69"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53" fillId="0" borderId="0" applyFont="0" applyFill="0" applyBorder="0" applyAlignment="0" applyProtection="0"/>
    <xf numFmtId="44" fontId="69" fillId="0" borderId="0" applyFont="0" applyFill="0" applyBorder="0" applyAlignment="0" applyProtection="0"/>
    <xf numFmtId="44" fontId="27" fillId="0" borderId="0" applyFont="0" applyFill="0" applyBorder="0" applyAlignment="0" applyProtection="0"/>
    <xf numFmtId="44" fontId="71" fillId="0" borderId="0" applyFont="0" applyFill="0" applyBorder="0" applyAlignment="0" applyProtection="0"/>
    <xf numFmtId="44" fontId="27" fillId="0" borderId="0" applyFont="0" applyFill="0" applyBorder="0" applyAlignment="0" applyProtection="0"/>
    <xf numFmtId="44" fontId="53" fillId="0" borderId="0" applyFont="0" applyFill="0" applyBorder="0" applyAlignment="0" applyProtection="0">
      <alignment vertical="top"/>
    </xf>
    <xf numFmtId="44" fontId="53" fillId="0" borderId="0" applyFont="0" applyFill="0" applyBorder="0" applyAlignment="0" applyProtection="0">
      <alignment vertical="top"/>
    </xf>
    <xf numFmtId="44" fontId="27" fillId="0" borderId="0" applyFont="0" applyFill="0" applyBorder="0" applyAlignment="0" applyProtection="0"/>
    <xf numFmtId="44" fontId="53" fillId="0" borderId="0" applyFont="0" applyFill="0" applyBorder="0" applyAlignment="0" applyProtection="0">
      <alignment vertical="top"/>
    </xf>
    <xf numFmtId="44" fontId="53" fillId="0" borderId="0" applyFont="0" applyFill="0" applyBorder="0" applyAlignment="0" applyProtection="0"/>
    <xf numFmtId="44" fontId="68"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3" fillId="0" borderId="0" applyFont="0" applyFill="0" applyBorder="0" applyAlignment="0" applyProtection="0"/>
    <xf numFmtId="44" fontId="6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53" fillId="0" borderId="0" applyFont="0" applyFill="0" applyBorder="0" applyAlignment="0" applyProtection="0"/>
    <xf numFmtId="44" fontId="27" fillId="0" borderId="0" applyFont="0" applyFill="0" applyBorder="0" applyAlignment="0" applyProtection="0"/>
    <xf numFmtId="44" fontId="62" fillId="0" borderId="0" applyFont="0" applyFill="0" applyBorder="0" applyAlignment="0" applyProtection="0"/>
    <xf numFmtId="44" fontId="27" fillId="0" borderId="0" applyFont="0" applyFill="0" applyBorder="0" applyAlignment="0" applyProtection="0"/>
    <xf numFmtId="44" fontId="68"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2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8"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2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27" fillId="0" borderId="0" applyFont="0" applyFill="0" applyBorder="0" applyAlignment="0" applyProtection="0"/>
    <xf numFmtId="44" fontId="53" fillId="0" borderId="0" applyFont="0" applyFill="0" applyBorder="0" applyAlignment="0" applyProtection="0"/>
    <xf numFmtId="44" fontId="27" fillId="0" borderId="0" applyFont="0" applyFill="0" applyBorder="0" applyAlignment="0" applyProtection="0"/>
    <xf numFmtId="44" fontId="6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7" fillId="0" borderId="0" applyFont="0" applyFill="0" applyBorder="0" applyAlignment="0" applyProtection="0"/>
    <xf numFmtId="44" fontId="27" fillId="0" borderId="0" applyFont="0" applyFill="0" applyBorder="0" applyAlignment="0" applyProtection="0"/>
    <xf numFmtId="0" fontId="81" fillId="0" borderId="0" applyNumberFormat="0" applyFill="0" applyBorder="0" applyAlignment="0" applyProtection="0"/>
    <xf numFmtId="0" fontId="82" fillId="38" borderId="0" applyNumberFormat="0" applyBorder="0" applyAlignment="0" applyProtection="0"/>
    <xf numFmtId="0" fontId="83" fillId="0" borderId="20" applyNumberFormat="0" applyFill="0" applyAlignment="0" applyProtection="0"/>
    <xf numFmtId="0" fontId="83" fillId="0" borderId="20" applyNumberFormat="0" applyFill="0" applyAlignment="0" applyProtection="0"/>
    <xf numFmtId="0" fontId="84" fillId="0" borderId="21" applyNumberFormat="0" applyFill="0" applyAlignment="0" applyProtection="0"/>
    <xf numFmtId="0" fontId="84" fillId="0" borderId="21" applyNumberFormat="0" applyFill="0" applyAlignment="0" applyProtection="0"/>
    <xf numFmtId="0" fontId="85" fillId="0" borderId="22" applyNumberFormat="0" applyFill="0" applyAlignment="0" applyProtection="0"/>
    <xf numFmtId="0" fontId="85" fillId="0" borderId="22"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3" fillId="0" borderId="0" applyNumberFormat="0" applyFill="0" applyBorder="0" applyAlignment="0" applyProtection="0">
      <alignment vertical="top"/>
      <protection locked="0"/>
    </xf>
    <xf numFmtId="0" fontId="86" fillId="39" borderId="18" applyNumberFormat="0" applyAlignment="0" applyProtection="0"/>
    <xf numFmtId="0" fontId="20" fillId="0" borderId="0" applyNumberFormat="0" applyBorder="0"/>
    <xf numFmtId="0" fontId="21" fillId="0" borderId="0" applyBorder="0" applyAlignment="0"/>
    <xf numFmtId="0" fontId="22" fillId="0" borderId="0" applyFill="0" applyBorder="0" applyAlignment="0"/>
    <xf numFmtId="0" fontId="87" fillId="0" borderId="23" applyNumberFormat="0" applyFill="0" applyAlignment="0" applyProtection="0"/>
    <xf numFmtId="0" fontId="88" fillId="40" borderId="0" applyNumberFormat="0" applyBorder="0" applyAlignment="0" applyProtection="0"/>
    <xf numFmtId="0" fontId="89" fillId="0" borderId="0"/>
    <xf numFmtId="0" fontId="53" fillId="0" borderId="0"/>
    <xf numFmtId="0" fontId="89" fillId="0" borderId="0"/>
    <xf numFmtId="0" fontId="53" fillId="0" borderId="0"/>
    <xf numFmtId="0" fontId="53" fillId="0" borderId="0"/>
    <xf numFmtId="0" fontId="2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3" fillId="0" borderId="0"/>
    <xf numFmtId="169" fontId="54" fillId="0" borderId="0"/>
    <xf numFmtId="0" fontId="76" fillId="0" borderId="0"/>
    <xf numFmtId="0" fontId="27" fillId="0" borderId="0"/>
    <xf numFmtId="0" fontId="27" fillId="0" borderId="0"/>
    <xf numFmtId="0" fontId="59" fillId="0" borderId="0"/>
    <xf numFmtId="0" fontId="53" fillId="0" borderId="0"/>
    <xf numFmtId="0" fontId="59" fillId="0" borderId="0"/>
    <xf numFmtId="0" fontId="53" fillId="0" borderId="0"/>
    <xf numFmtId="0" fontId="64" fillId="0" borderId="0"/>
    <xf numFmtId="0" fontId="53" fillId="0" borderId="0"/>
    <xf numFmtId="0" fontId="76" fillId="0" borderId="0"/>
    <xf numFmtId="0" fontId="53"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4" fillId="0" borderId="0"/>
    <xf numFmtId="0" fontId="76" fillId="0" borderId="0"/>
    <xf numFmtId="0" fontId="76" fillId="0" borderId="0"/>
    <xf numFmtId="0" fontId="76" fillId="0" borderId="0"/>
    <xf numFmtId="0" fontId="76" fillId="0" borderId="0"/>
    <xf numFmtId="0" fontId="53"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3" fillId="0" borderId="0"/>
    <xf numFmtId="0" fontId="76" fillId="0" borderId="0"/>
    <xf numFmtId="0" fontId="76" fillId="0" borderId="0"/>
    <xf numFmtId="0" fontId="76" fillId="0" borderId="0"/>
    <xf numFmtId="0" fontId="76" fillId="0" borderId="0"/>
    <xf numFmtId="0" fontId="64" fillId="0" borderId="0"/>
    <xf numFmtId="0" fontId="53" fillId="0" borderId="0">
      <alignment vertical="top"/>
    </xf>
    <xf numFmtId="0" fontId="76" fillId="0" borderId="0"/>
    <xf numFmtId="0" fontId="76" fillId="0" borderId="0"/>
    <xf numFmtId="0" fontId="76" fillId="0" borderId="0"/>
    <xf numFmtId="0" fontId="76" fillId="0" borderId="0"/>
    <xf numFmtId="0" fontId="64" fillId="0" borderId="0"/>
    <xf numFmtId="0" fontId="27" fillId="0" borderId="0"/>
    <xf numFmtId="0" fontId="76" fillId="0" borderId="0"/>
    <xf numFmtId="0" fontId="27" fillId="0" borderId="0"/>
    <xf numFmtId="0" fontId="76" fillId="0" borderId="0"/>
    <xf numFmtId="0" fontId="76" fillId="0" borderId="0"/>
    <xf numFmtId="0" fontId="76" fillId="0" borderId="0"/>
    <xf numFmtId="0" fontId="76" fillId="0" borderId="0"/>
    <xf numFmtId="0" fontId="59" fillId="0" borderId="0"/>
    <xf numFmtId="0" fontId="53" fillId="0" borderId="0">
      <alignment vertical="top"/>
    </xf>
    <xf numFmtId="0" fontId="59" fillId="0" borderId="0"/>
    <xf numFmtId="0" fontId="53" fillId="0" borderId="0">
      <alignment vertical="top"/>
    </xf>
    <xf numFmtId="0" fontId="53" fillId="0" borderId="0">
      <alignment vertical="top"/>
    </xf>
    <xf numFmtId="0" fontId="76" fillId="0" borderId="0"/>
    <xf numFmtId="0" fontId="59" fillId="0" borderId="0"/>
    <xf numFmtId="0" fontId="76" fillId="0" borderId="0"/>
    <xf numFmtId="0" fontId="53"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7" fillId="0" borderId="0"/>
    <xf numFmtId="0" fontId="53" fillId="0" borderId="0">
      <alignment vertical="top"/>
    </xf>
    <xf numFmtId="0" fontId="76" fillId="0" borderId="0"/>
    <xf numFmtId="0" fontId="76" fillId="0" borderId="0"/>
    <xf numFmtId="0" fontId="76" fillId="0" borderId="0"/>
    <xf numFmtId="0" fontId="76" fillId="0" borderId="0"/>
    <xf numFmtId="0" fontId="2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3" fillId="0" borderId="0"/>
    <xf numFmtId="0" fontId="53" fillId="0" borderId="0">
      <alignment vertical="top"/>
    </xf>
    <xf numFmtId="0" fontId="53" fillId="0" borderId="0">
      <alignment vertical="top"/>
    </xf>
    <xf numFmtId="0" fontId="53" fillId="0" borderId="0"/>
    <xf numFmtId="0" fontId="53" fillId="0" borderId="0">
      <alignment vertical="top"/>
    </xf>
    <xf numFmtId="0" fontId="53" fillId="0" borderId="0"/>
    <xf numFmtId="0" fontId="5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7" fillId="0" borderId="0"/>
    <xf numFmtId="0" fontId="76" fillId="0" borderId="0"/>
    <xf numFmtId="0" fontId="76" fillId="0" borderId="0"/>
    <xf numFmtId="0" fontId="76" fillId="0" borderId="0"/>
    <xf numFmtId="0" fontId="18" fillId="0" borderId="0" applyProtection="0">
      <protection locked="0"/>
    </xf>
    <xf numFmtId="0" fontId="27" fillId="0" borderId="0" applyProtection="0">
      <protection locked="0"/>
    </xf>
    <xf numFmtId="0" fontId="27" fillId="0" borderId="0" applyProtection="0">
      <protection locked="0"/>
    </xf>
    <xf numFmtId="0" fontId="54" fillId="0" borderId="0"/>
    <xf numFmtId="0" fontId="18" fillId="0" borderId="0"/>
    <xf numFmtId="0" fontId="68"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68"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91" fillId="36" borderId="25" applyNumberFormat="0" applyAlignment="0" applyProtection="0"/>
    <xf numFmtId="0" fontId="91" fillId="36" borderId="25" applyNumberFormat="0" applyAlignment="0" applyProtection="0"/>
    <xf numFmtId="0" fontId="23" fillId="0" borderId="0" applyNumberFormat="0" applyFill="0" applyBorder="0">
      <alignment horizontal="left"/>
    </xf>
    <xf numFmtId="0" fontId="92" fillId="0" borderId="0" applyNumberFormat="0" applyFill="0" applyBorder="0" applyAlignment="0" applyProtection="0"/>
    <xf numFmtId="0" fontId="93" fillId="0" borderId="26" applyNumberFormat="0" applyFill="0" applyAlignment="0" applyProtection="0"/>
    <xf numFmtId="0" fontId="93" fillId="0" borderId="26" applyNumberFormat="0" applyFill="0" applyAlignment="0" applyProtection="0"/>
    <xf numFmtId="0" fontId="94" fillId="0" borderId="0" applyNumberFormat="0" applyFill="0" applyBorder="0" applyAlignment="0" applyProtection="0"/>
    <xf numFmtId="0" fontId="18" fillId="0" borderId="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0" fontId="17" fillId="41" borderId="24" applyNumberFormat="0" applyFont="0" applyAlignment="0" applyProtection="0"/>
    <xf numFmtId="9" fontId="18" fillId="0" borderId="0" applyFont="0" applyFill="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9"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4" fontId="101"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68" fillId="41" borderId="24" applyNumberFormat="0" applyFont="0" applyAlignment="0" applyProtection="0"/>
    <xf numFmtId="0" fontId="102"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92" fillId="0" borderId="0" applyNumberForma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44" fontId="18" fillId="0" borderId="0" applyFont="0" applyFill="0" applyBorder="0" applyAlignment="0" applyProtection="0"/>
    <xf numFmtId="9" fontId="111" fillId="0" borderId="0" applyFont="0" applyFill="0" applyBorder="0" applyAlignment="0" applyProtection="0"/>
    <xf numFmtId="0" fontId="111" fillId="0" borderId="0"/>
    <xf numFmtId="0" fontId="12" fillId="0" borderId="0"/>
    <xf numFmtId="0" fontId="18"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43" fontId="139" fillId="0" borderId="0" applyFont="0" applyFill="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44" fontId="141"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18" fillId="0" borderId="0" applyBorder="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18"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18"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89" fillId="55" borderId="11">
      <alignment horizontal="left" vertical="center" wrapText="1"/>
    </xf>
    <xf numFmtId="0" fontId="128" fillId="55" borderId="11">
      <alignment horizontal="left" vertical="center" wrapText="1"/>
    </xf>
    <xf numFmtId="0" fontId="19" fillId="0" borderId="0" applyNumberFormat="0" applyFill="0" applyBorder="0" applyAlignment="0" applyProtection="0">
      <alignment vertical="top"/>
      <protection locked="0"/>
    </xf>
    <xf numFmtId="0" fontId="89" fillId="0" borderId="0">
      <alignment horizontal="left" vertical="center"/>
    </xf>
    <xf numFmtId="0" fontId="1" fillId="0" borderId="0"/>
    <xf numFmtId="0" fontId="128" fillId="55" borderId="11">
      <alignment horizontal="left" vertical="center" wrapText="1"/>
    </xf>
    <xf numFmtId="0" fontId="89" fillId="55" borderId="11">
      <alignment horizontal="left" vertical="center" wrapText="1"/>
    </xf>
    <xf numFmtId="0" fontId="178" fillId="0" borderId="0" applyNumberFormat="0" applyFill="0" applyBorder="0" applyProtection="0">
      <alignment horizontal="center" vertical="center"/>
    </xf>
    <xf numFmtId="0" fontId="179" fillId="0" borderId="0" applyNumberFormat="0" applyFill="0" applyBorder="0" applyAlignment="0" applyProtection="0">
      <alignment horizontal="left" vertical="center"/>
    </xf>
    <xf numFmtId="0" fontId="89" fillId="48" borderId="11" applyNumberFormat="0">
      <alignment horizontal="left" vertical="top" wrapText="1"/>
      <protection locked="0"/>
    </xf>
    <xf numFmtId="0" fontId="18" fillId="0" borderId="0"/>
    <xf numFmtId="0" fontId="89" fillId="48" borderId="11" applyNumberFormat="0">
      <alignment horizontal="left" vertical="top" wrapText="1"/>
      <protection locked="0"/>
    </xf>
    <xf numFmtId="0" fontId="1" fillId="0" borderId="0"/>
    <xf numFmtId="0" fontId="128" fillId="55" borderId="11">
      <alignment horizontal="left" vertical="center" wrapText="1"/>
    </xf>
    <xf numFmtId="0" fontId="89" fillId="55" borderId="11">
      <alignment horizontal="left" vertical="center" wrapText="1"/>
    </xf>
    <xf numFmtId="0" fontId="177" fillId="56" borderId="11">
      <alignment horizontal="left" vertical="center" wrapText="1"/>
    </xf>
    <xf numFmtId="0" fontId="60" fillId="0" borderId="0" applyNumberFormat="0" applyFill="0" applyBorder="0" applyAlignment="0" applyProtection="0"/>
    <xf numFmtId="0" fontId="68" fillId="0" borderId="0"/>
    <xf numFmtId="0" fontId="1" fillId="0" borderId="0"/>
    <xf numFmtId="0" fontId="18" fillId="0" borderId="0"/>
    <xf numFmtId="0" fontId="113" fillId="0" borderId="0"/>
    <xf numFmtId="0" fontId="181" fillId="35" borderId="0" applyNumberFormat="0" applyBorder="0" applyAlignment="0" applyProtection="0"/>
    <xf numFmtId="0" fontId="182" fillId="38" borderId="0" applyNumberFormat="0" applyBorder="0" applyAlignment="0" applyProtection="0"/>
    <xf numFmtId="0" fontId="183" fillId="0" borderId="0" applyNumberFormat="0" applyFill="0" applyBorder="0" applyAlignment="0" applyProtection="0"/>
    <xf numFmtId="0" fontId="180" fillId="0" borderId="0" applyNumberFormat="0" applyFill="0" applyBorder="0" applyAlignment="0" applyProtection="0">
      <alignment vertical="top"/>
      <protection locked="0"/>
    </xf>
    <xf numFmtId="0" fontId="184" fillId="40" borderId="0" applyNumberFormat="0" applyBorder="0" applyAlignment="0" applyProtection="0"/>
    <xf numFmtId="0" fontId="89" fillId="0" borderId="0"/>
    <xf numFmtId="0" fontId="64" fillId="0" borderId="0"/>
    <xf numFmtId="0" fontId="18" fillId="0" borderId="0"/>
    <xf numFmtId="0" fontId="89" fillId="0" borderId="0"/>
    <xf numFmtId="0" fontId="53" fillId="0" borderId="0"/>
    <xf numFmtId="0" fontId="89" fillId="0" borderId="0"/>
    <xf numFmtId="0" fontId="1" fillId="0" borderId="0"/>
    <xf numFmtId="0" fontId="113" fillId="0" borderId="0"/>
    <xf numFmtId="0" fontId="1" fillId="0" borderId="0"/>
    <xf numFmtId="9" fontId="89" fillId="0" borderId="0" applyFont="0" applyFill="0" applyBorder="0" applyAlignment="0" applyProtection="0"/>
    <xf numFmtId="0" fontId="1" fillId="0" borderId="0"/>
    <xf numFmtId="0" fontId="89" fillId="55" borderId="11">
      <alignment horizontal="left" vertical="center" wrapText="1"/>
    </xf>
    <xf numFmtId="0" fontId="89" fillId="48" borderId="11" applyNumberFormat="0">
      <alignment horizontal="left" vertical="top" wrapText="1"/>
      <protection locked="0"/>
    </xf>
    <xf numFmtId="0" fontId="185" fillId="0" borderId="0" applyNumberFormat="0" applyFill="0" applyBorder="0" applyAlignment="0" applyProtection="0"/>
    <xf numFmtId="0" fontId="1" fillId="0" borderId="0"/>
    <xf numFmtId="0" fontId="18" fillId="0" borderId="0"/>
    <xf numFmtId="0" fontId="18" fillId="0" borderId="0"/>
    <xf numFmtId="43" fontId="18" fillId="0" borderId="0" applyFont="0" applyFill="0" applyBorder="0" applyAlignment="0" applyProtection="0"/>
    <xf numFmtId="0" fontId="19" fillId="0" borderId="0" applyNumberFormat="0" applyFill="0" applyBorder="0" applyAlignment="0" applyProtection="0"/>
    <xf numFmtId="9" fontId="18" fillId="0" borderId="0" applyFont="0" applyFill="0" applyBorder="0" applyAlignment="0" applyProtection="0"/>
    <xf numFmtId="0" fontId="18" fillId="0" borderId="0"/>
    <xf numFmtId="0" fontId="1" fillId="0" borderId="0"/>
    <xf numFmtId="0" fontId="1" fillId="0" borderId="0"/>
    <xf numFmtId="0" fontId="1" fillId="0" borderId="0"/>
    <xf numFmtId="0" fontId="1" fillId="0" borderId="0"/>
    <xf numFmtId="0" fontId="89" fillId="0" borderId="0">
      <alignment horizontal="left" vertical="center"/>
    </xf>
    <xf numFmtId="0" fontId="18" fillId="0" borderId="0"/>
    <xf numFmtId="0" fontId="18" fillId="0" borderId="0"/>
    <xf numFmtId="0" fontId="18" fillId="0" borderId="0"/>
    <xf numFmtId="0" fontId="19"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169" fontId="5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89" fillId="55" borderId="11">
      <alignment horizontal="left" vertical="center" wrapText="1"/>
    </xf>
    <xf numFmtId="0" fontId="89" fillId="48" borderId="11" applyNumberFormat="0">
      <alignment horizontal="left" vertical="top" wrapText="1"/>
      <protection locked="0"/>
    </xf>
    <xf numFmtId="2" fontId="89" fillId="48" borderId="11">
      <alignment horizontal="left" vertical="center"/>
      <protection locked="0"/>
    </xf>
    <xf numFmtId="2" fontId="186" fillId="57" borderId="11">
      <alignment horizontal="left" vertical="center"/>
      <protection locked="0"/>
    </xf>
    <xf numFmtId="2" fontId="186" fillId="57" borderId="11">
      <alignment horizontal="left" vertical="center"/>
      <protection locked="0"/>
    </xf>
    <xf numFmtId="168" fontId="186" fillId="57" borderId="11">
      <alignment horizontal="left" vertical="top" wrapText="1" indent="2"/>
      <protection locked="0"/>
    </xf>
    <xf numFmtId="168" fontId="186" fillId="57" borderId="11">
      <alignment horizontal="left" vertical="top" wrapText="1" indent="2"/>
      <protection locked="0"/>
    </xf>
    <xf numFmtId="10" fontId="186" fillId="57" borderId="11">
      <alignment horizontal="left" vertical="center"/>
      <protection locked="0"/>
    </xf>
    <xf numFmtId="14" fontId="186" fillId="57" borderId="11">
      <alignment horizontal="left" vertical="center"/>
      <protection locked="0"/>
    </xf>
    <xf numFmtId="14" fontId="186" fillId="57" borderId="11">
      <alignment horizontal="left" vertical="center"/>
      <protection locked="0"/>
    </xf>
    <xf numFmtId="0" fontId="186" fillId="57" borderId="11" applyNumberFormat="0">
      <alignment horizontal="left" vertical="top" wrapText="1"/>
      <protection locked="0"/>
    </xf>
    <xf numFmtId="0" fontId="186" fillId="57" borderId="11" applyNumberFormat="0">
      <alignment horizontal="left" vertical="top" wrapText="1"/>
      <protection locked="0"/>
    </xf>
    <xf numFmtId="0" fontId="186" fillId="57" borderId="11" applyNumberFormat="0">
      <alignment horizontal="left" vertical="top" wrapText="1"/>
      <protection locked="0"/>
    </xf>
    <xf numFmtId="0" fontId="186" fillId="58" borderId="11">
      <alignment horizontal="left" vertical="center" wrapText="1"/>
    </xf>
    <xf numFmtId="0" fontId="186" fillId="58" borderId="11">
      <alignment horizontal="left" vertical="center" wrapText="1"/>
    </xf>
    <xf numFmtId="0" fontId="186" fillId="58" borderId="11">
      <alignment horizontal="left" vertical="center" wrapText="1"/>
    </xf>
    <xf numFmtId="0" fontId="186" fillId="58" borderId="11">
      <alignment horizontal="left" vertical="center" wrapText="1"/>
    </xf>
    <xf numFmtId="0" fontId="187" fillId="58" borderId="11">
      <alignment horizontal="left" vertical="center" wrapText="1"/>
    </xf>
    <xf numFmtId="0" fontId="187" fillId="58" borderId="11">
      <alignment horizontal="left" vertical="center" wrapText="1"/>
    </xf>
    <xf numFmtId="0" fontId="177" fillId="2" borderId="11">
      <alignment horizontal="left" vertical="center" wrapText="1"/>
    </xf>
    <xf numFmtId="0" fontId="177" fillId="2" borderId="11">
      <alignment horizontal="left" vertical="center" wrapText="1"/>
    </xf>
    <xf numFmtId="0" fontId="177" fillId="2" borderId="11">
      <alignment horizontal="left" vertical="center" wrapText="1"/>
    </xf>
    <xf numFmtId="43" fontId="53" fillId="0" borderId="0" applyFont="0" applyFill="0" applyBorder="0" applyAlignment="0" applyProtection="0"/>
    <xf numFmtId="43" fontId="68" fillId="0" borderId="0" applyFont="0" applyFill="0" applyBorder="0" applyAlignment="0" applyProtection="0"/>
    <xf numFmtId="186" fontId="68" fillId="0" borderId="0" applyFont="0" applyFill="0" applyBorder="0" applyAlignment="0" applyProtection="0"/>
    <xf numFmtId="43" fontId="68" fillId="0" borderId="0" applyFont="0" applyFill="0" applyBorder="0" applyAlignment="0" applyProtection="0"/>
    <xf numFmtId="44" fontId="18" fillId="0" borderId="0" applyFont="0" applyFill="0" applyBorder="0" applyAlignment="0" applyProtection="0"/>
    <xf numFmtId="44" fontId="53" fillId="0" borderId="0" applyFont="0" applyFill="0" applyBorder="0" applyAlignment="0" applyProtection="0"/>
    <xf numFmtId="44" fontId="68" fillId="0" borderId="0" applyFont="0" applyFill="0" applyBorder="0" applyAlignment="0" applyProtection="0"/>
    <xf numFmtId="0" fontId="60" fillId="59" borderId="0">
      <alignment horizontal="center"/>
    </xf>
    <xf numFmtId="0" fontId="56" fillId="60" borderId="11">
      <alignment horizontal="center" vertical="center"/>
    </xf>
    <xf numFmtId="0" fontId="56" fillId="60" borderId="11">
      <alignment horizontal="center" vertical="center"/>
    </xf>
    <xf numFmtId="0" fontId="188" fillId="61" borderId="0" applyNumberFormat="0" applyAlignment="0">
      <protection locked="0"/>
    </xf>
    <xf numFmtId="0" fontId="189" fillId="0" borderId="0" applyNumberFormat="0" applyFill="0" applyBorder="0" applyAlignment="0" applyProtection="0"/>
    <xf numFmtId="0" fontId="19" fillId="0" borderId="0" applyNumberFormat="0" applyFill="0" applyBorder="0" applyAlignment="0" applyProtection="0">
      <alignment vertical="top"/>
      <protection locked="0"/>
    </xf>
    <xf numFmtId="0" fontId="18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89" fillId="0" borderId="0" applyNumberFormat="0" applyFill="0" applyBorder="0" applyAlignment="0" applyProtection="0"/>
    <xf numFmtId="0" fontId="19" fillId="0" borderId="0" applyNumberFormat="0" applyFill="0" applyBorder="0" applyAlignment="0" applyProtection="0">
      <alignment vertical="top"/>
      <protection locked="0"/>
    </xf>
    <xf numFmtId="0" fontId="68" fillId="0" borderId="0"/>
    <xf numFmtId="0" fontId="18" fillId="0" borderId="0"/>
    <xf numFmtId="0" fontId="18" fillId="0" borderId="0"/>
    <xf numFmtId="0" fontId="68" fillId="0" borderId="0"/>
    <xf numFmtId="0" fontId="18" fillId="0" borderId="0"/>
    <xf numFmtId="0" fontId="18" fillId="0" borderId="0"/>
    <xf numFmtId="0" fontId="18" fillId="0" borderId="0"/>
    <xf numFmtId="0" fontId="18" fillId="0" borderId="0"/>
    <xf numFmtId="0" fontId="18" fillId="0" borderId="0"/>
    <xf numFmtId="0" fontId="18" fillId="0" borderId="0"/>
    <xf numFmtId="0" fontId="68" fillId="0" borderId="0"/>
    <xf numFmtId="0" fontId="68" fillId="0" borderId="0"/>
    <xf numFmtId="0" fontId="68" fillId="0" borderId="0"/>
    <xf numFmtId="0" fontId="18" fillId="0" borderId="0"/>
    <xf numFmtId="0" fontId="18" fillId="0" borderId="0"/>
    <xf numFmtId="0" fontId="68" fillId="0" borderId="0"/>
    <xf numFmtId="0" fontId="68" fillId="0" borderId="0"/>
    <xf numFmtId="0" fontId="68" fillId="0" borderId="0"/>
    <xf numFmtId="0" fontId="68" fillId="0" borderId="0"/>
    <xf numFmtId="0" fontId="18" fillId="0" borderId="0"/>
    <xf numFmtId="0" fontId="68" fillId="0" borderId="0"/>
    <xf numFmtId="0" fontId="68" fillId="0" borderId="0"/>
    <xf numFmtId="0" fontId="68" fillId="0" borderId="0"/>
    <xf numFmtId="0" fontId="18" fillId="0" borderId="0"/>
    <xf numFmtId="0" fontId="68" fillId="0" borderId="0"/>
    <xf numFmtId="0" fontId="68" fillId="0" borderId="0"/>
    <xf numFmtId="0" fontId="18" fillId="0" borderId="0"/>
    <xf numFmtId="0" fontId="68" fillId="0" borderId="0"/>
    <xf numFmtId="0" fontId="18" fillId="0" borderId="0"/>
    <xf numFmtId="0" fontId="18" fillId="0" borderId="0"/>
    <xf numFmtId="0" fontId="68" fillId="0" borderId="0"/>
    <xf numFmtId="0" fontId="68" fillId="0" borderId="0"/>
    <xf numFmtId="0" fontId="68" fillId="0" borderId="0"/>
    <xf numFmtId="0" fontId="68" fillId="0" borderId="0"/>
    <xf numFmtId="0" fontId="18" fillId="0" borderId="0"/>
    <xf numFmtId="0" fontId="18" fillId="0" borderId="0"/>
    <xf numFmtId="0" fontId="68" fillId="0" borderId="0"/>
    <xf numFmtId="0" fontId="68" fillId="0" borderId="0"/>
    <xf numFmtId="0" fontId="68" fillId="0" borderId="0"/>
    <xf numFmtId="0" fontId="68" fillId="0" borderId="0"/>
    <xf numFmtId="0" fontId="18" fillId="0" borderId="0"/>
    <xf numFmtId="0" fontId="68" fillId="0" borderId="0"/>
    <xf numFmtId="0" fontId="68" fillId="0" borderId="0"/>
    <xf numFmtId="0" fontId="68" fillId="0" borderId="0"/>
    <xf numFmtId="0" fontId="68" fillId="0" borderId="0"/>
    <xf numFmtId="0" fontId="59" fillId="0" borderId="0"/>
    <xf numFmtId="0" fontId="68" fillId="0" borderId="0"/>
    <xf numFmtId="0" fontId="68" fillId="0" borderId="0"/>
    <xf numFmtId="0" fontId="68" fillId="0" borderId="0"/>
    <xf numFmtId="0" fontId="68" fillId="0" borderId="0"/>
    <xf numFmtId="0" fontId="68" fillId="0" borderId="0"/>
    <xf numFmtId="0" fontId="68" fillId="0" borderId="0"/>
    <xf numFmtId="0" fontId="53" fillId="0" borderId="0">
      <alignment vertical="top"/>
    </xf>
    <xf numFmtId="0" fontId="68" fillId="0" borderId="0"/>
    <xf numFmtId="0" fontId="68" fillId="0" borderId="0"/>
    <xf numFmtId="0" fontId="68" fillId="0" borderId="0"/>
    <xf numFmtId="0" fontId="68" fillId="0" borderId="0"/>
    <xf numFmtId="0" fontId="53" fillId="0" borderId="0"/>
    <xf numFmtId="9" fontId="18" fillId="0" borderId="0" applyFont="0" applyFill="0" applyBorder="0" applyAlignment="0" applyProtection="0"/>
    <xf numFmtId="0" fontId="1" fillId="0" borderId="0"/>
    <xf numFmtId="43" fontId="190" fillId="0" borderId="0" applyFont="0" applyFill="0" applyBorder="0" applyAlignment="0" applyProtection="0"/>
    <xf numFmtId="0" fontId="190" fillId="0" borderId="0"/>
    <xf numFmtId="37" fontId="191" fillId="0" borderId="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89" fillId="55" borderId="114">
      <alignment horizontal="left" vertical="center" wrapText="1"/>
    </xf>
    <xf numFmtId="0" fontId="128" fillId="55" borderId="114">
      <alignment horizontal="left" vertical="center" wrapText="1"/>
    </xf>
    <xf numFmtId="0" fontId="1" fillId="0" borderId="0"/>
    <xf numFmtId="0" fontId="128" fillId="55" borderId="114">
      <alignment horizontal="left" vertical="center" wrapText="1"/>
    </xf>
    <xf numFmtId="0" fontId="89" fillId="55" borderId="114">
      <alignment horizontal="left" vertical="center" wrapText="1"/>
    </xf>
    <xf numFmtId="0" fontId="89" fillId="48" borderId="114" applyNumberFormat="0">
      <alignment horizontal="left" vertical="top" wrapText="1"/>
      <protection locked="0"/>
    </xf>
    <xf numFmtId="14" fontId="186" fillId="57" borderId="114">
      <alignment horizontal="left" vertical="center"/>
      <protection locked="0"/>
    </xf>
    <xf numFmtId="0" fontId="89" fillId="48" borderId="114" applyNumberFormat="0">
      <alignment horizontal="left" vertical="top" wrapText="1"/>
      <protection locked="0"/>
    </xf>
    <xf numFmtId="0" fontId="1" fillId="0" borderId="0"/>
    <xf numFmtId="0" fontId="128" fillId="55" borderId="114">
      <alignment horizontal="left" vertical="center" wrapText="1"/>
    </xf>
    <xf numFmtId="0" fontId="89" fillId="55" borderId="114">
      <alignment horizontal="left" vertical="center" wrapText="1"/>
    </xf>
    <xf numFmtId="0" fontId="89" fillId="55" borderId="114">
      <alignment horizontal="left" vertical="center" wrapText="1"/>
    </xf>
    <xf numFmtId="0" fontId="177" fillId="56" borderId="114">
      <alignment horizontal="left" vertical="center" wrapText="1"/>
    </xf>
    <xf numFmtId="0" fontId="1" fillId="0" borderId="0"/>
    <xf numFmtId="0" fontId="89" fillId="48" borderId="114" applyNumberFormat="0">
      <alignment horizontal="left" vertical="top" wrapText="1"/>
      <protection locked="0"/>
    </xf>
    <xf numFmtId="0" fontId="89" fillId="48" borderId="114" applyNumberFormat="0">
      <alignment horizontal="left" vertical="top" wrapText="1"/>
      <protection locked="0"/>
    </xf>
    <xf numFmtId="0" fontId="1" fillId="0" borderId="0"/>
    <xf numFmtId="0" fontId="1" fillId="0" borderId="0"/>
    <xf numFmtId="0" fontId="1" fillId="0" borderId="0"/>
    <xf numFmtId="0" fontId="89" fillId="55" borderId="114">
      <alignment horizontal="left" vertical="center" wrapText="1"/>
    </xf>
    <xf numFmtId="0" fontId="89" fillId="48" borderId="114" applyNumberFormat="0">
      <alignment horizontal="left" vertical="top" wrapText="1"/>
      <protection locked="0"/>
    </xf>
    <xf numFmtId="0" fontId="1" fillId="0" borderId="0"/>
    <xf numFmtId="0" fontId="128" fillId="55" borderId="114">
      <alignment horizontal="left" vertical="center" wrapText="1"/>
    </xf>
    <xf numFmtId="14" fontId="186" fillId="57" borderId="114">
      <alignment horizontal="left" vertical="center"/>
      <protection locked="0"/>
    </xf>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77" fillId="2" borderId="114">
      <alignment horizontal="left" vertical="center" wrapText="1"/>
    </xf>
    <xf numFmtId="9" fontId="1" fillId="0" borderId="0" applyFont="0" applyFill="0" applyBorder="0" applyAlignment="0" applyProtection="0"/>
    <xf numFmtId="0" fontId="1" fillId="0" borderId="0"/>
    <xf numFmtId="0" fontId="1" fillId="0" borderId="0"/>
    <xf numFmtId="0" fontId="89" fillId="55" borderId="114">
      <alignment horizontal="left" vertical="center" wrapText="1"/>
    </xf>
    <xf numFmtId="0" fontId="89" fillId="48" borderId="114" applyNumberFormat="0">
      <alignment horizontal="left" vertical="top" wrapText="1"/>
      <protection locked="0"/>
    </xf>
    <xf numFmtId="2" fontId="89" fillId="48" borderId="114">
      <alignment horizontal="left" vertical="center"/>
      <protection locked="0"/>
    </xf>
    <xf numFmtId="2" fontId="186" fillId="57" borderId="114">
      <alignment horizontal="left" vertical="center"/>
      <protection locked="0"/>
    </xf>
    <xf numFmtId="168" fontId="186" fillId="57" borderId="114">
      <alignment horizontal="left" vertical="top" wrapText="1" indent="2"/>
      <protection locked="0"/>
    </xf>
    <xf numFmtId="168" fontId="186" fillId="57" borderId="114">
      <alignment horizontal="left" vertical="top" wrapText="1" indent="2"/>
      <protection locked="0"/>
    </xf>
    <xf numFmtId="10" fontId="186" fillId="57" borderId="114">
      <alignment horizontal="left" vertical="center"/>
      <protection locked="0"/>
    </xf>
    <xf numFmtId="14" fontId="186" fillId="57" borderId="114">
      <alignment horizontal="left" vertical="center"/>
      <protection locked="0"/>
    </xf>
    <xf numFmtId="14" fontId="186" fillId="57" borderId="114">
      <alignment horizontal="left" vertical="center"/>
      <protection locked="0"/>
    </xf>
    <xf numFmtId="0" fontId="186" fillId="58" borderId="114">
      <alignment horizontal="left" vertical="center" wrapText="1"/>
    </xf>
    <xf numFmtId="0" fontId="187" fillId="58" borderId="114">
      <alignment horizontal="left" vertical="center" wrapText="1"/>
    </xf>
    <xf numFmtId="0" fontId="177" fillId="2" borderId="114">
      <alignment horizontal="left" vertical="center" wrapText="1"/>
    </xf>
    <xf numFmtId="0" fontId="177" fillId="2" borderId="114">
      <alignment horizontal="left" vertical="center" wrapText="1"/>
    </xf>
    <xf numFmtId="0" fontId="56" fillId="60" borderId="114">
      <alignment horizontal="center" vertical="center"/>
    </xf>
    <xf numFmtId="0" fontId="56" fillId="60" borderId="114">
      <alignment horizontal="center" vertical="center"/>
    </xf>
    <xf numFmtId="0" fontId="56" fillId="60" borderId="114">
      <alignment horizontal="center" vertical="center"/>
    </xf>
    <xf numFmtId="0" fontId="56" fillId="60" borderId="114">
      <alignment horizontal="center" vertical="center"/>
    </xf>
    <xf numFmtId="0" fontId="177" fillId="2" borderId="114">
      <alignment horizontal="left" vertical="center" wrapText="1"/>
    </xf>
    <xf numFmtId="0" fontId="187" fillId="58" borderId="114">
      <alignment horizontal="left" vertical="center" wrapText="1"/>
    </xf>
    <xf numFmtId="0" fontId="186" fillId="58" borderId="114">
      <alignment horizontal="left" vertical="center" wrapText="1"/>
    </xf>
    <xf numFmtId="10" fontId="186" fillId="57" borderId="114">
      <alignment horizontal="left" vertical="center"/>
      <protection locked="0"/>
    </xf>
    <xf numFmtId="168" fontId="186" fillId="57" borderId="114">
      <alignment horizontal="left" vertical="top" wrapText="1" indent="2"/>
      <protection locked="0"/>
    </xf>
    <xf numFmtId="168" fontId="186" fillId="57" borderId="114">
      <alignment horizontal="left" vertical="top" wrapText="1" indent="2"/>
      <protection locked="0"/>
    </xf>
    <xf numFmtId="2" fontId="186" fillId="57" borderId="114">
      <alignment horizontal="left" vertical="center"/>
      <protection locked="0"/>
    </xf>
    <xf numFmtId="2" fontId="89" fillId="48" borderId="114">
      <alignment horizontal="left" vertical="center"/>
      <protection locked="0"/>
    </xf>
    <xf numFmtId="0" fontId="89" fillId="48" borderId="114" applyNumberFormat="0">
      <alignment horizontal="left" vertical="top" wrapText="1"/>
      <protection locked="0"/>
    </xf>
    <xf numFmtId="0" fontId="89" fillId="55" borderId="114">
      <alignment horizontal="left" vertical="center" wrapText="1"/>
    </xf>
    <xf numFmtId="0" fontId="177" fillId="56" borderId="114">
      <alignment horizontal="left" vertical="center" wrapText="1"/>
    </xf>
    <xf numFmtId="0" fontId="89" fillId="55" borderId="114">
      <alignment horizontal="left" vertical="center" wrapText="1"/>
    </xf>
    <xf numFmtId="0" fontId="128" fillId="55" borderId="114">
      <alignment horizontal="left" vertical="center" wrapText="1"/>
    </xf>
    <xf numFmtId="0" fontId="89" fillId="48" borderId="114" applyNumberFormat="0">
      <alignment horizontal="left" vertical="top" wrapText="1"/>
      <protection locked="0"/>
    </xf>
    <xf numFmtId="0" fontId="89" fillId="55" borderId="114">
      <alignment horizontal="left" vertical="center" wrapText="1"/>
    </xf>
    <xf numFmtId="0" fontId="1" fillId="0" borderId="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28" fillId="55" borderId="114">
      <alignment horizontal="left" vertical="center" wrapText="1"/>
    </xf>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89" fillId="55" borderId="114">
      <alignment horizontal="left" vertical="center" wrapText="1"/>
    </xf>
    <xf numFmtId="0" fontId="1" fillId="0" borderId="0"/>
    <xf numFmtId="9" fontId="1" fillId="0" borderId="0" applyFont="0" applyFill="0" applyBorder="0" applyAlignment="0" applyProtection="0"/>
  </cellStyleXfs>
  <cellXfs count="2624">
    <xf numFmtId="0" fontId="0" fillId="0" borderId="0" xfId="0"/>
    <xf numFmtId="0" fontId="25" fillId="0" borderId="0" xfId="0" applyFont="1"/>
    <xf numFmtId="0" fontId="18" fillId="0" borderId="0" xfId="0" applyFont="1"/>
    <xf numFmtId="0" fontId="27" fillId="0" borderId="0" xfId="0" applyFont="1"/>
    <xf numFmtId="0" fontId="0" fillId="0" borderId="4" xfId="0" applyBorder="1"/>
    <xf numFmtId="0" fontId="18"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5" fillId="0" borderId="4" xfId="0" applyFont="1" applyBorder="1"/>
    <xf numFmtId="164" fontId="0" fillId="0" borderId="0" xfId="0" applyNumberFormat="1" applyAlignment="1">
      <alignment horizontal="right"/>
    </xf>
    <xf numFmtId="0" fontId="18" fillId="0" borderId="0" xfId="543"/>
    <xf numFmtId="0" fontId="33" fillId="0" borderId="0" xfId="0" applyFont="1"/>
    <xf numFmtId="0" fontId="26" fillId="0" borderId="0" xfId="0" applyFont="1" applyAlignment="1">
      <alignment vertical="top"/>
    </xf>
    <xf numFmtId="0" fontId="26" fillId="0" borderId="0" xfId="0" applyFont="1" applyAlignment="1">
      <alignment vertical="top" wrapText="1"/>
    </xf>
    <xf numFmtId="0" fontId="26" fillId="0" borderId="0" xfId="0" applyFont="1" applyAlignment="1">
      <alignment horizontal="left" vertical="top"/>
    </xf>
    <xf numFmtId="0" fontId="26" fillId="0" borderId="0" xfId="0" applyFont="1" applyAlignment="1">
      <alignment horizontal="left"/>
    </xf>
    <xf numFmtId="0" fontId="26" fillId="0" borderId="0" xfId="0" applyFont="1"/>
    <xf numFmtId="1" fontId="26" fillId="0" borderId="0" xfId="0" applyNumberFormat="1" applyFont="1" applyAlignment="1">
      <alignment horizontal="left"/>
    </xf>
    <xf numFmtId="0" fontId="28" fillId="0" borderId="0" xfId="0" applyFont="1"/>
    <xf numFmtId="1" fontId="26" fillId="0" borderId="0" xfId="0" applyNumberFormat="1" applyFont="1" applyAlignment="1">
      <alignment horizontal="right"/>
    </xf>
    <xf numFmtId="0" fontId="0" fillId="0" borderId="0" xfId="0" applyAlignment="1">
      <alignment horizontal="right"/>
    </xf>
    <xf numFmtId="0" fontId="30" fillId="0" borderId="0" xfId="0" applyFont="1"/>
    <xf numFmtId="172" fontId="18" fillId="0" borderId="0" xfId="543" applyNumberFormat="1"/>
    <xf numFmtId="9" fontId="18" fillId="0" borderId="0" xfId="543" applyNumberFormat="1" applyAlignment="1">
      <alignment horizontal="left"/>
    </xf>
    <xf numFmtId="168" fontId="18" fillId="0" borderId="0" xfId="543" applyNumberFormat="1"/>
    <xf numFmtId="0" fontId="29" fillId="0" borderId="0" xfId="0" applyFont="1"/>
    <xf numFmtId="0" fontId="31"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4" fillId="0" borderId="3" xfId="0" applyFont="1" applyBorder="1" applyAlignment="1">
      <alignment horizontal="left"/>
    </xf>
    <xf numFmtId="0" fontId="34" fillId="0" borderId="9" xfId="0" applyFont="1" applyBorder="1" applyAlignment="1">
      <alignment horizontal="left"/>
    </xf>
    <xf numFmtId="0" fontId="34" fillId="0" borderId="0" xfId="0" applyFont="1" applyAlignment="1">
      <alignment horizontal="left"/>
    </xf>
    <xf numFmtId="0" fontId="25" fillId="0" borderId="0" xfId="0" applyFont="1" applyAlignment="1">
      <alignment horizontal="right"/>
    </xf>
    <xf numFmtId="0" fontId="25" fillId="0" borderId="0" xfId="0" applyFont="1" applyAlignment="1">
      <alignment horizontal="left"/>
    </xf>
    <xf numFmtId="0" fontId="0" fillId="0" borderId="7" xfId="0" applyBorder="1"/>
    <xf numFmtId="0" fontId="25" fillId="0" borderId="9" xfId="0" applyFont="1" applyBorder="1"/>
    <xf numFmtId="164" fontId="0" fillId="0" borderId="0" xfId="0" applyNumberFormat="1" applyAlignment="1">
      <alignment horizontal="center"/>
    </xf>
    <xf numFmtId="0" fontId="0" fillId="0" borderId="12" xfId="0" applyBorder="1"/>
    <xf numFmtId="49" fontId="18" fillId="0" borderId="0" xfId="543" applyNumberFormat="1"/>
    <xf numFmtId="0" fontId="18" fillId="0" borderId="8" xfId="543" applyBorder="1"/>
    <xf numFmtId="0" fontId="18" fillId="0" borderId="9" xfId="543" applyBorder="1"/>
    <xf numFmtId="0" fontId="18" fillId="0" borderId="10" xfId="543" applyBorder="1"/>
    <xf numFmtId="0" fontId="18" fillId="0" borderId="1" xfId="543" applyBorder="1"/>
    <xf numFmtId="0" fontId="18" fillId="0" borderId="12" xfId="543" applyBorder="1"/>
    <xf numFmtId="0" fontId="18" fillId="0" borderId="2" xfId="543" applyBorder="1"/>
    <xf numFmtId="0" fontId="18" fillId="0" borderId="7" xfId="543" applyBorder="1"/>
    <xf numFmtId="0" fontId="26" fillId="0" borderId="6" xfId="543" applyFont="1" applyBorder="1" applyAlignment="1">
      <alignment vertical="top" wrapText="1"/>
    </xf>
    <xf numFmtId="0" fontId="0" fillId="2" borderId="2" xfId="0" applyFill="1" applyBorder="1"/>
    <xf numFmtId="0" fontId="0" fillId="2" borderId="7" xfId="0" applyFill="1" applyBorder="1"/>
    <xf numFmtId="0" fontId="24" fillId="0" borderId="0" xfId="0" applyFont="1" applyAlignment="1">
      <alignment horizontal="center" vertical="center"/>
    </xf>
    <xf numFmtId="0" fontId="25" fillId="0" borderId="0" xfId="0" applyFont="1" applyAlignment="1">
      <alignment vertical="top"/>
    </xf>
    <xf numFmtId="166" fontId="0" fillId="0" borderId="0" xfId="0" applyNumberFormat="1" applyAlignment="1">
      <alignment horizontal="right"/>
    </xf>
    <xf numFmtId="0" fontId="42" fillId="0" borderId="0" xfId="0" applyFont="1"/>
    <xf numFmtId="0" fontId="35" fillId="0" borderId="0" xfId="0" applyFont="1"/>
    <xf numFmtId="0" fontId="19" fillId="0" borderId="0" xfId="244" applyBorder="1" applyProtection="1"/>
    <xf numFmtId="0" fontId="19" fillId="0" borderId="0" xfId="244" applyFill="1" applyBorder="1" applyAlignment="1">
      <alignment horizontal="center" vertical="center"/>
    </xf>
    <xf numFmtId="0" fontId="18" fillId="0" borderId="3" xfId="543" applyBorder="1"/>
    <xf numFmtId="0" fontId="32" fillId="0" borderId="6" xfId="0" applyFont="1" applyBorder="1" applyAlignment="1">
      <alignment vertical="top" wrapText="1"/>
    </xf>
    <xf numFmtId="0" fontId="32" fillId="0" borderId="5" xfId="0" applyFont="1" applyBorder="1" applyAlignment="1">
      <alignment vertical="top" wrapText="1"/>
    </xf>
    <xf numFmtId="0" fontId="32" fillId="0" borderId="4" xfId="0" applyFont="1" applyBorder="1" applyAlignment="1">
      <alignment vertical="top" wrapText="1"/>
    </xf>
    <xf numFmtId="0" fontId="32" fillId="2" borderId="6" xfId="0" applyFont="1" applyFill="1" applyBorder="1" applyAlignment="1">
      <alignment vertical="top" wrapText="1"/>
    </xf>
    <xf numFmtId="0" fontId="0" fillId="0" borderId="8" xfId="0" applyBorder="1"/>
    <xf numFmtId="0" fontId="25" fillId="0" borderId="2" xfId="0" applyFont="1" applyBorder="1"/>
    <xf numFmtId="0" fontId="18" fillId="0" borderId="0" xfId="0" applyFont="1" applyAlignment="1">
      <alignment horizontal="left"/>
    </xf>
    <xf numFmtId="0" fontId="18" fillId="0" borderId="0" xfId="0" applyFont="1" applyAlignment="1">
      <alignment vertical="top"/>
    </xf>
    <xf numFmtId="0" fontId="41" fillId="0" borderId="0" xfId="0" applyFont="1"/>
    <xf numFmtId="168" fontId="0" fillId="0" borderId="0" xfId="0" applyNumberFormat="1" applyAlignment="1">
      <alignment horizontal="right"/>
    </xf>
    <xf numFmtId="0" fontId="0" fillId="0" borderId="6" xfId="0" applyBorder="1" applyAlignment="1">
      <alignment horizontal="right"/>
    </xf>
    <xf numFmtId="0" fontId="32" fillId="3" borderId="4" xfId="0" applyFont="1" applyFill="1" applyBorder="1" applyAlignment="1">
      <alignment vertical="top" wrapText="1"/>
    </xf>
    <xf numFmtId="0" fontId="32" fillId="3" borderId="5" xfId="0" applyFont="1" applyFill="1" applyBorder="1" applyAlignment="1">
      <alignment vertical="top" wrapText="1"/>
    </xf>
    <xf numFmtId="0" fontId="43" fillId="0" borderId="0" xfId="0" applyFont="1"/>
    <xf numFmtId="0" fontId="26" fillId="0" borderId="9" xfId="543" applyFont="1" applyBorder="1"/>
    <xf numFmtId="0" fontId="26" fillId="0" borderId="6" xfId="543" applyFont="1" applyBorder="1" applyAlignment="1">
      <alignment horizontal="right"/>
    </xf>
    <xf numFmtId="0" fontId="48" fillId="0" borderId="3" xfId="0" applyFont="1" applyBorder="1" applyAlignment="1">
      <alignment horizontal="left" vertical="top"/>
    </xf>
    <xf numFmtId="0" fontId="48" fillId="0" borderId="13" xfId="0" applyFont="1" applyBorder="1" applyAlignment="1">
      <alignment horizontal="center" wrapText="1"/>
    </xf>
    <xf numFmtId="0" fontId="48" fillId="0" borderId="13" xfId="0" applyFont="1" applyBorder="1" applyAlignment="1">
      <alignment horizontal="center" vertical="top" wrapText="1"/>
    </xf>
    <xf numFmtId="0" fontId="48" fillId="2" borderId="13" xfId="0" applyFont="1" applyFill="1" applyBorder="1" applyAlignment="1">
      <alignment horizontal="center" wrapText="1"/>
    </xf>
    <xf numFmtId="0" fontId="50" fillId="0" borderId="11" xfId="0" applyFont="1" applyBorder="1" applyAlignment="1">
      <alignment vertical="top" wrapText="1"/>
    </xf>
    <xf numFmtId="0" fontId="48" fillId="0" borderId="11" xfId="0" applyFont="1" applyBorder="1" applyAlignment="1">
      <alignment vertical="top" wrapText="1"/>
    </xf>
    <xf numFmtId="0" fontId="48" fillId="0" borderId="0" xfId="0" applyFont="1" applyAlignment="1">
      <alignment horizontal="left" vertical="top"/>
    </xf>
    <xf numFmtId="0" fontId="50" fillId="0" borderId="0" xfId="0" applyFont="1" applyAlignment="1">
      <alignment vertical="top" wrapText="1"/>
    </xf>
    <xf numFmtId="0" fontId="48" fillId="0" borderId="0" xfId="0" applyFont="1" applyAlignment="1">
      <alignment horizontal="right" vertical="top"/>
    </xf>
    <xf numFmtId="0" fontId="50" fillId="2" borderId="0" xfId="0" applyFont="1" applyFill="1" applyAlignment="1">
      <alignment vertical="top" wrapText="1"/>
    </xf>
    <xf numFmtId="0" fontId="48" fillId="0" borderId="0" xfId="0" applyFont="1" applyAlignment="1">
      <alignment vertical="top"/>
    </xf>
    <xf numFmtId="0" fontId="18" fillId="0" borderId="0" xfId="244" applyFont="1" applyFill="1" applyBorder="1" applyAlignment="1" applyProtection="1">
      <alignment horizontal="left"/>
    </xf>
    <xf numFmtId="0" fontId="0" fillId="7" borderId="0" xfId="0" applyFill="1"/>
    <xf numFmtId="0" fontId="36" fillId="0" borderId="0" xfId="0" applyFont="1" applyAlignment="1">
      <alignment horizontal="center"/>
    </xf>
    <xf numFmtId="49" fontId="25" fillId="0" borderId="0" xfId="0" applyNumberFormat="1" applyFont="1" applyAlignment="1">
      <alignment horizontal="center"/>
    </xf>
    <xf numFmtId="0" fontId="45" fillId="0" borderId="0" xfId="0" applyFont="1" applyAlignment="1">
      <alignment horizontal="center"/>
    </xf>
    <xf numFmtId="0" fontId="47" fillId="0" borderId="3" xfId="0" applyFont="1" applyBorder="1"/>
    <xf numFmtId="168" fontId="0" fillId="0" borderId="0" xfId="0" applyNumberFormat="1" applyAlignment="1">
      <alignment horizontal="center"/>
    </xf>
    <xf numFmtId="0" fontId="48" fillId="0" borderId="4" xfId="0" applyFont="1" applyBorder="1" applyAlignment="1">
      <alignment horizontal="right"/>
    </xf>
    <xf numFmtId="0" fontId="53" fillId="0" borderId="0" xfId="0" applyFont="1"/>
    <xf numFmtId="168" fontId="18" fillId="0" borderId="0" xfId="0" applyNumberFormat="1" applyFont="1" applyAlignment="1">
      <alignment horizontal="left" vertical="top"/>
    </xf>
    <xf numFmtId="0" fontId="50" fillId="0" borderId="0" xfId="0" applyFont="1" applyAlignment="1">
      <alignment horizontal="right" vertical="top" wrapText="1"/>
    </xf>
    <xf numFmtId="0" fontId="50" fillId="0" borderId="14" xfId="0" applyFont="1" applyBorder="1" applyAlignment="1">
      <alignment vertical="top" wrapText="1"/>
    </xf>
    <xf numFmtId="0" fontId="50" fillId="0" borderId="11" xfId="0" applyFont="1" applyBorder="1" applyAlignment="1" applyProtection="1">
      <alignment vertical="top"/>
      <protection locked="0"/>
    </xf>
    <xf numFmtId="0" fontId="25" fillId="0" borderId="0" xfId="542" applyFont="1" applyProtection="1">
      <protection locked="0"/>
    </xf>
    <xf numFmtId="0" fontId="18" fillId="0" borderId="0" xfId="539" applyProtection="1"/>
    <xf numFmtId="0" fontId="25" fillId="0" borderId="0" xfId="543" applyFont="1"/>
    <xf numFmtId="0" fontId="18" fillId="0" borderId="0" xfId="0" applyFont="1" applyProtection="1">
      <protection locked="0"/>
    </xf>
    <xf numFmtId="0" fontId="56" fillId="0" borderId="0" xfId="0" applyFont="1" applyAlignment="1">
      <alignment horizontal="center"/>
    </xf>
    <xf numFmtId="0" fontId="27" fillId="0" borderId="0" xfId="271"/>
    <xf numFmtId="0" fontId="25" fillId="0" borderId="0" xfId="271" applyFont="1"/>
    <xf numFmtId="0" fontId="27" fillId="0" borderId="0" xfId="271" applyAlignment="1">
      <alignment horizontal="left"/>
    </xf>
    <xf numFmtId="168" fontId="25" fillId="0" borderId="2" xfId="543" applyNumberFormat="1" applyFont="1" applyBorder="1" applyAlignment="1">
      <alignment horizontal="center" vertical="center"/>
    </xf>
    <xf numFmtId="0" fontId="23" fillId="0" borderId="0" xfId="0" applyFont="1"/>
    <xf numFmtId="0" fontId="58" fillId="0" borderId="0" xfId="0" applyFont="1"/>
    <xf numFmtId="0" fontId="56" fillId="0" borderId="0" xfId="0" applyFont="1"/>
    <xf numFmtId="10" fontId="0" fillId="0" borderId="0" xfId="0" applyNumberFormat="1" applyAlignment="1">
      <alignment horizontal="center"/>
    </xf>
    <xf numFmtId="3" fontId="0" fillId="0" borderId="0" xfId="0" applyNumberFormat="1"/>
    <xf numFmtId="168" fontId="25" fillId="0" borderId="0" xfId="0" applyNumberFormat="1" applyFont="1" applyAlignment="1">
      <alignment horizontal="center"/>
    </xf>
    <xf numFmtId="3" fontId="27" fillId="0" borderId="0" xfId="0" applyNumberFormat="1" applyFont="1"/>
    <xf numFmtId="0" fontId="57" fillId="0" borderId="0" xfId="0" applyFont="1"/>
    <xf numFmtId="168" fontId="23" fillId="0" borderId="0" xfId="0" applyNumberFormat="1" applyFont="1"/>
    <xf numFmtId="10" fontId="23" fillId="0" borderId="0" xfId="0" applyNumberFormat="1" applyFont="1" applyAlignment="1">
      <alignment horizontal="center"/>
    </xf>
    <xf numFmtId="3" fontId="60" fillId="0" borderId="0" xfId="0" applyNumberFormat="1" applyFont="1"/>
    <xf numFmtId="3" fontId="23" fillId="0" borderId="0" xfId="0" applyNumberFormat="1" applyFont="1"/>
    <xf numFmtId="168" fontId="57" fillId="0" borderId="0" xfId="0" applyNumberFormat="1" applyFont="1"/>
    <xf numFmtId="168" fontId="57" fillId="0" borderId="0" xfId="0" applyNumberFormat="1" applyFont="1" applyAlignment="1">
      <alignment horizontal="center"/>
    </xf>
    <xf numFmtId="0" fontId="23" fillId="5" borderId="0" xfId="0" applyFont="1" applyFill="1" applyAlignment="1">
      <alignment horizontal="left"/>
    </xf>
    <xf numFmtId="0" fontId="23" fillId="5" borderId="0" xfId="0" applyFont="1" applyFill="1"/>
    <xf numFmtId="10" fontId="23" fillId="0" borderId="0" xfId="0" applyNumberFormat="1" applyFont="1"/>
    <xf numFmtId="172" fontId="23" fillId="0" borderId="0" xfId="0" applyNumberFormat="1" applyFont="1"/>
    <xf numFmtId="172" fontId="23" fillId="0" borderId="0" xfId="0" applyNumberFormat="1" applyFont="1" applyAlignment="1">
      <alignment horizontal="center"/>
    </xf>
    <xf numFmtId="0" fontId="23" fillId="0" borderId="6" xfId="0" applyFont="1" applyBorder="1"/>
    <xf numFmtId="10" fontId="23" fillId="0" borderId="6" xfId="0" applyNumberFormat="1" applyFont="1" applyBorder="1" applyAlignment="1">
      <alignment horizontal="center"/>
    </xf>
    <xf numFmtId="3" fontId="23" fillId="0" borderId="6" xfId="0" applyNumberFormat="1" applyFont="1" applyBorder="1"/>
    <xf numFmtId="3" fontId="27" fillId="0" borderId="0" xfId="0" applyNumberFormat="1" applyFont="1" applyAlignment="1">
      <alignment vertical="top"/>
    </xf>
    <xf numFmtId="10" fontId="25" fillId="0" borderId="0" xfId="0" applyNumberFormat="1" applyFont="1" applyAlignment="1">
      <alignment horizontal="center"/>
    </xf>
    <xf numFmtId="0" fontId="56" fillId="0" borderId="6" xfId="0" applyFont="1" applyBorder="1" applyAlignment="1">
      <alignment horizontal="center"/>
    </xf>
    <xf numFmtId="0" fontId="27" fillId="0" borderId="4" xfId="271" applyBorder="1"/>
    <xf numFmtId="0" fontId="27" fillId="0" borderId="6" xfId="271" applyBorder="1"/>
    <xf numFmtId="4" fontId="45" fillId="0" borderId="0" xfId="0" applyNumberFormat="1" applyFont="1" applyAlignment="1">
      <alignment horizontal="center"/>
    </xf>
    <xf numFmtId="0" fontId="32" fillId="3" borderId="4" xfId="271" applyFont="1" applyFill="1" applyBorder="1" applyAlignment="1">
      <alignment vertical="top" wrapText="1"/>
    </xf>
    <xf numFmtId="0" fontId="25" fillId="0" borderId="9" xfId="271" applyFont="1" applyBorder="1" applyAlignment="1">
      <alignment horizontal="center" wrapText="1"/>
    </xf>
    <xf numFmtId="0" fontId="32" fillId="3" borderId="4" xfId="271" applyFont="1" applyFill="1" applyBorder="1" applyAlignment="1" applyProtection="1">
      <alignment vertical="top" wrapText="1"/>
      <protection locked="0"/>
    </xf>
    <xf numFmtId="0" fontId="32" fillId="3" borderId="5" xfId="271" applyFont="1" applyFill="1" applyBorder="1" applyAlignment="1" applyProtection="1">
      <alignment vertical="top" wrapText="1"/>
      <protection locked="0"/>
    </xf>
    <xf numFmtId="0" fontId="25" fillId="0" borderId="13" xfId="271" applyFont="1" applyBorder="1" applyAlignment="1">
      <alignment horizontal="center" wrapText="1"/>
    </xf>
    <xf numFmtId="0" fontId="27" fillId="5" borderId="3" xfId="271" applyFill="1" applyBorder="1" applyAlignment="1" applyProtection="1">
      <alignment vertical="top" wrapText="1"/>
      <protection locked="0"/>
    </xf>
    <xf numFmtId="0" fontId="32" fillId="0" borderId="0" xfId="271" applyFont="1" applyAlignment="1" applyProtection="1">
      <alignment vertical="top" wrapText="1"/>
      <protection locked="0"/>
    </xf>
    <xf numFmtId="0" fontId="27" fillId="0" borderId="5" xfId="271" applyBorder="1" applyAlignment="1" applyProtection="1">
      <alignment vertical="top" wrapText="1"/>
      <protection locked="0"/>
    </xf>
    <xf numFmtId="0" fontId="25" fillId="0" borderId="3" xfId="271" applyFont="1" applyBorder="1" applyAlignment="1">
      <alignment horizontal="left" vertical="top"/>
    </xf>
    <xf numFmtId="0" fontId="27" fillId="0" borderId="4" xfId="271" applyBorder="1" applyAlignment="1" applyProtection="1">
      <alignment horizontal="left" vertical="top"/>
      <protection locked="0"/>
    </xf>
    <xf numFmtId="0" fontId="27" fillId="0" borderId="4" xfId="271" applyBorder="1" applyAlignment="1" applyProtection="1">
      <alignment vertical="top" wrapText="1"/>
      <protection locked="0"/>
    </xf>
    <xf numFmtId="0" fontId="32" fillId="0" borderId="0" xfId="271" applyFont="1" applyAlignment="1">
      <alignment vertical="top" wrapText="1"/>
    </xf>
    <xf numFmtId="0" fontId="27" fillId="0" borderId="4" xfId="271" applyBorder="1" applyAlignment="1">
      <alignment vertical="top" wrapText="1"/>
    </xf>
    <xf numFmtId="0" fontId="35" fillId="8" borderId="0" xfId="542" applyFont="1" applyFill="1"/>
    <xf numFmtId="0" fontId="27" fillId="0" borderId="0" xfId="271" applyAlignment="1">
      <alignment horizontal="left" vertical="top"/>
    </xf>
    <xf numFmtId="0" fontId="25" fillId="0" borderId="0" xfId="271" applyFont="1" applyAlignment="1">
      <alignment horizontal="right"/>
    </xf>
    <xf numFmtId="0" fontId="26" fillId="0" borderId="0" xfId="271" applyFont="1" applyAlignment="1">
      <alignment horizontal="center"/>
    </xf>
    <xf numFmtId="1" fontId="27" fillId="0" borderId="15" xfId="271" applyNumberFormat="1" applyBorder="1"/>
    <xf numFmtId="1" fontId="27" fillId="0" borderId="14" xfId="271" applyNumberFormat="1" applyBorder="1"/>
    <xf numFmtId="0" fontId="26" fillId="0" borderId="6" xfId="271" applyFont="1" applyBorder="1" applyAlignment="1">
      <alignment horizontal="left"/>
    </xf>
    <xf numFmtId="0" fontId="26" fillId="0" borderId="6" xfId="271" applyFont="1" applyBorder="1" applyAlignment="1">
      <alignment horizontal="right"/>
    </xf>
    <xf numFmtId="165" fontId="27" fillId="0" borderId="0" xfId="271" applyNumberFormat="1"/>
    <xf numFmtId="170" fontId="27" fillId="0" borderId="14" xfId="271" applyNumberFormat="1" applyBorder="1"/>
    <xf numFmtId="0" fontId="0" fillId="0" borderId="0" xfId="0" applyProtection="1">
      <protection locked="0"/>
    </xf>
    <xf numFmtId="0" fontId="23" fillId="0" borderId="0" xfId="0" applyFont="1" applyProtection="1">
      <protection locked="0"/>
    </xf>
    <xf numFmtId="0" fontId="23" fillId="0" borderId="0" xfId="271" applyFont="1" applyProtection="1">
      <protection locked="0"/>
    </xf>
    <xf numFmtId="168" fontId="23" fillId="0" borderId="0" xfId="271" applyNumberFormat="1" applyFont="1" applyProtection="1">
      <protection locked="0"/>
    </xf>
    <xf numFmtId="0" fontId="31" fillId="0" borderId="1" xfId="0" applyFont="1" applyBorder="1"/>
    <xf numFmtId="0" fontId="18" fillId="0" borderId="2" xfId="0" applyFont="1" applyBorder="1" applyAlignment="1">
      <alignment horizontal="left"/>
    </xf>
    <xf numFmtId="0" fontId="18" fillId="0" borderId="2" xfId="0" applyFont="1" applyBorder="1"/>
    <xf numFmtId="0" fontId="31" fillId="0" borderId="8" xfId="0" applyFont="1" applyBorder="1"/>
    <xf numFmtId="0" fontId="31" fillId="0" borderId="9" xfId="0" applyFont="1" applyBorder="1"/>
    <xf numFmtId="0" fontId="65" fillId="0" borderId="0" xfId="0" applyFont="1" applyAlignment="1">
      <alignment vertical="center" wrapText="1"/>
    </xf>
    <xf numFmtId="0" fontId="65" fillId="0" borderId="0" xfId="0" applyFont="1" applyAlignment="1">
      <alignment vertical="center"/>
    </xf>
    <xf numFmtId="0" fontId="65" fillId="0" borderId="0" xfId="0" applyFont="1" applyAlignment="1">
      <alignment horizontal="left" vertical="center" indent="1"/>
    </xf>
    <xf numFmtId="0" fontId="66" fillId="0" borderId="0" xfId="0" applyFont="1" applyAlignment="1">
      <alignment horizontal="left" vertical="center"/>
    </xf>
    <xf numFmtId="49" fontId="42" fillId="0" borderId="0" xfId="0" applyNumberFormat="1" applyFont="1" applyAlignment="1">
      <alignment horizontal="center"/>
    </xf>
    <xf numFmtId="0" fontId="47" fillId="0" borderId="0" xfId="0" applyFont="1"/>
    <xf numFmtId="0" fontId="47" fillId="0" borderId="0" xfId="0" applyFont="1" applyAlignment="1">
      <alignment vertical="top"/>
    </xf>
    <xf numFmtId="0" fontId="47" fillId="2" borderId="0" xfId="0" applyFont="1" applyFill="1" applyAlignment="1">
      <alignment vertical="top" wrapText="1"/>
    </xf>
    <xf numFmtId="0" fontId="72" fillId="0" borderId="13" xfId="0" applyFont="1" applyBorder="1" applyAlignment="1">
      <alignment vertical="top" wrapText="1"/>
    </xf>
    <xf numFmtId="0" fontId="32" fillId="0" borderId="0" xfId="0" applyFont="1" applyAlignment="1">
      <alignment vertical="top" wrapText="1"/>
    </xf>
    <xf numFmtId="0" fontId="72" fillId="2" borderId="13" xfId="0" applyFont="1" applyFill="1" applyBorder="1" applyAlignment="1">
      <alignment vertical="top" wrapText="1"/>
    </xf>
    <xf numFmtId="0" fontId="72" fillId="0" borderId="0" xfId="0" applyFont="1" applyAlignment="1">
      <alignment vertical="top" wrapText="1"/>
    </xf>
    <xf numFmtId="0" fontId="72" fillId="2" borderId="0" xfId="0" applyFont="1" applyFill="1" applyAlignment="1">
      <alignment vertical="top" wrapText="1"/>
    </xf>
    <xf numFmtId="0" fontId="47" fillId="0" borderId="0" xfId="0" applyFont="1" applyAlignment="1">
      <alignment horizontal="right" vertical="top" wrapText="1"/>
    </xf>
    <xf numFmtId="168" fontId="47" fillId="5" borderId="6" xfId="0" applyNumberFormat="1" applyFont="1" applyFill="1" applyBorder="1" applyAlignment="1" applyProtection="1">
      <alignment horizontal="right" vertical="top" wrapText="1"/>
      <protection locked="0"/>
    </xf>
    <xf numFmtId="168" fontId="47" fillId="0" borderId="6" xfId="0" applyNumberFormat="1" applyFont="1" applyBorder="1" applyAlignment="1">
      <alignment horizontal="right" vertical="top" wrapText="1"/>
    </xf>
    <xf numFmtId="0" fontId="56" fillId="0" borderId="0" xfId="0" applyFont="1" applyAlignment="1">
      <alignment horizontal="left" vertical="center"/>
    </xf>
    <xf numFmtId="0" fontId="25" fillId="0" borderId="2" xfId="543" applyFont="1" applyBorder="1" applyAlignment="1">
      <alignment horizontal="center"/>
    </xf>
    <xf numFmtId="0" fontId="0" fillId="0" borderId="0" xfId="543" applyFont="1"/>
    <xf numFmtId="0" fontId="96" fillId="0" borderId="0" xfId="0" applyFont="1" applyAlignment="1">
      <alignment horizontal="left" vertical="top"/>
    </xf>
    <xf numFmtId="0" fontId="97" fillId="0" borderId="0" xfId="0" applyFont="1" applyAlignment="1">
      <alignment horizontal="left" vertical="top"/>
    </xf>
    <xf numFmtId="0" fontId="65" fillId="0" borderId="0" xfId="0" applyFont="1"/>
    <xf numFmtId="0" fontId="25" fillId="0" borderId="0" xfId="271" applyFont="1" applyAlignment="1" applyProtection="1">
      <alignment horizontal="center" wrapText="1"/>
      <protection locked="0"/>
    </xf>
    <xf numFmtId="0" fontId="27" fillId="0" borderId="0" xfId="271" applyAlignment="1" applyProtection="1">
      <alignment vertical="top" wrapText="1"/>
      <protection locked="0"/>
    </xf>
    <xf numFmtId="0" fontId="25" fillId="0" borderId="0" xfId="271" applyFont="1" applyAlignment="1" applyProtection="1">
      <alignment vertical="top" wrapText="1"/>
      <protection locked="0"/>
    </xf>
    <xf numFmtId="0" fontId="32" fillId="0" borderId="8" xfId="569" applyFont="1" applyBorder="1" applyAlignment="1">
      <alignment vertical="top" wrapText="1"/>
    </xf>
    <xf numFmtId="0" fontId="32" fillId="0" borderId="0" xfId="569" applyFont="1" applyAlignment="1">
      <alignment vertical="top" wrapText="1"/>
    </xf>
    <xf numFmtId="0" fontId="47" fillId="0" borderId="8" xfId="569" applyFont="1" applyBorder="1" applyAlignment="1">
      <alignment vertical="top" wrapText="1"/>
    </xf>
    <xf numFmtId="0" fontId="47" fillId="0" borderId="0" xfId="569" applyFont="1" applyAlignment="1">
      <alignment vertical="top" wrapText="1"/>
    </xf>
    <xf numFmtId="0" fontId="48" fillId="0" borderId="8" xfId="569" applyFont="1" applyBorder="1" applyAlignment="1">
      <alignment vertical="top" wrapText="1"/>
    </xf>
    <xf numFmtId="0" fontId="48" fillId="0" borderId="0" xfId="569" applyFont="1" applyAlignment="1">
      <alignment vertical="top" wrapText="1"/>
    </xf>
    <xf numFmtId="0" fontId="48" fillId="0" borderId="0" xfId="569" applyFont="1" applyAlignment="1">
      <alignment horizontal="left" vertical="top"/>
    </xf>
    <xf numFmtId="6" fontId="47" fillId="0" borderId="0" xfId="569" applyNumberFormat="1" applyFont="1" applyAlignment="1">
      <alignment horizontal="left" vertical="top"/>
    </xf>
    <xf numFmtId="0" fontId="97" fillId="0" borderId="0" xfId="569" applyFont="1" applyAlignment="1">
      <alignment horizontal="left" vertical="top"/>
    </xf>
    <xf numFmtId="6" fontId="47" fillId="0" borderId="0" xfId="569" applyNumberFormat="1" applyFont="1" applyAlignment="1">
      <alignment vertical="top" wrapText="1"/>
    </xf>
    <xf numFmtId="0" fontId="47" fillId="0" borderId="0" xfId="569" applyFont="1" applyAlignment="1">
      <alignment horizontal="left" vertical="top"/>
    </xf>
    <xf numFmtId="0" fontId="47" fillId="0" borderId="12" xfId="569" applyFont="1" applyBorder="1" applyAlignment="1">
      <alignment vertical="top" wrapText="1"/>
    </xf>
    <xf numFmtId="0" fontId="25" fillId="0" borderId="0" xfId="569" applyFont="1" applyAlignment="1">
      <alignment horizontal="left" vertical="top"/>
    </xf>
    <xf numFmtId="0" fontId="100" fillId="0" borderId="0" xfId="569" applyFont="1" applyAlignment="1">
      <alignment horizontal="left" vertical="top"/>
    </xf>
    <xf numFmtId="0" fontId="56" fillId="0" borderId="0" xfId="569" applyFont="1" applyAlignment="1">
      <alignment horizontal="left" vertical="center"/>
    </xf>
    <xf numFmtId="0" fontId="33" fillId="0" borderId="0" xfId="569" applyFont="1" applyAlignment="1">
      <alignment vertical="top" wrapText="1"/>
    </xf>
    <xf numFmtId="0" fontId="33" fillId="0" borderId="12" xfId="569" applyFont="1" applyBorder="1" applyAlignment="1">
      <alignment vertical="top" wrapText="1"/>
    </xf>
    <xf numFmtId="0" fontId="33" fillId="0" borderId="8" xfId="569" applyFont="1" applyBorder="1" applyAlignment="1">
      <alignment vertical="top" wrapText="1"/>
    </xf>
    <xf numFmtId="0" fontId="47" fillId="0" borderId="0" xfId="569" applyFont="1" applyAlignment="1">
      <alignment vertical="top"/>
    </xf>
    <xf numFmtId="168" fontId="47" fillId="0" borderId="0" xfId="569" applyNumberFormat="1" applyFont="1" applyAlignment="1" applyProtection="1">
      <alignment horizontal="right" vertical="top" wrapText="1"/>
      <protection locked="0"/>
    </xf>
    <xf numFmtId="0" fontId="18" fillId="0" borderId="0" xfId="569" applyAlignment="1">
      <alignment vertical="top"/>
    </xf>
    <xf numFmtId="0" fontId="47" fillId="0" borderId="0" xfId="569" applyFont="1" applyAlignment="1">
      <alignment horizontal="right" vertical="top" wrapText="1"/>
    </xf>
    <xf numFmtId="0" fontId="25" fillId="0" borderId="0" xfId="569" applyFont="1" applyAlignment="1">
      <alignment horizontal="left" vertical="top" wrapText="1"/>
    </xf>
    <xf numFmtId="168" fontId="47" fillId="0" borderId="0" xfId="569" applyNumberFormat="1" applyFont="1" applyAlignment="1">
      <alignment horizontal="right" vertical="top" wrapText="1"/>
    </xf>
    <xf numFmtId="0" fontId="18" fillId="0" borderId="0" xfId="569" applyAlignment="1" applyProtection="1">
      <alignment horizontal="left" vertical="top" wrapText="1"/>
      <protection locked="0"/>
    </xf>
    <xf numFmtId="0" fontId="72" fillId="0" borderId="0" xfId="569" applyFont="1" applyAlignment="1">
      <alignment vertical="top" wrapText="1"/>
    </xf>
    <xf numFmtId="0" fontId="72" fillId="0" borderId="12" xfId="569" applyFont="1" applyBorder="1" applyAlignment="1">
      <alignment vertical="top" wrapText="1"/>
    </xf>
    <xf numFmtId="0" fontId="72" fillId="0" borderId="8" xfId="569" applyFont="1" applyBorder="1" applyAlignment="1">
      <alignment vertical="top" wrapText="1"/>
    </xf>
    <xf numFmtId="0" fontId="32" fillId="0" borderId="0" xfId="569" applyFont="1" applyAlignment="1">
      <alignment horizontal="right" vertical="top" wrapText="1"/>
    </xf>
    <xf numFmtId="0" fontId="72" fillId="0" borderId="0" xfId="569" applyFont="1" applyAlignment="1">
      <alignment horizontal="right" vertical="top" wrapText="1"/>
    </xf>
    <xf numFmtId="0" fontId="48" fillId="0" borderId="3" xfId="569" applyFont="1" applyBorder="1" applyAlignment="1">
      <alignment horizontal="left"/>
    </xf>
    <xf numFmtId="0" fontId="48" fillId="0" borderId="13" xfId="569" applyFont="1" applyBorder="1" applyAlignment="1">
      <alignment horizontal="center" wrapText="1"/>
    </xf>
    <xf numFmtId="0" fontId="48" fillId="0" borderId="8" xfId="569" applyFont="1" applyBorder="1" applyAlignment="1">
      <alignment horizontal="center" wrapText="1"/>
    </xf>
    <xf numFmtId="0" fontId="48" fillId="0" borderId="0" xfId="569" applyFont="1" applyAlignment="1">
      <alignment horizontal="center" wrapText="1"/>
    </xf>
    <xf numFmtId="0" fontId="18" fillId="0" borderId="0" xfId="569"/>
    <xf numFmtId="0" fontId="24" fillId="0" borderId="0" xfId="569" applyFont="1" applyAlignment="1">
      <alignment horizontal="center" vertical="center"/>
    </xf>
    <xf numFmtId="0" fontId="25" fillId="0" borderId="0" xfId="569" applyFont="1"/>
    <xf numFmtId="0" fontId="18" fillId="0" borderId="1" xfId="569" applyBorder="1"/>
    <xf numFmtId="0" fontId="18" fillId="0" borderId="2" xfId="569" applyBorder="1"/>
    <xf numFmtId="0" fontId="18" fillId="0" borderId="8" xfId="569" applyBorder="1"/>
    <xf numFmtId="0" fontId="18" fillId="0" borderId="9" xfId="569" applyBorder="1"/>
    <xf numFmtId="0" fontId="18" fillId="0" borderId="6" xfId="569" applyBorder="1"/>
    <xf numFmtId="0" fontId="26" fillId="0" borderId="0" xfId="569" applyFont="1"/>
    <xf numFmtId="0" fontId="18" fillId="0" borderId="7" xfId="569" applyBorder="1"/>
    <xf numFmtId="0" fontId="18" fillId="0" borderId="12" xfId="569" applyBorder="1"/>
    <xf numFmtId="0" fontId="18" fillId="0" borderId="10" xfId="569" applyBorder="1"/>
    <xf numFmtId="0" fontId="26" fillId="0" borderId="0" xfId="569" applyFont="1" applyAlignment="1">
      <alignment vertical="top" wrapText="1"/>
    </xf>
    <xf numFmtId="0" fontId="18" fillId="0" borderId="0" xfId="569" applyAlignment="1">
      <alignment horizontal="right"/>
    </xf>
    <xf numFmtId="0" fontId="18" fillId="0" borderId="0" xfId="569" applyAlignment="1">
      <alignment vertical="center"/>
    </xf>
    <xf numFmtId="0" fontId="37" fillId="0" borderId="0" xfId="569" applyFont="1" applyAlignment="1">
      <alignment vertical="center" wrapText="1"/>
    </xf>
    <xf numFmtId="0" fontId="36" fillId="0" borderId="0" xfId="569" applyFont="1" applyAlignment="1">
      <alignment vertical="top" wrapText="1"/>
    </xf>
    <xf numFmtId="0" fontId="25" fillId="0" borderId="0" xfId="569" applyFont="1" applyAlignment="1">
      <alignment vertical="top" wrapText="1"/>
    </xf>
    <xf numFmtId="0" fontId="26" fillId="0" borderId="0" xfId="569" applyFont="1" applyAlignment="1">
      <alignment horizontal="left" vertical="top" wrapText="1"/>
    </xf>
    <xf numFmtId="164" fontId="18" fillId="0" borderId="0" xfId="569" applyNumberFormat="1" applyAlignment="1">
      <alignment horizontal="right"/>
    </xf>
    <xf numFmtId="168" fontId="18" fillId="0" borderId="0" xfId="569" applyNumberFormat="1" applyAlignment="1">
      <alignment horizontal="right"/>
    </xf>
    <xf numFmtId="0" fontId="98" fillId="0" borderId="0" xfId="569" applyFont="1" applyAlignment="1">
      <alignment horizontal="left" vertical="top" wrapText="1"/>
    </xf>
    <xf numFmtId="168" fontId="18" fillId="0" borderId="0" xfId="569" applyNumberFormat="1" applyAlignment="1">
      <alignment wrapText="1"/>
    </xf>
    <xf numFmtId="0" fontId="23" fillId="0" borderId="0" xfId="253" applyFont="1" applyAlignment="1">
      <alignment horizontal="center" wrapText="1"/>
    </xf>
    <xf numFmtId="3" fontId="23" fillId="0" borderId="0" xfId="271" applyNumberFormat="1" applyFont="1"/>
    <xf numFmtId="0" fontId="57" fillId="0" borderId="0" xfId="271" applyFont="1" applyAlignment="1">
      <alignment horizontal="left"/>
    </xf>
    <xf numFmtId="0" fontId="57" fillId="0" borderId="0" xfId="271" applyFont="1" applyAlignment="1">
      <alignment horizontal="right"/>
    </xf>
    <xf numFmtId="168" fontId="23" fillId="0" borderId="0" xfId="271" applyNumberFormat="1" applyFont="1"/>
    <xf numFmtId="0" fontId="18" fillId="0" borderId="3" xfId="569" applyBorder="1"/>
    <xf numFmtId="0" fontId="99" fillId="0" borderId="0" xfId="1834"/>
    <xf numFmtId="0" fontId="0" fillId="0" borderId="0" xfId="0" applyAlignment="1">
      <alignment horizontal="left" vertical="top"/>
    </xf>
    <xf numFmtId="0" fontId="98" fillId="0" borderId="0" xfId="0" applyFont="1" applyAlignment="1">
      <alignment vertical="top" wrapText="1"/>
    </xf>
    <xf numFmtId="0" fontId="47" fillId="0" borderId="0" xfId="271" applyFont="1" applyAlignment="1">
      <alignment vertical="top" wrapText="1"/>
    </xf>
    <xf numFmtId="0" fontId="25" fillId="0" borderId="12" xfId="543" applyFont="1" applyBorder="1" applyAlignment="1">
      <alignment horizontal="right"/>
    </xf>
    <xf numFmtId="0" fontId="41" fillId="0" borderId="0" xfId="1192" applyFont="1"/>
    <xf numFmtId="0" fontId="41" fillId="0" borderId="0" xfId="0" applyFont="1" applyAlignment="1">
      <alignment vertical="top" wrapText="1"/>
    </xf>
    <xf numFmtId="6" fontId="48" fillId="0" borderId="0" xfId="569" applyNumberFormat="1" applyFont="1" applyAlignment="1">
      <alignment horizontal="right" vertical="top"/>
    </xf>
    <xf numFmtId="168" fontId="27" fillId="0" borderId="28" xfId="540" applyNumberFormat="1" applyBorder="1" applyAlignment="1" applyProtection="1">
      <alignment horizontal="center"/>
    </xf>
    <xf numFmtId="168" fontId="27" fillId="0" borderId="29" xfId="540" applyNumberFormat="1" applyBorder="1" applyAlignment="1" applyProtection="1">
      <alignment horizontal="center"/>
    </xf>
    <xf numFmtId="168" fontId="27" fillId="0" borderId="30" xfId="540" applyNumberFormat="1" applyBorder="1" applyAlignment="1" applyProtection="1">
      <alignment horizontal="center"/>
    </xf>
    <xf numFmtId="168" fontId="27" fillId="0" borderId="31" xfId="540" applyNumberFormat="1" applyBorder="1" applyAlignment="1" applyProtection="1">
      <alignment horizontal="center"/>
    </xf>
    <xf numFmtId="168" fontId="27" fillId="0" borderId="32" xfId="540" applyNumberFormat="1" applyBorder="1" applyAlignment="1" applyProtection="1">
      <alignment horizontal="center"/>
    </xf>
    <xf numFmtId="168" fontId="27" fillId="0" borderId="33" xfId="540" applyNumberFormat="1" applyBorder="1" applyAlignment="1" applyProtection="1">
      <alignment horizontal="center"/>
    </xf>
    <xf numFmtId="168" fontId="27" fillId="0" borderId="34" xfId="540" applyNumberFormat="1" applyBorder="1" applyAlignment="1" applyProtection="1">
      <alignment horizontal="center"/>
    </xf>
    <xf numFmtId="168" fontId="27" fillId="0" borderId="35" xfId="540" applyNumberFormat="1" applyBorder="1" applyAlignment="1" applyProtection="1">
      <alignment horizontal="center"/>
    </xf>
    <xf numFmtId="168" fontId="27" fillId="0" borderId="36" xfId="540" applyNumberFormat="1" applyBorder="1" applyAlignment="1" applyProtection="1">
      <alignment horizontal="center"/>
    </xf>
    <xf numFmtId="168" fontId="27" fillId="0" borderId="37" xfId="540" applyNumberFormat="1" applyBorder="1" applyAlignment="1" applyProtection="1">
      <alignment horizontal="center"/>
    </xf>
    <xf numFmtId="168" fontId="27" fillId="0" borderId="38" xfId="540" applyNumberFormat="1" applyBorder="1" applyAlignment="1" applyProtection="1">
      <alignment horizontal="center"/>
    </xf>
    <xf numFmtId="168" fontId="27" fillId="0" borderId="39" xfId="540" applyNumberFormat="1" applyBorder="1" applyAlignment="1" applyProtection="1">
      <alignment horizontal="center"/>
    </xf>
    <xf numFmtId="168" fontId="27" fillId="0" borderId="40" xfId="540" applyNumberFormat="1" applyBorder="1" applyAlignment="1" applyProtection="1">
      <alignment horizontal="center"/>
    </xf>
    <xf numFmtId="168" fontId="27" fillId="0" borderId="0" xfId="540" applyNumberFormat="1" applyAlignment="1" applyProtection="1">
      <alignment horizontal="center"/>
    </xf>
    <xf numFmtId="168" fontId="27" fillId="0" borderId="14" xfId="540" applyNumberFormat="1" applyBorder="1" applyAlignment="1" applyProtection="1">
      <alignment horizontal="center"/>
    </xf>
    <xf numFmtId="168" fontId="27" fillId="0" borderId="41" xfId="540" applyNumberFormat="1" applyBorder="1" applyAlignment="1" applyProtection="1">
      <alignment horizontal="center"/>
    </xf>
    <xf numFmtId="168" fontId="27" fillId="0" borderId="42" xfId="540" applyNumberFormat="1" applyBorder="1" applyAlignment="1" applyProtection="1">
      <alignment horizontal="center"/>
    </xf>
    <xf numFmtId="168" fontId="27" fillId="0" borderId="43" xfId="540" applyNumberFormat="1" applyBorder="1" applyAlignment="1" applyProtection="1">
      <alignment horizontal="center"/>
    </xf>
    <xf numFmtId="168" fontId="27" fillId="0" borderId="44" xfId="540" applyNumberFormat="1" applyBorder="1" applyAlignment="1" applyProtection="1">
      <alignment horizontal="center"/>
    </xf>
    <xf numFmtId="0" fontId="18" fillId="0" borderId="0" xfId="1192"/>
    <xf numFmtId="0" fontId="41" fillId="0" borderId="0" xfId="0" applyFont="1" applyAlignment="1">
      <alignment horizontal="left" vertical="top"/>
    </xf>
    <xf numFmtId="0" fontId="41" fillId="0" borderId="0" xfId="0" applyFont="1" applyAlignment="1">
      <alignment vertical="top"/>
    </xf>
    <xf numFmtId="0" fontId="18" fillId="0" borderId="0" xfId="569" applyAlignment="1">
      <alignment horizontal="center"/>
    </xf>
    <xf numFmtId="49" fontId="25" fillId="0" borderId="0" xfId="569" applyNumberFormat="1" applyFont="1" applyAlignment="1">
      <alignment horizontal="center"/>
    </xf>
    <xf numFmtId="0" fontId="45" fillId="0" borderId="0" xfId="569" applyFont="1" applyAlignment="1">
      <alignment horizontal="center"/>
    </xf>
    <xf numFmtId="0" fontId="18" fillId="5" borderId="6" xfId="569" applyFill="1" applyBorder="1" applyProtection="1">
      <protection locked="0"/>
    </xf>
    <xf numFmtId="0" fontId="19" fillId="0" borderId="0" xfId="244" applyAlignment="1" applyProtection="1">
      <alignment horizontal="center"/>
    </xf>
    <xf numFmtId="49" fontId="18" fillId="0" borderId="0" xfId="569" applyNumberFormat="1" applyAlignment="1">
      <alignment horizontal="center"/>
    </xf>
    <xf numFmtId="0" fontId="18" fillId="0" borderId="0" xfId="569" applyAlignment="1">
      <alignment horizontal="center" vertical="center"/>
    </xf>
    <xf numFmtId="0" fontId="18" fillId="0" borderId="0" xfId="1192" applyAlignment="1">
      <alignment horizontal="center"/>
    </xf>
    <xf numFmtId="0" fontId="18" fillId="0" borderId="0" xfId="569" applyAlignment="1">
      <alignment horizontal="left" indent="4"/>
    </xf>
    <xf numFmtId="0" fontId="18" fillId="0" borderId="0" xfId="569" quotePrefix="1" applyAlignment="1">
      <alignment horizontal="left"/>
    </xf>
    <xf numFmtId="0" fontId="36" fillId="0" borderId="0" xfId="569" applyFont="1"/>
    <xf numFmtId="0" fontId="18" fillId="0" borderId="0" xfId="1192" applyAlignment="1" applyProtection="1">
      <alignment horizontal="left"/>
      <protection locked="0"/>
    </xf>
    <xf numFmtId="0" fontId="18" fillId="0" borderId="0" xfId="569" applyAlignment="1" applyProtection="1">
      <alignment horizontal="left"/>
      <protection locked="0"/>
    </xf>
    <xf numFmtId="49" fontId="18" fillId="0" borderId="0" xfId="1192" applyNumberFormat="1" applyAlignment="1">
      <alignment horizontal="center"/>
    </xf>
    <xf numFmtId="0" fontId="45" fillId="0" borderId="0" xfId="1192" applyFont="1" applyAlignment="1">
      <alignment horizontal="center"/>
    </xf>
    <xf numFmtId="0" fontId="25" fillId="0" borderId="0" xfId="1192" applyFont="1" applyAlignment="1">
      <alignment horizontal="left"/>
    </xf>
    <xf numFmtId="4" fontId="18" fillId="0" borderId="0" xfId="1192" applyNumberFormat="1" applyAlignment="1">
      <alignment horizontal="left"/>
    </xf>
    <xf numFmtId="0" fontId="25" fillId="0" borderId="0" xfId="569" quotePrefix="1" applyFont="1" applyAlignment="1">
      <alignment horizontal="center"/>
    </xf>
    <xf numFmtId="49" fontId="18" fillId="0" borderId="0" xfId="569" applyNumberFormat="1"/>
    <xf numFmtId="0" fontId="43" fillId="0" borderId="0" xfId="569" applyFont="1" applyAlignment="1">
      <alignment horizontal="left"/>
    </xf>
    <xf numFmtId="4" fontId="45" fillId="0" borderId="0" xfId="569" applyNumberFormat="1" applyFont="1" applyAlignment="1">
      <alignment horizontal="center"/>
    </xf>
    <xf numFmtId="4" fontId="18" fillId="0" borderId="0" xfId="569" applyNumberFormat="1" applyAlignment="1">
      <alignment horizontal="center"/>
    </xf>
    <xf numFmtId="4" fontId="18" fillId="0" borderId="0" xfId="569" applyNumberFormat="1"/>
    <xf numFmtId="0" fontId="42" fillId="0" borderId="0" xfId="569" applyFont="1" applyAlignment="1">
      <alignment horizontal="left"/>
    </xf>
    <xf numFmtId="0" fontId="19" fillId="0" borderId="0" xfId="244" applyNumberFormat="1" applyFill="1" applyAlignment="1" applyProtection="1">
      <alignment horizontal="left"/>
      <protection locked="0"/>
    </xf>
    <xf numFmtId="0" fontId="26" fillId="0" borderId="0" xfId="569" applyFont="1" applyAlignment="1">
      <alignment horizontal="left"/>
    </xf>
    <xf numFmtId="0" fontId="96" fillId="0" borderId="0" xfId="0" applyFont="1"/>
    <xf numFmtId="0" fontId="107" fillId="0" borderId="0" xfId="0" applyFont="1" applyAlignment="1">
      <alignment horizontal="left" vertical="top"/>
    </xf>
    <xf numFmtId="0" fontId="108" fillId="0" borderId="0" xfId="0" applyFont="1" applyAlignment="1">
      <alignment horizontal="left" vertical="top"/>
    </xf>
    <xf numFmtId="168" fontId="26" fillId="0" borderId="0" xfId="0" applyNumberFormat="1" applyFont="1" applyAlignment="1">
      <alignment horizontal="left" vertical="top" wrapText="1"/>
    </xf>
    <xf numFmtId="0" fontId="18" fillId="0" borderId="0" xfId="271" applyFont="1" applyAlignment="1">
      <alignment horizontal="left" vertical="top"/>
    </xf>
    <xf numFmtId="0" fontId="47" fillId="0" borderId="0" xfId="569" applyFont="1"/>
    <xf numFmtId="4" fontId="18" fillId="0" borderId="0" xfId="1192" applyNumberFormat="1" applyAlignment="1">
      <alignment vertical="top" wrapText="1"/>
    </xf>
    <xf numFmtId="0" fontId="25" fillId="0" borderId="16" xfId="271" applyFont="1" applyBorder="1"/>
    <xf numFmtId="0" fontId="52" fillId="0" borderId="0" xfId="569" applyFont="1"/>
    <xf numFmtId="0" fontId="37" fillId="0" borderId="0" xfId="569" applyFont="1"/>
    <xf numFmtId="49" fontId="18" fillId="0" borderId="0" xfId="1192" applyNumberFormat="1" applyAlignment="1">
      <alignment vertical="top" wrapText="1"/>
    </xf>
    <xf numFmtId="0" fontId="49" fillId="0" borderId="9" xfId="543" applyFont="1" applyBorder="1" applyAlignment="1">
      <alignment vertical="top"/>
    </xf>
    <xf numFmtId="0" fontId="18" fillId="0" borderId="0" xfId="0" applyFont="1" applyAlignment="1">
      <alignment vertical="center"/>
    </xf>
    <xf numFmtId="0" fontId="109" fillId="0" borderId="0" xfId="0" applyFont="1"/>
    <xf numFmtId="3" fontId="96" fillId="0" borderId="0" xfId="0" applyNumberFormat="1" applyFont="1"/>
    <xf numFmtId="0" fontId="96" fillId="0" borderId="0" xfId="0" applyFont="1" applyAlignment="1">
      <alignment horizontal="left"/>
    </xf>
    <xf numFmtId="168" fontId="110" fillId="0" borderId="0" xfId="0" applyNumberFormat="1" applyFont="1" applyAlignment="1">
      <alignment horizontal="left" vertical="top"/>
    </xf>
    <xf numFmtId="0" fontId="96" fillId="0" borderId="0" xfId="0" applyFont="1" applyAlignment="1">
      <alignment horizontal="left" vertical="center"/>
    </xf>
    <xf numFmtId="0" fontId="112" fillId="0" borderId="0" xfId="0" applyFont="1"/>
    <xf numFmtId="172" fontId="18" fillId="0" borderId="8" xfId="543" applyNumberFormat="1" applyBorder="1"/>
    <xf numFmtId="0" fontId="18" fillId="0" borderId="8" xfId="4495" applyFont="1" applyBorder="1"/>
    <xf numFmtId="0" fontId="18" fillId="0" borderId="0" xfId="4495" applyFont="1"/>
    <xf numFmtId="0" fontId="24" fillId="0" borderId="0" xfId="4495" applyFont="1" applyAlignment="1">
      <alignment horizontal="center" vertical="center"/>
    </xf>
    <xf numFmtId="0" fontId="25" fillId="0" borderId="0" xfId="4495" applyFont="1" applyAlignment="1">
      <alignment horizontal="left"/>
    </xf>
    <xf numFmtId="0" fontId="25" fillId="0" borderId="0" xfId="4495" applyFont="1"/>
    <xf numFmtId="0" fontId="28" fillId="0" borderId="0" xfId="4495" applyFont="1" applyAlignment="1">
      <alignment horizontal="center" vertical="center"/>
    </xf>
    <xf numFmtId="0" fontId="28" fillId="0" borderId="27" xfId="4495" applyFont="1" applyBorder="1" applyAlignment="1">
      <alignment horizontal="center" vertical="center"/>
    </xf>
    <xf numFmtId="0" fontId="28" fillId="0" borderId="46" xfId="4495" applyFont="1" applyBorder="1" applyAlignment="1">
      <alignment horizontal="center" vertical="center"/>
    </xf>
    <xf numFmtId="0" fontId="36" fillId="0" borderId="0" xfId="4495" applyFont="1" applyAlignment="1">
      <alignment horizontal="left" vertical="center"/>
    </xf>
    <xf numFmtId="0" fontId="18" fillId="0" borderId="0" xfId="1192" quotePrefix="1" applyAlignment="1">
      <alignment horizontal="center"/>
    </xf>
    <xf numFmtId="0" fontId="42" fillId="0" borderId="0" xfId="4495" applyFont="1" applyAlignment="1">
      <alignment horizontal="left" vertical="center"/>
    </xf>
    <xf numFmtId="49" fontId="26" fillId="0" borderId="0" xfId="4495" applyNumberFormat="1" applyFont="1" applyAlignment="1">
      <alignment horizontal="left" vertical="top"/>
    </xf>
    <xf numFmtId="0" fontId="18" fillId="0" borderId="47" xfId="4495" applyFont="1" applyBorder="1" applyAlignment="1">
      <alignment horizontal="left" vertical="center"/>
    </xf>
    <xf numFmtId="0" fontId="28" fillId="0" borderId="48" xfId="4495" applyFont="1" applyBorder="1" applyAlignment="1">
      <alignment horizontal="center" vertical="center"/>
    </xf>
    <xf numFmtId="0" fontId="26" fillId="0" borderId="0" xfId="4495" applyFont="1"/>
    <xf numFmtId="0" fontId="26" fillId="0" borderId="0" xfId="4495" applyFont="1" applyAlignment="1">
      <alignment horizontal="left" vertical="top"/>
    </xf>
    <xf numFmtId="0" fontId="114" fillId="0" borderId="53" xfId="4496" applyFont="1" applyBorder="1" applyAlignment="1">
      <alignment horizontal="left" vertical="top"/>
    </xf>
    <xf numFmtId="0" fontId="18" fillId="0" borderId="0" xfId="4495" applyFont="1" applyAlignment="1">
      <alignment horizontal="left" vertical="center"/>
    </xf>
    <xf numFmtId="0" fontId="115" fillId="0" borderId="0" xfId="4496" applyFont="1" applyAlignment="1">
      <alignment vertical="center"/>
    </xf>
    <xf numFmtId="0" fontId="113" fillId="0" borderId="0" xfId="4496" applyFont="1"/>
    <xf numFmtId="0" fontId="113" fillId="0" borderId="0" xfId="4496" applyFont="1" applyAlignment="1">
      <alignment vertical="center"/>
    </xf>
    <xf numFmtId="0" fontId="116" fillId="0" borderId="0" xfId="4496" applyFont="1" applyAlignment="1">
      <alignment vertical="center"/>
    </xf>
    <xf numFmtId="0" fontId="18" fillId="0" borderId="0" xfId="4496" applyFont="1" applyAlignment="1">
      <alignment vertical="center"/>
    </xf>
    <xf numFmtId="0" fontId="26" fillId="0" borderId="3" xfId="4495" applyFont="1" applyBorder="1" applyAlignment="1">
      <alignment vertical="top" wrapText="1"/>
    </xf>
    <xf numFmtId="0" fontId="26" fillId="0" borderId="4" xfId="4495" applyFont="1" applyBorder="1" applyAlignment="1">
      <alignment vertical="top" wrapText="1"/>
    </xf>
    <xf numFmtId="164" fontId="111" fillId="0" borderId="4" xfId="4495" applyNumberFormat="1" applyBorder="1" applyAlignment="1">
      <alignment horizontal="right"/>
    </xf>
    <xf numFmtId="0" fontId="26" fillId="0" borderId="4" xfId="4495" applyFont="1" applyBorder="1"/>
    <xf numFmtId="0" fontId="25" fillId="0" borderId="5" xfId="4495" applyFont="1" applyBorder="1" applyAlignment="1">
      <alignment horizontal="right"/>
    </xf>
    <xf numFmtId="0" fontId="18" fillId="0" borderId="16" xfId="4495" applyFont="1" applyBorder="1"/>
    <xf numFmtId="0" fontId="18" fillId="0" borderId="16" xfId="4495" applyFont="1" applyBorder="1" applyAlignment="1">
      <alignment horizontal="left" vertical="top"/>
    </xf>
    <xf numFmtId="0" fontId="26" fillId="0" borderId="16" xfId="4495" applyFont="1" applyBorder="1" applyAlignment="1">
      <alignment horizontal="left" vertical="top" wrapText="1"/>
    </xf>
    <xf numFmtId="0" fontId="26" fillId="0" borderId="45" xfId="4495" applyFont="1" applyBorder="1" applyAlignment="1">
      <alignment horizontal="left" vertical="top" wrapText="1"/>
    </xf>
    <xf numFmtId="0" fontId="111" fillId="0" borderId="0" xfId="4495"/>
    <xf numFmtId="0" fontId="19" fillId="0" borderId="0" xfId="244" applyFill="1" applyBorder="1" applyAlignment="1" applyProtection="1">
      <alignment horizontal="left" vertical="top"/>
    </xf>
    <xf numFmtId="0" fontId="19" fillId="0" borderId="0" xfId="244" applyFill="1" applyBorder="1" applyAlignment="1" applyProtection="1">
      <alignment horizontal="left" vertical="top" wrapText="1"/>
    </xf>
    <xf numFmtId="0" fontId="26" fillId="0" borderId="0" xfId="4495" applyFont="1" applyAlignment="1">
      <alignment horizontal="right" vertical="top"/>
    </xf>
    <xf numFmtId="0" fontId="18" fillId="0" borderId="0" xfId="4495" applyFont="1" applyAlignment="1">
      <alignment vertical="center" wrapText="1"/>
    </xf>
    <xf numFmtId="0" fontId="113" fillId="0" borderId="53" xfId="4496" applyFont="1" applyBorder="1" applyAlignment="1">
      <alignment vertical="top" wrapText="1"/>
    </xf>
    <xf numFmtId="0" fontId="113" fillId="0" borderId="0" xfId="4496" applyFont="1" applyAlignment="1">
      <alignment vertical="top" wrapText="1"/>
    </xf>
    <xf numFmtId="10" fontId="113" fillId="0" borderId="0" xfId="4496" applyNumberFormat="1" applyFont="1" applyAlignment="1">
      <alignment vertical="top" wrapText="1"/>
    </xf>
    <xf numFmtId="0" fontId="113" fillId="0" borderId="54" xfId="4496" applyFont="1" applyBorder="1" applyAlignment="1">
      <alignment vertical="top" wrapText="1"/>
    </xf>
    <xf numFmtId="0" fontId="113" fillId="0" borderId="0" xfId="4496" applyFont="1" applyAlignment="1">
      <alignment vertical="top"/>
    </xf>
    <xf numFmtId="165" fontId="113" fillId="0" borderId="0" xfId="4496" applyNumberFormat="1" applyFont="1" applyAlignment="1">
      <alignment vertical="top" wrapText="1"/>
    </xf>
    <xf numFmtId="0" fontId="25" fillId="0" borderId="57" xfId="4495" applyFont="1" applyBorder="1"/>
    <xf numFmtId="0" fontId="25" fillId="0" borderId="58" xfId="4495" applyFont="1" applyBorder="1"/>
    <xf numFmtId="0" fontId="25" fillId="0" borderId="58" xfId="4495" applyFont="1" applyBorder="1" applyAlignment="1">
      <alignment horizontal="right"/>
    </xf>
    <xf numFmtId="0" fontId="25" fillId="0" borderId="59" xfId="4495" applyFont="1" applyBorder="1" applyAlignment="1">
      <alignment horizontal="right"/>
    </xf>
    <xf numFmtId="0" fontId="113" fillId="0" borderId="0" xfId="4496" applyFont="1" applyAlignment="1">
      <alignment horizontal="left" vertical="top"/>
    </xf>
    <xf numFmtId="0" fontId="28" fillId="0" borderId="57" xfId="4495" applyFont="1" applyBorder="1" applyAlignment="1">
      <alignment horizontal="center" vertical="center"/>
    </xf>
    <xf numFmtId="0" fontId="28" fillId="0" borderId="58" xfId="4495" applyFont="1" applyBorder="1" applyAlignment="1">
      <alignment horizontal="center" vertical="center"/>
    </xf>
    <xf numFmtId="0" fontId="28" fillId="0" borderId="59" xfId="4495" applyFont="1" applyBorder="1" applyAlignment="1">
      <alignment horizontal="center" vertical="center"/>
    </xf>
    <xf numFmtId="0" fontId="25" fillId="0" borderId="8" xfId="4495" applyFont="1" applyBorder="1"/>
    <xf numFmtId="0" fontId="26" fillId="0" borderId="0" xfId="4495" applyFont="1" applyAlignment="1">
      <alignment horizontal="left"/>
    </xf>
    <xf numFmtId="0" fontId="18" fillId="0" borderId="0" xfId="4495" applyFont="1" applyAlignment="1">
      <alignment horizontal="center"/>
    </xf>
    <xf numFmtId="0" fontId="34" fillId="0" borderId="0" xfId="4495" applyFont="1"/>
    <xf numFmtId="0" fontId="26" fillId="0" borderId="8" xfId="4495" applyFont="1" applyBorder="1"/>
    <xf numFmtId="0" fontId="47" fillId="0" borderId="8" xfId="4495" applyFont="1" applyBorder="1"/>
    <xf numFmtId="1" fontId="18" fillId="0" borderId="0" xfId="1192" applyNumberFormat="1"/>
    <xf numFmtId="0" fontId="18" fillId="0" borderId="3" xfId="4495" applyFont="1" applyBorder="1"/>
    <xf numFmtId="0" fontId="18" fillId="0" borderId="4" xfId="4495" applyFont="1" applyBorder="1"/>
    <xf numFmtId="0" fontId="18" fillId="0" borderId="0" xfId="1192" applyAlignment="1">
      <alignment wrapText="1"/>
    </xf>
    <xf numFmtId="0" fontId="26" fillId="0" borderId="0" xfId="4495" applyFont="1" applyAlignment="1">
      <alignment vertical="top" wrapText="1"/>
    </xf>
    <xf numFmtId="0" fontId="26" fillId="0" borderId="0" xfId="1192" applyFont="1"/>
    <xf numFmtId="0" fontId="26" fillId="0" borderId="3" xfId="4495" applyFont="1" applyBorder="1"/>
    <xf numFmtId="0" fontId="18" fillId="0" borderId="4" xfId="4495" applyFont="1" applyBorder="1" applyAlignment="1">
      <alignment horizontal="right"/>
    </xf>
    <xf numFmtId="1" fontId="18" fillId="0" borderId="0" xfId="4495" applyNumberFormat="1" applyFont="1" applyAlignment="1">
      <alignment horizontal="center"/>
    </xf>
    <xf numFmtId="0" fontId="47" fillId="0" borderId="0" xfId="4495" applyFont="1"/>
    <xf numFmtId="0" fontId="18" fillId="0" borderId="0" xfId="4495" applyFont="1" applyAlignment="1">
      <alignment horizontal="right"/>
    </xf>
    <xf numFmtId="0" fontId="26" fillId="0" borderId="0" xfId="4495" applyFont="1" applyAlignment="1">
      <alignment vertical="top"/>
    </xf>
    <xf numFmtId="0" fontId="26" fillId="0" borderId="27" xfId="4495" applyFont="1" applyBorder="1"/>
    <xf numFmtId="0" fontId="25" fillId="0" borderId="0" xfId="4495" applyFont="1" applyAlignment="1">
      <alignment vertical="top"/>
    </xf>
    <xf numFmtId="0" fontId="36" fillId="0" borderId="0" xfId="4495" applyFont="1" applyAlignment="1">
      <alignment vertical="top" wrapText="1"/>
    </xf>
    <xf numFmtId="0" fontId="18" fillId="0" borderId="0" xfId="4495" applyFont="1" applyAlignment="1">
      <alignment horizontal="left" vertical="top"/>
    </xf>
    <xf numFmtId="0" fontId="36" fillId="0" borderId="0" xfId="4495" applyFont="1" applyAlignment="1">
      <alignment vertical="top"/>
    </xf>
    <xf numFmtId="0" fontId="18" fillId="0" borderId="10" xfId="4495" applyFont="1" applyBorder="1" applyAlignment="1">
      <alignment horizontal="center"/>
    </xf>
    <xf numFmtId="0" fontId="18" fillId="0" borderId="16" xfId="4495" applyFont="1" applyBorder="1" applyAlignment="1">
      <alignment horizontal="center"/>
    </xf>
    <xf numFmtId="0" fontId="34" fillId="0" borderId="16" xfId="4495" applyFont="1" applyBorder="1"/>
    <xf numFmtId="0" fontId="26" fillId="0" borderId="16" xfId="4495" applyFont="1" applyBorder="1"/>
    <xf numFmtId="0" fontId="18" fillId="0" borderId="0" xfId="4496" applyFont="1" applyAlignment="1">
      <alignment vertical="top" wrapText="1"/>
    </xf>
    <xf numFmtId="0" fontId="25" fillId="0" borderId="0" xfId="1192" applyFont="1" applyAlignment="1">
      <alignment horizontal="right"/>
    </xf>
    <xf numFmtId="0" fontId="18" fillId="0" borderId="0" xfId="4496" applyFont="1"/>
    <xf numFmtId="0" fontId="18" fillId="0" borderId="0" xfId="4496" applyFont="1" applyAlignment="1">
      <alignment horizontal="left"/>
    </xf>
    <xf numFmtId="0" fontId="18" fillId="0" borderId="0" xfId="4496" applyFont="1" applyAlignment="1">
      <alignment horizontal="right"/>
    </xf>
    <xf numFmtId="0" fontId="26" fillId="0" borderId="0" xfId="4496" applyFont="1" applyAlignment="1">
      <alignment vertical="top" wrapText="1"/>
    </xf>
    <xf numFmtId="0" fontId="18" fillId="0" borderId="4" xfId="4496" applyFont="1" applyBorder="1"/>
    <xf numFmtId="0" fontId="25" fillId="0" borderId="4" xfId="4496" applyFont="1" applyBorder="1" applyAlignment="1">
      <alignment horizontal="right"/>
    </xf>
    <xf numFmtId="0" fontId="26" fillId="0" borderId="27" xfId="4495" applyFont="1" applyBorder="1" applyAlignment="1">
      <alignment horizontal="left" vertical="top"/>
    </xf>
    <xf numFmtId="0" fontId="18" fillId="0" borderId="27" xfId="4495" applyFont="1" applyBorder="1" applyAlignment="1">
      <alignment horizontal="left" vertical="top"/>
    </xf>
    <xf numFmtId="0" fontId="25" fillId="0" borderId="27" xfId="4495" applyFont="1" applyBorder="1" applyAlignment="1">
      <alignment horizontal="right"/>
    </xf>
    <xf numFmtId="0" fontId="18" fillId="0" borderId="27" xfId="4495" applyFont="1" applyBorder="1" applyAlignment="1">
      <alignment horizontal="center"/>
    </xf>
    <xf numFmtId="0" fontId="18" fillId="0" borderId="46" xfId="4495" applyFont="1" applyBorder="1" applyAlignment="1">
      <alignment horizontal="center"/>
    </xf>
    <xf numFmtId="164" fontId="26" fillId="0" borderId="0" xfId="4495" applyNumberFormat="1" applyFont="1" applyAlignment="1">
      <alignment horizontal="left" vertical="top" wrapText="1"/>
    </xf>
    <xf numFmtId="0" fontId="29" fillId="0" borderId="0" xfId="4495" applyFont="1"/>
    <xf numFmtId="0" fontId="26" fillId="0" borderId="0" xfId="4495" applyFont="1" applyAlignment="1">
      <alignment horizontal="right"/>
    </xf>
    <xf numFmtId="0" fontId="18" fillId="0" borderId="27" xfId="543" applyBorder="1"/>
    <xf numFmtId="0" fontId="18" fillId="0" borderId="46" xfId="543" applyBorder="1"/>
    <xf numFmtId="1" fontId="111" fillId="0" borderId="0" xfId="4495" applyNumberFormat="1"/>
    <xf numFmtId="0" fontId="18" fillId="0" borderId="0" xfId="4495" applyFont="1" applyAlignment="1">
      <alignment vertical="top" wrapText="1"/>
    </xf>
    <xf numFmtId="0" fontId="18" fillId="0" borderId="50" xfId="4495" applyFont="1" applyBorder="1" applyAlignment="1">
      <alignment vertical="top"/>
    </xf>
    <xf numFmtId="0" fontId="18" fillId="0" borderId="51" xfId="4495" applyFont="1" applyBorder="1" applyAlignment="1">
      <alignment vertical="top"/>
    </xf>
    <xf numFmtId="0" fontId="18" fillId="0" borderId="52" xfId="4495" applyFont="1" applyBorder="1" applyAlignment="1">
      <alignment vertical="top"/>
    </xf>
    <xf numFmtId="1" fontId="26" fillId="0" borderId="8" xfId="4495" applyNumberFormat="1" applyFont="1" applyBorder="1"/>
    <xf numFmtId="0" fontId="18" fillId="0" borderId="0" xfId="543" applyAlignment="1">
      <alignment vertical="top"/>
    </xf>
    <xf numFmtId="0" fontId="26" fillId="0" borderId="51" xfId="4495" applyFont="1" applyBorder="1" applyAlignment="1">
      <alignment horizontal="left" vertical="top"/>
    </xf>
    <xf numFmtId="0" fontId="26" fillId="0" borderId="52" xfId="4495" applyFont="1" applyBorder="1" applyAlignment="1">
      <alignment horizontal="left" vertical="top"/>
    </xf>
    <xf numFmtId="0" fontId="18" fillId="0" borderId="53" xfId="4495" applyFont="1" applyBorder="1" applyAlignment="1">
      <alignment vertical="top"/>
    </xf>
    <xf numFmtId="0" fontId="18" fillId="0" borderId="54" xfId="4495" applyFont="1" applyBorder="1" applyAlignment="1">
      <alignment vertical="top" wrapText="1"/>
    </xf>
    <xf numFmtId="0" fontId="53" fillId="0" borderId="53" xfId="4495" applyFont="1" applyBorder="1"/>
    <xf numFmtId="0" fontId="26" fillId="0" borderId="54" xfId="4495" applyFont="1" applyBorder="1" applyAlignment="1">
      <alignment horizontal="left" vertical="top"/>
    </xf>
    <xf numFmtId="0" fontId="18" fillId="0" borderId="53" xfId="4495" applyFont="1" applyBorder="1" applyAlignment="1">
      <alignment vertical="center" wrapText="1"/>
    </xf>
    <xf numFmtId="0" fontId="53" fillId="0" borderId="57" xfId="4495" applyFont="1" applyBorder="1"/>
    <xf numFmtId="0" fontId="26" fillId="0" borderId="58" xfId="4495" applyFont="1" applyBorder="1" applyAlignment="1">
      <alignment horizontal="left" vertical="top"/>
    </xf>
    <xf numFmtId="0" fontId="26" fillId="0" borderId="12" xfId="4495" applyFont="1" applyBorder="1"/>
    <xf numFmtId="0" fontId="18" fillId="0" borderId="57" xfId="4495" applyFont="1" applyBorder="1" applyAlignment="1">
      <alignment vertical="center"/>
    </xf>
    <xf numFmtId="0" fontId="18" fillId="0" borderId="58" xfId="4495" applyFont="1" applyBorder="1" applyAlignment="1">
      <alignment vertical="top"/>
    </xf>
    <xf numFmtId="0" fontId="18" fillId="0" borderId="59" xfId="4495" applyFont="1" applyBorder="1" applyAlignment="1">
      <alignment vertical="top"/>
    </xf>
    <xf numFmtId="0" fontId="18" fillId="0" borderId="0" xfId="4495" applyFont="1" applyAlignment="1">
      <alignment vertical="top"/>
    </xf>
    <xf numFmtId="0" fontId="26" fillId="0" borderId="4" xfId="4495" applyFont="1" applyBorder="1" applyAlignment="1">
      <alignment horizontal="left" vertical="top"/>
    </xf>
    <xf numFmtId="0" fontId="18" fillId="0" borderId="4" xfId="4495" applyFont="1" applyBorder="1" applyAlignment="1">
      <alignment horizontal="left" vertical="top"/>
    </xf>
    <xf numFmtId="0" fontId="18" fillId="0" borderId="2" xfId="4495" applyFont="1" applyBorder="1"/>
    <xf numFmtId="0" fontId="26" fillId="0" borderId="2" xfId="4495" applyFont="1" applyBorder="1"/>
    <xf numFmtId="0" fontId="18" fillId="0" borderId="2" xfId="4495" applyFont="1" applyBorder="1" applyAlignment="1">
      <alignment horizontal="center"/>
    </xf>
    <xf numFmtId="0" fontId="26" fillId="0" borderId="7" xfId="4495" applyFont="1" applyBorder="1"/>
    <xf numFmtId="0" fontId="34" fillId="0" borderId="0" xfId="4495" applyFont="1" applyAlignment="1">
      <alignment horizontal="right"/>
    </xf>
    <xf numFmtId="0" fontId="117" fillId="0" borderId="0" xfId="4495" applyFont="1" applyAlignment="1">
      <alignment horizontal="left" vertical="top" wrapText="1"/>
    </xf>
    <xf numFmtId="0" fontId="34" fillId="0" borderId="0" xfId="4495" applyFont="1" applyAlignment="1">
      <alignment horizontal="left" vertical="top"/>
    </xf>
    <xf numFmtId="0" fontId="26" fillId="0" borderId="0" xfId="4495" quotePrefix="1" applyFont="1" applyAlignment="1">
      <alignment horizontal="right"/>
    </xf>
    <xf numFmtId="0" fontId="18" fillId="0" borderId="0" xfId="4497"/>
    <xf numFmtId="0" fontId="26" fillId="0" borderId="0" xfId="4495" applyFont="1" applyAlignment="1">
      <alignment horizontal="left" vertical="top" wrapText="1" shrinkToFit="1"/>
    </xf>
    <xf numFmtId="0" fontId="111" fillId="0" borderId="0" xfId="4495" applyAlignment="1">
      <alignment vertical="top" wrapText="1"/>
    </xf>
    <xf numFmtId="0" fontId="26" fillId="0" borderId="4" xfId="4495" applyFont="1" applyBorder="1" applyAlignment="1">
      <alignment horizontal="left" vertical="top" wrapText="1" shrinkToFit="1"/>
    </xf>
    <xf numFmtId="0" fontId="34" fillId="0" borderId="8" xfId="4495" applyFont="1" applyBorder="1"/>
    <xf numFmtId="0" fontId="26" fillId="0" borderId="0" xfId="4495" quotePrefix="1" applyFont="1"/>
    <xf numFmtId="0" fontId="26" fillId="0" borderId="0" xfId="4495" applyFont="1" applyAlignment="1">
      <alignment horizontal="left" vertical="top" shrinkToFit="1"/>
    </xf>
    <xf numFmtId="0" fontId="42" fillId="0" borderId="0" xfId="4495" applyFont="1"/>
    <xf numFmtId="0" fontId="26" fillId="0" borderId="3" xfId="4495" applyFont="1" applyBorder="1" applyAlignment="1">
      <alignment horizontal="center"/>
    </xf>
    <xf numFmtId="0" fontId="111" fillId="0" borderId="8" xfId="4495" applyBorder="1"/>
    <xf numFmtId="0" fontId="25" fillId="0" borderId="8" xfId="4495" applyFont="1" applyBorder="1" applyAlignment="1">
      <alignment vertical="top"/>
    </xf>
    <xf numFmtId="0" fontId="111" fillId="0" borderId="0" xfId="4495" applyAlignment="1">
      <alignment vertical="top"/>
    </xf>
    <xf numFmtId="0" fontId="25" fillId="0" borderId="4" xfId="4495" applyFont="1" applyBorder="1" applyAlignment="1">
      <alignment horizontal="center" vertical="top"/>
    </xf>
    <xf numFmtId="0" fontId="117" fillId="0" borderId="0" xfId="4495" applyFont="1" applyAlignment="1">
      <alignment horizontal="left" vertical="top"/>
    </xf>
    <xf numFmtId="0" fontId="117" fillId="0" borderId="4" xfId="4495" applyFont="1" applyBorder="1" applyAlignment="1">
      <alignment horizontal="left" vertical="top"/>
    </xf>
    <xf numFmtId="168" fontId="18" fillId="0" borderId="0" xfId="4497" applyNumberFormat="1"/>
    <xf numFmtId="1" fontId="26" fillId="0" borderId="0" xfId="4495" applyNumberFormat="1" applyFont="1" applyAlignment="1">
      <alignment horizontal="center" vertical="top"/>
    </xf>
    <xf numFmtId="0" fontId="121" fillId="0" borderId="0" xfId="4495" applyFont="1" applyAlignment="1">
      <alignment vertical="top" wrapText="1"/>
    </xf>
    <xf numFmtId="0" fontId="26" fillId="0" borderId="6" xfId="4495" applyFont="1" applyBorder="1"/>
    <xf numFmtId="1" fontId="26" fillId="0" borderId="8" xfId="4495" applyNumberFormat="1" applyFont="1" applyBorder="1" applyAlignment="1">
      <alignment horizontal="center" vertical="top"/>
    </xf>
    <xf numFmtId="0" fontId="111" fillId="0" borderId="12" xfId="4495" applyBorder="1"/>
    <xf numFmtId="0" fontId="26" fillId="0" borderId="9" xfId="4495" applyFont="1" applyBorder="1"/>
    <xf numFmtId="0" fontId="111" fillId="0" borderId="10" xfId="4495" applyBorder="1"/>
    <xf numFmtId="0" fontId="34" fillId="0" borderId="3" xfId="4495" applyFont="1" applyBorder="1"/>
    <xf numFmtId="0" fontId="25" fillId="0" borderId="4" xfId="4495" applyFont="1" applyBorder="1"/>
    <xf numFmtId="0" fontId="111" fillId="0" borderId="12" xfId="4495" applyBorder="1" applyAlignment="1">
      <alignment vertical="top"/>
    </xf>
    <xf numFmtId="0" fontId="34" fillId="0" borderId="1" xfId="4495" applyFont="1" applyBorder="1"/>
    <xf numFmtId="0" fontId="121" fillId="0" borderId="2" xfId="4495" applyFont="1" applyBorder="1" applyAlignment="1">
      <alignment horizontal="left" wrapText="1"/>
    </xf>
    <xf numFmtId="0" fontId="121" fillId="0" borderId="2" xfId="4495" applyFont="1" applyBorder="1" applyAlignment="1">
      <alignment horizontal="left"/>
    </xf>
    <xf numFmtId="0" fontId="121" fillId="0" borderId="7" xfId="4495" applyFont="1" applyBorder="1" applyAlignment="1">
      <alignment horizontal="left" wrapText="1"/>
    </xf>
    <xf numFmtId="0" fontId="121" fillId="0" borderId="0" xfId="4495" applyFont="1" applyAlignment="1">
      <alignment horizontal="left" wrapText="1"/>
    </xf>
    <xf numFmtId="0" fontId="34" fillId="0" borderId="9" xfId="4495" applyFont="1" applyBorder="1"/>
    <xf numFmtId="0" fontId="26" fillId="0" borderId="10" xfId="4495" applyFont="1" applyBorder="1"/>
    <xf numFmtId="0" fontId="121" fillId="0" borderId="0" xfId="4495" applyFont="1" applyAlignment="1">
      <alignment wrapText="1"/>
    </xf>
    <xf numFmtId="0" fontId="34" fillId="0" borderId="9" xfId="4495" applyFont="1" applyBorder="1" applyAlignment="1">
      <alignment horizontal="center"/>
    </xf>
    <xf numFmtId="0" fontId="25" fillId="0" borderId="10" xfId="4495" applyFont="1" applyBorder="1"/>
    <xf numFmtId="0" fontId="36" fillId="0" borderId="0" xfId="4495" applyFont="1"/>
    <xf numFmtId="0" fontId="26" fillId="0" borderId="50" xfId="4495" applyFont="1" applyBorder="1"/>
    <xf numFmtId="0" fontId="26" fillId="0" borderId="51" xfId="4495" applyFont="1" applyBorder="1"/>
    <xf numFmtId="1" fontId="26" fillId="0" borderId="51" xfId="4495" quotePrefix="1" applyNumberFormat="1" applyFont="1" applyBorder="1" applyAlignment="1">
      <alignment horizontal="center" vertical="top"/>
    </xf>
    <xf numFmtId="0" fontId="25" fillId="0" borderId="51" xfId="4495" applyFont="1" applyBorder="1"/>
    <xf numFmtId="0" fontId="25" fillId="0" borderId="52" xfId="4495" applyFont="1" applyBorder="1" applyAlignment="1">
      <alignment horizontal="center"/>
    </xf>
    <xf numFmtId="0" fontId="18" fillId="0" borderId="53" xfId="4495" applyFont="1" applyBorder="1"/>
    <xf numFmtId="1" fontId="26" fillId="0" borderId="0" xfId="4495" quotePrefix="1" applyNumberFormat="1" applyFont="1" applyAlignment="1">
      <alignment horizontal="center" vertical="top"/>
    </xf>
    <xf numFmtId="0" fontId="34" fillId="0" borderId="0" xfId="4495" applyFont="1" applyAlignment="1">
      <alignment vertical="top"/>
    </xf>
    <xf numFmtId="0" fontId="26" fillId="0" borderId="61" xfId="4495" applyFont="1" applyBorder="1"/>
    <xf numFmtId="0" fontId="111" fillId="0" borderId="58" xfId="4495" applyBorder="1" applyAlignment="1">
      <alignment horizontal="center"/>
    </xf>
    <xf numFmtId="1" fontId="26" fillId="0" borderId="58" xfId="4495" quotePrefix="1" applyNumberFormat="1" applyFont="1" applyBorder="1" applyAlignment="1">
      <alignment horizontal="center" vertical="top"/>
    </xf>
    <xf numFmtId="0" fontId="34" fillId="0" borderId="58" xfId="4495" applyFont="1" applyBorder="1" applyAlignment="1">
      <alignment vertical="top"/>
    </xf>
    <xf numFmtId="0" fontId="26" fillId="0" borderId="58" xfId="4495" applyFont="1" applyBorder="1" applyAlignment="1">
      <alignment vertical="top" wrapText="1"/>
    </xf>
    <xf numFmtId="0" fontId="26" fillId="0" borderId="58" xfId="4495" applyFont="1" applyBorder="1"/>
    <xf numFmtId="0" fontId="25" fillId="0" borderId="58" xfId="4495" applyFont="1" applyBorder="1" applyAlignment="1">
      <alignment horizontal="center"/>
    </xf>
    <xf numFmtId="0" fontId="111" fillId="0" borderId="61" xfId="4495" applyBorder="1"/>
    <xf numFmtId="0" fontId="18" fillId="0" borderId="53" xfId="543" applyBorder="1"/>
    <xf numFmtId="0" fontId="26" fillId="0" borderId="54" xfId="4495" applyFont="1" applyBorder="1"/>
    <xf numFmtId="0" fontId="18" fillId="0" borderId="58" xfId="543" applyBorder="1"/>
    <xf numFmtId="1" fontId="26" fillId="0" borderId="58" xfId="4495" applyNumberFormat="1" applyFont="1" applyBorder="1" applyAlignment="1">
      <alignment horizontal="center" vertical="top"/>
    </xf>
    <xf numFmtId="0" fontId="34" fillId="0" borderId="58" xfId="4495" applyFont="1" applyBorder="1" applyAlignment="1">
      <alignment vertical="center"/>
    </xf>
    <xf numFmtId="0" fontId="111" fillId="0" borderId="58" xfId="4495" applyBorder="1" applyAlignment="1">
      <alignment vertical="top" wrapText="1"/>
    </xf>
    <xf numFmtId="0" fontId="18" fillId="0" borderId="58" xfId="4495" applyFont="1" applyBorder="1"/>
    <xf numFmtId="0" fontId="34" fillId="0" borderId="0" xfId="4495" applyFont="1" applyAlignment="1">
      <alignment vertical="center"/>
    </xf>
    <xf numFmtId="0" fontId="26" fillId="0" borderId="53" xfId="4495" applyFont="1" applyBorder="1"/>
    <xf numFmtId="0" fontId="18" fillId="0" borderId="57" xfId="543" applyBorder="1"/>
    <xf numFmtId="0" fontId="26" fillId="0" borderId="58" xfId="4495" applyFont="1" applyBorder="1" applyAlignment="1">
      <alignment vertical="top"/>
    </xf>
    <xf numFmtId="0" fontId="26" fillId="0" borderId="59" xfId="4495" applyFont="1" applyBorder="1"/>
    <xf numFmtId="0" fontId="26" fillId="0" borderId="57" xfId="4495" applyFont="1" applyBorder="1"/>
    <xf numFmtId="0" fontId="18" fillId="0" borderId="51" xfId="4495" applyFont="1" applyBorder="1"/>
    <xf numFmtId="0" fontId="26" fillId="0" borderId="52" xfId="4495" applyFont="1" applyBorder="1"/>
    <xf numFmtId="0" fontId="18" fillId="0" borderId="50" xfId="543" applyBorder="1"/>
    <xf numFmtId="0" fontId="18" fillId="0" borderId="51" xfId="543" applyBorder="1"/>
    <xf numFmtId="0" fontId="18" fillId="0" borderId="52" xfId="543" applyBorder="1"/>
    <xf numFmtId="0" fontId="26" fillId="0" borderId="0" xfId="4495" applyFont="1" applyAlignment="1">
      <alignment wrapText="1"/>
    </xf>
    <xf numFmtId="2" fontId="26" fillId="0" borderId="0" xfId="4495" applyNumberFormat="1" applyFont="1" applyAlignment="1">
      <alignment horizontal="right"/>
    </xf>
    <xf numFmtId="2" fontId="26" fillId="0" borderId="8" xfId="4495" applyNumberFormat="1" applyFont="1" applyBorder="1" applyAlignment="1">
      <alignment horizontal="left"/>
    </xf>
    <xf numFmtId="0" fontId="26" fillId="0" borderId="8" xfId="4495" applyFont="1" applyBorder="1" applyAlignment="1">
      <alignment horizontal="right"/>
    </xf>
    <xf numFmtId="0" fontId="120" fillId="0" borderId="0" xfId="4495" applyFont="1"/>
    <xf numFmtId="0" fontId="111" fillId="0" borderId="57" xfId="4495" applyBorder="1" applyAlignment="1">
      <alignment horizontal="center"/>
    </xf>
    <xf numFmtId="0" fontId="25" fillId="0" borderId="59" xfId="4495" applyFont="1" applyBorder="1" applyAlignment="1">
      <alignment horizontal="center"/>
    </xf>
    <xf numFmtId="9" fontId="26" fillId="0" borderId="0" xfId="4495" applyNumberFormat="1" applyFont="1" applyAlignment="1">
      <alignment horizontal="left"/>
    </xf>
    <xf numFmtId="0" fontId="18" fillId="0" borderId="17" xfId="543" applyBorder="1"/>
    <xf numFmtId="0" fontId="18" fillId="0" borderId="16" xfId="543" applyBorder="1"/>
    <xf numFmtId="0" fontId="18" fillId="0" borderId="51" xfId="4495" quotePrefix="1" applyFont="1" applyBorder="1" applyAlignment="1">
      <alignment horizontal="center" vertical="top"/>
    </xf>
    <xf numFmtId="0" fontId="26" fillId="0" borderId="53" xfId="4495" applyFont="1" applyBorder="1" applyAlignment="1">
      <alignment horizontal="left" vertical="top"/>
    </xf>
    <xf numFmtId="0" fontId="26" fillId="0" borderId="0" xfId="4495" applyFont="1" applyAlignment="1">
      <alignment horizontal="center" vertical="top"/>
    </xf>
    <xf numFmtId="0" fontId="26" fillId="0" borderId="57" xfId="4495" applyFont="1" applyBorder="1" applyAlignment="1">
      <alignment horizontal="left" vertical="top"/>
    </xf>
    <xf numFmtId="0" fontId="26" fillId="0" borderId="58" xfId="4495" applyFont="1" applyBorder="1" applyAlignment="1">
      <alignment horizontal="center" vertical="top"/>
    </xf>
    <xf numFmtId="0" fontId="111" fillId="0" borderId="58" xfId="4495" applyBorder="1"/>
    <xf numFmtId="0" fontId="25" fillId="0" borderId="58" xfId="4495" applyFont="1" applyBorder="1" applyAlignment="1">
      <alignment vertical="top"/>
    </xf>
    <xf numFmtId="0" fontId="25" fillId="0" borderId="58" xfId="4495" applyFont="1" applyBorder="1" applyAlignment="1">
      <alignment horizontal="left" vertical="top"/>
    </xf>
    <xf numFmtId="0" fontId="25" fillId="0" borderId="51" xfId="4495" applyFont="1" applyBorder="1" applyAlignment="1">
      <alignment horizontal="left" vertical="top"/>
    </xf>
    <xf numFmtId="0" fontId="25" fillId="0" borderId="53" xfId="4495" applyFont="1" applyBorder="1" applyAlignment="1">
      <alignment horizontal="left" vertical="top"/>
    </xf>
    <xf numFmtId="0" fontId="47" fillId="0" borderId="0" xfId="4495" applyFont="1" applyAlignment="1">
      <alignment horizontal="left" vertical="top"/>
    </xf>
    <xf numFmtId="0" fontId="26" fillId="0" borderId="0" xfId="4495" quotePrefix="1" applyFont="1" applyAlignment="1">
      <alignment horizontal="center" vertical="top"/>
    </xf>
    <xf numFmtId="0" fontId="48" fillId="0" borderId="0" xfId="4495" applyFont="1" applyAlignment="1">
      <alignment horizontal="center"/>
    </xf>
    <xf numFmtId="0" fontId="48" fillId="0" borderId="0" xfId="4495" applyFont="1" applyAlignment="1">
      <alignment vertical="top"/>
    </xf>
    <xf numFmtId="0" fontId="98" fillId="0" borderId="0" xfId="4495" applyFont="1"/>
    <xf numFmtId="0" fontId="47" fillId="0" borderId="0" xfId="4495" applyFont="1" applyAlignment="1">
      <alignment vertical="top"/>
    </xf>
    <xf numFmtId="0" fontId="34" fillId="0" borderId="53" xfId="4495" applyFont="1" applyBorder="1"/>
    <xf numFmtId="2" fontId="26" fillId="0" borderId="8" xfId="4495" applyNumberFormat="1" applyFont="1" applyBorder="1" applyAlignment="1">
      <alignment horizontal="right"/>
    </xf>
    <xf numFmtId="0" fontId="25" fillId="0" borderId="50" xfId="4495" applyFont="1" applyBorder="1" applyAlignment="1">
      <alignment horizontal="left" vertical="top"/>
    </xf>
    <xf numFmtId="0" fontId="47" fillId="0" borderId="51" xfId="4495" applyFont="1" applyBorder="1" applyAlignment="1">
      <alignment horizontal="left" vertical="top"/>
    </xf>
    <xf numFmtId="0" fontId="111" fillId="0" borderId="53" xfId="4495" applyBorder="1"/>
    <xf numFmtId="0" fontId="98" fillId="0" borderId="0" xfId="4495" applyFont="1" applyAlignment="1">
      <alignment horizontal="left" vertical="top"/>
    </xf>
    <xf numFmtId="1" fontId="25" fillId="0" borderId="58" xfId="4495" applyNumberFormat="1" applyFont="1" applyBorder="1" applyAlignment="1">
      <alignment vertical="top"/>
    </xf>
    <xf numFmtId="172" fontId="25" fillId="0" borderId="8" xfId="543" applyNumberFormat="1" applyFont="1" applyBorder="1"/>
    <xf numFmtId="172" fontId="25" fillId="0" borderId="0" xfId="543" applyNumberFormat="1" applyFont="1"/>
    <xf numFmtId="0" fontId="34" fillId="0" borderId="0" xfId="4495" applyFont="1" applyAlignment="1">
      <alignment wrapText="1"/>
    </xf>
    <xf numFmtId="0" fontId="34" fillId="0" borderId="0" xfId="4495" applyFont="1" applyAlignment="1">
      <alignment horizontal="center"/>
    </xf>
    <xf numFmtId="0" fontId="34" fillId="0" borderId="0" xfId="4495" applyFont="1" applyAlignment="1">
      <alignment vertical="center" wrapText="1"/>
    </xf>
    <xf numFmtId="180" fontId="26" fillId="0" borderId="0" xfId="4495" applyNumberFormat="1" applyFont="1" applyAlignment="1">
      <alignment horizontal="center"/>
    </xf>
    <xf numFmtId="1" fontId="26" fillId="0" borderId="0" xfId="4495" applyNumberFormat="1" applyFont="1" applyAlignment="1">
      <alignment horizontal="center"/>
    </xf>
    <xf numFmtId="0" fontId="25" fillId="0" borderId="51" xfId="4495" applyFont="1" applyBorder="1" applyAlignment="1">
      <alignment horizontal="center"/>
    </xf>
    <xf numFmtId="0" fontId="25" fillId="0" borderId="51" xfId="4495" applyFont="1" applyBorder="1" applyAlignment="1">
      <alignment vertical="top"/>
    </xf>
    <xf numFmtId="0" fontId="25" fillId="0" borderId="53" xfId="4495" applyFont="1" applyBorder="1"/>
    <xf numFmtId="0" fontId="18" fillId="0" borderId="54" xfId="543" applyBorder="1"/>
    <xf numFmtId="49" fontId="26" fillId="0" borderId="0" xfId="4495" applyNumberFormat="1" applyFont="1" applyAlignment="1">
      <alignment horizontal="left" vertical="center" wrapText="1"/>
    </xf>
    <xf numFmtId="0" fontId="18" fillId="0" borderId="57" xfId="4495" applyFont="1" applyBorder="1"/>
    <xf numFmtId="1" fontId="18" fillId="0" borderId="0" xfId="4495" applyNumberFormat="1" applyFont="1" applyAlignment="1">
      <alignment vertical="center"/>
    </xf>
    <xf numFmtId="0" fontId="36" fillId="0" borderId="50" xfId="4495" applyFont="1" applyBorder="1"/>
    <xf numFmtId="0" fontId="26" fillId="0" borderId="51" xfId="4495" applyFont="1" applyBorder="1" applyAlignment="1">
      <alignment horizontal="center" vertical="top"/>
    </xf>
    <xf numFmtId="0" fontId="26" fillId="0" borderId="51" xfId="4495" applyFont="1" applyBorder="1" applyAlignment="1">
      <alignment vertical="top" wrapText="1"/>
    </xf>
    <xf numFmtId="0" fontId="18" fillId="0" borderId="0" xfId="4495" quotePrefix="1" applyFont="1" applyAlignment="1">
      <alignment horizontal="center" vertical="top"/>
    </xf>
    <xf numFmtId="1" fontId="26" fillId="0" borderId="0" xfId="4495" quotePrefix="1" applyNumberFormat="1" applyFont="1" applyAlignment="1">
      <alignment wrapText="1"/>
    </xf>
    <xf numFmtId="0" fontId="26" fillId="0" borderId="6" xfId="4495" applyFont="1" applyBorder="1" applyAlignment="1">
      <alignment horizontal="right"/>
    </xf>
    <xf numFmtId="0" fontId="113" fillId="0" borderId="0" xfId="4496" applyFont="1" applyAlignment="1">
      <alignment wrapText="1"/>
    </xf>
    <xf numFmtId="0" fontId="18" fillId="0" borderId="0" xfId="4496" applyFont="1" applyAlignment="1">
      <alignment wrapText="1"/>
    </xf>
    <xf numFmtId="0" fontId="34" fillId="0" borderId="51" xfId="4495" applyFont="1" applyBorder="1" applyAlignment="1">
      <alignment vertical="top"/>
    </xf>
    <xf numFmtId="0" fontId="18" fillId="0" borderId="51" xfId="4496" applyFont="1" applyBorder="1" applyAlignment="1">
      <alignment wrapText="1"/>
    </xf>
    <xf numFmtId="0" fontId="25" fillId="0" borderId="51" xfId="4495" applyFont="1" applyBorder="1" applyAlignment="1">
      <alignment horizontal="right"/>
    </xf>
    <xf numFmtId="0" fontId="18" fillId="0" borderId="52" xfId="4495" applyFont="1" applyBorder="1" applyAlignment="1">
      <alignment horizontal="center"/>
    </xf>
    <xf numFmtId="0" fontId="18" fillId="0" borderId="53" xfId="4495" applyFont="1" applyBorder="1" applyAlignment="1">
      <alignment horizontal="left" vertical="top"/>
    </xf>
    <xf numFmtId="0" fontId="18" fillId="0" borderId="54" xfId="4495" applyFont="1" applyBorder="1" applyAlignment="1">
      <alignment horizontal="left" vertical="top"/>
    </xf>
    <xf numFmtId="0" fontId="18" fillId="0" borderId="54" xfId="4495" applyFont="1" applyBorder="1" applyAlignment="1">
      <alignment horizontal="center"/>
    </xf>
    <xf numFmtId="0" fontId="18" fillId="0" borderId="59" xfId="4495" applyFont="1" applyBorder="1" applyAlignment="1">
      <alignment horizontal="center"/>
    </xf>
    <xf numFmtId="9" fontId="18" fillId="0" borderId="0" xfId="4496" applyNumberFormat="1" applyFont="1" applyAlignment="1">
      <alignment horizontal="center"/>
    </xf>
    <xf numFmtId="1" fontId="18" fillId="0" borderId="0" xfId="543" applyNumberFormat="1"/>
    <xf numFmtId="0" fontId="26" fillId="0" borderId="1" xfId="4495" applyFont="1" applyBorder="1"/>
    <xf numFmtId="0" fontId="25" fillId="0" borderId="0" xfId="4495" applyFont="1" applyAlignment="1">
      <alignment horizontal="center" wrapText="1"/>
    </xf>
    <xf numFmtId="0" fontId="25" fillId="0" borderId="9" xfId="4495" applyFont="1" applyBorder="1" applyAlignment="1">
      <alignment horizontal="left"/>
    </xf>
    <xf numFmtId="0" fontId="18" fillId="0" borderId="2" xfId="4495" applyFont="1" applyBorder="1" applyAlignment="1">
      <alignment horizontal="left"/>
    </xf>
    <xf numFmtId="0" fontId="25" fillId="0" borderId="2" xfId="4495" applyFont="1" applyBorder="1" applyAlignment="1">
      <alignment horizontal="left"/>
    </xf>
    <xf numFmtId="180" fontId="56" fillId="0" borderId="0" xfId="4495" applyNumberFormat="1" applyFont="1" applyAlignment="1">
      <alignment horizontal="center" vertical="center"/>
    </xf>
    <xf numFmtId="0" fontId="18" fillId="0" borderId="12" xfId="4495" applyFont="1" applyBorder="1" applyAlignment="1">
      <alignment vertical="top"/>
    </xf>
    <xf numFmtId="0" fontId="42" fillId="0" borderId="0" xfId="4495" applyFont="1" applyAlignment="1">
      <alignment vertical="top" wrapText="1"/>
    </xf>
    <xf numFmtId="0" fontId="18" fillId="0" borderId="51" xfId="4495" applyFont="1" applyBorder="1" applyAlignment="1">
      <alignment horizontal="right"/>
    </xf>
    <xf numFmtId="0" fontId="18" fillId="0" borderId="52" xfId="4495" applyFont="1" applyBorder="1" applyAlignment="1">
      <alignment horizontal="right"/>
    </xf>
    <xf numFmtId="0" fontId="18" fillId="0" borderId="54" xfId="4495" applyFont="1" applyBorder="1" applyAlignment="1">
      <alignment horizontal="right"/>
    </xf>
    <xf numFmtId="0" fontId="18" fillId="0" borderId="58" xfId="4495" applyFont="1" applyBorder="1" applyAlignment="1">
      <alignment horizontal="right"/>
    </xf>
    <xf numFmtId="0" fontId="18" fillId="0" borderId="59" xfId="4495" applyFont="1" applyBorder="1" applyAlignment="1">
      <alignment horizontal="right"/>
    </xf>
    <xf numFmtId="0" fontId="42" fillId="0" borderId="0" xfId="4495" applyFont="1" applyAlignment="1">
      <alignment horizontal="left" vertical="top" wrapText="1"/>
    </xf>
    <xf numFmtId="0" fontId="18" fillId="0" borderId="0" xfId="1192" applyAlignment="1">
      <alignment horizontal="left" vertical="top"/>
    </xf>
    <xf numFmtId="0" fontId="36" fillId="0" borderId="0" xfId="1192" applyFont="1" applyAlignment="1">
      <alignment horizontal="left" vertical="top"/>
    </xf>
    <xf numFmtId="0" fontId="18" fillId="0" borderId="0" xfId="1192" applyAlignment="1">
      <alignment vertical="top"/>
    </xf>
    <xf numFmtId="168" fontId="18" fillId="0" borderId="0" xfId="1192" applyNumberFormat="1"/>
    <xf numFmtId="165" fontId="18" fillId="0" borderId="0" xfId="1192" applyNumberFormat="1"/>
    <xf numFmtId="2" fontId="18" fillId="0" borderId="0" xfId="1192" applyNumberFormat="1"/>
    <xf numFmtId="6" fontId="18" fillId="0" borderId="0" xfId="1192" applyNumberFormat="1"/>
    <xf numFmtId="0" fontId="25" fillId="0" borderId="0" xfId="1192" applyFont="1"/>
    <xf numFmtId="0" fontId="42" fillId="0" borderId="0" xfId="1192" applyFont="1"/>
    <xf numFmtId="168" fontId="18" fillId="0" borderId="0" xfId="4495" applyNumberFormat="1" applyFont="1"/>
    <xf numFmtId="0" fontId="25" fillId="0" borderId="0" xfId="1192" applyFont="1" applyAlignment="1">
      <alignment vertical="center"/>
    </xf>
    <xf numFmtId="0" fontId="109" fillId="0" borderId="0" xfId="1192" applyFont="1" applyAlignment="1">
      <alignment horizontal="left"/>
    </xf>
    <xf numFmtId="0" fontId="106" fillId="0" borderId="0" xfId="1192" applyFont="1" applyAlignment="1">
      <alignment horizontal="left"/>
    </xf>
    <xf numFmtId="0" fontId="106" fillId="0" borderId="0" xfId="1192" applyFont="1" applyAlignment="1">
      <alignment horizontal="center"/>
    </xf>
    <xf numFmtId="168" fontId="18" fillId="0" borderId="0" xfId="1192" applyNumberFormat="1" applyAlignment="1">
      <alignment horizontal="center"/>
    </xf>
    <xf numFmtId="9" fontId="18" fillId="0" borderId="0" xfId="1192" applyNumberFormat="1"/>
    <xf numFmtId="0" fontId="18" fillId="0" borderId="53" xfId="4495" applyFont="1" applyBorder="1" applyAlignment="1">
      <alignment horizontal="left"/>
    </xf>
    <xf numFmtId="6" fontId="25" fillId="0" borderId="0" xfId="1192" applyNumberFormat="1" applyFont="1" applyAlignment="1">
      <alignment horizontal="right"/>
    </xf>
    <xf numFmtId="165" fontId="18" fillId="0" borderId="0" xfId="4495" applyNumberFormat="1" applyFont="1"/>
    <xf numFmtId="0" fontId="48" fillId="0" borderId="4" xfId="4495" applyFont="1" applyBorder="1"/>
    <xf numFmtId="1" fontId="25" fillId="0" borderId="13" xfId="271" applyNumberFormat="1" applyFont="1" applyBorder="1"/>
    <xf numFmtId="1" fontId="27" fillId="0" borderId="13" xfId="271" applyNumberFormat="1" applyBorder="1"/>
    <xf numFmtId="9" fontId="18" fillId="0" borderId="0" xfId="4495" applyNumberFormat="1" applyFont="1"/>
    <xf numFmtId="165" fontId="113" fillId="0" borderId="0" xfId="4496" applyNumberFormat="1" applyFont="1" applyAlignment="1">
      <alignment horizontal="center" vertical="top" wrapText="1"/>
    </xf>
    <xf numFmtId="168" fontId="113" fillId="0" borderId="0" xfId="4496" applyNumberFormat="1" applyFont="1" applyAlignment="1">
      <alignment vertical="top" wrapText="1"/>
    </xf>
    <xf numFmtId="165" fontId="113" fillId="0" borderId="64" xfId="4496" applyNumberFormat="1" applyFont="1" applyBorder="1" applyAlignment="1">
      <alignment horizontal="center" vertical="top" wrapText="1"/>
    </xf>
    <xf numFmtId="165" fontId="113" fillId="0" borderId="53" xfId="4496" applyNumberFormat="1" applyFont="1" applyBorder="1" applyAlignment="1">
      <alignment horizontal="left" vertical="top"/>
    </xf>
    <xf numFmtId="165" fontId="113" fillId="0" borderId="53" xfId="4496" applyNumberFormat="1" applyFont="1" applyBorder="1" applyAlignment="1">
      <alignment horizontal="center" vertical="top" wrapText="1"/>
    </xf>
    <xf numFmtId="168" fontId="113" fillId="0" borderId="0" xfId="4496" applyNumberFormat="1" applyFont="1" applyAlignment="1">
      <alignment vertical="top"/>
    </xf>
    <xf numFmtId="1" fontId="113" fillId="0" borderId="0" xfId="4496" applyNumberFormat="1" applyFont="1" applyAlignment="1">
      <alignment vertical="top" wrapText="1"/>
    </xf>
    <xf numFmtId="164" fontId="26" fillId="0" borderId="0" xfId="4495" applyNumberFormat="1" applyFont="1"/>
    <xf numFmtId="0" fontId="132" fillId="0" borderId="50" xfId="1192" applyFont="1" applyBorder="1" applyAlignment="1">
      <alignment horizontal="left"/>
    </xf>
    <xf numFmtId="0" fontId="133" fillId="0" borderId="51" xfId="4495" applyFont="1" applyBorder="1" applyAlignment="1">
      <alignment vertical="top"/>
    </xf>
    <xf numFmtId="0" fontId="132" fillId="0" borderId="51" xfId="4495" applyFont="1" applyBorder="1" applyAlignment="1">
      <alignment vertical="top" wrapText="1"/>
    </xf>
    <xf numFmtId="0" fontId="133" fillId="0" borderId="51" xfId="4495" applyFont="1" applyBorder="1"/>
    <xf numFmtId="0" fontId="133" fillId="0" borderId="53" xfId="1192" applyFont="1" applyBorder="1" applyAlignment="1">
      <alignment horizontal="left"/>
    </xf>
    <xf numFmtId="0" fontId="133" fillId="0" borderId="0" xfId="4495" applyFont="1" applyAlignment="1">
      <alignment vertical="top"/>
    </xf>
    <xf numFmtId="0" fontId="132" fillId="0" borderId="0" xfId="4495" applyFont="1" applyAlignment="1">
      <alignment vertical="top" wrapText="1"/>
    </xf>
    <xf numFmtId="0" fontId="133" fillId="0" borderId="0" xfId="4495" applyFont="1"/>
    <xf numFmtId="0" fontId="132" fillId="0" borderId="53" xfId="1192" applyFont="1" applyBorder="1" applyAlignment="1">
      <alignment horizontal="left"/>
    </xf>
    <xf numFmtId="0" fontId="132" fillId="0" borderId="57" xfId="1192" applyFont="1" applyBorder="1" applyAlignment="1">
      <alignment horizontal="left"/>
    </xf>
    <xf numFmtId="0" fontId="133" fillId="0" borderId="58" xfId="4495" applyFont="1" applyBorder="1" applyAlignment="1">
      <alignment vertical="top"/>
    </xf>
    <xf numFmtId="0" fontId="132" fillId="0" borderId="58" xfId="4495" applyFont="1" applyBorder="1" applyAlignment="1">
      <alignment vertical="top" wrapText="1"/>
    </xf>
    <xf numFmtId="0" fontId="133" fillId="0" borderId="58" xfId="4495" applyFont="1" applyBorder="1"/>
    <xf numFmtId="0" fontId="0" fillId="0" borderId="0" xfId="0" applyAlignment="1" applyProtection="1">
      <alignment horizontal="left" vertical="top" wrapText="1"/>
      <protection locked="0"/>
    </xf>
    <xf numFmtId="0" fontId="18" fillId="0" borderId="9" xfId="0" applyFont="1" applyBorder="1" applyAlignment="1">
      <alignment horizontal="left"/>
    </xf>
    <xf numFmtId="0" fontId="18" fillId="0" borderId="6" xfId="0" applyFont="1" applyBorder="1"/>
    <xf numFmtId="0" fontId="18" fillId="0" borderId="9" xfId="0" applyFont="1" applyBorder="1"/>
    <xf numFmtId="0" fontId="24" fillId="0" borderId="0" xfId="0" applyFont="1" applyAlignment="1">
      <alignment horizontal="center" vertical="center" wrapText="1"/>
    </xf>
    <xf numFmtId="0" fontId="25" fillId="0" borderId="3" xfId="0" applyFont="1" applyBorder="1"/>
    <xf numFmtId="0" fontId="25" fillId="0" borderId="4" xfId="271" applyFont="1" applyBorder="1"/>
    <xf numFmtId="0" fontId="25" fillId="0" borderId="3" xfId="271" applyFont="1" applyBorder="1"/>
    <xf numFmtId="0" fontId="25" fillId="0" borderId="5" xfId="271" applyFont="1" applyBorder="1"/>
    <xf numFmtId="0" fontId="25" fillId="0" borderId="5" xfId="0" applyFont="1" applyBorder="1"/>
    <xf numFmtId="168" fontId="23" fillId="43" borderId="0" xfId="0" applyNumberFormat="1" applyFont="1" applyFill="1"/>
    <xf numFmtId="9" fontId="26" fillId="0" borderId="0" xfId="543" applyNumberFormat="1" applyFont="1" applyAlignment="1">
      <alignment horizontal="center"/>
    </xf>
    <xf numFmtId="171" fontId="18" fillId="0" borderId="0" xfId="543" applyNumberFormat="1"/>
    <xf numFmtId="0" fontId="38" fillId="0" borderId="8" xfId="543" applyFont="1" applyBorder="1" applyAlignment="1">
      <alignment vertical="center" wrapText="1"/>
    </xf>
    <xf numFmtId="0" fontId="38" fillId="0" borderId="0" xfId="543" applyFont="1" applyAlignment="1">
      <alignment vertical="center" wrapText="1"/>
    </xf>
    <xf numFmtId="0" fontId="38" fillId="0" borderId="12" xfId="543" applyFont="1" applyBorder="1" applyAlignment="1">
      <alignment vertical="center" wrapText="1"/>
    </xf>
    <xf numFmtId="0" fontId="38" fillId="0" borderId="9" xfId="543" applyFont="1" applyBorder="1" applyAlignment="1">
      <alignment vertical="center" wrapText="1"/>
    </xf>
    <xf numFmtId="0" fontId="38" fillId="0" borderId="6" xfId="543" applyFont="1" applyBorder="1" applyAlignment="1">
      <alignment vertical="center" wrapText="1"/>
    </xf>
    <xf numFmtId="0" fontId="38" fillId="0" borderId="10" xfId="543" applyFont="1" applyBorder="1" applyAlignment="1">
      <alignment vertical="center" wrapText="1"/>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18" fillId="0" borderId="12" xfId="543" quotePrefix="1" applyBorder="1"/>
    <xf numFmtId="0" fontId="47" fillId="0" borderId="2" xfId="569" applyFont="1" applyBorder="1" applyAlignment="1">
      <alignment vertical="top"/>
    </xf>
    <xf numFmtId="0" fontId="28" fillId="0" borderId="0" xfId="4495" applyFont="1"/>
    <xf numFmtId="0" fontId="18" fillId="0" borderId="0" xfId="4495" applyFont="1" applyAlignment="1">
      <alignment vertical="top" wrapText="1" shrinkToFit="1"/>
    </xf>
    <xf numFmtId="0" fontId="137" fillId="0" borderId="0" xfId="4495" applyFont="1"/>
    <xf numFmtId="164" fontId="18" fillId="0" borderId="0" xfId="1192" applyNumberFormat="1" applyAlignment="1">
      <alignment horizontal="right"/>
    </xf>
    <xf numFmtId="164" fontId="18" fillId="0" borderId="0" xfId="4495" applyNumberFormat="1" applyFont="1" applyAlignment="1">
      <alignment horizontal="right"/>
    </xf>
    <xf numFmtId="0" fontId="18" fillId="0" borderId="6" xfId="4495" applyFont="1" applyBorder="1" applyAlignment="1">
      <alignment vertical="top" wrapText="1"/>
    </xf>
    <xf numFmtId="0" fontId="137" fillId="0" borderId="4" xfId="4495" applyFont="1" applyBorder="1"/>
    <xf numFmtId="0" fontId="18" fillId="0" borderId="4" xfId="4495" applyFont="1" applyBorder="1" applyAlignment="1">
      <alignment horizontal="left" vertical="top" wrapText="1" shrinkToFit="1"/>
    </xf>
    <xf numFmtId="0" fontId="28" fillId="0" borderId="0" xfId="4495" applyFont="1" applyAlignment="1">
      <alignment horizontal="left" vertical="top"/>
    </xf>
    <xf numFmtId="0" fontId="18" fillId="0" borderId="0" xfId="4495" applyFont="1" applyAlignment="1">
      <alignment vertical="center" wrapText="1" shrinkToFit="1"/>
    </xf>
    <xf numFmtId="0" fontId="18" fillId="0" borderId="0" xfId="4495" applyFont="1" applyAlignment="1">
      <alignment horizontal="left" vertical="top" shrinkToFit="1"/>
    </xf>
    <xf numFmtId="0" fontId="18" fillId="0" borderId="0" xfId="4495" applyFont="1" applyAlignment="1">
      <alignment horizontal="left" vertical="center" shrinkToFit="1"/>
    </xf>
    <xf numFmtId="0" fontId="28" fillId="0" borderId="4" xfId="4495" applyFont="1" applyBorder="1"/>
    <xf numFmtId="0" fontId="18" fillId="0" borderId="4" xfId="4495" applyFont="1" applyBorder="1" applyAlignment="1">
      <alignment horizontal="left" vertical="top" shrinkToFit="1"/>
    </xf>
    <xf numFmtId="0" fontId="18" fillId="0" borderId="0" xfId="4495" applyFont="1" applyAlignment="1">
      <alignment vertical="center"/>
    </xf>
    <xf numFmtId="0" fontId="24" fillId="0" borderId="0" xfId="4495" applyFont="1"/>
    <xf numFmtId="0" fontId="28" fillId="0" borderId="0" xfId="4495" applyFont="1" applyAlignment="1">
      <alignment horizontal="center"/>
    </xf>
    <xf numFmtId="0" fontId="18" fillId="0" borderId="4" xfId="4495" applyFont="1" applyBorder="1" applyAlignment="1">
      <alignment horizontal="left" vertical="top" wrapText="1"/>
    </xf>
    <xf numFmtId="44" fontId="18" fillId="0" borderId="4" xfId="707" applyFont="1" applyFill="1" applyBorder="1" applyAlignment="1" applyProtection="1">
      <alignment horizontal="left" vertical="top" wrapText="1"/>
    </xf>
    <xf numFmtId="164" fontId="36" fillId="0" borderId="0" xfId="4495" applyNumberFormat="1" applyFont="1" applyAlignment="1">
      <alignment horizontal="left"/>
    </xf>
    <xf numFmtId="0" fontId="28" fillId="0" borderId="0" xfId="4495" applyFont="1" applyAlignment="1">
      <alignment horizontal="left"/>
    </xf>
    <xf numFmtId="0" fontId="18" fillId="0" borderId="4" xfId="4495" applyFont="1" applyBorder="1" applyAlignment="1">
      <alignment vertical="top" wrapText="1"/>
    </xf>
    <xf numFmtId="0" fontId="28" fillId="0" borderId="4" xfId="4495" applyFont="1" applyBorder="1" applyAlignment="1">
      <alignment horizontal="left" vertical="top"/>
    </xf>
    <xf numFmtId="0" fontId="18" fillId="0" borderId="6" xfId="4495" applyFont="1" applyBorder="1" applyAlignment="1">
      <alignment horizontal="left" vertical="top" wrapText="1"/>
    </xf>
    <xf numFmtId="2" fontId="109" fillId="0" borderId="0" xfId="0" applyNumberFormat="1" applyFont="1" applyAlignment="1">
      <alignment horizontal="center"/>
    </xf>
    <xf numFmtId="9" fontId="18" fillId="0" borderId="0" xfId="4494" applyFont="1" applyAlignment="1">
      <alignment horizontal="center"/>
    </xf>
    <xf numFmtId="3" fontId="18" fillId="0" borderId="0" xfId="0" applyNumberFormat="1" applyFont="1"/>
    <xf numFmtId="10" fontId="18" fillId="0" borderId="0" xfId="0" applyNumberFormat="1" applyFont="1" applyAlignment="1">
      <alignment horizontal="center"/>
    </xf>
    <xf numFmtId="168" fontId="18" fillId="0" borderId="0" xfId="0" applyNumberFormat="1" applyFont="1"/>
    <xf numFmtId="168" fontId="18" fillId="5" borderId="0" xfId="0" applyNumberFormat="1" applyFont="1" applyFill="1"/>
    <xf numFmtId="3" fontId="18" fillId="5" borderId="0" xfId="0" applyNumberFormat="1" applyFont="1" applyFill="1"/>
    <xf numFmtId="0" fontId="18" fillId="5" borderId="0" xfId="0" applyFont="1" applyFill="1"/>
    <xf numFmtId="3" fontId="18" fillId="5" borderId="6" xfId="0" applyNumberFormat="1" applyFont="1" applyFill="1" applyBorder="1"/>
    <xf numFmtId="3" fontId="18" fillId="0" borderId="6" xfId="0" applyNumberFormat="1" applyFont="1" applyBorder="1"/>
    <xf numFmtId="168" fontId="18" fillId="0" borderId="0" xfId="0" applyNumberFormat="1" applyFont="1" applyAlignment="1">
      <alignment horizontal="center"/>
    </xf>
    <xf numFmtId="3" fontId="18" fillId="0" borderId="0" xfId="0" applyNumberFormat="1" applyFont="1" applyAlignment="1">
      <alignment horizontal="center"/>
    </xf>
    <xf numFmtId="0" fontId="18" fillId="0" borderId="50" xfId="4495" applyFont="1" applyBorder="1" applyAlignment="1">
      <alignment vertical="center"/>
    </xf>
    <xf numFmtId="0" fontId="18" fillId="0" borderId="51" xfId="4495" applyFont="1" applyBorder="1" applyAlignment="1">
      <alignment vertical="center"/>
    </xf>
    <xf numFmtId="0" fontId="18" fillId="0" borderId="52" xfId="4495" applyFont="1" applyBorder="1" applyAlignment="1">
      <alignment vertical="center"/>
    </xf>
    <xf numFmtId="0" fontId="18" fillId="0" borderId="54" xfId="4495" applyFont="1" applyBorder="1" applyAlignment="1">
      <alignment vertical="center" wrapText="1"/>
    </xf>
    <xf numFmtId="0" fontId="18" fillId="0" borderId="53" xfId="4495" applyFont="1" applyBorder="1" applyAlignment="1">
      <alignment vertical="top" wrapText="1"/>
    </xf>
    <xf numFmtId="0" fontId="18" fillId="0" borderId="58" xfId="0" applyFont="1" applyBorder="1" applyAlignment="1">
      <alignment horizontal="left"/>
    </xf>
    <xf numFmtId="9" fontId="18" fillId="0" borderId="0" xfId="543" applyNumberFormat="1" applyAlignment="1">
      <alignment horizontal="center"/>
    </xf>
    <xf numFmtId="0" fontId="43" fillId="0" borderId="0" xfId="4496" applyFont="1"/>
    <xf numFmtId="43" fontId="45" fillId="0" borderId="0" xfId="4503" applyFont="1" applyAlignment="1" applyProtection="1">
      <alignment horizontal="center"/>
    </xf>
    <xf numFmtId="43" fontId="18" fillId="0" borderId="0" xfId="4503" applyFont="1" applyAlignment="1" applyProtection="1">
      <alignment horizontal="center"/>
    </xf>
    <xf numFmtId="43" fontId="18" fillId="0" borderId="0" xfId="4503" applyFont="1" applyProtection="1"/>
    <xf numFmtId="49" fontId="18" fillId="0" borderId="0" xfId="0" applyNumberFormat="1" applyFont="1"/>
    <xf numFmtId="49" fontId="18" fillId="0" borderId="0" xfId="0" applyNumberFormat="1" applyFont="1" applyAlignment="1">
      <alignment horizontal="center"/>
    </xf>
    <xf numFmtId="4" fontId="18" fillId="0" borderId="0" xfId="0" applyNumberFormat="1" applyFont="1" applyAlignment="1">
      <alignment vertical="top" wrapText="1"/>
    </xf>
    <xf numFmtId="0" fontId="18" fillId="0" borderId="0" xfId="0" quotePrefix="1" applyFont="1"/>
    <xf numFmtId="0" fontId="42" fillId="0" borderId="0" xfId="0" applyFont="1" applyAlignment="1">
      <alignment horizontal="left"/>
    </xf>
    <xf numFmtId="0" fontId="18" fillId="0" borderId="0" xfId="0" quotePrefix="1" applyFont="1" applyAlignment="1">
      <alignment horizontal="left"/>
    </xf>
    <xf numFmtId="0" fontId="42" fillId="0" borderId="0" xfId="1192" applyFont="1" applyAlignment="1">
      <alignment horizontal="left"/>
    </xf>
    <xf numFmtId="0" fontId="45" fillId="0" borderId="0" xfId="0" applyFont="1" applyAlignment="1">
      <alignment horizontal="center" vertical="center"/>
    </xf>
    <xf numFmtId="49" fontId="25" fillId="0" borderId="0" xfId="0" applyNumberFormat="1" applyFont="1" applyAlignment="1">
      <alignment horizontal="center" vertical="center"/>
    </xf>
    <xf numFmtId="49" fontId="18" fillId="0" borderId="0" xfId="0" applyNumberFormat="1" applyFont="1" applyAlignment="1">
      <alignment vertical="center"/>
    </xf>
    <xf numFmtId="4" fontId="18" fillId="0" borderId="0" xfId="0" applyNumberFormat="1" applyFont="1" applyAlignment="1">
      <alignment horizontal="center"/>
    </xf>
    <xf numFmtId="4" fontId="18" fillId="0" borderId="0" xfId="0" applyNumberFormat="1" applyFont="1"/>
    <xf numFmtId="10" fontId="18" fillId="0" borderId="0" xfId="4495" applyNumberFormat="1" applyFont="1"/>
    <xf numFmtId="10" fontId="113" fillId="0" borderId="0" xfId="4496" applyNumberFormat="1" applyFont="1" applyAlignment="1">
      <alignment horizontal="center" vertical="top" wrapText="1"/>
    </xf>
    <xf numFmtId="10" fontId="113" fillId="0" borderId="64" xfId="4496" applyNumberFormat="1" applyFont="1" applyBorder="1" applyAlignment="1">
      <alignment horizontal="center" vertical="top" wrapText="1"/>
    </xf>
    <xf numFmtId="10" fontId="113" fillId="0" borderId="53" xfId="4496" applyNumberFormat="1" applyFont="1" applyBorder="1" applyAlignment="1">
      <alignment horizontal="left" vertical="top"/>
    </xf>
    <xf numFmtId="0" fontId="113" fillId="0" borderId="0" xfId="4495" applyFont="1"/>
    <xf numFmtId="10" fontId="113" fillId="0" borderId="0" xfId="4495" applyNumberFormat="1" applyFont="1"/>
    <xf numFmtId="172" fontId="18" fillId="0" borderId="0" xfId="4495" applyNumberFormat="1" applyFont="1"/>
    <xf numFmtId="0" fontId="0" fillId="0" borderId="10" xfId="0" applyBorder="1" applyAlignment="1">
      <alignment horizontal="left"/>
    </xf>
    <xf numFmtId="1" fontId="18" fillId="0" borderId="0" xfId="1192" applyNumberFormat="1" applyAlignment="1">
      <alignment horizontal="center"/>
    </xf>
    <xf numFmtId="0" fontId="111" fillId="0" borderId="63" xfId="4495" applyBorder="1"/>
    <xf numFmtId="0" fontId="47" fillId="0" borderId="0" xfId="271" applyFont="1" applyAlignment="1">
      <alignment vertical="top"/>
    </xf>
    <xf numFmtId="0" fontId="18" fillId="0" borderId="54" xfId="4495" applyFont="1" applyBorder="1" applyAlignment="1">
      <alignment vertical="top"/>
    </xf>
    <xf numFmtId="0" fontId="18" fillId="0" borderId="16" xfId="569" applyBorder="1" applyAlignment="1">
      <alignment horizontal="center"/>
    </xf>
    <xf numFmtId="164" fontId="18" fillId="0" borderId="57" xfId="4495" applyNumberFormat="1" applyFont="1" applyBorder="1" applyAlignment="1">
      <alignment vertical="top" wrapText="1"/>
    </xf>
    <xf numFmtId="164" fontId="18" fillId="0" borderId="58" xfId="4495" applyNumberFormat="1" applyFont="1" applyBorder="1" applyAlignment="1">
      <alignment vertical="top" wrapText="1"/>
    </xf>
    <xf numFmtId="164" fontId="18" fillId="0" borderId="59" xfId="4495" applyNumberFormat="1" applyFont="1" applyBorder="1" applyAlignment="1">
      <alignment vertical="top" wrapText="1"/>
    </xf>
    <xf numFmtId="0" fontId="18" fillId="0" borderId="16" xfId="569" applyBorder="1"/>
    <xf numFmtId="0" fontId="18" fillId="0" borderId="4" xfId="569" applyBorder="1"/>
    <xf numFmtId="0" fontId="25" fillId="0" borderId="4" xfId="569" applyFont="1" applyBorder="1"/>
    <xf numFmtId="49" fontId="18" fillId="0" borderId="4" xfId="569" applyNumberFormat="1" applyBorder="1"/>
    <xf numFmtId="0" fontId="140" fillId="0" borderId="0" xfId="0" applyFont="1"/>
    <xf numFmtId="0" fontId="18" fillId="0" borderId="0" xfId="0" applyFont="1" applyAlignment="1">
      <alignment horizontal="right"/>
    </xf>
    <xf numFmtId="1" fontId="18" fillId="0" borderId="0" xfId="0" applyNumberFormat="1" applyFont="1" applyAlignment="1">
      <alignment horizontal="center"/>
    </xf>
    <xf numFmtId="0" fontId="25" fillId="0" borderId="0" xfId="0" applyFont="1" applyAlignment="1">
      <alignment horizontal="left" vertical="center"/>
    </xf>
    <xf numFmtId="0" fontId="18" fillId="0" borderId="0" xfId="0" applyFont="1" applyAlignment="1">
      <alignment horizontal="left" vertical="center"/>
    </xf>
    <xf numFmtId="0" fontId="25" fillId="0" borderId="0" xfId="569" applyFont="1" applyAlignment="1">
      <alignment vertical="top"/>
    </xf>
    <xf numFmtId="49" fontId="25" fillId="0" borderId="0" xfId="0" applyNumberFormat="1" applyFont="1"/>
    <xf numFmtId="49" fontId="25" fillId="0" borderId="0" xfId="0" applyNumberFormat="1" applyFont="1" applyAlignment="1">
      <alignment vertical="top"/>
    </xf>
    <xf numFmtId="175" fontId="18" fillId="0" borderId="0" xfId="543" applyNumberFormat="1" applyAlignment="1">
      <alignment vertical="center"/>
    </xf>
    <xf numFmtId="0" fontId="89" fillId="43" borderId="6" xfId="4496" applyFont="1" applyFill="1" applyBorder="1" applyAlignment="1" applyProtection="1">
      <alignment horizontal="center"/>
      <protection locked="0"/>
    </xf>
    <xf numFmtId="0" fontId="89" fillId="0" borderId="0" xfId="4496" applyFont="1"/>
    <xf numFmtId="0" fontId="89" fillId="0" borderId="0" xfId="4496" applyFont="1" applyAlignment="1">
      <alignment wrapText="1"/>
    </xf>
    <xf numFmtId="0" fontId="128" fillId="0" borderId="0" xfId="4496" applyFont="1"/>
    <xf numFmtId="181" fontId="129" fillId="0" borderId="0" xfId="4498" applyNumberFormat="1" applyFont="1" applyBorder="1" applyProtection="1"/>
    <xf numFmtId="0" fontId="130" fillId="0" borderId="0" xfId="4496" applyFont="1" applyAlignment="1">
      <alignment vertical="center" wrapText="1"/>
    </xf>
    <xf numFmtId="49" fontId="89" fillId="0" borderId="0" xfId="4496" applyNumberFormat="1" applyFont="1" applyAlignment="1">
      <alignment horizontal="center"/>
    </xf>
    <xf numFmtId="182" fontId="89" fillId="0" borderId="6" xfId="4496" applyNumberFormat="1" applyFont="1" applyBorder="1"/>
    <xf numFmtId="0" fontId="89" fillId="0" borderId="0" xfId="4496" applyFont="1" applyAlignment="1">
      <alignment vertical="center"/>
    </xf>
    <xf numFmtId="182" fontId="89" fillId="0" borderId="0" xfId="4496" applyNumberFormat="1" applyFont="1" applyAlignment="1">
      <alignment vertical="center"/>
    </xf>
    <xf numFmtId="175" fontId="89" fillId="0" borderId="0" xfId="4499" applyNumberFormat="1" applyFont="1" applyFill="1" applyBorder="1" applyAlignment="1" applyProtection="1">
      <alignment horizontal="left" vertical="center"/>
    </xf>
    <xf numFmtId="9" fontId="89" fillId="0" borderId="0" xfId="4499" applyFont="1" applyFill="1" applyBorder="1" applyAlignment="1" applyProtection="1">
      <alignment vertical="center"/>
    </xf>
    <xf numFmtId="183" fontId="89" fillId="0" borderId="0" xfId="4496" applyNumberFormat="1" applyFont="1" applyAlignment="1">
      <alignment vertical="center" wrapText="1"/>
    </xf>
    <xf numFmtId="9" fontId="89" fillId="0" borderId="0" xfId="4499" applyFont="1" applyBorder="1" applyAlignment="1" applyProtection="1">
      <alignment vertical="center"/>
    </xf>
    <xf numFmtId="164" fontId="89" fillId="0" borderId="0" xfId="4496" applyNumberFormat="1" applyFont="1" applyAlignment="1">
      <alignment vertical="center" wrapText="1"/>
    </xf>
    <xf numFmtId="0" fontId="89" fillId="0" borderId="0" xfId="4496" applyFont="1" applyAlignment="1">
      <alignment horizontal="center" vertical="center"/>
    </xf>
    <xf numFmtId="164" fontId="89" fillId="0" borderId="0" xfId="4496" applyNumberFormat="1" applyFont="1" applyAlignment="1">
      <alignment wrapText="1"/>
    </xf>
    <xf numFmtId="49" fontId="89" fillId="0" borderId="0" xfId="4496" applyNumberFormat="1" applyFont="1" applyAlignment="1">
      <alignment horizontal="left"/>
    </xf>
    <xf numFmtId="0" fontId="131" fillId="0" borderId="0" xfId="4496" applyFont="1"/>
    <xf numFmtId="1" fontId="89" fillId="0" borderId="0" xfId="4496" applyNumberFormat="1" applyFont="1"/>
    <xf numFmtId="0" fontId="128" fillId="45" borderId="3" xfId="4496" applyFont="1" applyFill="1" applyBorder="1" applyAlignment="1">
      <alignment horizontal="left" indent="1"/>
    </xf>
    <xf numFmtId="0" fontId="89" fillId="45" borderId="4" xfId="4496" applyFont="1" applyFill="1" applyBorder="1"/>
    <xf numFmtId="2" fontId="89" fillId="45" borderId="5" xfId="4496" applyNumberFormat="1" applyFont="1" applyFill="1" applyBorder="1"/>
    <xf numFmtId="181" fontId="89" fillId="0" borderId="0" xfId="4496" applyNumberFormat="1" applyFont="1"/>
    <xf numFmtId="165" fontId="129" fillId="0" borderId="0" xfId="4499" applyNumberFormat="1" applyFont="1" applyFill="1" applyBorder="1" applyProtection="1"/>
    <xf numFmtId="9" fontId="89" fillId="0" borderId="0" xfId="4494" applyFont="1" applyFill="1" applyProtection="1"/>
    <xf numFmtId="0" fontId="89" fillId="0" borderId="0" xfId="4496" applyFont="1" applyAlignment="1">
      <alignment vertical="top" wrapText="1"/>
    </xf>
    <xf numFmtId="182" fontId="89" fillId="0" borderId="0" xfId="8721" applyNumberFormat="1" applyFont="1" applyBorder="1" applyProtection="1"/>
    <xf numFmtId="0" fontId="89" fillId="0" borderId="0" xfId="4496" applyFont="1" applyAlignment="1">
      <alignment horizontal="left" indent="1"/>
    </xf>
    <xf numFmtId="182" fontId="89" fillId="0" borderId="0" xfId="4496" applyNumberFormat="1" applyFont="1"/>
    <xf numFmtId="184" fontId="89" fillId="0" borderId="0" xfId="4496" applyNumberFormat="1" applyFont="1"/>
    <xf numFmtId="0" fontId="89" fillId="0" borderId="0" xfId="4496" applyFont="1" applyAlignment="1">
      <alignment horizontal="left"/>
    </xf>
    <xf numFmtId="0" fontId="89" fillId="0" borderId="0" xfId="4496" applyFont="1" applyAlignment="1">
      <alignment horizontal="center"/>
    </xf>
    <xf numFmtId="0" fontId="89" fillId="0" borderId="0" xfId="4496" applyFont="1" applyAlignment="1">
      <alignment horizontal="right"/>
    </xf>
    <xf numFmtId="0" fontId="89" fillId="0" borderId="15" xfId="4496" applyFont="1" applyBorder="1" applyAlignment="1">
      <alignment horizontal="center" vertical="top" wrapText="1"/>
    </xf>
    <xf numFmtId="2" fontId="89" fillId="0" borderId="15" xfId="4496" applyNumberFormat="1" applyFont="1" applyBorder="1" applyAlignment="1">
      <alignment horizontal="center"/>
    </xf>
    <xf numFmtId="0" fontId="89" fillId="0" borderId="15" xfId="4496" applyFont="1" applyBorder="1" applyAlignment="1">
      <alignment horizontal="center"/>
    </xf>
    <xf numFmtId="0" fontId="128" fillId="0" borderId="68" xfId="4496" applyFont="1" applyBorder="1" applyAlignment="1">
      <alignment horizontal="center" vertical="top" wrapText="1"/>
    </xf>
    <xf numFmtId="0" fontId="128" fillId="0" borderId="68" xfId="4496" applyFont="1" applyBorder="1" applyAlignment="1">
      <alignment horizontal="center"/>
    </xf>
    <xf numFmtId="0" fontId="142" fillId="0" borderId="0" xfId="4496" applyFont="1" applyAlignment="1">
      <alignment horizontal="right" vertical="center"/>
    </xf>
    <xf numFmtId="175" fontId="89" fillId="0" borderId="0" xfId="4499" applyNumberFormat="1" applyFont="1" applyFill="1" applyBorder="1" applyAlignment="1" applyProtection="1">
      <alignment horizontal="right" vertical="center"/>
    </xf>
    <xf numFmtId="5" fontId="89" fillId="0" borderId="6" xfId="4496" applyNumberFormat="1" applyFont="1" applyBorder="1" applyAlignment="1">
      <alignment vertical="center"/>
    </xf>
    <xf numFmtId="0" fontId="89" fillId="0" borderId="66" xfId="4496" applyFont="1" applyBorder="1" applyAlignment="1">
      <alignment vertical="center"/>
    </xf>
    <xf numFmtId="0" fontId="89" fillId="0" borderId="41" xfId="4496" applyFont="1" applyBorder="1" applyAlignment="1">
      <alignment vertical="center"/>
    </xf>
    <xf numFmtId="182" fontId="89" fillId="0" borderId="73" xfId="4496" applyNumberFormat="1" applyFont="1" applyBorder="1" applyAlignment="1">
      <alignment vertical="center"/>
    </xf>
    <xf numFmtId="175" fontId="89" fillId="0" borderId="42" xfId="4499" applyNumberFormat="1" applyFont="1" applyFill="1" applyBorder="1" applyAlignment="1" applyProtection="1">
      <alignment horizontal="left" vertical="center"/>
    </xf>
    <xf numFmtId="0" fontId="89" fillId="0" borderId="42" xfId="4496" applyFont="1" applyBorder="1" applyAlignment="1">
      <alignment vertical="center"/>
    </xf>
    <xf numFmtId="0" fontId="89" fillId="0" borderId="44" xfId="4496" applyFont="1" applyBorder="1" applyAlignment="1">
      <alignment vertical="center"/>
    </xf>
    <xf numFmtId="49" fontId="89" fillId="0" borderId="0" xfId="4496" applyNumberFormat="1" applyFont="1" applyAlignment="1">
      <alignment horizontal="center" vertical="center"/>
    </xf>
    <xf numFmtId="0" fontId="89" fillId="0" borderId="65" xfId="4496" applyFont="1" applyBorder="1" applyAlignment="1">
      <alignment vertical="center"/>
    </xf>
    <xf numFmtId="0" fontId="89" fillId="0" borderId="29" xfId="4496" applyFont="1" applyBorder="1" applyAlignment="1">
      <alignment vertical="center"/>
    </xf>
    <xf numFmtId="0" fontId="89" fillId="0" borderId="29" xfId="4496" applyFont="1" applyBorder="1" applyAlignment="1">
      <alignment horizontal="right" vertical="center"/>
    </xf>
    <xf numFmtId="5" fontId="89" fillId="0" borderId="29" xfId="4496" applyNumberFormat="1" applyFont="1" applyBorder="1" applyAlignment="1">
      <alignment vertical="center"/>
    </xf>
    <xf numFmtId="0" fontId="89" fillId="0" borderId="31" xfId="4496" applyFont="1" applyBorder="1" applyAlignment="1">
      <alignment vertical="center"/>
    </xf>
    <xf numFmtId="175" fontId="128" fillId="0" borderId="42" xfId="4494" applyNumberFormat="1" applyFont="1" applyFill="1" applyBorder="1" applyAlignment="1" applyProtection="1">
      <alignment horizontal="center" vertical="center"/>
    </xf>
    <xf numFmtId="0" fontId="128" fillId="0" borderId="29" xfId="4496" applyFont="1" applyBorder="1" applyAlignment="1">
      <alignment vertical="center"/>
    </xf>
    <xf numFmtId="0" fontId="128" fillId="0" borderId="0" xfId="4496" applyFont="1" applyAlignment="1">
      <alignment vertical="center"/>
    </xf>
    <xf numFmtId="0" fontId="128" fillId="0" borderId="42" xfId="4496" applyFont="1" applyBorder="1" applyAlignment="1">
      <alignment vertical="center"/>
    </xf>
    <xf numFmtId="9" fontId="128" fillId="0" borderId="42" xfId="4499" applyFont="1" applyFill="1" applyBorder="1" applyAlignment="1" applyProtection="1">
      <alignment vertical="center"/>
    </xf>
    <xf numFmtId="182" fontId="128" fillId="0" borderId="68" xfId="8721" applyNumberFormat="1" applyFont="1" applyBorder="1" applyProtection="1"/>
    <xf numFmtId="182" fontId="128" fillId="0" borderId="68" xfId="4496" applyNumberFormat="1" applyFont="1" applyBorder="1"/>
    <xf numFmtId="0" fontId="142" fillId="0" borderId="0" xfId="4496" applyFont="1" applyAlignment="1">
      <alignment horizontal="right"/>
    </xf>
    <xf numFmtId="0" fontId="89" fillId="0" borderId="0" xfId="4496" applyFont="1" applyAlignment="1">
      <alignment horizontal="right" vertical="top" wrapText="1" indent="1"/>
    </xf>
    <xf numFmtId="182" fontId="89" fillId="0" borderId="6" xfId="8721" applyNumberFormat="1" applyFont="1" applyBorder="1" applyAlignment="1" applyProtection="1">
      <alignment horizontal="center"/>
    </xf>
    <xf numFmtId="0" fontId="89" fillId="0" borderId="0" xfId="4496" applyFont="1" applyAlignment="1">
      <alignment horizontal="right" indent="1"/>
    </xf>
    <xf numFmtId="0" fontId="89" fillId="0" borderId="0" xfId="4496" applyFont="1" applyAlignment="1">
      <alignment horizontal="right" vertical="top"/>
    </xf>
    <xf numFmtId="0" fontId="128" fillId="0" borderId="0" xfId="4496" applyFont="1" applyAlignment="1">
      <alignment horizontal="right"/>
    </xf>
    <xf numFmtId="182" fontId="128" fillId="0" borderId="0" xfId="8721" applyNumberFormat="1" applyFont="1" applyBorder="1" applyAlignment="1" applyProtection="1">
      <alignment horizontal="center"/>
    </xf>
    <xf numFmtId="10" fontId="89" fillId="0" borderId="0" xfId="4494" applyNumberFormat="1" applyFont="1" applyBorder="1" applyAlignment="1" applyProtection="1">
      <alignment horizontal="center"/>
    </xf>
    <xf numFmtId="184" fontId="89" fillId="0" borderId="6" xfId="4496" applyNumberFormat="1" applyFont="1" applyBorder="1"/>
    <xf numFmtId="0" fontId="128" fillId="0" borderId="0" xfId="4496" applyFont="1" applyAlignment="1">
      <alignment horizontal="right" vertical="top"/>
    </xf>
    <xf numFmtId="182" fontId="128" fillId="0" borderId="0" xfId="4496" applyNumberFormat="1" applyFont="1"/>
    <xf numFmtId="182" fontId="89" fillId="0" borderId="6" xfId="8721" applyNumberFormat="1" applyFont="1" applyBorder="1" applyProtection="1"/>
    <xf numFmtId="184" fontId="89" fillId="0" borderId="0" xfId="4496" applyNumberFormat="1" applyFont="1" applyAlignment="1">
      <alignment horizontal="center"/>
    </xf>
    <xf numFmtId="0" fontId="89" fillId="0" borderId="6" xfId="4496" applyFont="1" applyBorder="1" applyAlignment="1">
      <alignment horizontal="right" vertical="top" wrapText="1" indent="1"/>
    </xf>
    <xf numFmtId="0" fontId="89" fillId="0" borderId="67" xfId="4496" applyFont="1" applyBorder="1" applyAlignment="1">
      <alignment horizontal="right" indent="1"/>
    </xf>
    <xf numFmtId="0" fontId="89" fillId="0" borderId="72" xfId="4496" applyFont="1" applyBorder="1" applyAlignment="1">
      <alignment horizontal="right" indent="1"/>
    </xf>
    <xf numFmtId="0" fontId="89" fillId="0" borderId="72" xfId="4496" quotePrefix="1" applyFont="1" applyBorder="1" applyAlignment="1">
      <alignment horizontal="right" indent="1"/>
    </xf>
    <xf numFmtId="0" fontId="89" fillId="0" borderId="69" xfId="4496" applyFont="1" applyBorder="1" applyAlignment="1">
      <alignment horizontal="right" indent="1"/>
    </xf>
    <xf numFmtId="182" fontId="89" fillId="0" borderId="71" xfId="4496" applyNumberFormat="1" applyFont="1" applyBorder="1"/>
    <xf numFmtId="182" fontId="89" fillId="0" borderId="76" xfId="4496" applyNumberFormat="1" applyFont="1" applyBorder="1"/>
    <xf numFmtId="182" fontId="89" fillId="0" borderId="77" xfId="4496" applyNumberFormat="1" applyFont="1" applyBorder="1"/>
    <xf numFmtId="175" fontId="25" fillId="0" borderId="0" xfId="543" applyNumberFormat="1" applyFont="1" applyAlignment="1">
      <alignment vertical="center"/>
    </xf>
    <xf numFmtId="10" fontId="128" fillId="0" borderId="0" xfId="4494" applyNumberFormat="1" applyFont="1" applyProtection="1"/>
    <xf numFmtId="0" fontId="25" fillId="0" borderId="0" xfId="1192" applyFont="1" applyAlignment="1">
      <alignment horizontal="left" indent="1"/>
    </xf>
    <xf numFmtId="168" fontId="128" fillId="0" borderId="68" xfId="4499" applyNumberFormat="1" applyFont="1" applyFill="1" applyBorder="1" applyAlignment="1" applyProtection="1">
      <alignment horizontal="left" vertical="center" indent="1"/>
    </xf>
    <xf numFmtId="182" fontId="89" fillId="0" borderId="13" xfId="4496" applyNumberFormat="1" applyFont="1" applyBorder="1"/>
    <xf numFmtId="182" fontId="89" fillId="0" borderId="70" xfId="4496" applyNumberFormat="1" applyFont="1" applyBorder="1"/>
    <xf numFmtId="0" fontId="36" fillId="0" borderId="0" xfId="4495" applyFont="1" applyAlignment="1">
      <alignment vertical="center"/>
    </xf>
    <xf numFmtId="0" fontId="113" fillId="0" borderId="0" xfId="4496" applyFont="1" applyAlignment="1">
      <alignment vertical="center" wrapText="1"/>
    </xf>
    <xf numFmtId="0" fontId="23" fillId="43" borderId="0" xfId="1192" applyFont="1" applyFill="1"/>
    <xf numFmtId="3" fontId="60" fillId="43" borderId="6" xfId="1192" applyNumberFormat="1" applyFont="1" applyFill="1" applyBorder="1"/>
    <xf numFmtId="0" fontId="144" fillId="0" borderId="0" xfId="0" applyFont="1"/>
    <xf numFmtId="0" fontId="145" fillId="0" borderId="0" xfId="0" applyFont="1"/>
    <xf numFmtId="0" fontId="146" fillId="0" borderId="0" xfId="0" applyFont="1" applyAlignment="1">
      <alignment horizontal="center"/>
    </xf>
    <xf numFmtId="0" fontId="18" fillId="43" borderId="3" xfId="569" applyFill="1" applyBorder="1"/>
    <xf numFmtId="0" fontId="149" fillId="0" borderId="0" xfId="0" applyFont="1" applyAlignment="1">
      <alignment horizontal="right"/>
    </xf>
    <xf numFmtId="1" fontId="26" fillId="0" borderId="0" xfId="4495" applyNumberFormat="1" applyFont="1"/>
    <xf numFmtId="0" fontId="25" fillId="0" borderId="4" xfId="569" applyFont="1" applyBorder="1" applyAlignment="1">
      <alignment horizontal="center"/>
    </xf>
    <xf numFmtId="43" fontId="25" fillId="0" borderId="0" xfId="4503" applyFont="1" applyAlignment="1" applyProtection="1">
      <alignment horizontal="center"/>
    </xf>
    <xf numFmtId="0" fontId="25" fillId="0" borderId="0" xfId="569" applyFont="1" applyAlignment="1">
      <alignment horizontal="center" vertical="center"/>
    </xf>
    <xf numFmtId="0" fontId="25" fillId="0" borderId="16" xfId="569" applyFont="1" applyBorder="1" applyAlignment="1">
      <alignment horizontal="center"/>
    </xf>
    <xf numFmtId="49" fontId="25" fillId="0" borderId="4" xfId="569" applyNumberFormat="1" applyFont="1" applyBorder="1" applyAlignment="1">
      <alignment horizontal="center"/>
    </xf>
    <xf numFmtId="4" fontId="25" fillId="0" borderId="0" xfId="569" applyNumberFormat="1" applyFont="1" applyAlignment="1">
      <alignment horizontal="center"/>
    </xf>
    <xf numFmtId="0" fontId="18" fillId="0" borderId="0" xfId="569" applyAlignment="1">
      <alignment horizontal="center" wrapText="1"/>
    </xf>
    <xf numFmtId="0" fontId="89" fillId="0" borderId="6" xfId="4496" applyFont="1" applyBorder="1" applyAlignment="1">
      <alignment horizontal="left" vertical="top"/>
    </xf>
    <xf numFmtId="0" fontId="89" fillId="43" borderId="6" xfId="4496" applyFont="1" applyFill="1" applyBorder="1" applyProtection="1">
      <protection locked="0"/>
    </xf>
    <xf numFmtId="1" fontId="89" fillId="0" borderId="0" xfId="4496" applyNumberFormat="1" applyFont="1" applyProtection="1">
      <protection locked="0"/>
    </xf>
    <xf numFmtId="44" fontId="89" fillId="0" borderId="0" xfId="4496" applyNumberFormat="1" applyFont="1"/>
    <xf numFmtId="9" fontId="89" fillId="0" borderId="0" xfId="4494" applyFont="1"/>
    <xf numFmtId="182" fontId="89" fillId="43" borderId="6" xfId="8721" applyNumberFormat="1" applyFont="1" applyFill="1" applyBorder="1" applyProtection="1">
      <protection locked="0"/>
    </xf>
    <xf numFmtId="168" fontId="166" fillId="48" borderId="79" xfId="700" applyNumberFormat="1" applyFont="1" applyFill="1" applyBorder="1" applyAlignment="1" applyProtection="1">
      <protection locked="0"/>
    </xf>
    <xf numFmtId="3" fontId="40" fillId="10" borderId="0" xfId="543" applyNumberFormat="1" applyFont="1" applyFill="1" applyAlignment="1">
      <alignment vertical="center" wrapText="1"/>
    </xf>
    <xf numFmtId="0" fontId="173" fillId="0" borderId="0" xfId="543" applyFont="1" applyAlignment="1">
      <alignment horizontal="left" vertical="center"/>
    </xf>
    <xf numFmtId="0" fontId="174" fillId="0" borderId="0" xfId="543" applyFont="1" applyAlignment="1">
      <alignment horizontal="right" vertical="top" wrapText="1"/>
    </xf>
    <xf numFmtId="168" fontId="174" fillId="0" borderId="0" xfId="543" applyNumberFormat="1" applyFont="1" applyAlignment="1">
      <alignment horizontal="center" vertical="center"/>
    </xf>
    <xf numFmtId="0" fontId="175" fillId="0" borderId="0" xfId="543" applyFont="1" applyAlignment="1">
      <alignment horizontal="left" vertical="center"/>
    </xf>
    <xf numFmtId="0" fontId="175" fillId="0" borderId="0" xfId="543" applyFont="1" applyAlignment="1">
      <alignment horizontal="right" vertical="top" wrapText="1"/>
    </xf>
    <xf numFmtId="168" fontId="174" fillId="0" borderId="104" xfId="543" applyNumberFormat="1" applyFont="1" applyBorder="1" applyAlignment="1">
      <alignment horizontal="center" vertical="center"/>
    </xf>
    <xf numFmtId="0" fontId="175" fillId="0" borderId="106" xfId="543" applyFont="1" applyBorder="1" applyAlignment="1">
      <alignment horizontal="right" vertical="top" wrapText="1"/>
    </xf>
    <xf numFmtId="0" fontId="25" fillId="0" borderId="0" xfId="4495" applyFont="1" applyAlignment="1">
      <alignment wrapText="1"/>
    </xf>
    <xf numFmtId="182" fontId="18" fillId="0" borderId="0" xfId="700" applyNumberFormat="1" applyFont="1"/>
    <xf numFmtId="9" fontId="18" fillId="0" borderId="0" xfId="1022" applyFont="1"/>
    <xf numFmtId="168" fontId="18"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0" fontId="3" fillId="0" borderId="0" xfId="8733"/>
    <xf numFmtId="0" fontId="94" fillId="0" borderId="0" xfId="8733" applyFont="1"/>
    <xf numFmtId="0" fontId="3" fillId="47" borderId="66" xfId="8733" applyFill="1" applyBorder="1"/>
    <xf numFmtId="0" fontId="3" fillId="47" borderId="0" xfId="8733" applyFill="1"/>
    <xf numFmtId="0" fontId="93" fillId="47" borderId="0" xfId="8733" applyFont="1" applyFill="1"/>
    <xf numFmtId="182" fontId="165" fillId="47" borderId="0" xfId="8734" applyNumberFormat="1" applyFont="1" applyFill="1" applyBorder="1" applyAlignment="1"/>
    <xf numFmtId="0" fontId="3" fillId="47" borderId="41" xfId="8733" applyFill="1" applyBorder="1"/>
    <xf numFmtId="0" fontId="94" fillId="47" borderId="0" xfId="8733" applyFont="1" applyFill="1"/>
    <xf numFmtId="0" fontId="169" fillId="47" borderId="0" xfId="8733" applyFont="1" applyFill="1"/>
    <xf numFmtId="0" fontId="93" fillId="47" borderId="41" xfId="8733" applyFont="1" applyFill="1" applyBorder="1"/>
    <xf numFmtId="0" fontId="93" fillId="0" borderId="0" xfId="8733" applyFont="1"/>
    <xf numFmtId="0" fontId="93" fillId="54" borderId="100" xfId="8733" applyFont="1" applyFill="1" applyBorder="1"/>
    <xf numFmtId="0" fontId="3" fillId="53" borderId="99" xfId="8733" applyFill="1" applyBorder="1"/>
    <xf numFmtId="0" fontId="3" fillId="52" borderId="99" xfId="8733" applyFill="1" applyBorder="1"/>
    <xf numFmtId="0" fontId="93" fillId="45" borderId="65" xfId="8733" applyFont="1" applyFill="1" applyBorder="1"/>
    <xf numFmtId="0" fontId="3" fillId="45" borderId="80" xfId="8733" applyFill="1" applyBorder="1"/>
    <xf numFmtId="0" fontId="3" fillId="45" borderId="79" xfId="8733" applyFill="1" applyBorder="1"/>
    <xf numFmtId="0" fontId="3" fillId="45" borderId="78" xfId="8733" applyFill="1" applyBorder="1"/>
    <xf numFmtId="0" fontId="93" fillId="45" borderId="0" xfId="8733" applyFont="1" applyFill="1"/>
    <xf numFmtId="0" fontId="93" fillId="45" borderId="12" xfId="8733" applyFont="1" applyFill="1" applyBorder="1"/>
    <xf numFmtId="0" fontId="93" fillId="45" borderId="29" xfId="8733" applyFont="1" applyFill="1" applyBorder="1"/>
    <xf numFmtId="0" fontId="93" fillId="45" borderId="80" xfId="8733" applyFont="1" applyFill="1" applyBorder="1"/>
    <xf numFmtId="0" fontId="93" fillId="45" borderId="79" xfId="8733" applyFont="1" applyFill="1" applyBorder="1"/>
    <xf numFmtId="0" fontId="93" fillId="45" borderId="78" xfId="8733" applyFont="1" applyFill="1" applyBorder="1"/>
    <xf numFmtId="0" fontId="93" fillId="45" borderId="93" xfId="8733" applyFont="1" applyFill="1" applyBorder="1"/>
    <xf numFmtId="0" fontId="93" fillId="45" borderId="6" xfId="8733" applyFont="1" applyFill="1" applyBorder="1"/>
    <xf numFmtId="0" fontId="93" fillId="45" borderId="10" xfId="8733" applyFont="1" applyFill="1" applyBorder="1"/>
    <xf numFmtId="0" fontId="3" fillId="45" borderId="29" xfId="8733" applyFill="1" applyBorder="1"/>
    <xf numFmtId="0" fontId="3" fillId="45" borderId="31" xfId="8733" applyFill="1" applyBorder="1"/>
    <xf numFmtId="0" fontId="93" fillId="45" borderId="92" xfId="8733" applyFont="1" applyFill="1" applyBorder="1"/>
    <xf numFmtId="0" fontId="93" fillId="45" borderId="74" xfId="8733" applyFont="1" applyFill="1" applyBorder="1"/>
    <xf numFmtId="0" fontId="164" fillId="45" borderId="87" xfId="8733" applyFont="1" applyFill="1" applyBorder="1"/>
    <xf numFmtId="0" fontId="3" fillId="45" borderId="87" xfId="8733" applyFill="1" applyBorder="1"/>
    <xf numFmtId="0" fontId="3" fillId="45" borderId="86" xfId="8733" applyFill="1" applyBorder="1"/>
    <xf numFmtId="0" fontId="3" fillId="45" borderId="95" xfId="8733" applyFill="1" applyBorder="1"/>
    <xf numFmtId="0" fontId="171" fillId="47" borderId="0" xfId="8733" applyFont="1" applyFill="1"/>
    <xf numFmtId="0" fontId="93" fillId="45" borderId="31" xfId="8733" applyFont="1" applyFill="1" applyBorder="1"/>
    <xf numFmtId="0" fontId="3" fillId="47" borderId="0" xfId="8733" applyFill="1" applyAlignment="1">
      <alignment horizontal="left"/>
    </xf>
    <xf numFmtId="0" fontId="163" fillId="51" borderId="76" xfId="8733" applyFont="1" applyFill="1" applyBorder="1"/>
    <xf numFmtId="0" fontId="3" fillId="48" borderId="66" xfId="8733" applyFill="1" applyBorder="1"/>
    <xf numFmtId="0" fontId="3" fillId="48" borderId="0" xfId="8733" applyFill="1"/>
    <xf numFmtId="0" fontId="3" fillId="48" borderId="78" xfId="8733" applyFill="1" applyBorder="1"/>
    <xf numFmtId="0" fontId="93" fillId="47" borderId="66" xfId="8733" applyFont="1" applyFill="1" applyBorder="1"/>
    <xf numFmtId="49" fontId="93" fillId="47" borderId="66" xfId="8733" applyNumberFormat="1" applyFont="1" applyFill="1" applyBorder="1" applyAlignment="1">
      <alignment horizontal="right" vertical="top"/>
    </xf>
    <xf numFmtId="0" fontId="3" fillId="47" borderId="73" xfId="8733" applyFill="1" applyBorder="1"/>
    <xf numFmtId="0" fontId="3" fillId="47" borderId="42" xfId="8733" applyFill="1" applyBorder="1"/>
    <xf numFmtId="0" fontId="3" fillId="47" borderId="44" xfId="8733" applyFill="1" applyBorder="1"/>
    <xf numFmtId="0" fontId="3" fillId="44" borderId="66" xfId="8733" applyFill="1" applyBorder="1"/>
    <xf numFmtId="0" fontId="3" fillId="44" borderId="0" xfId="8733" applyFill="1"/>
    <xf numFmtId="0" fontId="3" fillId="44" borderId="41" xfId="8733" applyFill="1" applyBorder="1"/>
    <xf numFmtId="0" fontId="3" fillId="44" borderId="0" xfId="8733" applyFill="1" applyAlignment="1">
      <alignment horizontal="left"/>
    </xf>
    <xf numFmtId="0" fontId="3" fillId="44" borderId="73" xfId="8733" applyFill="1" applyBorder="1"/>
    <xf numFmtId="0" fontId="3" fillId="44" borderId="42" xfId="8733" applyFill="1" applyBorder="1"/>
    <xf numFmtId="0" fontId="3" fillId="44" borderId="44" xfId="8733" applyFill="1" applyBorder="1"/>
    <xf numFmtId="0" fontId="155" fillId="0" borderId="0" xfId="8733" applyFont="1"/>
    <xf numFmtId="168" fontId="0" fillId="0" borderId="0" xfId="0" applyNumberFormat="1"/>
    <xf numFmtId="0" fontId="113" fillId="52" borderId="113" xfId="0" applyFont="1" applyFill="1" applyBorder="1"/>
    <xf numFmtId="0" fontId="113" fillId="53" borderId="113" xfId="0" applyFont="1" applyFill="1" applyBorder="1"/>
    <xf numFmtId="1" fontId="0" fillId="0" borderId="0" xfId="0" applyNumberFormat="1"/>
    <xf numFmtId="0" fontId="19"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9" fontId="18" fillId="0" borderId="0" xfId="0" applyNumberFormat="1" applyFont="1"/>
    <xf numFmtId="0" fontId="160" fillId="0" borderId="0" xfId="8733" applyFont="1"/>
    <xf numFmtId="0" fontId="157" fillId="0" borderId="0" xfId="8733" applyFont="1"/>
    <xf numFmtId="185" fontId="160" fillId="0" borderId="0" xfId="698" applyNumberFormat="1" applyFont="1"/>
    <xf numFmtId="10" fontId="160" fillId="0" borderId="0" xfId="1022" applyNumberFormat="1" applyFont="1"/>
    <xf numFmtId="0" fontId="0" fillId="0" borderId="3" xfId="0" applyBorder="1"/>
    <xf numFmtId="0" fontId="0" fillId="0" borderId="5" xfId="0" applyBorder="1"/>
    <xf numFmtId="0" fontId="18" fillId="0" borderId="3" xfId="0" applyFont="1" applyBorder="1"/>
    <xf numFmtId="0" fontId="18" fillId="0" borderId="4" xfId="0" applyFont="1" applyBorder="1"/>
    <xf numFmtId="0" fontId="18" fillId="0" borderId="5" xfId="0" applyFont="1" applyBorder="1"/>
    <xf numFmtId="168" fontId="0" fillId="0" borderId="3" xfId="0" applyNumberFormat="1" applyBorder="1"/>
    <xf numFmtId="168" fontId="0" fillId="0" borderId="4" xfId="0" applyNumberFormat="1" applyBorder="1"/>
    <xf numFmtId="168" fontId="0" fillId="0" borderId="5" xfId="0" applyNumberFormat="1" applyBorder="1"/>
    <xf numFmtId="0" fontId="40" fillId="0" borderId="0" xfId="0" applyFont="1"/>
    <xf numFmtId="0" fontId="18" fillId="8" borderId="0" xfId="542" quotePrefix="1" applyFont="1" applyFill="1" applyAlignment="1">
      <alignment horizontal="left"/>
    </xf>
    <xf numFmtId="0" fontId="25" fillId="8" borderId="0" xfId="539" applyFont="1" applyFill="1" applyAlignment="1" applyProtection="1">
      <alignment horizontal="centerContinuous"/>
    </xf>
    <xf numFmtId="0" fontId="18" fillId="8" borderId="0" xfId="542" applyFont="1" applyFill="1"/>
    <xf numFmtId="0" fontId="25" fillId="8" borderId="114" xfId="542" applyFont="1" applyFill="1" applyBorder="1" applyAlignment="1">
      <alignment horizontal="left"/>
    </xf>
    <xf numFmtId="0" fontId="25" fillId="8" borderId="114" xfId="542" applyFont="1" applyFill="1" applyBorder="1" applyAlignment="1">
      <alignment horizontal="center"/>
    </xf>
    <xf numFmtId="168" fontId="25" fillId="0" borderId="6" xfId="543" applyNumberFormat="1" applyFont="1" applyBorder="1" applyAlignment="1">
      <alignment horizontal="left"/>
    </xf>
    <xf numFmtId="168" fontId="25" fillId="0" borderId="6" xfId="543" applyNumberFormat="1" applyFont="1" applyBorder="1" applyAlignment="1">
      <alignment horizontal="center"/>
    </xf>
    <xf numFmtId="0" fontId="55" fillId="8" borderId="114" xfId="542" applyFont="1" applyFill="1" applyBorder="1" applyAlignment="1">
      <alignment horizontal="left"/>
    </xf>
    <xf numFmtId="0" fontId="18" fillId="0" borderId="114" xfId="0" applyFont="1" applyBorder="1"/>
    <xf numFmtId="5" fontId="70" fillId="2" borderId="114" xfId="541" applyNumberFormat="1" applyFont="1" applyFill="1" applyBorder="1" applyAlignment="1" applyProtection="1">
      <alignment horizontal="center"/>
    </xf>
    <xf numFmtId="0" fontId="55" fillId="0" borderId="114" xfId="542" applyFont="1" applyBorder="1" applyAlignment="1">
      <alignment horizontal="left"/>
    </xf>
    <xf numFmtId="5" fontId="70" fillId="0" borderId="114" xfId="541" applyNumberFormat="1" applyFont="1" applyBorder="1" applyAlignment="1" applyProtection="1">
      <alignment horizontal="center"/>
    </xf>
    <xf numFmtId="0" fontId="42" fillId="0" borderId="0" xfId="244" applyFont="1" applyFill="1" applyBorder="1" applyAlignment="1" applyProtection="1">
      <alignment horizontal="left"/>
    </xf>
    <xf numFmtId="5" fontId="70" fillId="42" borderId="114" xfId="541" applyNumberFormat="1" applyFont="1" applyFill="1" applyBorder="1" applyAlignment="1" applyProtection="1">
      <alignment horizontal="center"/>
    </xf>
    <xf numFmtId="0" fontId="18" fillId="0" borderId="0" xfId="0" applyFont="1" applyAlignment="1">
      <alignment horizontal="left" indent="4"/>
    </xf>
    <xf numFmtId="0" fontId="18" fillId="9" borderId="6" xfId="0" applyFont="1" applyFill="1" applyBorder="1"/>
    <xf numFmtId="166" fontId="18" fillId="0" borderId="0" xfId="0" applyNumberFormat="1" applyFont="1" applyAlignment="1">
      <alignment horizontal="left"/>
    </xf>
    <xf numFmtId="166" fontId="18" fillId="0" borderId="0" xfId="0" applyNumberFormat="1" applyFont="1"/>
    <xf numFmtId="168" fontId="18" fillId="0" borderId="0" xfId="0" applyNumberFormat="1" applyFont="1" applyAlignment="1">
      <alignment horizontal="right"/>
    </xf>
    <xf numFmtId="168" fontId="18" fillId="0" borderId="3" xfId="0" applyNumberFormat="1" applyFont="1" applyBorder="1" applyAlignment="1">
      <alignment vertical="top"/>
    </xf>
    <xf numFmtId="168" fontId="18" fillId="0" borderId="4" xfId="0" applyNumberFormat="1" applyFont="1" applyBorder="1" applyAlignment="1">
      <alignment vertical="top"/>
    </xf>
    <xf numFmtId="168" fontId="18" fillId="0" borderId="5" xfId="0" applyNumberFormat="1" applyFont="1" applyBorder="1" applyAlignment="1">
      <alignment vertical="top"/>
    </xf>
    <xf numFmtId="168" fontId="18" fillId="0" borderId="8" xfId="0" applyNumberFormat="1" applyFont="1" applyBorder="1" applyAlignment="1">
      <alignment vertical="top"/>
    </xf>
    <xf numFmtId="168" fontId="18" fillId="0" borderId="0" xfId="0" applyNumberFormat="1" applyFont="1" applyAlignment="1">
      <alignment vertical="top"/>
    </xf>
    <xf numFmtId="0" fontId="18" fillId="0" borderId="0" xfId="0" applyFont="1" applyAlignment="1">
      <alignment horizontal="right" vertical="top"/>
    </xf>
    <xf numFmtId="0" fontId="18" fillId="0" borderId="12" xfId="0" applyFont="1" applyBorder="1" applyAlignment="1">
      <alignment horizontal="right" vertical="top"/>
    </xf>
    <xf numFmtId="0" fontId="18" fillId="5" borderId="4" xfId="0" applyFont="1" applyFill="1" applyBorder="1" applyAlignment="1" applyProtection="1">
      <alignment horizontal="left" vertical="top"/>
      <protection locked="0"/>
    </xf>
    <xf numFmtId="0" fontId="18" fillId="5" borderId="5" xfId="0" applyFont="1" applyFill="1" applyBorder="1" applyAlignment="1" applyProtection="1">
      <alignment horizontal="left" vertical="top"/>
      <protection locked="0"/>
    </xf>
    <xf numFmtId="5" fontId="18" fillId="0" borderId="0" xfId="542" applyNumberFormat="1" applyFont="1"/>
    <xf numFmtId="1" fontId="25" fillId="0" borderId="114" xfId="271" applyNumberFormat="1" applyFont="1" applyBorder="1"/>
    <xf numFmtId="165" fontId="25" fillId="0" borderId="114" xfId="271" applyNumberFormat="1" applyFont="1" applyBorder="1"/>
    <xf numFmtId="0" fontId="18" fillId="0" borderId="114" xfId="0" applyFont="1" applyBorder="1" applyAlignment="1">
      <alignment horizontal="left"/>
    </xf>
    <xf numFmtId="0" fontId="18" fillId="0" borderId="7" xfId="0" applyFont="1" applyBorder="1"/>
    <xf numFmtId="0" fontId="18" fillId="0" borderId="12" xfId="0" applyFont="1" applyBorder="1"/>
    <xf numFmtId="0" fontId="18" fillId="0" borderId="10" xfId="0" applyFont="1" applyBorder="1"/>
    <xf numFmtId="0" fontId="28" fillId="0" borderId="0" xfId="543" applyFont="1"/>
    <xf numFmtId="0" fontId="18" fillId="0" borderId="1" xfId="0" applyFont="1" applyBorder="1"/>
    <xf numFmtId="0" fontId="36" fillId="0" borderId="7" xfId="543" applyFont="1" applyBorder="1"/>
    <xf numFmtId="0" fontId="25" fillId="0" borderId="12" xfId="543" applyFont="1" applyBorder="1" applyAlignment="1">
      <alignment horizontal="center" vertical="top"/>
    </xf>
    <xf numFmtId="0" fontId="26" fillId="0" borderId="8" xfId="543" applyFont="1" applyBorder="1" applyAlignment="1">
      <alignment horizontal="left" vertical="top" wrapText="1"/>
    </xf>
    <xf numFmtId="0" fontId="26" fillId="0" borderId="12" xfId="543" applyFont="1" applyBorder="1" applyAlignment="1">
      <alignment horizontal="center" vertical="top" wrapText="1"/>
    </xf>
    <xf numFmtId="0" fontId="26" fillId="0" borderId="1" xfId="543" applyFont="1" applyBorder="1" applyAlignment="1">
      <alignment horizontal="left" vertical="top" wrapText="1"/>
    </xf>
    <xf numFmtId="0" fontId="26" fillId="0" borderId="2" xfId="543" applyFont="1" applyBorder="1" applyAlignment="1">
      <alignment horizontal="center" vertical="top" wrapText="1"/>
    </xf>
    <xf numFmtId="0" fontId="26" fillId="0" borderId="0" xfId="543" applyFont="1" applyAlignment="1">
      <alignment horizontal="center" vertical="top" wrapText="1"/>
    </xf>
    <xf numFmtId="1" fontId="18" fillId="0" borderId="114" xfId="543" applyNumberFormat="1" applyBorder="1" applyAlignment="1">
      <alignment horizontal="center"/>
    </xf>
    <xf numFmtId="171" fontId="18" fillId="0" borderId="114" xfId="543" applyNumberFormat="1" applyBorder="1"/>
    <xf numFmtId="0" fontId="26" fillId="0" borderId="9" xfId="543" applyFont="1" applyBorder="1" applyAlignment="1">
      <alignment horizontal="left" vertical="top" wrapText="1"/>
    </xf>
    <xf numFmtId="0" fontId="26" fillId="0" borderId="6" xfId="543" applyFont="1" applyBorder="1" applyAlignment="1">
      <alignment horizontal="center" vertical="top" wrapText="1"/>
    </xf>
    <xf numFmtId="0" fontId="25" fillId="0" borderId="0" xfId="543" applyFont="1" applyAlignment="1">
      <alignment horizontal="center"/>
    </xf>
    <xf numFmtId="0" fontId="34" fillId="0" borderId="9" xfId="543" applyFont="1" applyBorder="1" applyAlignment="1">
      <alignment horizontal="left" vertical="top" wrapText="1"/>
    </xf>
    <xf numFmtId="0" fontId="18" fillId="0" borderId="15" xfId="0" applyFont="1" applyBorder="1"/>
    <xf numFmtId="0" fontId="34" fillId="0" borderId="8" xfId="543" applyFont="1" applyBorder="1" applyAlignment="1">
      <alignment horizontal="left" vertical="top" wrapText="1"/>
    </xf>
    <xf numFmtId="0" fontId="34" fillId="0" borderId="0" xfId="543" applyFont="1" applyAlignment="1">
      <alignment horizontal="center" vertical="top" wrapText="1"/>
    </xf>
    <xf numFmtId="2" fontId="18" fillId="0" borderId="114" xfId="0" applyNumberFormat="1" applyFont="1" applyBorder="1"/>
    <xf numFmtId="0" fontId="26" fillId="0" borderId="0" xfId="543" applyFont="1" applyAlignment="1">
      <alignment horizontal="center"/>
    </xf>
    <xf numFmtId="0" fontId="34" fillId="0" borderId="4" xfId="543" applyFont="1" applyBorder="1" applyAlignment="1">
      <alignment horizontal="right" vertical="top" wrapText="1"/>
    </xf>
    <xf numFmtId="0" fontId="34" fillId="0" borderId="0" xfId="543" applyFont="1" applyAlignment="1">
      <alignment horizontal="right" vertical="top" wrapText="1"/>
    </xf>
    <xf numFmtId="0" fontId="25" fillId="0" borderId="0" xfId="543" applyFont="1" applyAlignment="1">
      <alignment horizontal="right" vertical="top" wrapText="1"/>
    </xf>
    <xf numFmtId="0" fontId="25" fillId="0" borderId="2" xfId="543" applyFont="1" applyBorder="1" applyAlignment="1">
      <alignment horizontal="right" vertical="top" wrapText="1"/>
    </xf>
    <xf numFmtId="0" fontId="25" fillId="0" borderId="0" xfId="543" applyFont="1" applyAlignment="1">
      <alignment vertical="center" wrapText="1"/>
    </xf>
    <xf numFmtId="182" fontId="0" fillId="0" borderId="114" xfId="700" applyNumberFormat="1" applyFont="1" applyBorder="1" applyAlignment="1" applyProtection="1">
      <alignment horizontal="right"/>
    </xf>
    <xf numFmtId="0" fontId="26" fillId="0" borderId="0" xfId="543" applyFont="1"/>
    <xf numFmtId="0" fontId="18" fillId="0" borderId="0" xfId="543" applyAlignment="1">
      <alignment horizontal="left"/>
    </xf>
    <xf numFmtId="0" fontId="24" fillId="3" borderId="114" xfId="0" applyFont="1" applyFill="1" applyBorder="1" applyAlignment="1">
      <alignment vertical="top"/>
    </xf>
    <xf numFmtId="0" fontId="49" fillId="2" borderId="114" xfId="0" applyFont="1" applyFill="1" applyBorder="1" applyAlignment="1">
      <alignment horizontal="left" vertical="top" wrapText="1"/>
    </xf>
    <xf numFmtId="0" fontId="47" fillId="4" borderId="114" xfId="0" applyFont="1" applyFill="1" applyBorder="1" applyAlignment="1">
      <alignment vertical="top" wrapText="1"/>
    </xf>
    <xf numFmtId="0" fontId="47" fillId="2" borderId="114" xfId="0" applyFont="1" applyFill="1" applyBorder="1" applyAlignment="1">
      <alignment vertical="top" wrapText="1"/>
    </xf>
    <xf numFmtId="0" fontId="47" fillId="0" borderId="114" xfId="0" applyFont="1" applyBorder="1" applyAlignment="1">
      <alignment horizontal="right" vertical="top" wrapText="1"/>
    </xf>
    <xf numFmtId="168" fontId="47" fillId="0" borderId="114" xfId="0" applyNumberFormat="1" applyFont="1" applyBorder="1" applyAlignment="1">
      <alignment vertical="top" wrapText="1"/>
    </xf>
    <xf numFmtId="168" fontId="47" fillId="5" borderId="114" xfId="0" applyNumberFormat="1" applyFont="1" applyFill="1" applyBorder="1" applyAlignment="1" applyProtection="1">
      <alignment vertical="top" wrapText="1"/>
      <protection locked="0"/>
    </xf>
    <xf numFmtId="168" fontId="47" fillId="5" borderId="114" xfId="0" applyNumberFormat="1" applyFont="1" applyFill="1" applyBorder="1" applyAlignment="1">
      <alignment vertical="top" wrapText="1"/>
    </xf>
    <xf numFmtId="168" fontId="47" fillId="6" borderId="114" xfId="0" applyNumberFormat="1" applyFont="1" applyFill="1" applyBorder="1" applyAlignment="1">
      <alignment horizontal="center" vertical="top" wrapText="1"/>
    </xf>
    <xf numFmtId="0" fontId="48" fillId="0" borderId="114" xfId="0" applyFont="1" applyBorder="1" applyAlignment="1">
      <alignment horizontal="right" vertical="top" wrapText="1"/>
    </xf>
    <xf numFmtId="168" fontId="48" fillId="0" borderId="114" xfId="0" applyNumberFormat="1" applyFont="1" applyBorder="1" applyAlignment="1">
      <alignment vertical="top" wrapText="1"/>
    </xf>
    <xf numFmtId="0" fontId="47" fillId="0" borderId="114" xfId="271" applyFont="1" applyBorder="1" applyAlignment="1">
      <alignment horizontal="right" vertical="top"/>
    </xf>
    <xf numFmtId="0" fontId="47" fillId="0" borderId="114" xfId="271" applyFont="1" applyBorder="1" applyAlignment="1">
      <alignment horizontal="right" vertical="top" wrapText="1"/>
    </xf>
    <xf numFmtId="168" fontId="47" fillId="4" borderId="114" xfId="0" applyNumberFormat="1" applyFont="1" applyFill="1" applyBorder="1" applyAlignment="1">
      <alignment vertical="top" wrapText="1"/>
    </xf>
    <xf numFmtId="0" fontId="47" fillId="0" borderId="114" xfId="0" applyFont="1" applyBorder="1" applyAlignment="1" applyProtection="1">
      <alignment horizontal="right" vertical="top" wrapText="1"/>
      <protection locked="0"/>
    </xf>
    <xf numFmtId="0" fontId="47" fillId="5" borderId="114" xfId="0" applyFont="1" applyFill="1" applyBorder="1" applyAlignment="1" applyProtection="1">
      <alignment horizontal="right" vertical="top" wrapText="1"/>
      <protection locked="0"/>
    </xf>
    <xf numFmtId="0" fontId="47" fillId="0" borderId="114" xfId="0" applyFont="1" applyBorder="1" applyAlignment="1">
      <alignment horizontal="right" vertical="top"/>
    </xf>
    <xf numFmtId="0" fontId="48" fillId="2" borderId="114" xfId="0" applyFont="1" applyFill="1" applyBorder="1" applyAlignment="1">
      <alignment vertical="top" wrapText="1"/>
    </xf>
    <xf numFmtId="168" fontId="47" fillId="0" borderId="114" xfId="0" applyNumberFormat="1" applyFont="1" applyBorder="1" applyAlignment="1">
      <alignment vertical="top"/>
    </xf>
    <xf numFmtId="168" fontId="47" fillId="5" borderId="114" xfId="0" applyNumberFormat="1" applyFont="1" applyFill="1" applyBorder="1" applyAlignment="1" applyProtection="1">
      <alignment vertical="top"/>
      <protection locked="0"/>
    </xf>
    <xf numFmtId="168" fontId="47" fillId="6" borderId="114" xfId="0" applyNumberFormat="1" applyFont="1" applyFill="1" applyBorder="1" applyAlignment="1">
      <alignment horizontal="center" vertical="top"/>
    </xf>
    <xf numFmtId="0" fontId="47" fillId="2" borderId="114" xfId="0" applyFont="1" applyFill="1" applyBorder="1" applyAlignment="1" applyProtection="1">
      <alignment vertical="top"/>
      <protection locked="0"/>
    </xf>
    <xf numFmtId="0" fontId="21" fillId="0" borderId="114" xfId="0" applyFont="1" applyBorder="1" applyAlignment="1">
      <alignment horizontal="right" vertical="top" wrapText="1"/>
    </xf>
    <xf numFmtId="0" fontId="47" fillId="0" borderId="114" xfId="0" applyFont="1" applyBorder="1" applyAlignment="1">
      <alignment horizontal="right" vertical="center"/>
    </xf>
    <xf numFmtId="168" fontId="47" fillId="44" borderId="114" xfId="0" applyNumberFormat="1" applyFont="1" applyFill="1" applyBorder="1" applyAlignment="1">
      <alignment vertical="top" wrapText="1"/>
    </xf>
    <xf numFmtId="0" fontId="47" fillId="0" borderId="0" xfId="0" applyFont="1" applyAlignment="1">
      <alignment horizontal="left" vertical="top"/>
    </xf>
    <xf numFmtId="3" fontId="47" fillId="0" borderId="114" xfId="0" applyNumberFormat="1" applyFont="1" applyBorder="1" applyAlignment="1">
      <alignment vertical="top" wrapText="1"/>
    </xf>
    <xf numFmtId="0" fontId="47" fillId="2" borderId="12" xfId="0" applyFont="1" applyFill="1" applyBorder="1" applyAlignment="1">
      <alignment vertical="top" wrapText="1"/>
    </xf>
    <xf numFmtId="0" fontId="18" fillId="0" borderId="0" xfId="0" applyFont="1" applyAlignment="1">
      <alignment horizontal="right" vertical="top" wrapText="1"/>
    </xf>
    <xf numFmtId="10" fontId="18" fillId="5" borderId="6" xfId="0" applyNumberFormat="1" applyFont="1" applyFill="1" applyBorder="1" applyAlignment="1" applyProtection="1">
      <alignment horizontal="center" vertical="top" wrapText="1"/>
      <protection locked="0"/>
    </xf>
    <xf numFmtId="0" fontId="49" fillId="2" borderId="114" xfId="569" applyFont="1" applyFill="1" applyBorder="1" applyAlignment="1">
      <alignment horizontal="left" vertical="top" wrapText="1"/>
    </xf>
    <xf numFmtId="6" fontId="47" fillId="4" borderId="114" xfId="569" applyNumberFormat="1" applyFont="1" applyFill="1" applyBorder="1" applyAlignment="1">
      <alignment vertical="top" wrapText="1"/>
    </xf>
    <xf numFmtId="0" fontId="47" fillId="0" borderId="114" xfId="569" applyFont="1" applyBorder="1" applyAlignment="1">
      <alignment horizontal="right" vertical="top" wrapText="1"/>
    </xf>
    <xf numFmtId="6" fontId="47" fillId="0" borderId="114" xfId="569" applyNumberFormat="1" applyFont="1" applyBorder="1" applyAlignment="1">
      <alignment vertical="top" wrapText="1"/>
    </xf>
    <xf numFmtId="6" fontId="47" fillId="5" borderId="114" xfId="569" applyNumberFormat="1" applyFont="1" applyFill="1" applyBorder="1" applyAlignment="1" applyProtection="1">
      <alignment vertical="top" wrapText="1"/>
      <protection locked="0"/>
    </xf>
    <xf numFmtId="6" fontId="47" fillId="6" borderId="114" xfId="569" applyNumberFormat="1" applyFont="1" applyFill="1" applyBorder="1" applyAlignment="1">
      <alignment horizontal="center" vertical="top" wrapText="1"/>
    </xf>
    <xf numFmtId="0" fontId="48" fillId="0" borderId="114" xfId="569" applyFont="1" applyBorder="1" applyAlignment="1">
      <alignment horizontal="right" vertical="top" wrapText="1"/>
    </xf>
    <xf numFmtId="0" fontId="47" fillId="0" borderId="114" xfId="569" applyFont="1" applyBorder="1" applyAlignment="1">
      <alignment horizontal="right" vertical="top"/>
    </xf>
    <xf numFmtId="6" fontId="48" fillId="0" borderId="114" xfId="569" applyNumberFormat="1" applyFont="1" applyBorder="1" applyAlignment="1">
      <alignment vertical="top" wrapText="1"/>
    </xf>
    <xf numFmtId="0" fontId="21" fillId="0" borderId="114" xfId="569" applyFont="1" applyBorder="1" applyAlignment="1">
      <alignment horizontal="right" vertical="top" wrapText="1"/>
    </xf>
    <xf numFmtId="0" fontId="163" fillId="51" borderId="114" xfId="8733" applyFont="1" applyFill="1" applyBorder="1"/>
    <xf numFmtId="182" fontId="89" fillId="0" borderId="114" xfId="8721" applyNumberFormat="1" applyFont="1" applyBorder="1" applyProtection="1"/>
    <xf numFmtId="182" fontId="89" fillId="0" borderId="114" xfId="4496" applyNumberFormat="1" applyFont="1" applyBorder="1"/>
    <xf numFmtId="182" fontId="154" fillId="0" borderId="114" xfId="4496" applyNumberFormat="1" applyFont="1" applyBorder="1"/>
    <xf numFmtId="182" fontId="23" fillId="0" borderId="114" xfId="4496" applyNumberFormat="1" applyFont="1" applyBorder="1"/>
    <xf numFmtId="9" fontId="89" fillId="0" borderId="114" xfId="4494" applyFont="1" applyFill="1" applyBorder="1" applyAlignment="1" applyProtection="1">
      <alignment horizontal="right"/>
    </xf>
    <xf numFmtId="0" fontId="89" fillId="0" borderId="114" xfId="4496" applyFont="1" applyBorder="1" applyAlignment="1">
      <alignment horizontal="center"/>
    </xf>
    <xf numFmtId="2" fontId="89" fillId="0" borderId="114" xfId="4496" applyNumberFormat="1" applyFont="1" applyBorder="1" applyAlignment="1">
      <alignment horizontal="center"/>
    </xf>
    <xf numFmtId="0" fontId="89" fillId="0" borderId="114" xfId="4496" applyFont="1" applyBorder="1" applyAlignment="1">
      <alignment horizontal="center" vertical="top" wrapText="1"/>
    </xf>
    <xf numFmtId="0" fontId="23" fillId="0" borderId="114" xfId="253" applyFont="1" applyBorder="1" applyAlignment="1">
      <alignment horizontal="center" wrapText="1"/>
    </xf>
    <xf numFmtId="0" fontId="23" fillId="0" borderId="114" xfId="253" applyFont="1" applyBorder="1" applyAlignment="1" applyProtection="1">
      <alignment horizontal="center" wrapText="1"/>
      <protection locked="0"/>
    </xf>
    <xf numFmtId="3" fontId="23" fillId="0" borderId="114" xfId="271" applyNumberFormat="1" applyFont="1" applyBorder="1"/>
    <xf numFmtId="3" fontId="23" fillId="0" borderId="114" xfId="271" applyNumberFormat="1" applyFont="1" applyBorder="1" applyAlignment="1">
      <alignment horizontal="center"/>
    </xf>
    <xf numFmtId="3" fontId="23" fillId="43" borderId="114" xfId="271" applyNumberFormat="1" applyFont="1" applyFill="1" applyBorder="1" applyAlignment="1" applyProtection="1">
      <alignment horizontal="left"/>
      <protection locked="0"/>
    </xf>
    <xf numFmtId="3" fontId="23" fillId="43" borderId="114" xfId="271" applyNumberFormat="1" applyFont="1" applyFill="1" applyBorder="1" applyProtection="1">
      <protection locked="0"/>
    </xf>
    <xf numFmtId="168" fontId="23" fillId="0" borderId="114" xfId="271" applyNumberFormat="1" applyFont="1" applyBorder="1"/>
    <xf numFmtId="172" fontId="18" fillId="0" borderId="0" xfId="0" applyNumberFormat="1" applyFont="1" applyAlignment="1">
      <alignment horizontal="center"/>
    </xf>
    <xf numFmtId="10" fontId="40" fillId="0" borderId="0" xfId="0" applyNumberFormat="1" applyFont="1" applyAlignment="1">
      <alignment horizontal="center"/>
    </xf>
    <xf numFmtId="172" fontId="18" fillId="5" borderId="0" xfId="0" applyNumberFormat="1" applyFont="1" applyFill="1" applyAlignment="1">
      <alignment horizontal="center"/>
    </xf>
    <xf numFmtId="172" fontId="18" fillId="0" borderId="114" xfId="0" applyNumberFormat="1" applyFont="1" applyBorder="1" applyAlignment="1">
      <alignment horizontal="center"/>
    </xf>
    <xf numFmtId="3" fontId="18" fillId="0" borderId="0" xfId="0" applyNumberFormat="1" applyFont="1" applyAlignment="1">
      <alignment vertical="top"/>
    </xf>
    <xf numFmtId="0" fontId="24" fillId="3" borderId="114" xfId="271" applyFont="1" applyFill="1" applyBorder="1" applyAlignment="1">
      <alignment vertical="top"/>
    </xf>
    <xf numFmtId="0" fontId="43" fillId="2" borderId="114" xfId="271" applyFont="1" applyFill="1" applyBorder="1" applyAlignment="1">
      <alignment horizontal="left" vertical="top" wrapText="1"/>
    </xf>
    <xf numFmtId="0" fontId="43" fillId="2" borderId="114" xfId="271" applyFont="1" applyFill="1" applyBorder="1" applyAlignment="1" applyProtection="1">
      <alignment horizontal="left" vertical="top" wrapText="1"/>
      <protection locked="0"/>
    </xf>
    <xf numFmtId="168" fontId="27" fillId="5" borderId="114" xfId="271" applyNumberFormat="1" applyFill="1" applyBorder="1" applyAlignment="1" applyProtection="1">
      <alignment vertical="top" wrapText="1"/>
      <protection locked="0"/>
    </xf>
    <xf numFmtId="168" fontId="27" fillId="0" borderId="114" xfId="271" applyNumberFormat="1" applyBorder="1" applyAlignment="1">
      <alignment vertical="top" wrapText="1"/>
    </xf>
    <xf numFmtId="0" fontId="27" fillId="5" borderId="114" xfId="271" applyFill="1" applyBorder="1" applyAlignment="1" applyProtection="1">
      <alignment vertical="top" wrapText="1"/>
      <protection locked="0"/>
    </xf>
    <xf numFmtId="0" fontId="25" fillId="0" borderId="114" xfId="0" applyFont="1" applyBorder="1" applyAlignment="1">
      <alignment horizontal="right" vertical="top" wrapText="1"/>
    </xf>
    <xf numFmtId="0" fontId="25" fillId="0" borderId="114" xfId="271" applyFont="1" applyBorder="1" applyAlignment="1">
      <alignment horizontal="right" vertical="top" wrapText="1"/>
    </xf>
    <xf numFmtId="0" fontId="27" fillId="0" borderId="114" xfId="271" applyBorder="1" applyAlignment="1">
      <alignment horizontal="right" vertical="top" wrapText="1"/>
    </xf>
    <xf numFmtId="168" fontId="25" fillId="0" borderId="114" xfId="271" applyNumberFormat="1" applyFont="1" applyBorder="1" applyAlignment="1">
      <alignment vertical="top" wrapText="1"/>
    </xf>
    <xf numFmtId="0" fontId="27" fillId="0" borderId="114" xfId="271" applyBorder="1" applyAlignment="1" applyProtection="1">
      <alignment horizontal="right" vertical="top" wrapText="1"/>
      <protection locked="0"/>
    </xf>
    <xf numFmtId="0" fontId="35" fillId="0" borderId="114" xfId="271" applyFont="1" applyBorder="1" applyAlignment="1">
      <alignment horizontal="right" vertical="top" wrapText="1"/>
    </xf>
    <xf numFmtId="0" fontId="27" fillId="5" borderId="114" xfId="271" applyFill="1" applyBorder="1" applyAlignment="1" applyProtection="1">
      <alignment horizontal="right" vertical="top" wrapText="1"/>
      <protection locked="0"/>
    </xf>
    <xf numFmtId="0" fontId="18" fillId="0" borderId="114" xfId="271" applyFont="1" applyBorder="1" applyAlignment="1">
      <alignment horizontal="right" vertical="top" wrapText="1"/>
    </xf>
    <xf numFmtId="0" fontId="27" fillId="0" borderId="114" xfId="271" applyBorder="1" applyAlignment="1" applyProtection="1">
      <alignment vertical="top" wrapText="1"/>
      <protection locked="0"/>
    </xf>
    <xf numFmtId="0" fontId="18" fillId="0" borderId="0" xfId="0" applyFont="1" applyAlignment="1">
      <alignment horizontal="left" vertical="top" wrapText="1"/>
    </xf>
    <xf numFmtId="0" fontId="19" fillId="0" borderId="0" xfId="244" applyAlignment="1">
      <alignment horizontal="left" vertical="top"/>
    </xf>
    <xf numFmtId="0" fontId="41" fillId="0" borderId="0" xfId="0" applyFont="1" applyAlignment="1">
      <alignment horizontal="left" vertical="top" wrapText="1"/>
    </xf>
    <xf numFmtId="0" fontId="18" fillId="0" borderId="0" xfId="0" applyFont="1" applyAlignment="1">
      <alignment horizontal="left" wrapText="1"/>
    </xf>
    <xf numFmtId="0" fontId="19" fillId="0" borderId="0" xfId="244" applyAlignment="1"/>
    <xf numFmtId="0" fontId="18" fillId="0" borderId="0" xfId="1192" applyAlignment="1">
      <alignment horizontal="left" vertical="top" wrapText="1"/>
    </xf>
    <xf numFmtId="0" fontId="25" fillId="0" borderId="0" xfId="0" applyFont="1" applyAlignment="1">
      <alignment horizontal="left" vertical="top" wrapText="1"/>
    </xf>
    <xf numFmtId="0" fontId="18" fillId="0" borderId="0" xfId="569" applyAlignment="1">
      <alignment wrapText="1"/>
    </xf>
    <xf numFmtId="0" fontId="18" fillId="0" borderId="0" xfId="1192" applyAlignment="1">
      <alignment vertical="top" wrapText="1"/>
    </xf>
    <xf numFmtId="4" fontId="18" fillId="0" borderId="0" xfId="569" applyNumberFormat="1" applyAlignment="1">
      <alignment horizontal="left"/>
    </xf>
    <xf numFmtId="4" fontId="36" fillId="0" borderId="0" xfId="0" applyNumberFormat="1" applyFont="1" applyAlignment="1">
      <alignment horizontal="left"/>
    </xf>
    <xf numFmtId="4" fontId="18" fillId="0" borderId="0" xfId="0" applyNumberFormat="1" applyFont="1" applyAlignment="1">
      <alignment horizontal="left"/>
    </xf>
    <xf numFmtId="0" fontId="25" fillId="0" borderId="4" xfId="0" applyFont="1" applyBorder="1" applyAlignment="1">
      <alignment horizontal="left"/>
    </xf>
    <xf numFmtId="0" fontId="18" fillId="0" borderId="0" xfId="0" applyFont="1" applyAlignment="1">
      <alignment horizontal="left" vertical="top"/>
    </xf>
    <xf numFmtId="0" fontId="18" fillId="0" borderId="0" xfId="0" applyFont="1" applyAlignment="1">
      <alignment vertical="top" wrapText="1"/>
    </xf>
    <xf numFmtId="4" fontId="18" fillId="0" borderId="0" xfId="0" applyNumberFormat="1" applyFont="1" applyAlignment="1">
      <alignment horizontal="left" vertical="top" wrapText="1"/>
    </xf>
    <xf numFmtId="0" fontId="36" fillId="0" borderId="0" xfId="0" applyFont="1" applyAlignment="1">
      <alignment horizontal="left"/>
    </xf>
    <xf numFmtId="0" fontId="25" fillId="0" borderId="0" xfId="0" applyFont="1" applyAlignment="1">
      <alignment vertical="top" wrapText="1"/>
    </xf>
    <xf numFmtId="0" fontId="25" fillId="0" borderId="0" xfId="1192" applyFont="1" applyAlignment="1">
      <alignment horizontal="left" vertical="top" wrapText="1"/>
    </xf>
    <xf numFmtId="0" fontId="18" fillId="0" borderId="0" xfId="569" applyAlignment="1">
      <alignment horizontal="left"/>
    </xf>
    <xf numFmtId="0" fontId="18" fillId="0" borderId="0" xfId="569" applyAlignment="1">
      <alignment horizontal="left" vertical="top" wrapText="1"/>
    </xf>
    <xf numFmtId="0" fontId="19" fillId="0" borderId="0" xfId="244" quotePrefix="1" applyAlignment="1" applyProtection="1">
      <alignment horizontal="left"/>
    </xf>
    <xf numFmtId="0" fontId="18" fillId="0" borderId="0" xfId="569" applyAlignment="1">
      <alignment horizontal="left" vertical="top"/>
    </xf>
    <xf numFmtId="0" fontId="18" fillId="0" borderId="0" xfId="0" quotePrefix="1" applyFont="1" applyAlignment="1">
      <alignment horizontal="left" vertical="top"/>
    </xf>
    <xf numFmtId="0" fontId="36" fillId="0" borderId="0" xfId="569" applyFont="1" applyAlignment="1">
      <alignment horizontal="left"/>
    </xf>
    <xf numFmtId="4" fontId="18" fillId="0" borderId="0" xfId="1192" applyNumberFormat="1" applyAlignment="1">
      <alignment horizontal="left" vertical="top" wrapText="1"/>
    </xf>
    <xf numFmtId="0" fontId="18" fillId="0" borderId="0" xfId="569" applyAlignment="1">
      <alignment vertical="top" wrapText="1"/>
    </xf>
    <xf numFmtId="0" fontId="18" fillId="0" borderId="0" xfId="1192" applyAlignment="1">
      <alignment horizontal="left"/>
    </xf>
    <xf numFmtId="0" fontId="25" fillId="0" borderId="0" xfId="569" applyFont="1" applyAlignment="1">
      <alignment horizontal="center"/>
    </xf>
    <xf numFmtId="0" fontId="25" fillId="0" borderId="0" xfId="0" applyFont="1" applyAlignment="1">
      <alignment horizontal="left" vertical="top"/>
    </xf>
    <xf numFmtId="0" fontId="25" fillId="0" borderId="0" xfId="569" applyFont="1" applyAlignment="1">
      <alignment horizontal="left"/>
    </xf>
    <xf numFmtId="0" fontId="36" fillId="0" borderId="0" xfId="569" applyFont="1" applyAlignment="1">
      <alignment horizontal="center"/>
    </xf>
    <xf numFmtId="0" fontId="18" fillId="0" borderId="0" xfId="0" applyFont="1" applyAlignment="1">
      <alignment vertical="center" wrapText="1"/>
    </xf>
    <xf numFmtId="0" fontId="0" fillId="0" borderId="0" xfId="0" applyAlignment="1">
      <alignment horizontal="center"/>
    </xf>
    <xf numFmtId="0" fontId="0" fillId="5" borderId="4" xfId="0" applyFill="1" applyBorder="1" applyAlignment="1" applyProtection="1">
      <alignment horizontal="left"/>
      <protection locked="0"/>
    </xf>
    <xf numFmtId="0" fontId="0" fillId="0" borderId="6" xfId="0" applyBorder="1" applyAlignment="1">
      <alignment horizontal="left"/>
    </xf>
    <xf numFmtId="0" fontId="0" fillId="5" borderId="6" xfId="0" applyFill="1" applyBorder="1" applyAlignment="1" applyProtection="1">
      <alignment horizontal="left"/>
      <protection locked="0"/>
    </xf>
    <xf numFmtId="0" fontId="25" fillId="0" borderId="0" xfId="0" applyFont="1" applyAlignment="1">
      <alignment horizontal="center"/>
    </xf>
    <xf numFmtId="0" fontId="44" fillId="0" borderId="0" xfId="0" applyFont="1" applyAlignment="1">
      <alignment horizontal="center"/>
    </xf>
    <xf numFmtId="0" fontId="18" fillId="0" borderId="0" xfId="0" applyFont="1" applyAlignment="1">
      <alignment horizontal="center"/>
    </xf>
    <xf numFmtId="0" fontId="33" fillId="0" borderId="0" xfId="0" applyFont="1" applyAlignment="1">
      <alignment horizontal="center"/>
    </xf>
    <xf numFmtId="0" fontId="18" fillId="0" borderId="0" xfId="0" applyFont="1" applyAlignment="1">
      <alignment wrapText="1"/>
    </xf>
    <xf numFmtId="0" fontId="26" fillId="0" borderId="0" xfId="0" applyFont="1" applyAlignment="1">
      <alignment horizontal="center"/>
    </xf>
    <xf numFmtId="0" fontId="25" fillId="0" borderId="0" xfId="0" applyFont="1" applyAlignment="1">
      <alignment horizontal="center" vertical="center" wrapText="1"/>
    </xf>
    <xf numFmtId="0" fontId="25" fillId="0" borderId="12" xfId="0" applyFont="1" applyBorder="1" applyAlignment="1">
      <alignment horizontal="center" vertical="center" wrapText="1"/>
    </xf>
    <xf numFmtId="0" fontId="0" fillId="5" borderId="3" xfId="0" applyFill="1" applyBorder="1" applyAlignment="1" applyProtection="1">
      <alignment horizontal="left"/>
      <protection locked="0"/>
    </xf>
    <xf numFmtId="0" fontId="25" fillId="0" borderId="4" xfId="0" applyFont="1" applyBorder="1" applyAlignment="1">
      <alignment horizontal="right"/>
    </xf>
    <xf numFmtId="0" fontId="25" fillId="0" borderId="5" xfId="0" applyFont="1" applyBorder="1" applyAlignment="1">
      <alignment horizontal="right"/>
    </xf>
    <xf numFmtId="0" fontId="18" fillId="0" borderId="3"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xf>
    <xf numFmtId="0" fontId="25" fillId="0" borderId="6" xfId="0" applyFont="1" applyBorder="1" applyAlignment="1">
      <alignment horizontal="right"/>
    </xf>
    <xf numFmtId="0" fontId="25" fillId="0" borderId="7" xfId="543" applyFont="1" applyBorder="1" applyAlignment="1">
      <alignment horizontal="right"/>
    </xf>
    <xf numFmtId="0" fontId="25" fillId="0" borderId="1" xfId="0" applyFont="1" applyBorder="1" applyAlignment="1">
      <alignment horizontal="center" wrapText="1"/>
    </xf>
    <xf numFmtId="0" fontId="25" fillId="0" borderId="8" xfId="0" applyFont="1" applyBorder="1" applyAlignment="1">
      <alignment horizontal="center" wrapText="1"/>
    </xf>
    <xf numFmtId="0" fontId="25" fillId="0" borderId="0" xfId="0" applyFont="1" applyAlignment="1">
      <alignment horizontal="center" vertical="center"/>
    </xf>
    <xf numFmtId="0" fontId="0" fillId="0" borderId="3" xfId="0" applyBorder="1" applyAlignment="1">
      <alignment horizontal="left"/>
    </xf>
    <xf numFmtId="0" fontId="0" fillId="0" borderId="4" xfId="0" applyBorder="1" applyAlignment="1">
      <alignment horizontal="left"/>
    </xf>
    <xf numFmtId="0" fontId="18" fillId="0" borderId="0" xfId="543" applyAlignment="1">
      <alignment horizontal="center"/>
    </xf>
    <xf numFmtId="0" fontId="25" fillId="0" borderId="6" xfId="0" applyFont="1" applyBorder="1" applyAlignment="1">
      <alignment horizontal="center"/>
    </xf>
    <xf numFmtId="0" fontId="25" fillId="0" borderId="7" xfId="0" applyFont="1" applyBorder="1" applyAlignment="1">
      <alignment horizontal="right"/>
    </xf>
    <xf numFmtId="0" fontId="25" fillId="0" borderId="2" xfId="0" applyFont="1" applyBorder="1" applyAlignment="1">
      <alignment horizontal="center"/>
    </xf>
    <xf numFmtId="0" fontId="0" fillId="0" borderId="12" xfId="0" applyBorder="1" applyAlignment="1">
      <alignment horizontal="center"/>
    </xf>
    <xf numFmtId="0" fontId="25" fillId="0" borderId="8" xfId="0" applyFont="1" applyBorder="1" applyAlignment="1">
      <alignment horizontal="center" vertical="center" wrapText="1"/>
    </xf>
    <xf numFmtId="0" fontId="18" fillId="0" borderId="4" xfId="0" applyFont="1" applyBorder="1" applyAlignment="1">
      <alignment horizontal="left"/>
    </xf>
    <xf numFmtId="0" fontId="0" fillId="0" borderId="5" xfId="0" applyBorder="1" applyAlignment="1">
      <alignment horizontal="left"/>
    </xf>
    <xf numFmtId="0" fontId="25" fillId="0" borderId="4" xfId="0" applyFont="1" applyBorder="1" applyAlignment="1">
      <alignment horizontal="center"/>
    </xf>
    <xf numFmtId="0" fontId="0" fillId="0" borderId="0" xfId="0" applyAlignment="1">
      <alignment vertical="top" wrapText="1"/>
    </xf>
    <xf numFmtId="0" fontId="0" fillId="0" borderId="6" xfId="0" applyBorder="1" applyAlignment="1">
      <alignment horizontal="left" wrapText="1"/>
    </xf>
    <xf numFmtId="0" fontId="47" fillId="0" borderId="0" xfId="0" applyFont="1" applyAlignment="1">
      <alignment vertical="top" wrapText="1"/>
    </xf>
    <xf numFmtId="0" fontId="18" fillId="0" borderId="0" xfId="569" applyAlignment="1">
      <alignment horizontal="right" vertical="top" wrapText="1"/>
    </xf>
    <xf numFmtId="0" fontId="93" fillId="47" borderId="41" xfId="8733" applyFont="1" applyFill="1" applyBorder="1" applyAlignment="1">
      <alignment horizontal="center"/>
    </xf>
    <xf numFmtId="0" fontId="164" fillId="51" borderId="114" xfId="8733" applyFont="1" applyFill="1" applyBorder="1" applyAlignment="1">
      <alignment horizontal="center"/>
    </xf>
    <xf numFmtId="0" fontId="164" fillId="51" borderId="76" xfId="8733" applyFont="1" applyFill="1" applyBorder="1" applyAlignment="1">
      <alignment horizontal="center"/>
    </xf>
    <xf numFmtId="0" fontId="47" fillId="0" borderId="0" xfId="569" applyFont="1" applyAlignment="1">
      <alignment horizontal="left"/>
    </xf>
    <xf numFmtId="0" fontId="18" fillId="0" borderId="0" xfId="4495" applyFont="1" applyAlignment="1">
      <alignment horizontal="left" vertical="center" wrapText="1"/>
    </xf>
    <xf numFmtId="0" fontId="25" fillId="0" borderId="0" xfId="4495" applyFont="1" applyAlignment="1">
      <alignment horizontal="right"/>
    </xf>
    <xf numFmtId="0" fontId="113" fillId="0" borderId="53" xfId="4496" applyFont="1" applyBorder="1" applyAlignment="1">
      <alignment horizontal="left" vertical="top" wrapText="1"/>
    </xf>
    <xf numFmtId="0" fontId="113" fillId="0" borderId="0" xfId="4496" applyFont="1" applyAlignment="1">
      <alignment horizontal="left" vertical="top" wrapText="1"/>
    </xf>
    <xf numFmtId="0" fontId="113" fillId="0" borderId="54" xfId="4496" applyFont="1" applyBorder="1" applyAlignment="1">
      <alignment horizontal="left" vertical="top" wrapText="1"/>
    </xf>
    <xf numFmtId="0" fontId="18" fillId="0" borderId="58" xfId="4495" applyFont="1" applyBorder="1" applyAlignment="1">
      <alignment vertical="center" wrapText="1"/>
    </xf>
    <xf numFmtId="0" fontId="18" fillId="0" borderId="59" xfId="4495" applyFont="1" applyBorder="1" applyAlignment="1">
      <alignment vertical="center" wrapText="1"/>
    </xf>
    <xf numFmtId="0" fontId="25" fillId="0" borderId="0" xfId="4495" applyFont="1" applyAlignment="1">
      <alignment horizontal="center" vertical="top"/>
    </xf>
    <xf numFmtId="0" fontId="18" fillId="0" borderId="0" xfId="1192" applyAlignment="1">
      <alignment horizontal="right"/>
    </xf>
    <xf numFmtId="9" fontId="18" fillId="0" borderId="0" xfId="1192" quotePrefix="1" applyNumberFormat="1" applyAlignment="1">
      <alignment horizontal="center"/>
    </xf>
    <xf numFmtId="0" fontId="18" fillId="0" borderId="0" xfId="4495" applyFont="1" applyAlignment="1">
      <alignment horizontal="left"/>
    </xf>
    <xf numFmtId="0" fontId="25" fillId="0" borderId="0" xfId="4495" applyFont="1" applyAlignment="1">
      <alignment horizontal="left" vertical="top"/>
    </xf>
    <xf numFmtId="0" fontId="111" fillId="0" borderId="0" xfId="4495" applyAlignment="1" applyProtection="1">
      <alignment horizontal="center"/>
      <protection locked="0"/>
    </xf>
    <xf numFmtId="165" fontId="18" fillId="0" borderId="0" xfId="1192" applyNumberFormat="1" applyAlignment="1">
      <alignment horizontal="right"/>
    </xf>
    <xf numFmtId="0" fontId="18" fillId="0" borderId="0" xfId="4495" applyFont="1" applyAlignment="1">
      <alignment horizontal="left" vertical="top" wrapText="1"/>
    </xf>
    <xf numFmtId="0" fontId="18" fillId="0" borderId="58" xfId="4495" applyFont="1" applyBorder="1" applyAlignment="1">
      <alignment horizontal="left" vertical="top" wrapText="1"/>
    </xf>
    <xf numFmtId="0" fontId="18" fillId="0" borderId="51" xfId="4495" applyFont="1" applyBorder="1" applyAlignment="1">
      <alignment horizontal="left" vertical="top" wrapText="1"/>
    </xf>
    <xf numFmtId="0" fontId="121" fillId="0" borderId="0" xfId="4495" applyFont="1" applyAlignment="1">
      <alignment horizontal="left" vertical="top" wrapText="1"/>
    </xf>
    <xf numFmtId="0" fontId="25" fillId="0" borderId="0" xfId="4495" applyFont="1" applyAlignment="1">
      <alignment horizontal="center"/>
    </xf>
    <xf numFmtId="0" fontId="25" fillId="0" borderId="54" xfId="4495" applyFont="1" applyBorder="1" applyAlignment="1">
      <alignment horizontal="center"/>
    </xf>
    <xf numFmtId="0" fontId="26" fillId="0" borderId="51" xfId="4495" applyFont="1" applyBorder="1" applyAlignment="1">
      <alignment horizontal="left" vertical="top" wrapText="1"/>
    </xf>
    <xf numFmtId="0" fontId="26" fillId="0" borderId="0" xfId="4495" applyFont="1" applyAlignment="1">
      <alignment horizontal="left" vertical="top" wrapText="1"/>
    </xf>
    <xf numFmtId="0" fontId="25" fillId="0" borderId="54" xfId="4495" applyFont="1" applyBorder="1" applyAlignment="1">
      <alignment horizontal="center" vertical="top"/>
    </xf>
    <xf numFmtId="0" fontId="18" fillId="0" borderId="0" xfId="4495" applyFont="1" applyAlignment="1">
      <alignment horizontal="left" vertical="center" wrapText="1" shrinkToFit="1"/>
    </xf>
    <xf numFmtId="0" fontId="26" fillId="0" borderId="0" xfId="4495" applyFont="1" applyAlignment="1">
      <alignment horizontal="center"/>
    </xf>
    <xf numFmtId="0" fontId="18" fillId="0" borderId="0" xfId="4495" applyFont="1" applyAlignment="1">
      <alignment wrapText="1"/>
    </xf>
    <xf numFmtId="0" fontId="18" fillId="0" borderId="0" xfId="4495" applyFont="1" applyAlignment="1">
      <alignment horizontal="left" vertical="top" wrapText="1" shrinkToFit="1"/>
    </xf>
    <xf numFmtId="44" fontId="18" fillId="0" borderId="0" xfId="707" applyFont="1" applyFill="1" applyBorder="1" applyAlignment="1" applyProtection="1">
      <alignment horizontal="left" vertical="top" wrapText="1"/>
    </xf>
    <xf numFmtId="0" fontId="25" fillId="0" borderId="0" xfId="4495" applyFont="1" applyAlignment="1">
      <alignment horizontal="left" vertical="top" wrapText="1"/>
    </xf>
    <xf numFmtId="0" fontId="25" fillId="0" borderId="4" xfId="4495" applyFont="1" applyBorder="1" applyAlignment="1">
      <alignment horizontal="left"/>
    </xf>
    <xf numFmtId="0" fontId="25" fillId="0" borderId="5" xfId="4495" applyFont="1" applyBorder="1" applyAlignment="1">
      <alignment horizontal="left"/>
    </xf>
    <xf numFmtId="0" fontId="25" fillId="0" borderId="3" xfId="4495" applyFont="1" applyBorder="1" applyAlignment="1">
      <alignment horizontal="left"/>
    </xf>
    <xf numFmtId="0" fontId="111" fillId="0" borderId="53" xfId="4495" applyBorder="1" applyAlignment="1">
      <alignment horizontal="center"/>
    </xf>
    <xf numFmtId="0" fontId="111" fillId="0" borderId="0" xfId="4495" applyAlignment="1">
      <alignment horizontal="center"/>
    </xf>
    <xf numFmtId="168" fontId="89" fillId="0" borderId="114" xfId="4499" applyNumberFormat="1" applyFont="1" applyFill="1" applyBorder="1" applyAlignment="1" applyProtection="1">
      <alignment horizontal="left" vertical="center" indent="1"/>
    </xf>
    <xf numFmtId="0" fontId="18" fillId="0" borderId="0" xfId="0" applyFont="1" applyAlignment="1">
      <alignment horizontal="left" vertical="top" wrapText="1"/>
    </xf>
    <xf numFmtId="0" fontId="19" fillId="0" borderId="0" xfId="244" applyAlignment="1"/>
    <xf numFmtId="0" fontId="0" fillId="0" borderId="0" xfId="0"/>
    <xf numFmtId="0" fontId="18" fillId="0" borderId="0" xfId="1192" applyAlignment="1">
      <alignment horizontal="left" vertical="top" wrapText="1"/>
    </xf>
    <xf numFmtId="0" fontId="25" fillId="0" borderId="0" xfId="0" applyFont="1" applyAlignment="1">
      <alignment horizontal="left" vertical="top" wrapText="1"/>
    </xf>
    <xf numFmtId="0" fontId="41" fillId="0" borderId="0" xfId="0" applyFont="1" applyAlignment="1">
      <alignment horizontal="left" vertical="top" wrapText="1"/>
    </xf>
    <xf numFmtId="0" fontId="18" fillId="0" borderId="0" xfId="0" applyFont="1" applyAlignment="1">
      <alignment horizontal="left" wrapText="1"/>
    </xf>
    <xf numFmtId="0" fontId="19" fillId="0" borderId="0" xfId="244" applyAlignment="1" applyProtection="1">
      <alignment horizontal="left"/>
    </xf>
    <xf numFmtId="0" fontId="104" fillId="0" borderId="0" xfId="0" applyFont="1" applyAlignment="1">
      <alignment horizontal="left" wrapText="1"/>
    </xf>
    <xf numFmtId="0" fontId="27" fillId="0" borderId="0" xfId="0" applyFont="1" applyAlignment="1">
      <alignment horizontal="left" wrapText="1"/>
    </xf>
    <xf numFmtId="0" fontId="24" fillId="3" borderId="0" xfId="0" applyFont="1" applyFill="1" applyAlignment="1">
      <alignment horizontal="center" vertical="center" wrapText="1"/>
    </xf>
    <xf numFmtId="0" fontId="24" fillId="3" borderId="16" xfId="0" applyFont="1" applyFill="1" applyBorder="1" applyAlignment="1">
      <alignment horizontal="center" vertical="center" wrapText="1"/>
    </xf>
    <xf numFmtId="0" fontId="96" fillId="0" borderId="0" xfId="0" applyFont="1" applyAlignment="1">
      <alignment horizontal="left" vertical="top" wrapText="1"/>
    </xf>
    <xf numFmtId="0" fontId="19" fillId="0" borderId="0" xfId="244" applyAlignment="1">
      <alignment horizontal="left" vertical="top"/>
    </xf>
    <xf numFmtId="0" fontId="105" fillId="0" borderId="0" xfId="569" applyFont="1" applyAlignment="1">
      <alignment horizontal="center"/>
    </xf>
    <xf numFmtId="0" fontId="106" fillId="0" borderId="0" xfId="569" applyFont="1"/>
    <xf numFmtId="0" fontId="18" fillId="0" borderId="0" xfId="569" applyAlignment="1">
      <alignment wrapText="1"/>
    </xf>
    <xf numFmtId="0" fontId="25" fillId="0" borderId="0" xfId="569" applyFont="1" applyAlignment="1">
      <alignment wrapText="1"/>
    </xf>
    <xf numFmtId="0" fontId="33" fillId="0" borderId="0" xfId="569" applyFont="1" applyAlignment="1">
      <alignment horizontal="center"/>
    </xf>
    <xf numFmtId="0" fontId="18" fillId="0" borderId="0" xfId="569"/>
    <xf numFmtId="0" fontId="18" fillId="0" borderId="0" xfId="1192" applyAlignment="1">
      <alignment vertical="top" wrapText="1"/>
    </xf>
    <xf numFmtId="0" fontId="36" fillId="0" borderId="0" xfId="569" applyFont="1" applyAlignment="1">
      <alignment horizontal="center"/>
    </xf>
    <xf numFmtId="0" fontId="25" fillId="0" borderId="0" xfId="569" applyFont="1" applyAlignment="1">
      <alignment horizontal="center"/>
    </xf>
    <xf numFmtId="0" fontId="18" fillId="0" borderId="0" xfId="569" applyAlignment="1">
      <alignment horizontal="left" vertical="top" wrapText="1"/>
    </xf>
    <xf numFmtId="0" fontId="18" fillId="0" borderId="0" xfId="569" applyAlignment="1">
      <alignment horizontal="left"/>
    </xf>
    <xf numFmtId="0" fontId="36" fillId="0" borderId="0" xfId="569" applyFont="1" applyAlignment="1">
      <alignment horizontal="left" vertical="top" wrapText="1"/>
    </xf>
    <xf numFmtId="0" fontId="25" fillId="0" borderId="4" xfId="569" applyFont="1" applyBorder="1" applyAlignment="1">
      <alignment horizontal="left"/>
    </xf>
    <xf numFmtId="4" fontId="18" fillId="0" borderId="0" xfId="1192" applyNumberFormat="1" applyAlignment="1">
      <alignment horizontal="left" vertical="top" wrapText="1"/>
    </xf>
    <xf numFmtId="49" fontId="18" fillId="0" borderId="0" xfId="0" applyNumberFormat="1" applyFont="1" applyAlignment="1">
      <alignment horizontal="left" vertical="top" wrapText="1"/>
    </xf>
    <xf numFmtId="0" fontId="18" fillId="0" borderId="0" xfId="569" applyAlignment="1">
      <alignment horizontal="left" vertical="top"/>
    </xf>
    <xf numFmtId="0" fontId="25" fillId="0" borderId="4" xfId="569" applyFont="1" applyBorder="1" applyAlignment="1">
      <alignment horizontal="left" vertical="top"/>
    </xf>
    <xf numFmtId="0" fontId="36" fillId="0" borderId="0" xfId="569" applyFont="1" applyAlignment="1">
      <alignment horizontal="left"/>
    </xf>
    <xf numFmtId="4" fontId="18" fillId="0" borderId="0" xfId="569" applyNumberFormat="1" applyAlignment="1">
      <alignment horizontal="left"/>
    </xf>
    <xf numFmtId="0" fontId="18" fillId="0" borderId="0" xfId="1192" applyAlignment="1" applyProtection="1">
      <alignment horizontal="left" vertical="top" wrapText="1"/>
      <protection locked="0"/>
    </xf>
    <xf numFmtId="0" fontId="18" fillId="0" borderId="27" xfId="569" applyBorder="1" applyAlignment="1">
      <alignment horizontal="left"/>
    </xf>
    <xf numFmtId="0" fontId="18" fillId="0" borderId="0" xfId="1192" applyAlignment="1">
      <alignment horizontal="left"/>
    </xf>
    <xf numFmtId="0" fontId="25" fillId="0" borderId="16" xfId="569" applyFont="1" applyBorder="1" applyAlignment="1">
      <alignment horizontal="left"/>
    </xf>
    <xf numFmtId="0" fontId="19" fillId="0" borderId="0" xfId="244" applyAlignment="1" applyProtection="1">
      <alignment horizontal="left" vertical="top" wrapText="1"/>
    </xf>
    <xf numFmtId="0" fontId="25" fillId="0" borderId="0" xfId="569" applyFont="1" applyAlignment="1">
      <alignment horizontal="left"/>
    </xf>
    <xf numFmtId="0" fontId="36" fillId="0" borderId="0" xfId="1192" applyFont="1" applyAlignment="1">
      <alignment horizontal="left"/>
    </xf>
    <xf numFmtId="0" fontId="18" fillId="0" borderId="0" xfId="0" applyFont="1" applyAlignment="1">
      <alignment horizontal="left"/>
    </xf>
    <xf numFmtId="0" fontId="18" fillId="0" borderId="0" xfId="0" applyFont="1" applyAlignment="1">
      <alignment horizontal="left" vertical="top"/>
    </xf>
    <xf numFmtId="0" fontId="25" fillId="0" borderId="0" xfId="0" applyFont="1" applyAlignment="1">
      <alignment horizontal="left" vertical="top"/>
    </xf>
    <xf numFmtId="49" fontId="18" fillId="0" borderId="0" xfId="1192" applyNumberFormat="1" applyAlignment="1">
      <alignment horizontal="left" vertical="top" wrapText="1"/>
    </xf>
    <xf numFmtId="0" fontId="19" fillId="0" borderId="0" xfId="244" applyNumberFormat="1" applyFill="1" applyAlignment="1" applyProtection="1">
      <alignment horizontal="left"/>
    </xf>
    <xf numFmtId="0" fontId="36" fillId="0" borderId="0" xfId="569" applyFont="1" applyAlignment="1">
      <alignment horizontal="left" wrapText="1"/>
    </xf>
    <xf numFmtId="0" fontId="36" fillId="0" borderId="0" xfId="569" applyFont="1" applyAlignment="1">
      <alignment horizontal="center" wrapText="1"/>
    </xf>
    <xf numFmtId="0" fontId="18" fillId="0" borderId="0" xfId="569" applyAlignment="1">
      <alignment horizontal="left" vertical="center" wrapText="1"/>
    </xf>
    <xf numFmtId="4" fontId="18" fillId="0" borderId="0" xfId="569" applyNumberFormat="1" applyAlignment="1">
      <alignment horizontal="left" vertical="top" wrapText="1"/>
    </xf>
    <xf numFmtId="0" fontId="25" fillId="0" borderId="4" xfId="0" applyFont="1" applyBorder="1" applyAlignment="1">
      <alignment horizontal="left"/>
    </xf>
    <xf numFmtId="0" fontId="0" fillId="0" borderId="0" xfId="0" applyAlignment="1">
      <alignment horizontal="left" vertical="top" wrapText="1"/>
    </xf>
    <xf numFmtId="0" fontId="36" fillId="0" borderId="0" xfId="1192" applyFont="1" applyAlignment="1">
      <alignment horizontal="left" vertical="top" wrapText="1"/>
    </xf>
    <xf numFmtId="0" fontId="18" fillId="0" borderId="0" xfId="569" applyAlignment="1">
      <alignment vertical="top" wrapText="1"/>
    </xf>
    <xf numFmtId="0" fontId="36" fillId="0" borderId="0" xfId="0" applyFont="1" applyAlignment="1">
      <alignment horizontal="left" vertical="top" wrapText="1"/>
    </xf>
    <xf numFmtId="4" fontId="36" fillId="0" borderId="0" xfId="0" applyNumberFormat="1" applyFont="1" applyAlignment="1">
      <alignment horizontal="left" vertical="top" wrapText="1"/>
    </xf>
    <xf numFmtId="0" fontId="25" fillId="0" borderId="4" xfId="0" applyFont="1" applyBorder="1" applyAlignment="1">
      <alignment horizontal="left" vertical="top"/>
    </xf>
    <xf numFmtId="4" fontId="18" fillId="0" borderId="0" xfId="0" applyNumberFormat="1" applyFont="1" applyAlignment="1">
      <alignment horizontal="left" vertical="top" wrapText="1"/>
    </xf>
    <xf numFmtId="0" fontId="18" fillId="0" borderId="0" xfId="0" quotePrefix="1" applyFont="1" applyAlignment="1">
      <alignment horizontal="left" vertical="top"/>
    </xf>
    <xf numFmtId="0" fontId="18" fillId="0" borderId="0" xfId="0" quotePrefix="1" applyFont="1" applyAlignment="1">
      <alignment horizontal="left" vertical="top" wrapText="1"/>
    </xf>
    <xf numFmtId="0" fontId="25" fillId="0" borderId="0" xfId="1192" applyFont="1" applyAlignment="1">
      <alignment horizontal="left" vertical="top" wrapText="1"/>
    </xf>
    <xf numFmtId="4" fontId="36" fillId="0" borderId="0" xfId="569" applyNumberFormat="1" applyFont="1" applyAlignment="1">
      <alignment horizontal="left" vertical="top" wrapText="1"/>
    </xf>
    <xf numFmtId="0" fontId="19" fillId="0" borderId="0" xfId="244" quotePrefix="1" applyAlignment="1" applyProtection="1">
      <alignment horizontal="left"/>
    </xf>
    <xf numFmtId="0" fontId="36" fillId="0" borderId="0" xfId="0" applyFont="1" applyAlignment="1">
      <alignment horizontal="left"/>
    </xf>
    <xf numFmtId="4" fontId="18" fillId="0" borderId="0" xfId="0" applyNumberFormat="1" applyFont="1" applyAlignment="1">
      <alignment horizontal="left"/>
    </xf>
    <xf numFmtId="0" fontId="25" fillId="0" borderId="0" xfId="0" applyFont="1" applyAlignment="1">
      <alignment vertical="top" wrapText="1"/>
    </xf>
    <xf numFmtId="4" fontId="36" fillId="0" borderId="0" xfId="0" applyNumberFormat="1" applyFont="1" applyAlignment="1">
      <alignment horizontal="left"/>
    </xf>
    <xf numFmtId="0" fontId="18" fillId="0" borderId="0" xfId="0" applyFont="1" applyAlignment="1">
      <alignment horizontal="left" vertical="center" wrapText="1"/>
    </xf>
    <xf numFmtId="0" fontId="18" fillId="0" borderId="0" xfId="569" applyAlignment="1">
      <alignment horizontal="left" wrapText="1"/>
    </xf>
    <xf numFmtId="0" fontId="18" fillId="0" borderId="0" xfId="0" applyFont="1" applyAlignment="1">
      <alignment vertical="top" wrapText="1"/>
    </xf>
    <xf numFmtId="0" fontId="19" fillId="0" borderId="0" xfId="244" applyFill="1" applyBorder="1" applyAlignment="1">
      <alignment horizontal="left" vertical="top" wrapText="1"/>
    </xf>
    <xf numFmtId="0" fontId="36" fillId="0" borderId="0" xfId="569" applyFont="1" applyAlignment="1">
      <alignment horizontal="left" vertical="top"/>
    </xf>
    <xf numFmtId="0" fontId="36" fillId="0" borderId="0" xfId="0" applyFont="1" applyAlignment="1">
      <alignment horizontal="left" vertical="top"/>
    </xf>
    <xf numFmtId="0" fontId="18" fillId="45" borderId="3" xfId="0" applyFont="1" applyFill="1" applyBorder="1" applyAlignment="1">
      <alignment horizontal="center"/>
    </xf>
    <xf numFmtId="0" fontId="18" fillId="45" borderId="4" xfId="0" applyFont="1" applyFill="1" applyBorder="1" applyAlignment="1">
      <alignment horizontal="center"/>
    </xf>
    <xf numFmtId="0" fontId="18" fillId="45" borderId="5" xfId="0" applyFont="1" applyFill="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5" fillId="0" borderId="105" xfId="543" applyNumberFormat="1" applyFont="1" applyBorder="1" applyAlignment="1">
      <alignment horizontal="right" vertical="center" wrapText="1"/>
    </xf>
    <xf numFmtId="175" fontId="175" fillId="0" borderId="107" xfId="543" applyNumberFormat="1" applyFont="1" applyBorder="1" applyAlignment="1">
      <alignment horizontal="center" vertical="center" wrapText="1"/>
    </xf>
    <xf numFmtId="175" fontId="175" fillId="0" borderId="108" xfId="543" applyNumberFormat="1" applyFont="1" applyBorder="1" applyAlignment="1">
      <alignment horizontal="center" vertical="center" wrapText="1"/>
    </xf>
    <xf numFmtId="175" fontId="175" fillId="0" borderId="109" xfId="543" applyNumberFormat="1" applyFont="1" applyBorder="1" applyAlignment="1">
      <alignment horizontal="center" vertical="center" wrapText="1"/>
    </xf>
    <xf numFmtId="0" fontId="174"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8" fillId="45" borderId="114" xfId="0" applyFont="1" applyFill="1" applyBorder="1" applyAlignment="1">
      <alignment horizontal="center"/>
    </xf>
    <xf numFmtId="0" fontId="18" fillId="5" borderId="3" xfId="0" applyFont="1" applyFill="1" applyBorder="1" applyAlignment="1" applyProtection="1">
      <alignment horizontal="center"/>
      <protection locked="0"/>
    </xf>
    <xf numFmtId="0" fontId="18" fillId="5" borderId="4" xfId="0" applyFont="1" applyFill="1" applyBorder="1" applyAlignment="1" applyProtection="1">
      <alignment horizontal="center"/>
      <protection locked="0"/>
    </xf>
    <xf numFmtId="0" fontId="18" fillId="5" borderId="5" xfId="0" applyFont="1" applyFill="1" applyBorder="1" applyAlignment="1" applyProtection="1">
      <alignment horizontal="center"/>
      <protection locked="0"/>
    </xf>
    <xf numFmtId="168" fontId="18" fillId="0" borderId="3" xfId="0" applyNumberFormat="1" applyFont="1" applyBorder="1" applyAlignment="1">
      <alignment horizontal="center"/>
    </xf>
    <xf numFmtId="168" fontId="18" fillId="0" borderId="4" xfId="0" applyNumberFormat="1" applyFont="1" applyBorder="1" applyAlignment="1">
      <alignment horizontal="center"/>
    </xf>
    <xf numFmtId="168" fontId="18" fillId="0" borderId="5" xfId="0" applyNumberFormat="1" applyFont="1" applyBorder="1" applyAlignment="1">
      <alignment horizontal="center"/>
    </xf>
    <xf numFmtId="165" fontId="18" fillId="0" borderId="1" xfId="0" applyNumberFormat="1" applyFont="1" applyBorder="1" applyAlignment="1">
      <alignment horizontal="right"/>
    </xf>
    <xf numFmtId="165" fontId="18" fillId="0" borderId="2" xfId="0" applyNumberFormat="1" applyFont="1" applyBorder="1" applyAlignment="1">
      <alignment horizontal="right"/>
    </xf>
    <xf numFmtId="165" fontId="18" fillId="0" borderId="7" xfId="0" applyNumberFormat="1" applyFont="1" applyBorder="1" applyAlignment="1">
      <alignment horizontal="right"/>
    </xf>
    <xf numFmtId="1" fontId="18" fillId="5" borderId="3" xfId="0" applyNumberFormat="1" applyFont="1" applyFill="1" applyBorder="1" applyAlignment="1" applyProtection="1">
      <alignment horizontal="center"/>
      <protection locked="0"/>
    </xf>
    <xf numFmtId="1" fontId="18" fillId="5" borderId="4" xfId="0" applyNumberFormat="1" applyFont="1" applyFill="1" applyBorder="1" applyAlignment="1" applyProtection="1">
      <alignment horizontal="center"/>
      <protection locked="0"/>
    </xf>
    <xf numFmtId="1" fontId="18" fillId="5" borderId="5" xfId="0" applyNumberFormat="1" applyFont="1" applyFill="1" applyBorder="1" applyAlignment="1" applyProtection="1">
      <alignment horizontal="center"/>
      <protection locked="0"/>
    </xf>
    <xf numFmtId="0" fontId="18" fillId="0" borderId="114" xfId="0" applyFont="1" applyBorder="1" applyAlignment="1">
      <alignment horizontal="center"/>
    </xf>
    <xf numFmtId="0" fontId="18" fillId="2" borderId="114" xfId="0" applyFont="1" applyFill="1" applyBorder="1" applyAlignment="1">
      <alignment horizontal="center"/>
    </xf>
    <xf numFmtId="0" fontId="0" fillId="0" borderId="114"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8" fillId="0" borderId="114" xfId="0" applyNumberFormat="1" applyFont="1" applyBorder="1" applyAlignment="1">
      <alignment horizontal="center"/>
    </xf>
    <xf numFmtId="168" fontId="147" fillId="0" borderId="0" xfId="0" applyNumberFormat="1" applyFont="1" applyAlignment="1">
      <alignment horizontal="center" vertical="center" wrapText="1"/>
    </xf>
    <xf numFmtId="168" fontId="18" fillId="0" borderId="3" xfId="0" applyNumberFormat="1" applyFont="1" applyBorder="1" applyAlignment="1">
      <alignment horizontal="left" vertical="top"/>
    </xf>
    <xf numFmtId="168" fontId="18" fillId="0" borderId="4" xfId="0" applyNumberFormat="1" applyFont="1" applyBorder="1" applyAlignment="1">
      <alignment horizontal="left" vertical="top"/>
    </xf>
    <xf numFmtId="168" fontId="18"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8" fillId="5" borderId="114" xfId="0" applyFont="1" applyFill="1" applyBorder="1" applyAlignment="1" applyProtection="1">
      <alignment horizontal="center"/>
      <protection locked="0"/>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18" fillId="5" borderId="9" xfId="0" applyFont="1" applyFill="1" applyBorder="1" applyAlignment="1" applyProtection="1">
      <alignment horizontal="center"/>
      <protection locked="0"/>
    </xf>
    <xf numFmtId="0" fontId="18" fillId="5" borderId="6" xfId="0" applyFont="1" applyFill="1" applyBorder="1" applyAlignment="1" applyProtection="1">
      <alignment horizontal="center"/>
      <protection locked="0"/>
    </xf>
    <xf numFmtId="1" fontId="18" fillId="5" borderId="3" xfId="0" applyNumberFormat="1" applyFont="1" applyFill="1" applyBorder="1" applyAlignment="1" applyProtection="1">
      <alignment horizontal="right" vertical="top"/>
      <protection locked="0"/>
    </xf>
    <xf numFmtId="1" fontId="18" fillId="5" borderId="4" xfId="0" applyNumberFormat="1" applyFont="1" applyFill="1" applyBorder="1" applyAlignment="1" applyProtection="1">
      <alignment horizontal="right" vertical="top"/>
      <protection locked="0"/>
    </xf>
    <xf numFmtId="1" fontId="18" fillId="5" borderId="5" xfId="0" applyNumberFormat="1" applyFont="1" applyFill="1" applyBorder="1" applyAlignment="1" applyProtection="1">
      <alignment horizontal="right" vertical="top"/>
      <protection locked="0"/>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25" fillId="0" borderId="12"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0" xfId="0" applyFont="1" applyBorder="1" applyAlignment="1">
      <alignment horizontal="center" vertical="center" wrapText="1"/>
    </xf>
    <xf numFmtId="10" fontId="18" fillId="0" borderId="114" xfId="0" applyNumberFormat="1" applyFont="1" applyBorder="1" applyAlignment="1">
      <alignment horizontal="center"/>
    </xf>
    <xf numFmtId="0" fontId="18" fillId="0" borderId="3" xfId="0" applyFont="1" applyBorder="1" applyAlignment="1">
      <alignment horizontal="left"/>
    </xf>
    <xf numFmtId="0" fontId="18" fillId="0" borderId="4" xfId="0" applyFont="1" applyBorder="1" applyAlignment="1">
      <alignment horizontal="left"/>
    </xf>
    <xf numFmtId="0" fontId="18" fillId="0" borderId="5" xfId="0" applyFont="1" applyBorder="1" applyAlignment="1">
      <alignment horizontal="left"/>
    </xf>
    <xf numFmtId="175" fontId="18" fillId="43" borderId="3" xfId="0" applyNumberFormat="1" applyFont="1" applyFill="1" applyBorder="1" applyAlignment="1" applyProtection="1">
      <alignment horizontal="center" vertical="center"/>
      <protection locked="0"/>
    </xf>
    <xf numFmtId="175" fontId="18" fillId="43" borderId="4" xfId="0" applyNumberFormat="1" applyFont="1" applyFill="1" applyBorder="1" applyAlignment="1" applyProtection="1">
      <alignment horizontal="center" vertical="center"/>
      <protection locked="0"/>
    </xf>
    <xf numFmtId="175" fontId="18" fillId="43" borderId="5" xfId="0" applyNumberFormat="1" applyFont="1" applyFill="1" applyBorder="1" applyAlignment="1" applyProtection="1">
      <alignment horizontal="center" vertical="center"/>
      <protection locked="0"/>
    </xf>
    <xf numFmtId="180" fontId="26" fillId="43" borderId="3" xfId="0" applyNumberFormat="1" applyFont="1" applyFill="1" applyBorder="1" applyAlignment="1" applyProtection="1">
      <alignment horizontal="center" vertical="center"/>
      <protection locked="0"/>
    </xf>
    <xf numFmtId="180" fontId="26" fillId="43" borderId="4" xfId="0" applyNumberFormat="1" applyFont="1" applyFill="1" applyBorder="1" applyAlignment="1" applyProtection="1">
      <alignment horizontal="center" vertical="center"/>
      <protection locked="0"/>
    </xf>
    <xf numFmtId="180" fontId="2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8" fillId="0" borderId="114" xfId="0" applyNumberFormat="1" applyFont="1" applyBorder="1" applyAlignment="1">
      <alignment horizontal="center"/>
    </xf>
    <xf numFmtId="168" fontId="18" fillId="43" borderId="3" xfId="0" applyNumberFormat="1" applyFont="1" applyFill="1" applyBorder="1" applyAlignment="1" applyProtection="1">
      <alignment horizontal="center" vertical="center"/>
      <protection locked="0"/>
    </xf>
    <xf numFmtId="168" fontId="18" fillId="43" borderId="4" xfId="0" applyNumberFormat="1" applyFont="1" applyFill="1" applyBorder="1" applyAlignment="1" applyProtection="1">
      <alignment horizontal="center" vertical="center"/>
      <protection locked="0"/>
    </xf>
    <xf numFmtId="168" fontId="18" fillId="43" borderId="5" xfId="0" applyNumberFormat="1" applyFont="1" applyFill="1" applyBorder="1" applyAlignment="1" applyProtection="1">
      <alignment horizontal="center" vertical="center"/>
      <protection locked="0"/>
    </xf>
    <xf numFmtId="0" fontId="18" fillId="5" borderId="114"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18" fillId="5" borderId="114" xfId="0" applyFont="1" applyFill="1" applyBorder="1" applyAlignment="1" applyProtection="1">
      <alignment horizontal="left" vertical="center" wrapText="1"/>
      <protection locked="0"/>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5" fillId="0" borderId="3" xfId="0" applyFont="1" applyBorder="1" applyAlignment="1">
      <alignment horizontal="right"/>
    </xf>
    <xf numFmtId="0" fontId="25" fillId="0" borderId="4" xfId="0" applyFont="1" applyBorder="1" applyAlignment="1">
      <alignment horizontal="right"/>
    </xf>
    <xf numFmtId="0" fontId="25" fillId="0" borderId="6" xfId="0" applyFont="1" applyBorder="1" applyAlignment="1">
      <alignment horizontal="right"/>
    </xf>
    <xf numFmtId="0" fontId="25" fillId="0" borderId="5" xfId="0" applyFont="1" applyBorder="1" applyAlignment="1">
      <alignment horizontal="right"/>
    </xf>
    <xf numFmtId="0" fontId="0" fillId="43" borderId="4" xfId="0" applyFill="1" applyBorder="1" applyAlignment="1" applyProtection="1">
      <alignment horizontal="center"/>
      <protection locked="0"/>
    </xf>
    <xf numFmtId="0" fontId="18" fillId="5" borderId="3" xfId="0" applyFont="1" applyFill="1" applyBorder="1" applyAlignment="1" applyProtection="1">
      <alignment horizontal="left" vertical="center" wrapText="1"/>
      <protection locked="0"/>
    </xf>
    <xf numFmtId="0" fontId="18" fillId="5" borderId="4" xfId="0" applyFont="1" applyFill="1" applyBorder="1" applyAlignment="1" applyProtection="1">
      <alignment horizontal="left" vertical="center" wrapText="1"/>
      <protection locked="0"/>
    </xf>
    <xf numFmtId="0" fontId="18" fillId="5" borderId="5" xfId="0" applyFont="1" applyFill="1" applyBorder="1" applyAlignment="1" applyProtection="1">
      <alignment horizontal="left" vertical="center" wrapText="1"/>
      <protection locked="0"/>
    </xf>
    <xf numFmtId="168" fontId="18" fillId="5" borderId="6" xfId="0" applyNumberFormat="1" applyFont="1" applyFill="1" applyBorder="1" applyAlignment="1" applyProtection="1">
      <alignment horizontal="right"/>
      <protection locked="0"/>
    </xf>
    <xf numFmtId="168" fontId="18" fillId="5" borderId="4" xfId="0" applyNumberFormat="1" applyFont="1" applyFill="1" applyBorder="1" applyAlignment="1" applyProtection="1">
      <alignment horizontal="right"/>
      <protection locked="0"/>
    </xf>
    <xf numFmtId="165" fontId="18" fillId="5" borderId="3" xfId="0" applyNumberFormat="1" applyFont="1" applyFill="1" applyBorder="1" applyAlignment="1" applyProtection="1">
      <alignment horizontal="center"/>
      <protection locked="0"/>
    </xf>
    <xf numFmtId="165" fontId="18" fillId="5" borderId="4" xfId="0" applyNumberFormat="1" applyFont="1" applyFill="1" applyBorder="1" applyAlignment="1" applyProtection="1">
      <alignment horizontal="center"/>
      <protection locked="0"/>
    </xf>
    <xf numFmtId="165" fontId="18"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18" fillId="5" borderId="114" xfId="0" quotePrefix="1" applyNumberFormat="1" applyFont="1" applyFill="1" applyBorder="1" applyAlignment="1" applyProtection="1">
      <alignment horizontal="center"/>
      <protection locked="0"/>
    </xf>
    <xf numFmtId="1" fontId="18" fillId="5" borderId="114" xfId="0" applyNumberFormat="1" applyFont="1" applyFill="1" applyBorder="1" applyAlignment="1" applyProtection="1">
      <alignment horizontal="center"/>
      <protection locked="0"/>
    </xf>
    <xf numFmtId="0" fontId="18"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5" fillId="0" borderId="6" xfId="0" applyFont="1" applyBorder="1" applyAlignment="1">
      <alignment horizontal="center"/>
    </xf>
    <xf numFmtId="0" fontId="25" fillId="0" borderId="10" xfId="0" applyFont="1" applyBorder="1" applyAlignment="1">
      <alignment horizontal="center"/>
    </xf>
    <xf numFmtId="0" fontId="0" fillId="43" borderId="10" xfId="0" applyFill="1" applyBorder="1" applyAlignment="1" applyProtection="1">
      <alignment horizontal="left"/>
      <protection locked="0"/>
    </xf>
    <xf numFmtId="3" fontId="18" fillId="5" borderId="114"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8" fillId="5" borderId="3" xfId="0" applyNumberFormat="1" applyFont="1" applyFill="1" applyBorder="1" applyAlignment="1" applyProtection="1">
      <alignment horizontal="center"/>
      <protection locked="0"/>
    </xf>
    <xf numFmtId="168" fontId="18" fillId="5" borderId="4" xfId="0" applyNumberFormat="1" applyFont="1" applyFill="1" applyBorder="1" applyAlignment="1" applyProtection="1">
      <alignment horizontal="center"/>
      <protection locked="0"/>
    </xf>
    <xf numFmtId="168" fontId="18" fillId="5" borderId="5" xfId="0" applyNumberFormat="1" applyFont="1" applyFill="1" applyBorder="1" applyAlignment="1" applyProtection="1">
      <alignment horizontal="center"/>
      <protection locked="0"/>
    </xf>
    <xf numFmtId="0" fontId="18"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75" fontId="18" fillId="43" borderId="3" xfId="0" applyNumberFormat="1" applyFont="1" applyFill="1" applyBorder="1" applyAlignment="1" applyProtection="1">
      <alignment horizontal="center"/>
      <protection locked="0"/>
    </xf>
    <xf numFmtId="175" fontId="18" fillId="43" borderId="4" xfId="0" applyNumberFormat="1" applyFont="1" applyFill="1" applyBorder="1" applyAlignment="1" applyProtection="1">
      <alignment horizontal="center"/>
      <protection locked="0"/>
    </xf>
    <xf numFmtId="175" fontId="18"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8"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8" fillId="5" borderId="114"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6" fontId="18" fillId="5" borderId="4" xfId="0" applyNumberFormat="1" applyFont="1" applyFill="1" applyBorder="1" applyAlignment="1" applyProtection="1">
      <alignment horizontal="left"/>
      <protection locked="0"/>
    </xf>
    <xf numFmtId="0" fontId="18" fillId="0" borderId="114" xfId="543" applyBorder="1" applyAlignment="1">
      <alignment horizontal="center"/>
    </xf>
    <xf numFmtId="1"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8" fillId="0" borderId="1" xfId="0" applyFont="1" applyBorder="1" applyAlignment="1">
      <alignment horizontal="center" vertical="top" wrapText="1"/>
    </xf>
    <xf numFmtId="0" fontId="18" fillId="0" borderId="2" xfId="0" applyFont="1" applyBorder="1" applyAlignment="1">
      <alignment horizontal="center" vertical="top" wrapText="1"/>
    </xf>
    <xf numFmtId="0" fontId="18" fillId="0" borderId="7" xfId="0" applyFont="1" applyBorder="1" applyAlignment="1">
      <alignment horizontal="center" vertical="top" wrapText="1"/>
    </xf>
    <xf numFmtId="0" fontId="18" fillId="0" borderId="8" xfId="0" applyFont="1" applyBorder="1" applyAlignment="1">
      <alignment horizontal="center" vertical="top" wrapText="1"/>
    </xf>
    <xf numFmtId="0" fontId="18" fillId="0" borderId="0" xfId="0" applyFont="1" applyAlignment="1">
      <alignment horizontal="center" vertical="top" wrapText="1"/>
    </xf>
    <xf numFmtId="0" fontId="18" fillId="0" borderId="12" xfId="0" applyFont="1" applyBorder="1" applyAlignment="1">
      <alignment horizontal="center" vertical="top" wrapText="1"/>
    </xf>
    <xf numFmtId="0" fontId="18" fillId="0" borderId="9" xfId="0" applyFont="1" applyBorder="1" applyAlignment="1">
      <alignment horizontal="center" vertical="top" wrapText="1"/>
    </xf>
    <xf numFmtId="0" fontId="18" fillId="0" borderId="6" xfId="0" applyFont="1" applyBorder="1" applyAlignment="1">
      <alignment horizontal="center" vertical="top" wrapText="1"/>
    </xf>
    <xf numFmtId="0" fontId="18" fillId="0" borderId="10" xfId="0" applyFont="1" applyBorder="1" applyAlignment="1">
      <alignment horizontal="center" vertical="top" wrapText="1"/>
    </xf>
    <xf numFmtId="0" fontId="18"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4" xfId="0" applyBorder="1" applyAlignment="1">
      <alignment horizontal="left"/>
    </xf>
    <xf numFmtId="0" fontId="0" fillId="0" borderId="5" xfId="0" applyBorder="1" applyAlignment="1">
      <alignment horizontal="left"/>
    </xf>
    <xf numFmtId="0" fontId="18"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8" fillId="5" borderId="4" xfId="0" applyFont="1" applyFill="1" applyBorder="1" applyAlignment="1" applyProtection="1">
      <alignment horizontal="right"/>
      <protection locked="0"/>
    </xf>
    <xf numFmtId="178" fontId="18" fillId="5" borderId="4" xfId="0" applyNumberFormat="1" applyFont="1" applyFill="1" applyBorder="1" applyAlignment="1" applyProtection="1">
      <alignment horizontal="right"/>
      <protection locked="0"/>
    </xf>
    <xf numFmtId="0" fontId="26"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8" fillId="5" borderId="6" xfId="0" applyFont="1" applyFill="1" applyBorder="1" applyAlignment="1" applyProtection="1">
      <alignment horizontal="left"/>
      <protection locked="0"/>
    </xf>
    <xf numFmtId="1" fontId="18" fillId="5" borderId="6" xfId="0" applyNumberFormat="1" applyFont="1" applyFill="1" applyBorder="1" applyAlignment="1" applyProtection="1">
      <alignment horizontal="right"/>
      <protection locked="0"/>
    </xf>
    <xf numFmtId="0" fontId="26"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68" fontId="0" fillId="5" borderId="6" xfId="0" applyNumberFormat="1" applyFill="1" applyBorder="1" applyAlignment="1" applyProtection="1">
      <alignment horizontal="right"/>
      <protection locked="0"/>
    </xf>
    <xf numFmtId="0" fontId="18" fillId="5" borderId="0" xfId="0" applyFont="1" applyFill="1" applyAlignment="1" applyProtection="1">
      <alignment horizontal="left" vertical="top" wrapText="1"/>
      <protection locked="0"/>
    </xf>
    <xf numFmtId="0" fontId="18"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8" fillId="5" borderId="6" xfId="0" applyNumberFormat="1" applyFont="1" applyFill="1" applyBorder="1" applyAlignment="1" applyProtection="1">
      <alignment horizontal="left"/>
      <protection locked="0"/>
    </xf>
    <xf numFmtId="3" fontId="0" fillId="0" borderId="6" xfId="0" applyNumberFormat="1" applyBorder="1" applyAlignment="1">
      <alignment horizontal="right"/>
    </xf>
    <xf numFmtId="168" fontId="0" fillId="43" borderId="6" xfId="0" applyNumberFormat="1" applyFill="1" applyBorder="1" applyAlignment="1" applyProtection="1">
      <alignment horizontal="right"/>
      <protection locked="0"/>
    </xf>
    <xf numFmtId="0" fontId="0" fillId="5" borderId="6" xfId="0" applyFill="1" applyBorder="1" applyProtection="1">
      <protection locked="0"/>
    </xf>
    <xf numFmtId="0" fontId="0" fillId="43" borderId="6" xfId="0" applyFill="1" applyBorder="1" applyAlignment="1" applyProtection="1">
      <alignment horizontal="center"/>
      <protection locked="0"/>
    </xf>
    <xf numFmtId="0" fontId="18" fillId="5" borderId="6" xfId="244" applyFont="1" applyFill="1" applyBorder="1" applyAlignment="1" applyProtection="1">
      <alignment horizontal="left"/>
      <protection locked="0"/>
    </xf>
    <xf numFmtId="0" fontId="18" fillId="0" borderId="4" xfId="0" applyFont="1" applyBorder="1" applyAlignment="1" applyProtection="1">
      <alignment horizontal="left"/>
      <protection locked="0"/>
    </xf>
    <xf numFmtId="0" fontId="18" fillId="43" borderId="6" xfId="0" applyFont="1" applyFill="1" applyBorder="1" applyAlignment="1" applyProtection="1">
      <alignment vertical="center"/>
      <protection locked="0"/>
    </xf>
    <xf numFmtId="0" fontId="24" fillId="3" borderId="0" xfId="0" applyFont="1" applyFill="1" applyAlignment="1">
      <alignment horizontal="center" vertical="center"/>
    </xf>
    <xf numFmtId="0" fontId="18" fillId="0" borderId="0" xfId="0" applyFont="1" applyAlignment="1">
      <alignment wrapText="1"/>
    </xf>
    <xf numFmtId="0" fontId="18" fillId="0" borderId="6" xfId="0" applyFont="1" applyBorder="1" applyAlignment="1">
      <alignment horizontal="left"/>
    </xf>
    <xf numFmtId="0" fontId="18" fillId="5" borderId="6" xfId="0" applyFont="1" applyFill="1" applyBorder="1" applyAlignment="1" applyProtection="1">
      <alignment horizontal="left" wrapText="1"/>
      <protection locked="0"/>
    </xf>
    <xf numFmtId="166" fontId="0" fillId="5" borderId="6" xfId="0" applyNumberFormat="1" applyFill="1" applyBorder="1" applyAlignment="1" applyProtection="1">
      <alignment horizontal="left"/>
      <protection locked="0"/>
    </xf>
    <xf numFmtId="0" fontId="0" fillId="0" borderId="0" xfId="0" applyAlignment="1">
      <alignment wrapText="1"/>
    </xf>
    <xf numFmtId="0" fontId="144" fillId="0" borderId="0" xfId="0" applyFont="1" applyAlignment="1" applyProtection="1">
      <alignment horizontal="left" vertical="top" wrapText="1"/>
      <protection locked="0"/>
    </xf>
    <xf numFmtId="0" fontId="18" fillId="0" borderId="6" xfId="0" applyFont="1" applyBorder="1" applyAlignment="1" applyProtection="1">
      <alignment horizontal="center"/>
      <protection locked="0"/>
    </xf>
    <xf numFmtId="0" fontId="18" fillId="0" borderId="6" xfId="0" applyFont="1" applyBorder="1" applyAlignment="1" applyProtection="1">
      <alignment horizontal="left"/>
      <protection locked="0"/>
    </xf>
    <xf numFmtId="0" fontId="19" fillId="0" borderId="0" xfId="244" applyFill="1" applyAlignment="1" applyProtection="1">
      <alignment horizontal="left"/>
      <protection locked="0"/>
    </xf>
    <xf numFmtId="168" fontId="18" fillId="0" borderId="6" xfId="0" applyNumberFormat="1" applyFont="1" applyBorder="1" applyAlignment="1">
      <alignment horizontal="center"/>
    </xf>
    <xf numFmtId="168" fontId="0" fillId="0" borderId="6" xfId="0" applyNumberFormat="1" applyBorder="1" applyAlignment="1">
      <alignment horizontal="center"/>
    </xf>
    <xf numFmtId="0" fontId="18" fillId="5" borderId="4" xfId="0" applyFont="1" applyFill="1" applyBorder="1" applyAlignment="1" applyProtection="1">
      <alignment horizontal="left" wrapText="1"/>
      <protection locked="0"/>
    </xf>
    <xf numFmtId="0" fontId="0" fillId="0" borderId="0" xfId="0" applyAlignment="1">
      <alignment vertical="top" wrapText="1"/>
    </xf>
    <xf numFmtId="0" fontId="18"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8"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7" fillId="5" borderId="6" xfId="271" applyNumberFormat="1" applyFill="1" applyBorder="1" applyAlignment="1" applyProtection="1">
      <alignment horizontal="left"/>
      <protection locked="0"/>
    </xf>
    <xf numFmtId="0" fontId="18" fillId="0" borderId="0" xfId="0" applyFont="1" applyAlignment="1" applyProtection="1">
      <alignment horizontal="left"/>
      <protection locked="0"/>
    </xf>
    <xf numFmtId="9" fontId="26" fillId="0" borderId="3" xfId="4494" applyFont="1" applyBorder="1" applyAlignment="1" applyProtection="1">
      <alignment horizontal="center"/>
    </xf>
    <xf numFmtId="9" fontId="26"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166" fontId="27" fillId="5" borderId="4" xfId="271" applyNumberFormat="1" applyFill="1" applyBorder="1" applyAlignment="1" applyProtection="1">
      <alignment horizontal="left"/>
      <protection locked="0"/>
    </xf>
    <xf numFmtId="0" fontId="18" fillId="5" borderId="0" xfId="244" applyFont="1" applyFill="1" applyBorder="1" applyAlignment="1" applyProtection="1">
      <alignment horizontal="left"/>
      <protection locked="0"/>
    </xf>
    <xf numFmtId="0" fontId="18" fillId="0" borderId="3" xfId="271" applyFont="1" applyBorder="1" applyAlignment="1">
      <alignment horizontal="left"/>
    </xf>
    <xf numFmtId="0" fontId="18" fillId="0" borderId="4" xfId="271" applyFont="1" applyBorder="1" applyAlignment="1">
      <alignment horizontal="left"/>
    </xf>
    <xf numFmtId="0" fontId="18"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7" fillId="0" borderId="2" xfId="0" applyNumberFormat="1" applyFont="1" applyBorder="1" applyAlignment="1">
      <alignment horizontal="left" vertical="top" wrapText="1"/>
    </xf>
    <xf numFmtId="168" fontId="47"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8" fillId="5" borderId="4" xfId="0" applyNumberFormat="1" applyFont="1" applyFill="1" applyBorder="1" applyAlignment="1" applyProtection="1">
      <alignment horizontal="right"/>
      <protection locked="0"/>
    </xf>
    <xf numFmtId="10" fontId="18" fillId="5" borderId="4" xfId="0" applyNumberFormat="1" applyFont="1" applyFill="1" applyBorder="1" applyAlignment="1" applyProtection="1">
      <alignment horizontal="right"/>
      <protection locked="0"/>
    </xf>
    <xf numFmtId="0" fontId="26"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0" xfId="0" applyFont="1" applyAlignment="1">
      <alignment horizontal="center" vertical="center" wrapText="1"/>
    </xf>
    <xf numFmtId="0" fontId="48" fillId="0" borderId="12"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10" xfId="0" applyFont="1" applyBorder="1" applyAlignment="1">
      <alignment horizontal="center" vertical="center" wrapText="1"/>
    </xf>
    <xf numFmtId="168" fontId="0" fillId="5" borderId="114" xfId="0" applyNumberFormat="1" applyFill="1" applyBorder="1" applyAlignment="1" applyProtection="1">
      <alignment horizontal="center"/>
      <protection locked="0"/>
    </xf>
    <xf numFmtId="168" fontId="0" fillId="0" borderId="114" xfId="0" applyNumberFormat="1" applyBorder="1" applyAlignment="1">
      <alignment horizontal="right"/>
    </xf>
    <xf numFmtId="0" fontId="18" fillId="0" borderId="114"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8" fillId="5" borderId="3" xfId="0" applyNumberFormat="1" applyFont="1" applyFill="1" applyBorder="1" applyAlignment="1" applyProtection="1">
      <alignment horizontal="center"/>
      <protection locked="0"/>
    </xf>
    <xf numFmtId="9" fontId="18" fillId="5" borderId="4" xfId="0" applyNumberFormat="1" applyFont="1" applyFill="1" applyBorder="1" applyAlignment="1" applyProtection="1">
      <alignment horizontal="center"/>
      <protection locked="0"/>
    </xf>
    <xf numFmtId="9" fontId="18" fillId="5" borderId="5" xfId="0" applyNumberFormat="1" applyFont="1" applyFill="1" applyBorder="1" applyAlignment="1" applyProtection="1">
      <alignment horizontal="center"/>
      <protection locked="0"/>
    </xf>
    <xf numFmtId="0" fontId="25" fillId="5" borderId="114" xfId="0" applyFont="1" applyFill="1" applyBorder="1" applyAlignment="1" applyProtection="1">
      <alignment horizontal="center"/>
      <protection locked="0"/>
    </xf>
    <xf numFmtId="165" fontId="25" fillId="0" borderId="3" xfId="271" applyNumberFormat="1" applyFont="1" applyBorder="1" applyAlignment="1">
      <alignment horizontal="center"/>
    </xf>
    <xf numFmtId="165" fontId="25" fillId="0" borderId="4" xfId="271" applyNumberFormat="1" applyFont="1" applyBorder="1" applyAlignment="1">
      <alignment horizontal="center"/>
    </xf>
    <xf numFmtId="165" fontId="25" fillId="0" borderId="5" xfId="271" applyNumberFormat="1" applyFont="1" applyBorder="1" applyAlignment="1">
      <alignment horizontal="center"/>
    </xf>
    <xf numFmtId="9" fontId="18" fillId="0" borderId="0" xfId="543" applyNumberFormat="1" applyAlignment="1">
      <alignment horizontal="center" vertical="center"/>
    </xf>
    <xf numFmtId="0" fontId="25" fillId="0" borderId="114"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8" fillId="0" borderId="3" xfId="0" applyFont="1" applyBorder="1"/>
    <xf numFmtId="0" fontId="18" fillId="0" borderId="4" xfId="0" applyFont="1" applyBorder="1"/>
    <xf numFmtId="0" fontId="18"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8" fillId="0" borderId="0" xfId="543" applyAlignment="1">
      <alignment horizontal="center"/>
    </xf>
    <xf numFmtId="2" fontId="18"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4"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6" fillId="5" borderId="3" xfId="0" applyNumberFormat="1" applyFont="1" applyFill="1" applyBorder="1" applyAlignment="1" applyProtection="1">
      <alignment horizontal="left"/>
      <protection locked="0"/>
    </xf>
    <xf numFmtId="164" fontId="26" fillId="5" borderId="4" xfId="0" applyNumberFormat="1" applyFont="1" applyFill="1" applyBorder="1" applyAlignment="1" applyProtection="1">
      <alignment horizontal="left"/>
      <protection locked="0"/>
    </xf>
    <xf numFmtId="164" fontId="26"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8" fillId="5" borderId="10" xfId="0" applyNumberFormat="1" applyFont="1" applyFill="1" applyBorder="1" applyAlignment="1" applyProtection="1">
      <alignment horizontal="right"/>
      <protection locked="0"/>
    </xf>
    <xf numFmtId="168" fontId="18" fillId="5" borderId="13" xfId="0" applyNumberFormat="1" applyFont="1" applyFill="1" applyBorder="1" applyAlignment="1" applyProtection="1">
      <alignment horizontal="right"/>
      <protection locked="0"/>
    </xf>
    <xf numFmtId="168" fontId="0" fillId="0" borderId="114"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4" xfId="0" applyNumberFormat="1" applyFill="1" applyBorder="1" applyProtection="1">
      <protection locked="0"/>
    </xf>
    <xf numFmtId="168" fontId="0" fillId="0" borderId="114" xfId="0" applyNumberFormat="1" applyBorder="1"/>
    <xf numFmtId="0" fontId="18" fillId="5" borderId="3" xfId="0" applyFont="1" applyFill="1" applyBorder="1" applyProtection="1">
      <protection locked="0"/>
    </xf>
    <xf numFmtId="0" fontId="18" fillId="0" borderId="4" xfId="0" applyFont="1" applyBorder="1" applyProtection="1">
      <protection locked="0"/>
    </xf>
    <xf numFmtId="0" fontId="18" fillId="0" borderId="5" xfId="0" applyFont="1" applyBorder="1" applyProtection="1">
      <protection locked="0"/>
    </xf>
    <xf numFmtId="168" fontId="18" fillId="5" borderId="3" xfId="0" applyNumberFormat="1" applyFont="1" applyFill="1" applyBorder="1" applyAlignment="1" applyProtection="1">
      <alignment horizontal="right"/>
      <protection locked="0"/>
    </xf>
    <xf numFmtId="168" fontId="18" fillId="5" borderId="5" xfId="0" applyNumberFormat="1" applyFont="1" applyFill="1" applyBorder="1" applyAlignment="1" applyProtection="1">
      <alignment horizontal="right"/>
      <protection locked="0"/>
    </xf>
    <xf numFmtId="0" fontId="18" fillId="5" borderId="3" xfId="0" applyFont="1" applyFill="1" applyBorder="1" applyAlignment="1" applyProtection="1">
      <alignment horizontal="left"/>
      <protection locked="0"/>
    </xf>
    <xf numFmtId="0" fontId="18" fillId="5" borderId="5" xfId="0" applyFont="1" applyFill="1" applyBorder="1" applyAlignment="1" applyProtection="1">
      <alignment horizontal="left"/>
      <protection locked="0"/>
    </xf>
    <xf numFmtId="171" fontId="18" fillId="0" borderId="0" xfId="543" applyNumberFormat="1" applyAlignment="1">
      <alignment horizontal="center"/>
    </xf>
    <xf numFmtId="171" fontId="18"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5" fillId="5" borderId="3" xfId="0" applyFont="1" applyFill="1" applyBorder="1" applyAlignment="1" applyProtection="1">
      <alignment horizontal="right"/>
      <protection locked="0"/>
    </xf>
    <xf numFmtId="0" fontId="25" fillId="5" borderId="4" xfId="0" applyFont="1" applyFill="1" applyBorder="1" applyAlignment="1" applyProtection="1">
      <alignment horizontal="right"/>
      <protection locked="0"/>
    </xf>
    <xf numFmtId="0" fontId="25" fillId="5" borderId="5" xfId="0" applyFont="1" applyFill="1" applyBorder="1" applyAlignment="1" applyProtection="1">
      <alignment horizontal="right"/>
      <protection locked="0"/>
    </xf>
    <xf numFmtId="172" fontId="25" fillId="0" borderId="114" xfId="0" applyNumberFormat="1" applyFont="1" applyBorder="1" applyAlignment="1">
      <alignment horizontal="center" vertical="center" wrapText="1"/>
    </xf>
    <xf numFmtId="0" fontId="25" fillId="0" borderId="114" xfId="0" applyFont="1" applyBorder="1" applyAlignment="1">
      <alignment horizontal="center" vertical="center"/>
    </xf>
    <xf numFmtId="0" fontId="25" fillId="0" borderId="9" xfId="0" applyFont="1" applyBorder="1" applyAlignment="1">
      <alignment horizontal="center"/>
    </xf>
    <xf numFmtId="168" fontId="18" fillId="5" borderId="3" xfId="0" applyNumberFormat="1" applyFont="1" applyFill="1" applyBorder="1" applyAlignment="1" applyProtection="1">
      <alignment horizontal="left" vertical="top"/>
      <protection locked="0"/>
    </xf>
    <xf numFmtId="168" fontId="18" fillId="5" borderId="4" xfId="0" applyNumberFormat="1" applyFont="1" applyFill="1" applyBorder="1" applyAlignment="1" applyProtection="1">
      <alignment horizontal="left" vertical="top"/>
      <protection locked="0"/>
    </xf>
    <xf numFmtId="168" fontId="18" fillId="5" borderId="5" xfId="0" applyNumberFormat="1" applyFont="1" applyFill="1" applyBorder="1" applyAlignment="1" applyProtection="1">
      <alignment horizontal="left" vertical="top"/>
      <protection locked="0"/>
    </xf>
    <xf numFmtId="0" fontId="25" fillId="0" borderId="114"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0" xfId="0" applyFont="1" applyAlignment="1">
      <alignment horizontal="center" vertical="center" wrapText="1"/>
    </xf>
    <xf numFmtId="0" fontId="34" fillId="0" borderId="1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0" fontId="25" fillId="0" borderId="2" xfId="0" applyFont="1" applyBorder="1" applyAlignment="1">
      <alignment horizontal="center" wrapText="1"/>
    </xf>
    <xf numFmtId="0" fontId="25" fillId="0" borderId="7" xfId="0" applyFont="1" applyBorder="1" applyAlignment="1">
      <alignment horizontal="center" wrapText="1"/>
    </xf>
    <xf numFmtId="0" fontId="25" fillId="0" borderId="6" xfId="0" applyFont="1" applyBorder="1" applyAlignment="1">
      <alignment horizontal="center" wrapText="1"/>
    </xf>
    <xf numFmtId="0" fontId="25" fillId="0" borderId="10" xfId="0" applyFont="1" applyBorder="1" applyAlignment="1">
      <alignment horizontal="center" wrapText="1"/>
    </xf>
    <xf numFmtId="0" fontId="26" fillId="5" borderId="3" xfId="543" applyFont="1" applyFill="1" applyBorder="1" applyAlignment="1">
      <alignment horizontal="center"/>
    </xf>
    <xf numFmtId="0" fontId="26" fillId="5" borderId="4" xfId="543" applyFont="1" applyFill="1" applyBorder="1" applyAlignment="1">
      <alignment horizontal="center"/>
    </xf>
    <xf numFmtId="0" fontId="26" fillId="5" borderId="5" xfId="543" applyFont="1" applyFill="1" applyBorder="1" applyAlignment="1">
      <alignment horizontal="center"/>
    </xf>
    <xf numFmtId="49" fontId="18" fillId="5" borderId="3" xfId="543" applyNumberFormat="1" applyFill="1" applyBorder="1" applyAlignment="1">
      <alignment horizontal="center"/>
    </xf>
    <xf numFmtId="49" fontId="18" fillId="5" borderId="5" xfId="543" applyNumberFormat="1" applyFill="1" applyBorder="1" applyAlignment="1">
      <alignment horizontal="center"/>
    </xf>
    <xf numFmtId="0" fontId="18" fillId="0" borderId="8" xfId="543" applyBorder="1" applyAlignment="1">
      <alignment horizontal="left" vertical="top" wrapText="1"/>
    </xf>
    <xf numFmtId="0" fontId="18" fillId="0" borderId="0" xfId="543" applyAlignment="1">
      <alignment horizontal="left" vertical="top" wrapText="1"/>
    </xf>
    <xf numFmtId="0" fontId="18"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8"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8" fillId="5" borderId="3" xfId="0" applyNumberFormat="1" applyFont="1" applyFill="1" applyBorder="1" applyAlignment="1" applyProtection="1">
      <alignment horizontal="left"/>
      <protection locked="0"/>
    </xf>
    <xf numFmtId="168" fontId="18" fillId="5" borderId="4" xfId="0" applyNumberFormat="1" applyFont="1" applyFill="1" applyBorder="1" applyAlignment="1" applyProtection="1">
      <alignment horizontal="left"/>
      <protection locked="0"/>
    </xf>
    <xf numFmtId="168" fontId="18" fillId="5" borderId="5" xfId="0" applyNumberFormat="1" applyFont="1" applyFill="1" applyBorder="1" applyAlignment="1" applyProtection="1">
      <alignment horizontal="left"/>
      <protection locked="0"/>
    </xf>
    <xf numFmtId="168" fontId="18" fillId="5" borderId="9" xfId="0" applyNumberFormat="1" applyFont="1" applyFill="1" applyBorder="1" applyAlignment="1" applyProtection="1">
      <alignment horizontal="right"/>
      <protection locked="0"/>
    </xf>
    <xf numFmtId="0" fontId="25" fillId="0" borderId="2" xfId="0" applyFont="1" applyBorder="1" applyAlignment="1">
      <alignment horizontal="right"/>
    </xf>
    <xf numFmtId="0" fontId="25" fillId="0" borderId="7" xfId="0" applyFont="1" applyBorder="1" applyAlignment="1">
      <alignment horizontal="right"/>
    </xf>
    <xf numFmtId="0" fontId="25" fillId="0" borderId="1" xfId="0" applyFont="1" applyBorder="1" applyAlignment="1">
      <alignment horizontal="center"/>
    </xf>
    <xf numFmtId="0" fontId="25" fillId="0" borderId="2" xfId="0" applyFont="1" applyBorder="1" applyAlignment="1">
      <alignment horizontal="center"/>
    </xf>
    <xf numFmtId="0" fontId="25" fillId="0" borderId="7" xfId="0" applyFont="1" applyBorder="1" applyAlignment="1">
      <alignment horizontal="center"/>
    </xf>
    <xf numFmtId="0" fontId="18" fillId="43" borderId="114" xfId="0" applyFont="1" applyFill="1" applyBorder="1" applyAlignment="1" applyProtection="1">
      <alignment horizontal="center"/>
      <protection locked="0"/>
    </xf>
    <xf numFmtId="168" fontId="18" fillId="10" borderId="3" xfId="543" applyNumberFormat="1" applyFill="1" applyBorder="1" applyAlignment="1">
      <alignment horizontal="center"/>
    </xf>
    <xf numFmtId="168" fontId="18" fillId="10" borderId="4" xfId="543" applyNumberFormat="1" applyFill="1" applyBorder="1" applyAlignment="1">
      <alignment horizontal="center"/>
    </xf>
    <xf numFmtId="168" fontId="18" fillId="10" borderId="5" xfId="543" applyNumberFormat="1" applyFill="1" applyBorder="1" applyAlignment="1">
      <alignment horizontal="center"/>
    </xf>
    <xf numFmtId="1" fontId="18" fillId="0" borderId="3" xfId="0" applyNumberFormat="1" applyFont="1" applyBorder="1" applyAlignment="1">
      <alignment horizontal="center"/>
    </xf>
    <xf numFmtId="1" fontId="18" fillId="0" borderId="4" xfId="0" applyNumberFormat="1" applyFont="1" applyBorder="1" applyAlignment="1">
      <alignment horizontal="center"/>
    </xf>
    <xf numFmtId="1" fontId="18" fillId="0" borderId="5" xfId="0" applyNumberFormat="1" applyFont="1" applyBorder="1" applyAlignment="1">
      <alignment horizontal="center"/>
    </xf>
    <xf numFmtId="0" fontId="27" fillId="5" borderId="6" xfId="271" applyFill="1" applyBorder="1" applyProtection="1">
      <protection locked="0"/>
    </xf>
    <xf numFmtId="0" fontId="25"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8" fillId="0" borderId="1" xfId="543" applyNumberFormat="1" applyBorder="1" applyAlignment="1">
      <alignment horizontal="center" vertical="center"/>
    </xf>
    <xf numFmtId="168" fontId="18" fillId="0" borderId="2" xfId="543" applyNumberFormat="1" applyBorder="1" applyAlignment="1">
      <alignment horizontal="center" vertical="center"/>
    </xf>
    <xf numFmtId="168" fontId="18" fillId="0" borderId="7" xfId="543" applyNumberFormat="1" applyBorder="1" applyAlignment="1">
      <alignment horizontal="center" vertical="center"/>
    </xf>
    <xf numFmtId="168" fontId="18" fillId="0" borderId="8" xfId="543" applyNumberFormat="1" applyBorder="1" applyAlignment="1">
      <alignment horizontal="center" vertical="center"/>
    </xf>
    <xf numFmtId="168" fontId="18" fillId="0" borderId="0" xfId="543" applyNumberFormat="1" applyAlignment="1">
      <alignment horizontal="center" vertical="center"/>
    </xf>
    <xf numFmtId="168" fontId="18" fillId="0" borderId="12" xfId="543" applyNumberFormat="1" applyBorder="1" applyAlignment="1">
      <alignment horizontal="center" vertical="center"/>
    </xf>
    <xf numFmtId="168" fontId="18" fillId="0" borderId="9" xfId="543" applyNumberFormat="1" applyBorder="1" applyAlignment="1">
      <alignment horizontal="center" vertical="center"/>
    </xf>
    <xf numFmtId="168" fontId="18" fillId="0" borderId="6" xfId="543" applyNumberFormat="1" applyBorder="1" applyAlignment="1">
      <alignment horizontal="center" vertical="center"/>
    </xf>
    <xf numFmtId="168" fontId="18" fillId="0" borderId="10" xfId="543" applyNumberFormat="1" applyBorder="1" applyAlignment="1">
      <alignment horizontal="center" vertical="center"/>
    </xf>
    <xf numFmtId="0" fontId="25" fillId="0" borderId="1" xfId="543" applyFont="1" applyBorder="1" applyAlignment="1">
      <alignment horizontal="left" vertical="center" wrapText="1"/>
    </xf>
    <xf numFmtId="0" fontId="25" fillId="0" borderId="2" xfId="543" applyFont="1" applyBorder="1" applyAlignment="1">
      <alignment horizontal="left" vertical="center" wrapText="1"/>
    </xf>
    <xf numFmtId="0" fontId="25" fillId="0" borderId="7" xfId="543" applyFont="1" applyBorder="1" applyAlignment="1">
      <alignment horizontal="left" vertical="center" wrapText="1"/>
    </xf>
    <xf numFmtId="0" fontId="25" fillId="0" borderId="3" xfId="543" applyFont="1" applyBorder="1" applyAlignment="1">
      <alignment horizontal="right"/>
    </xf>
    <xf numFmtId="0" fontId="25" fillId="0" borderId="4" xfId="543" applyFont="1" applyBorder="1" applyAlignment="1">
      <alignment horizontal="right"/>
    </xf>
    <xf numFmtId="0" fontId="25" fillId="0" borderId="5" xfId="543" applyFont="1" applyBorder="1" applyAlignment="1">
      <alignment horizontal="right"/>
    </xf>
    <xf numFmtId="0" fontId="18" fillId="5" borderId="3" xfId="543" applyFill="1" applyBorder="1" applyAlignment="1" applyProtection="1">
      <alignment horizontal="left" vertical="top" wrapText="1"/>
      <protection locked="0"/>
    </xf>
    <xf numFmtId="0" fontId="18" fillId="5" borderId="4" xfId="543" applyFill="1" applyBorder="1" applyAlignment="1" applyProtection="1">
      <alignment horizontal="left" vertical="top" wrapText="1"/>
      <protection locked="0"/>
    </xf>
    <xf numFmtId="0" fontId="18" fillId="5" borderId="5" xfId="543" applyFill="1" applyBorder="1" applyAlignment="1" applyProtection="1">
      <alignment horizontal="left" vertical="top" wrapText="1"/>
      <protection locked="0"/>
    </xf>
    <xf numFmtId="0" fontId="18" fillId="0" borderId="9" xfId="543" applyBorder="1" applyAlignment="1">
      <alignment horizontal="left" vertical="top" wrapText="1"/>
    </xf>
    <xf numFmtId="0" fontId="18" fillId="0" borderId="6" xfId="543" applyBorder="1" applyAlignment="1">
      <alignment horizontal="left" vertical="top" wrapText="1"/>
    </xf>
    <xf numFmtId="0" fontId="18" fillId="0" borderId="10" xfId="543" applyBorder="1" applyAlignment="1">
      <alignment horizontal="left" vertical="top" wrapText="1"/>
    </xf>
    <xf numFmtId="0" fontId="18" fillId="2" borderId="3" xfId="543" applyFill="1" applyBorder="1" applyAlignment="1">
      <alignment horizontal="center"/>
    </xf>
    <xf numFmtId="0" fontId="18" fillId="2" borderId="4" xfId="543" applyFill="1" applyBorder="1" applyAlignment="1">
      <alignment horizontal="center"/>
    </xf>
    <xf numFmtId="0" fontId="18" fillId="2" borderId="5" xfId="543" applyFill="1" applyBorder="1" applyAlignment="1">
      <alignment horizontal="center"/>
    </xf>
    <xf numFmtId="0" fontId="26" fillId="0" borderId="3" xfId="543" applyFont="1" applyBorder="1" applyAlignment="1">
      <alignment horizontal="center"/>
    </xf>
    <xf numFmtId="0" fontId="26" fillId="0" borderId="5" xfId="543" applyFont="1" applyBorder="1" applyAlignment="1">
      <alignment horizontal="center"/>
    </xf>
    <xf numFmtId="0" fontId="26" fillId="5" borderId="3" xfId="543" applyFont="1" applyFill="1" applyBorder="1" applyAlignment="1" applyProtection="1">
      <alignment horizontal="center"/>
      <protection locked="0"/>
    </xf>
    <xf numFmtId="0" fontId="26" fillId="5" borderId="5" xfId="543" applyFont="1" applyFill="1" applyBorder="1" applyAlignment="1" applyProtection="1">
      <alignment horizontal="center"/>
      <protection locked="0"/>
    </xf>
    <xf numFmtId="0" fontId="26" fillId="5" borderId="9" xfId="543" applyFont="1" applyFill="1" applyBorder="1" applyAlignment="1" applyProtection="1">
      <alignment horizontal="center"/>
      <protection locked="0"/>
    </xf>
    <xf numFmtId="0" fontId="26" fillId="5" borderId="10" xfId="543" applyFont="1" applyFill="1" applyBorder="1" applyAlignment="1" applyProtection="1">
      <alignment horizontal="center"/>
      <protection locked="0"/>
    </xf>
    <xf numFmtId="0" fontId="25" fillId="0" borderId="1" xfId="0" applyFont="1" applyBorder="1" applyAlignment="1">
      <alignment horizontal="center" wrapText="1"/>
    </xf>
    <xf numFmtId="0" fontId="25" fillId="0" borderId="8" xfId="0" applyFont="1" applyBorder="1" applyAlignment="1">
      <alignment horizontal="center" wrapText="1"/>
    </xf>
    <xf numFmtId="0" fontId="25" fillId="0" borderId="0" xfId="0" applyFont="1" applyAlignment="1">
      <alignment horizontal="center" wrapText="1"/>
    </xf>
    <xf numFmtId="0" fontId="25" fillId="0" borderId="9" xfId="0" applyFont="1" applyBorder="1" applyAlignment="1">
      <alignment horizontal="center" wrapText="1"/>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5" fillId="0" borderId="8" xfId="543" applyFont="1" applyBorder="1" applyAlignment="1">
      <alignment horizontal="left" vertical="center" wrapText="1"/>
    </xf>
    <xf numFmtId="0" fontId="25" fillId="0" borderId="0" xfId="543" applyFont="1" applyAlignment="1">
      <alignment horizontal="left" vertical="center" wrapText="1"/>
    </xf>
    <xf numFmtId="0" fontId="25" fillId="0" borderId="12" xfId="543" applyFont="1" applyBorder="1" applyAlignment="1">
      <alignment horizontal="left" vertical="center" wrapText="1"/>
    </xf>
    <xf numFmtId="0" fontId="18" fillId="0" borderId="8" xfId="543" applyBorder="1" applyAlignment="1">
      <alignment horizontal="left" vertical="center" wrapText="1"/>
    </xf>
    <xf numFmtId="0" fontId="18" fillId="0" borderId="0" xfId="543" applyAlignment="1">
      <alignment horizontal="left" vertical="center" wrapText="1"/>
    </xf>
    <xf numFmtId="0" fontId="18" fillId="0" borderId="12" xfId="543" applyBorder="1" applyAlignment="1">
      <alignment horizontal="left" vertical="center" wrapText="1"/>
    </xf>
    <xf numFmtId="0" fontId="18" fillId="0" borderId="9" xfId="543" applyBorder="1" applyAlignment="1">
      <alignment horizontal="left" vertical="center" wrapText="1"/>
    </xf>
    <xf numFmtId="0" fontId="18" fillId="0" borderId="6" xfId="543" applyBorder="1" applyAlignment="1">
      <alignment horizontal="left" vertical="center" wrapText="1"/>
    </xf>
    <xf numFmtId="0" fontId="18" fillId="0" borderId="10" xfId="543" applyBorder="1" applyAlignment="1">
      <alignment horizontal="left" vertical="center" wrapText="1"/>
    </xf>
    <xf numFmtId="182" fontId="26" fillId="43" borderId="114"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5" fillId="0" borderId="12" xfId="0" applyFont="1" applyBorder="1" applyAlignment="1">
      <alignment horizontal="center" wrapText="1"/>
    </xf>
    <xf numFmtId="1" fontId="18" fillId="0" borderId="3" xfId="543" applyNumberFormat="1" applyBorder="1" applyAlignment="1">
      <alignment horizontal="center"/>
    </xf>
    <xf numFmtId="1" fontId="18" fillId="0" borderId="4" xfId="543" applyNumberFormat="1" applyBorder="1" applyAlignment="1">
      <alignment horizontal="center"/>
    </xf>
    <xf numFmtId="1" fontId="18" fillId="0" borderId="5" xfId="543" applyNumberFormat="1" applyBorder="1" applyAlignment="1">
      <alignment horizontal="center"/>
    </xf>
    <xf numFmtId="168" fontId="18" fillId="0" borderId="114" xfId="543" applyNumberFormat="1" applyBorder="1" applyAlignment="1">
      <alignment horizontal="center"/>
    </xf>
    <xf numFmtId="0" fontId="25" fillId="0" borderId="4" xfId="543" applyFont="1" applyBorder="1" applyAlignment="1">
      <alignment horizontal="right" vertical="top" wrapText="1"/>
    </xf>
    <xf numFmtId="0" fontId="25" fillId="0" borderId="5" xfId="543" applyFont="1" applyBorder="1" applyAlignment="1">
      <alignment horizontal="right" vertical="top" wrapText="1"/>
    </xf>
    <xf numFmtId="1" fontId="26" fillId="0" borderId="3" xfId="543" applyNumberFormat="1" applyFont="1" applyBorder="1" applyAlignment="1">
      <alignment horizontal="center"/>
    </xf>
    <xf numFmtId="1" fontId="26" fillId="0" borderId="5" xfId="543" applyNumberFormat="1" applyFont="1" applyBorder="1" applyAlignment="1">
      <alignment horizontal="center"/>
    </xf>
    <xf numFmtId="0" fontId="36" fillId="0" borderId="3" xfId="543" applyFont="1" applyBorder="1" applyAlignment="1">
      <alignment horizontal="center"/>
    </xf>
    <xf numFmtId="0" fontId="36" fillId="0" borderId="4" xfId="543" applyFont="1" applyBorder="1" applyAlignment="1">
      <alignment horizontal="center"/>
    </xf>
    <xf numFmtId="0" fontId="36" fillId="0" borderId="5" xfId="543" applyFont="1" applyBorder="1" applyAlignment="1">
      <alignment horizontal="center"/>
    </xf>
    <xf numFmtId="0" fontId="25" fillId="0" borderId="1" xfId="543" applyFont="1" applyBorder="1" applyAlignment="1">
      <alignment horizontal="right"/>
    </xf>
    <xf numFmtId="0" fontId="25" fillId="0" borderId="2" xfId="543" applyFont="1" applyBorder="1" applyAlignment="1">
      <alignment horizontal="right"/>
    </xf>
    <xf numFmtId="0" fontId="25" fillId="0" borderId="7" xfId="543" applyFont="1" applyBorder="1" applyAlignment="1">
      <alignment horizontal="right"/>
    </xf>
    <xf numFmtId="0" fontId="18" fillId="0" borderId="3" xfId="543" applyBorder="1" applyAlignment="1">
      <alignment horizontal="center"/>
    </xf>
    <xf numFmtId="0" fontId="18" fillId="0" borderId="4" xfId="543" applyBorder="1" applyAlignment="1">
      <alignment horizontal="center"/>
    </xf>
    <xf numFmtId="0" fontId="18" fillId="0" borderId="5" xfId="543" applyBorder="1" applyAlignment="1">
      <alignment horizontal="center"/>
    </xf>
    <xf numFmtId="168" fontId="25" fillId="0" borderId="3" xfId="543" applyNumberFormat="1" applyFont="1" applyBorder="1" applyAlignment="1">
      <alignment horizontal="center" vertical="center"/>
    </xf>
    <xf numFmtId="168" fontId="25" fillId="0" borderId="4" xfId="543" applyNumberFormat="1" applyFont="1" applyBorder="1" applyAlignment="1">
      <alignment horizontal="center" vertical="center"/>
    </xf>
    <xf numFmtId="168" fontId="25" fillId="0" borderId="5" xfId="543" applyNumberFormat="1" applyFont="1" applyBorder="1" applyAlignment="1">
      <alignment horizontal="center" vertical="center"/>
    </xf>
    <xf numFmtId="0" fontId="18" fillId="0" borderId="8" xfId="0" applyFont="1" applyBorder="1" applyAlignment="1">
      <alignment horizontal="left" wrapText="1"/>
    </xf>
    <xf numFmtId="0" fontId="18" fillId="0" borderId="12" xfId="0" applyFont="1" applyBorder="1" applyAlignment="1">
      <alignment horizontal="left" wrapText="1"/>
    </xf>
    <xf numFmtId="0" fontId="18" fillId="0" borderId="9" xfId="0" applyFont="1" applyBorder="1" applyAlignment="1">
      <alignment horizontal="left" wrapText="1"/>
    </xf>
    <xf numFmtId="0" fontId="18" fillId="0" borderId="10" xfId="0" applyFont="1" applyBorder="1" applyAlignment="1">
      <alignment horizontal="left" wrapText="1"/>
    </xf>
    <xf numFmtId="0" fontId="47" fillId="5" borderId="3" xfId="0" applyFont="1" applyFill="1" applyBorder="1" applyAlignment="1" applyProtection="1">
      <alignment horizontal="right"/>
      <protection locked="0"/>
    </xf>
    <xf numFmtId="0" fontId="47" fillId="5" borderId="4" xfId="0" applyFont="1" applyFill="1" applyBorder="1" applyAlignment="1" applyProtection="1">
      <alignment horizontal="right"/>
      <protection locked="0"/>
    </xf>
    <xf numFmtId="0" fontId="47" fillId="5" borderId="5" xfId="0" applyFont="1" applyFill="1" applyBorder="1" applyAlignment="1" applyProtection="1">
      <alignment horizontal="right"/>
      <protection locked="0"/>
    </xf>
    <xf numFmtId="0" fontId="26" fillId="5" borderId="3" xfId="0" applyFont="1" applyFill="1" applyBorder="1" applyAlignment="1" applyProtection="1">
      <alignment horizontal="left"/>
      <protection locked="0"/>
    </xf>
    <xf numFmtId="0" fontId="26" fillId="5" borderId="4" xfId="0" applyFont="1" applyFill="1" applyBorder="1" applyAlignment="1" applyProtection="1">
      <alignment horizontal="left"/>
      <protection locked="0"/>
    </xf>
    <xf numFmtId="0" fontId="26" fillId="5" borderId="5" xfId="0" applyFont="1" applyFill="1" applyBorder="1" applyAlignment="1" applyProtection="1">
      <alignment horizontal="left"/>
      <protection locked="0"/>
    </xf>
    <xf numFmtId="0" fontId="25" fillId="0" borderId="1" xfId="543" applyFont="1" applyBorder="1" applyAlignment="1">
      <alignment horizontal="left" vertical="top" wrapText="1"/>
    </xf>
    <xf numFmtId="0" fontId="25" fillId="0" borderId="2" xfId="543" applyFont="1" applyBorder="1" applyAlignment="1">
      <alignment horizontal="left" vertical="top" wrapText="1"/>
    </xf>
    <xf numFmtId="0" fontId="25" fillId="0" borderId="7" xfId="543" applyFont="1" applyBorder="1" applyAlignment="1">
      <alignment horizontal="left" vertical="top" wrapText="1"/>
    </xf>
    <xf numFmtId="0" fontId="25" fillId="0" borderId="8" xfId="543" applyFont="1" applyBorder="1" applyAlignment="1">
      <alignment horizontal="left" vertical="top" wrapText="1"/>
    </xf>
    <xf numFmtId="0" fontId="25" fillId="0" borderId="0" xfId="543" applyFont="1" applyAlignment="1">
      <alignment horizontal="left" vertical="top" wrapText="1"/>
    </xf>
    <xf numFmtId="0" fontId="25" fillId="0" borderId="12" xfId="543" applyFont="1" applyBorder="1" applyAlignment="1">
      <alignment horizontal="left" vertical="top" wrapText="1"/>
    </xf>
    <xf numFmtId="0" fontId="143" fillId="0" borderId="8" xfId="543" applyFont="1" applyBorder="1" applyAlignment="1">
      <alignment horizontal="center" vertical="center" wrapText="1"/>
    </xf>
    <xf numFmtId="0" fontId="143" fillId="0" borderId="0" xfId="543" applyFont="1" applyAlignment="1">
      <alignment horizontal="center" vertical="center" wrapText="1"/>
    </xf>
    <xf numFmtId="0" fontId="143" fillId="0" borderId="12" xfId="543" applyFont="1" applyBorder="1" applyAlignment="1">
      <alignment horizontal="center" vertical="center" wrapText="1"/>
    </xf>
    <xf numFmtId="0" fontId="26" fillId="5" borderId="3" xfId="543" applyFont="1"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25" fillId="10" borderId="3" xfId="543" applyFont="1" applyFill="1" applyBorder="1" applyAlignment="1">
      <alignment horizontal="center"/>
    </xf>
    <xf numFmtId="0" fontId="25" fillId="10" borderId="4" xfId="543" applyFont="1" applyFill="1" applyBorder="1" applyAlignment="1">
      <alignment horizontal="center"/>
    </xf>
    <xf numFmtId="0" fontId="25" fillId="10" borderId="5" xfId="543" applyFont="1" applyFill="1" applyBorder="1" applyAlignment="1">
      <alignment horizontal="center"/>
    </xf>
    <xf numFmtId="0" fontId="26" fillId="5" borderId="3" xfId="543" applyFont="1" applyFill="1" applyBorder="1" applyAlignment="1" applyProtection="1">
      <alignment horizontal="center" vertical="top"/>
      <protection locked="0"/>
    </xf>
    <xf numFmtId="0" fontId="26" fillId="5" borderId="5" xfId="543" applyFont="1" applyFill="1" applyBorder="1" applyAlignment="1" applyProtection="1">
      <alignment horizontal="center" vertical="top"/>
      <protection locked="0"/>
    </xf>
    <xf numFmtId="0" fontId="39" fillId="0" borderId="8" xfId="543" applyFont="1" applyBorder="1" applyAlignment="1">
      <alignment horizontal="center" vertical="center" wrapText="1"/>
    </xf>
    <xf numFmtId="0" fontId="39" fillId="0" borderId="0" xfId="543" applyFont="1" applyAlignment="1">
      <alignment horizontal="center" vertical="center" wrapText="1"/>
    </xf>
    <xf numFmtId="0" fontId="39" fillId="0" borderId="12" xfId="543" applyFont="1" applyBorder="1" applyAlignment="1">
      <alignment horizontal="center" vertical="center" wrapText="1"/>
    </xf>
    <xf numFmtId="0" fontId="25" fillId="0" borderId="9" xfId="0" applyFont="1" applyBorder="1" applyAlignment="1">
      <alignment horizontal="right"/>
    </xf>
    <xf numFmtId="0" fontId="25" fillId="0" borderId="10" xfId="0" applyFont="1" applyBorder="1" applyAlignment="1">
      <alignment horizontal="right"/>
    </xf>
    <xf numFmtId="180" fontId="0" fillId="0" borderId="6" xfId="0" applyNumberFormat="1" applyBorder="1" applyAlignment="1">
      <alignment horizontal="center"/>
    </xf>
    <xf numFmtId="0" fontId="44" fillId="0" borderId="0" xfId="0" applyFont="1" applyAlignment="1">
      <alignment horizontal="center"/>
    </xf>
    <xf numFmtId="0" fontId="25" fillId="0" borderId="0" xfId="0" applyFont="1" applyAlignment="1">
      <alignment horizontal="center"/>
    </xf>
    <xf numFmtId="0" fontId="18" fillId="0" borderId="0" xfId="0" applyFont="1" applyAlignment="1">
      <alignment horizontal="center"/>
    </xf>
    <xf numFmtId="0" fontId="33" fillId="0" borderId="0" xfId="0" applyFont="1" applyAlignment="1">
      <alignment horizontal="center"/>
    </xf>
    <xf numFmtId="0" fontId="18" fillId="0" borderId="0" xfId="0" applyFont="1" applyAlignment="1">
      <alignment horizontal="center" vertical="top"/>
    </xf>
    <xf numFmtId="0" fontId="26" fillId="0" borderId="0" xfId="0" applyFont="1" applyAlignment="1">
      <alignment horizontal="center"/>
    </xf>
    <xf numFmtId="0" fontId="150" fillId="0" borderId="8" xfId="543" applyFont="1" applyBorder="1" applyAlignment="1">
      <alignment horizontal="center" wrapText="1"/>
    </xf>
    <xf numFmtId="0" fontId="150" fillId="0" borderId="0" xfId="543" applyFont="1" applyAlignment="1">
      <alignment horizontal="center" wrapText="1"/>
    </xf>
    <xf numFmtId="0" fontId="150" fillId="0" borderId="12" xfId="543" applyFont="1" applyBorder="1" applyAlignment="1">
      <alignment horizontal="center" wrapText="1"/>
    </xf>
    <xf numFmtId="0" fontId="150" fillId="0" borderId="9" xfId="543" applyFont="1" applyBorder="1" applyAlignment="1">
      <alignment horizontal="center" wrapText="1"/>
    </xf>
    <xf numFmtId="0" fontId="150" fillId="0" borderId="6" xfId="543" applyFont="1" applyBorder="1" applyAlignment="1">
      <alignment horizontal="center" wrapText="1"/>
    </xf>
    <xf numFmtId="0" fontId="150" fillId="0" borderId="10" xfId="543" applyFont="1" applyBorder="1" applyAlignment="1">
      <alignment horizontal="center" wrapText="1"/>
    </xf>
    <xf numFmtId="0" fontId="150" fillId="0" borderId="8" xfId="543" applyFont="1" applyBorder="1" applyAlignment="1">
      <alignment horizontal="center" vertical="top" wrapText="1"/>
    </xf>
    <xf numFmtId="0" fontId="150" fillId="0" borderId="0" xfId="543" applyFont="1" applyAlignment="1">
      <alignment horizontal="center" vertical="top" wrapText="1"/>
    </xf>
    <xf numFmtId="0" fontId="150" fillId="0" borderId="12" xfId="543" applyFont="1" applyBorder="1" applyAlignment="1">
      <alignment horizontal="center" vertical="top" wrapText="1"/>
    </xf>
    <xf numFmtId="0" fontId="150" fillId="0" borderId="9" xfId="543" applyFont="1" applyBorder="1" applyAlignment="1">
      <alignment horizontal="center" vertical="top" wrapText="1"/>
    </xf>
    <xf numFmtId="0" fontId="150" fillId="0" borderId="6" xfId="543" applyFont="1" applyBorder="1" applyAlignment="1">
      <alignment horizontal="center" vertical="top" wrapText="1"/>
    </xf>
    <xf numFmtId="0" fontId="150" fillId="0" borderId="10" xfId="543" applyFont="1" applyBorder="1" applyAlignment="1">
      <alignment horizontal="center" vertical="top" wrapText="1"/>
    </xf>
    <xf numFmtId="0" fontId="147" fillId="0" borderId="0" xfId="0" applyFont="1" applyAlignment="1">
      <alignment horizontal="center" vertical="center" wrapText="1"/>
    </xf>
    <xf numFmtId="0" fontId="18" fillId="0" borderId="0" xfId="0" applyFont="1" applyAlignment="1">
      <alignment vertical="center" wrapText="1"/>
    </xf>
    <xf numFmtId="0" fontId="18" fillId="0" borderId="0" xfId="543" applyAlignment="1">
      <alignment wrapText="1"/>
    </xf>
    <xf numFmtId="0" fontId="18" fillId="0" borderId="2" xfId="0" applyFont="1" applyBorder="1" applyAlignment="1">
      <alignment horizontal="left" vertical="top" wrapText="1"/>
    </xf>
    <xf numFmtId="177" fontId="18" fillId="5" borderId="6"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8" fillId="0" borderId="6" xfId="0" applyFont="1" applyBorder="1" applyAlignment="1">
      <alignment horizontal="right" vertical="top" wrapText="1"/>
    </xf>
    <xf numFmtId="0" fontId="18" fillId="0" borderId="6"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5" xfId="0" applyFont="1" applyFill="1" applyBorder="1" applyAlignment="1">
      <alignment horizontal="center" vertical="top"/>
    </xf>
    <xf numFmtId="0" fontId="18" fillId="0" borderId="2" xfId="0" applyFont="1" applyBorder="1" applyAlignment="1">
      <alignment vertical="top" wrapText="1"/>
    </xf>
    <xf numFmtId="0" fontId="47" fillId="0" borderId="0" xfId="0" applyFont="1" applyAlignment="1">
      <alignment vertical="top" wrapText="1"/>
    </xf>
    <xf numFmtId="0" fontId="48" fillId="0" borderId="0" xfId="569" applyFont="1" applyAlignment="1">
      <alignment vertical="top" wrapText="1"/>
    </xf>
    <xf numFmtId="0" fontId="18" fillId="0" borderId="0" xfId="569" applyAlignment="1">
      <alignment horizontal="right" vertical="top" wrapText="1"/>
    </xf>
    <xf numFmtId="0" fontId="24" fillId="3" borderId="3" xfId="0" applyFont="1" applyFill="1" applyBorder="1" applyAlignment="1">
      <alignment horizontal="left" vertical="top"/>
    </xf>
    <xf numFmtId="0" fontId="24" fillId="3" borderId="4" xfId="0" applyFont="1" applyFill="1" applyBorder="1" applyAlignment="1">
      <alignment horizontal="left" vertical="top"/>
    </xf>
    <xf numFmtId="0" fontId="24" fillId="3" borderId="5" xfId="0" applyFont="1" applyFill="1" applyBorder="1" applyAlignment="1">
      <alignment horizontal="left" vertical="top"/>
    </xf>
    <xf numFmtId="0" fontId="160" fillId="44" borderId="80" xfId="8733" applyFont="1" applyFill="1" applyBorder="1" applyAlignment="1">
      <alignment horizontal="left"/>
    </xf>
    <xf numFmtId="0" fontId="160" fillId="44" borderId="79" xfId="8733" applyFont="1" applyFill="1" applyBorder="1" applyAlignment="1">
      <alignment horizontal="left"/>
    </xf>
    <xf numFmtId="0" fontId="160" fillId="44" borderId="78" xfId="8733" applyFont="1" applyFill="1" applyBorder="1" applyAlignment="1">
      <alignment horizontal="left"/>
    </xf>
    <xf numFmtId="0" fontId="161" fillId="45" borderId="114" xfId="8733" applyFont="1" applyFill="1" applyBorder="1" applyAlignment="1">
      <alignment horizontal="right"/>
    </xf>
    <xf numFmtId="1" fontId="160" fillId="48" borderId="114" xfId="8733" applyNumberFormat="1" applyFont="1" applyFill="1" applyBorder="1" applyAlignment="1" applyProtection="1">
      <alignment horizontal="center"/>
      <protection locked="0"/>
    </xf>
    <xf numFmtId="0" fontId="3" fillId="44" borderId="80" xfId="8733" applyFill="1" applyBorder="1" applyAlignment="1">
      <alignment horizontal="center"/>
    </xf>
    <xf numFmtId="0" fontId="3" fillId="44" borderId="79" xfId="8733" applyFill="1" applyBorder="1" applyAlignment="1">
      <alignment horizontal="center"/>
    </xf>
    <xf numFmtId="0" fontId="3" fillId="44" borderId="78" xfId="8733" applyFill="1" applyBorder="1" applyAlignment="1">
      <alignment horizontal="center"/>
    </xf>
    <xf numFmtId="0" fontId="172" fillId="51" borderId="65" xfId="8733" applyFont="1" applyFill="1" applyBorder="1" applyAlignment="1">
      <alignment horizontal="center"/>
    </xf>
    <xf numFmtId="0" fontId="172" fillId="51" borderId="29" xfId="8733" applyFont="1" applyFill="1" applyBorder="1" applyAlignment="1">
      <alignment horizontal="center"/>
    </xf>
    <xf numFmtId="0" fontId="172" fillId="51" borderId="31" xfId="8733" applyFont="1" applyFill="1" applyBorder="1" applyAlignment="1">
      <alignment horizontal="center"/>
    </xf>
    <xf numFmtId="0" fontId="157" fillId="48" borderId="66" xfId="8733" applyFont="1" applyFill="1" applyBorder="1" applyAlignment="1">
      <alignment horizontal="center"/>
    </xf>
    <xf numFmtId="0" fontId="157" fillId="48" borderId="0" xfId="8733" applyFont="1" applyFill="1" applyAlignment="1">
      <alignment horizontal="center"/>
    </xf>
    <xf numFmtId="0" fontId="157" fillId="48" borderId="41" xfId="8733" applyFont="1" applyFill="1" applyBorder="1" applyAlignment="1">
      <alignment horizontal="center"/>
    </xf>
    <xf numFmtId="0" fontId="167" fillId="45" borderId="114" xfId="8733" applyFont="1" applyFill="1" applyBorder="1" applyAlignment="1">
      <alignment horizontal="right"/>
    </xf>
    <xf numFmtId="14" fontId="160" fillId="48" borderId="114" xfId="8733" applyNumberFormat="1" applyFont="1" applyFill="1" applyBorder="1" applyAlignment="1" applyProtection="1">
      <alignment horizontal="center"/>
      <protection locked="0"/>
    </xf>
    <xf numFmtId="0" fontId="160" fillId="48" borderId="114" xfId="8733" applyFont="1" applyFill="1" applyBorder="1" applyAlignment="1" applyProtection="1">
      <alignment horizontal="center"/>
      <protection locked="0"/>
    </xf>
    <xf numFmtId="0" fontId="93" fillId="45" borderId="80" xfId="8733" applyFont="1" applyFill="1" applyBorder="1" applyAlignment="1">
      <alignment horizontal="center"/>
    </xf>
    <xf numFmtId="0" fontId="93" fillId="45" borderId="79" xfId="8733" applyFont="1" applyFill="1" applyBorder="1" applyAlignment="1">
      <alignment horizontal="center"/>
    </xf>
    <xf numFmtId="0" fontId="93" fillId="45" borderId="78" xfId="8733" applyFont="1" applyFill="1" applyBorder="1" applyAlignment="1">
      <alignment horizontal="center"/>
    </xf>
    <xf numFmtId="0" fontId="160" fillId="48" borderId="80" xfId="8733" applyFont="1" applyFill="1" applyBorder="1" applyAlignment="1" applyProtection="1">
      <alignment horizontal="center"/>
      <protection locked="0"/>
    </xf>
    <xf numFmtId="0" fontId="160" fillId="48" borderId="79" xfId="8733" applyFont="1" applyFill="1" applyBorder="1" applyAlignment="1" applyProtection="1">
      <alignment horizontal="center"/>
      <protection locked="0"/>
    </xf>
    <xf numFmtId="0" fontId="160" fillId="48" borderId="78" xfId="8733" applyFont="1" applyFill="1" applyBorder="1" applyAlignment="1" applyProtection="1">
      <alignment horizontal="center"/>
      <protection locked="0"/>
    </xf>
    <xf numFmtId="0" fontId="164" fillId="45" borderId="114" xfId="8733" applyFont="1" applyFill="1" applyBorder="1" applyAlignment="1">
      <alignment horizontal="right"/>
    </xf>
    <xf numFmtId="1" fontId="3" fillId="44" borderId="114" xfId="8733" applyNumberFormat="1" applyFill="1" applyBorder="1" applyAlignment="1">
      <alignment horizontal="center"/>
    </xf>
    <xf numFmtId="0" fontId="3" fillId="44" borderId="114" xfId="8733" applyFill="1" applyBorder="1" applyAlignment="1">
      <alignment horizontal="center"/>
    </xf>
    <xf numFmtId="0" fontId="161" fillId="45" borderId="114" xfId="8733" applyFont="1" applyFill="1" applyBorder="1" applyAlignment="1">
      <alignment horizontal="right" wrapText="1"/>
    </xf>
    <xf numFmtId="14" fontId="160" fillId="48" borderId="114" xfId="8733" applyNumberFormat="1" applyFont="1" applyFill="1" applyBorder="1" applyAlignment="1" applyProtection="1">
      <alignment horizontal="center" vertical="center"/>
      <protection locked="0"/>
    </xf>
    <xf numFmtId="0" fontId="160" fillId="48" borderId="114" xfId="8733" applyFont="1" applyFill="1" applyBorder="1" applyAlignment="1" applyProtection="1">
      <alignment horizontal="center" vertical="center"/>
      <protection locked="0"/>
    </xf>
    <xf numFmtId="168" fontId="165" fillId="44" borderId="114" xfId="8734" applyNumberFormat="1" applyFont="1" applyFill="1" applyBorder="1" applyAlignment="1" applyProtection="1">
      <alignment horizontal="left"/>
    </xf>
    <xf numFmtId="0" fontId="93" fillId="45" borderId="80" xfId="8733" applyFont="1" applyFill="1" applyBorder="1" applyAlignment="1">
      <alignment horizontal="right"/>
    </xf>
    <xf numFmtId="0" fontId="93" fillId="45" borderId="79" xfId="8733" applyFont="1" applyFill="1" applyBorder="1" applyAlignment="1">
      <alignment horizontal="right"/>
    </xf>
    <xf numFmtId="0" fontId="93" fillId="45" borderId="103" xfId="8733" applyFont="1" applyFill="1" applyBorder="1" applyAlignment="1">
      <alignment horizontal="right"/>
    </xf>
    <xf numFmtId="0" fontId="3" fillId="44" borderId="84" xfId="8733" applyFill="1" applyBorder="1" applyAlignment="1">
      <alignment horizontal="center"/>
    </xf>
    <xf numFmtId="0" fontId="3" fillId="44" borderId="102" xfId="8733" applyFill="1" applyBorder="1" applyAlignment="1">
      <alignment horizontal="center"/>
    </xf>
    <xf numFmtId="0" fontId="157" fillId="45" borderId="93" xfId="8733" applyFont="1" applyFill="1" applyBorder="1" applyAlignment="1">
      <alignment horizontal="center"/>
    </xf>
    <xf numFmtId="0" fontId="157" fillId="45" borderId="92" xfId="8733" applyFont="1" applyFill="1" applyBorder="1" applyAlignment="1">
      <alignment horizontal="center"/>
    </xf>
    <xf numFmtId="0" fontId="157" fillId="45" borderId="91" xfId="8733" applyFont="1" applyFill="1" applyBorder="1" applyAlignment="1">
      <alignment horizontal="center"/>
    </xf>
    <xf numFmtId="0" fontId="164" fillId="45" borderId="97" xfId="8733" applyFont="1" applyFill="1" applyBorder="1" applyAlignment="1">
      <alignment horizontal="center"/>
    </xf>
    <xf numFmtId="0" fontId="164" fillId="45" borderId="2" xfId="8733" applyFont="1" applyFill="1" applyBorder="1" applyAlignment="1">
      <alignment horizontal="center"/>
    </xf>
    <xf numFmtId="0" fontId="164" fillId="45" borderId="7" xfId="8733" applyFont="1" applyFill="1" applyBorder="1" applyAlignment="1">
      <alignment horizontal="center"/>
    </xf>
    <xf numFmtId="0" fontId="164" fillId="45" borderId="3" xfId="8733" applyFont="1" applyFill="1" applyBorder="1" applyAlignment="1">
      <alignment horizontal="center"/>
    </xf>
    <xf numFmtId="0" fontId="164" fillId="45" borderId="4" xfId="8733" applyFont="1" applyFill="1" applyBorder="1" applyAlignment="1">
      <alignment horizontal="center"/>
    </xf>
    <xf numFmtId="0" fontId="164" fillId="45" borderId="5" xfId="8733" applyFont="1" applyFill="1" applyBorder="1" applyAlignment="1">
      <alignment horizontal="center"/>
    </xf>
    <xf numFmtId="0" fontId="164" fillId="45" borderId="81" xfId="8733" applyFont="1" applyFill="1" applyBorder="1" applyAlignment="1">
      <alignment horizontal="center"/>
    </xf>
    <xf numFmtId="9" fontId="163" fillId="48" borderId="90" xfId="8733" applyNumberFormat="1" applyFont="1" applyFill="1" applyBorder="1" applyAlignment="1" applyProtection="1">
      <alignment horizontal="center"/>
      <protection locked="0"/>
    </xf>
    <xf numFmtId="9" fontId="163" fillId="48" borderId="4" xfId="8733" applyNumberFormat="1" applyFont="1" applyFill="1" applyBorder="1" applyAlignment="1" applyProtection="1">
      <alignment horizontal="center"/>
      <protection locked="0"/>
    </xf>
    <xf numFmtId="9" fontId="163" fillId="48" borderId="5" xfId="8733" applyNumberFormat="1" applyFont="1" applyFill="1" applyBorder="1" applyAlignment="1" applyProtection="1">
      <alignment horizontal="center"/>
      <protection locked="0"/>
    </xf>
    <xf numFmtId="0" fontId="163" fillId="44" borderId="3" xfId="8733" applyFont="1" applyFill="1" applyBorder="1" applyAlignment="1">
      <alignment horizontal="center"/>
    </xf>
    <xf numFmtId="0" fontId="163" fillId="44" borderId="4" xfId="8733" applyFont="1" applyFill="1" applyBorder="1" applyAlignment="1">
      <alignment horizontal="center"/>
    </xf>
    <xf numFmtId="0" fontId="163" fillId="44" borderId="5" xfId="8733" applyFont="1" applyFill="1" applyBorder="1" applyAlignment="1">
      <alignment horizontal="center"/>
    </xf>
    <xf numFmtId="9" fontId="164" fillId="44" borderId="3" xfId="8733" applyNumberFormat="1" applyFont="1" applyFill="1" applyBorder="1" applyAlignment="1">
      <alignment horizontal="center"/>
    </xf>
    <xf numFmtId="9" fontId="164" fillId="44" borderId="4" xfId="8733" applyNumberFormat="1" applyFont="1" applyFill="1" applyBorder="1" applyAlignment="1">
      <alignment horizontal="center"/>
    </xf>
    <xf numFmtId="9" fontId="164" fillId="44" borderId="81" xfId="8733" applyNumberFormat="1" applyFont="1" applyFill="1" applyBorder="1" applyAlignment="1">
      <alignment horizontal="center"/>
    </xf>
    <xf numFmtId="0" fontId="163" fillId="48" borderId="3" xfId="8733" applyFont="1" applyFill="1" applyBorder="1" applyAlignment="1" applyProtection="1">
      <alignment horizontal="center"/>
      <protection locked="0"/>
    </xf>
    <xf numFmtId="0" fontId="163" fillId="48" borderId="4" xfId="8733" applyFont="1" applyFill="1" applyBorder="1" applyAlignment="1" applyProtection="1">
      <alignment horizontal="center"/>
      <protection locked="0"/>
    </xf>
    <xf numFmtId="0" fontId="163" fillId="48" borderId="5" xfId="8733" applyFont="1" applyFill="1" applyBorder="1" applyAlignment="1" applyProtection="1">
      <alignment horizontal="center"/>
      <protection locked="0"/>
    </xf>
    <xf numFmtId="0" fontId="164" fillId="44" borderId="87" xfId="8733" applyFont="1" applyFill="1" applyBorder="1" applyAlignment="1">
      <alignment horizontal="center"/>
    </xf>
    <xf numFmtId="0" fontId="164" fillId="44" borderId="86" xfId="8733" applyFont="1" applyFill="1" applyBorder="1" applyAlignment="1">
      <alignment horizontal="center"/>
    </xf>
    <xf numFmtId="0" fontId="164" fillId="44" borderId="95" xfId="8733" applyFont="1" applyFill="1" applyBorder="1" applyAlignment="1">
      <alignment horizontal="center"/>
    </xf>
    <xf numFmtId="0" fontId="163" fillId="44" borderId="94" xfId="8733" applyFont="1" applyFill="1" applyBorder="1" applyAlignment="1">
      <alignment horizontal="center"/>
    </xf>
    <xf numFmtId="0" fontId="163" fillId="44" borderId="86" xfId="8733" applyFont="1" applyFill="1" applyBorder="1" applyAlignment="1">
      <alignment horizontal="center"/>
    </xf>
    <xf numFmtId="0" fontId="163" fillId="44" borderId="95" xfId="8733" applyFont="1" applyFill="1" applyBorder="1" applyAlignment="1">
      <alignment horizontal="center"/>
    </xf>
    <xf numFmtId="9" fontId="164" fillId="44" borderId="94" xfId="8733" applyNumberFormat="1" applyFont="1" applyFill="1" applyBorder="1" applyAlignment="1">
      <alignment horizontal="center"/>
    </xf>
    <xf numFmtId="9" fontId="164" fillId="44" borderId="86" xfId="8733" applyNumberFormat="1" applyFont="1" applyFill="1" applyBorder="1" applyAlignment="1">
      <alignment horizontal="center"/>
    </xf>
    <xf numFmtId="9" fontId="164" fillId="44" borderId="85" xfId="8733" applyNumberFormat="1" applyFont="1" applyFill="1" applyBorder="1" applyAlignment="1">
      <alignment horizontal="center"/>
    </xf>
    <xf numFmtId="0" fontId="164" fillId="44" borderId="101" xfId="8733" applyFont="1" applyFill="1" applyBorder="1" applyAlignment="1">
      <alignment horizontal="center"/>
    </xf>
    <xf numFmtId="0" fontId="164" fillId="44" borderId="42" xfId="8733" applyFont="1" applyFill="1" applyBorder="1" applyAlignment="1">
      <alignment horizontal="center"/>
    </xf>
    <xf numFmtId="0" fontId="164" fillId="44" borderId="96" xfId="8733" applyFont="1" applyFill="1" applyBorder="1" applyAlignment="1">
      <alignment horizontal="center"/>
    </xf>
    <xf numFmtId="9" fontId="164" fillId="44" borderId="101" xfId="1022" applyFont="1" applyFill="1" applyBorder="1" applyAlignment="1">
      <alignment horizontal="center"/>
    </xf>
    <xf numFmtId="9" fontId="164" fillId="44" borderId="42" xfId="1022" applyFont="1" applyFill="1" applyBorder="1" applyAlignment="1">
      <alignment horizontal="center"/>
    </xf>
    <xf numFmtId="9" fontId="164" fillId="44" borderId="44" xfId="1022" applyFont="1" applyFill="1" applyBorder="1" applyAlignment="1">
      <alignment horizontal="center"/>
    </xf>
    <xf numFmtId="0" fontId="157" fillId="45" borderId="80" xfId="8733" applyFont="1" applyFill="1" applyBorder="1" applyAlignment="1">
      <alignment horizontal="center"/>
    </xf>
    <xf numFmtId="0" fontId="157" fillId="45" borderId="79" xfId="8733" applyFont="1" applyFill="1" applyBorder="1" applyAlignment="1">
      <alignment horizontal="center"/>
    </xf>
    <xf numFmtId="0" fontId="157" fillId="45" borderId="78" xfId="8733" applyFont="1" applyFill="1" applyBorder="1" applyAlignment="1">
      <alignment horizontal="center"/>
    </xf>
    <xf numFmtId="0" fontId="156" fillId="45" borderId="98" xfId="8733" applyFont="1" applyFill="1" applyBorder="1" applyAlignment="1">
      <alignment horizontal="center" vertical="center" wrapText="1"/>
    </xf>
    <xf numFmtId="0" fontId="156" fillId="45" borderId="13" xfId="8733" applyFont="1" applyFill="1" applyBorder="1" applyAlignment="1">
      <alignment horizontal="center" vertical="center"/>
    </xf>
    <xf numFmtId="0" fontId="156" fillId="45" borderId="72" xfId="8733" applyFont="1" applyFill="1" applyBorder="1" applyAlignment="1">
      <alignment horizontal="center" vertical="center"/>
    </xf>
    <xf numFmtId="0" fontId="156" fillId="45" borderId="114" xfId="8733" applyFont="1" applyFill="1" applyBorder="1" applyAlignment="1">
      <alignment horizontal="center" vertical="center"/>
    </xf>
    <xf numFmtId="0" fontId="164" fillId="45" borderId="13"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114" xfId="8733" applyFont="1" applyFill="1" applyBorder="1" applyAlignment="1">
      <alignment horizontal="center" vertical="center"/>
    </xf>
    <xf numFmtId="0" fontId="164" fillId="45" borderId="9" xfId="8733" applyFont="1" applyFill="1" applyBorder="1" applyAlignment="1">
      <alignment horizontal="center" vertical="center"/>
    </xf>
    <xf numFmtId="0" fontId="164" fillId="45" borderId="3" xfId="8733" applyFont="1" applyFill="1" applyBorder="1" applyAlignment="1">
      <alignment horizontal="center" vertical="center"/>
    </xf>
    <xf numFmtId="0" fontId="156" fillId="45" borderId="80" xfId="8733" applyFont="1" applyFill="1" applyBorder="1" applyAlignment="1">
      <alignment horizontal="center"/>
    </xf>
    <xf numFmtId="0" fontId="156" fillId="45" borderId="79" xfId="8733" applyFont="1" applyFill="1" applyBorder="1" applyAlignment="1">
      <alignment horizontal="center"/>
    </xf>
    <xf numFmtId="0" fontId="156" fillId="45" borderId="78" xfId="8733" applyFont="1" applyFill="1" applyBorder="1" applyAlignment="1">
      <alignment horizontal="center"/>
    </xf>
    <xf numFmtId="0" fontId="156" fillId="45" borderId="65" xfId="8733" applyFont="1" applyFill="1" applyBorder="1" applyAlignment="1">
      <alignment horizontal="center" vertical="center" wrapText="1"/>
    </xf>
    <xf numFmtId="0" fontId="156" fillId="45" borderId="29" xfId="8733" applyFont="1" applyFill="1" applyBorder="1" applyAlignment="1">
      <alignment horizontal="center" vertical="center" wrapText="1"/>
    </xf>
    <xf numFmtId="0" fontId="156" fillId="45" borderId="31" xfId="8733" applyFont="1" applyFill="1" applyBorder="1" applyAlignment="1">
      <alignment horizontal="center" vertical="center" wrapText="1"/>
    </xf>
    <xf numFmtId="0" fontId="156" fillId="45" borderId="73" xfId="8733" applyFont="1" applyFill="1" applyBorder="1" applyAlignment="1">
      <alignment horizontal="center" vertical="center" wrapText="1"/>
    </xf>
    <xf numFmtId="0" fontId="156" fillId="45" borderId="42" xfId="8733" applyFont="1" applyFill="1" applyBorder="1" applyAlignment="1">
      <alignment horizontal="center" vertical="center" wrapText="1"/>
    </xf>
    <xf numFmtId="0" fontId="156" fillId="45" borderId="44" xfId="8733" applyFont="1" applyFill="1" applyBorder="1" applyAlignment="1">
      <alignment horizontal="center" vertical="center" wrapText="1"/>
    </xf>
    <xf numFmtId="9" fontId="164" fillId="48" borderId="13" xfId="8733" applyNumberFormat="1" applyFont="1" applyFill="1" applyBorder="1" applyAlignment="1" applyProtection="1">
      <alignment horizontal="center"/>
      <protection locked="0"/>
    </xf>
    <xf numFmtId="0" fontId="164" fillId="44" borderId="73" xfId="8733" applyFont="1" applyFill="1" applyBorder="1" applyAlignment="1">
      <alignment horizontal="center"/>
    </xf>
    <xf numFmtId="0" fontId="156" fillId="44" borderId="9" xfId="8733" applyFont="1" applyFill="1" applyBorder="1" applyAlignment="1">
      <alignment horizontal="center"/>
    </xf>
    <xf numFmtId="0" fontId="156" fillId="44" borderId="6" xfId="8733" applyFont="1" applyFill="1" applyBorder="1" applyAlignment="1">
      <alignment horizontal="center"/>
    </xf>
    <xf numFmtId="0" fontId="156" fillId="44" borderId="82" xfId="8733" applyFont="1" applyFill="1" applyBorder="1" applyAlignment="1">
      <alignment horizontal="center"/>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9" fontId="156" fillId="48" borderId="9" xfId="8733" applyNumberFormat="1" applyFont="1" applyFill="1" applyBorder="1" applyAlignment="1" applyProtection="1">
      <alignment horizontal="center"/>
      <protection locked="0"/>
    </xf>
    <xf numFmtId="9" fontId="156" fillId="48" borderId="6" xfId="8733" applyNumberFormat="1" applyFont="1" applyFill="1" applyBorder="1" applyAlignment="1" applyProtection="1">
      <alignment horizontal="center"/>
      <protection locked="0"/>
    </xf>
    <xf numFmtId="9" fontId="156" fillId="48" borderId="10" xfId="8733" applyNumberFormat="1" applyFont="1" applyFill="1" applyBorder="1" applyAlignment="1" applyProtection="1">
      <alignment horizontal="center"/>
      <protection locked="0"/>
    </xf>
    <xf numFmtId="0" fontId="156" fillId="44" borderId="10" xfId="8733" applyFont="1" applyFill="1" applyBorder="1" applyAlignment="1">
      <alignment horizontal="center"/>
    </xf>
    <xf numFmtId="1" fontId="168" fillId="48" borderId="3" xfId="8733" applyNumberFormat="1" applyFont="1" applyFill="1" applyBorder="1" applyAlignment="1" applyProtection="1">
      <alignment horizontal="center"/>
      <protection locked="0"/>
    </xf>
    <xf numFmtId="1" fontId="168" fillId="48" borderId="4" xfId="8733" applyNumberFormat="1" applyFont="1" applyFill="1" applyBorder="1" applyAlignment="1" applyProtection="1">
      <alignment horizontal="center"/>
      <protection locked="0"/>
    </xf>
    <xf numFmtId="1" fontId="168" fillId="48" borderId="5" xfId="8733" applyNumberFormat="1" applyFont="1" applyFill="1" applyBorder="1" applyAlignment="1" applyProtection="1">
      <alignment horizontal="center"/>
      <protection locked="0"/>
    </xf>
    <xf numFmtId="1" fontId="156" fillId="44" borderId="3" xfId="8733" applyNumberFormat="1" applyFont="1" applyFill="1" applyBorder="1" applyAlignment="1">
      <alignment horizontal="center"/>
    </xf>
    <xf numFmtId="1" fontId="156" fillId="44" borderId="4" xfId="8733" applyNumberFormat="1" applyFont="1" applyFill="1" applyBorder="1" applyAlignment="1">
      <alignment horizontal="center"/>
    </xf>
    <xf numFmtId="1" fontId="156" fillId="44" borderId="5" xfId="8733" applyNumberFormat="1" applyFont="1" applyFill="1" applyBorder="1" applyAlignment="1">
      <alignment horizontal="center"/>
    </xf>
    <xf numFmtId="9" fontId="156" fillId="44" borderId="3" xfId="8735" applyFont="1" applyFill="1" applyBorder="1" applyAlignment="1">
      <alignment horizontal="center"/>
    </xf>
    <xf numFmtId="9" fontId="156" fillId="44" borderId="4" xfId="8735" applyFont="1" applyFill="1" applyBorder="1" applyAlignment="1">
      <alignment horizontal="center"/>
    </xf>
    <xf numFmtId="9" fontId="156" fillId="44" borderId="81" xfId="8735" applyFont="1" applyFill="1" applyBorder="1" applyAlignment="1">
      <alignment horizontal="center"/>
    </xf>
    <xf numFmtId="0" fontId="165" fillId="48" borderId="72" xfId="8733" applyFont="1" applyFill="1" applyBorder="1" applyAlignment="1" applyProtection="1">
      <alignment horizontal="right"/>
      <protection locked="0"/>
    </xf>
    <xf numFmtId="0" fontId="165" fillId="48" borderId="114" xfId="8733" applyFont="1" applyFill="1" applyBorder="1" applyAlignment="1" applyProtection="1">
      <alignment horizontal="right"/>
      <protection locked="0"/>
    </xf>
    <xf numFmtId="0" fontId="168" fillId="48" borderId="114" xfId="8733" applyFont="1" applyFill="1" applyBorder="1" applyAlignment="1" applyProtection="1">
      <alignment horizontal="center"/>
      <protection locked="0"/>
    </xf>
    <xf numFmtId="1" fontId="168" fillId="48" borderId="114" xfId="8733" applyNumberFormat="1" applyFont="1" applyFill="1" applyBorder="1" applyAlignment="1" applyProtection="1">
      <alignment horizontal="center"/>
      <protection locked="0"/>
    </xf>
    <xf numFmtId="0" fontId="163" fillId="48" borderId="72" xfId="8733" applyFont="1" applyFill="1" applyBorder="1" applyAlignment="1" applyProtection="1">
      <alignment horizontal="right"/>
      <protection locked="0"/>
    </xf>
    <xf numFmtId="0" fontId="163" fillId="48" borderId="114" xfId="8733" applyFont="1" applyFill="1" applyBorder="1" applyAlignment="1" applyProtection="1">
      <alignment horizontal="right"/>
      <protection locked="0"/>
    </xf>
    <xf numFmtId="0" fontId="163" fillId="48" borderId="69" xfId="8733" applyFont="1" applyFill="1" applyBorder="1" applyAlignment="1" applyProtection="1">
      <alignment horizontal="right"/>
      <protection locked="0"/>
    </xf>
    <xf numFmtId="0" fontId="163" fillId="48" borderId="70" xfId="8733" applyFont="1" applyFill="1" applyBorder="1" applyAlignment="1" applyProtection="1">
      <alignment horizontal="right"/>
      <protection locked="0"/>
    </xf>
    <xf numFmtId="0" fontId="168" fillId="48" borderId="70" xfId="8733" applyFont="1" applyFill="1" applyBorder="1" applyAlignment="1" applyProtection="1">
      <alignment horizontal="center"/>
      <protection locked="0"/>
    </xf>
    <xf numFmtId="1" fontId="168" fillId="48" borderId="70" xfId="8733" applyNumberFormat="1" applyFont="1" applyFill="1" applyBorder="1" applyAlignment="1" applyProtection="1">
      <alignment horizontal="center"/>
      <protection locked="0"/>
    </xf>
    <xf numFmtId="9" fontId="156" fillId="44" borderId="94" xfId="8735" applyFont="1" applyFill="1" applyBorder="1" applyAlignment="1">
      <alignment horizontal="center"/>
    </xf>
    <xf numFmtId="9" fontId="156" fillId="44" borderId="86" xfId="8735" applyFont="1" applyFill="1" applyBorder="1" applyAlignment="1">
      <alignment horizontal="center"/>
    </xf>
    <xf numFmtId="9" fontId="156" fillId="44" borderId="85" xfId="8735" applyFont="1" applyFill="1" applyBorder="1" applyAlignment="1">
      <alignment horizontal="center"/>
    </xf>
    <xf numFmtId="1" fontId="168" fillId="48" borderId="94" xfId="8733" applyNumberFormat="1" applyFont="1" applyFill="1" applyBorder="1" applyAlignment="1" applyProtection="1">
      <alignment horizontal="center"/>
      <protection locked="0"/>
    </xf>
    <xf numFmtId="1" fontId="168" fillId="48" borderId="86" xfId="8733" applyNumberFormat="1" applyFont="1" applyFill="1" applyBorder="1" applyAlignment="1" applyProtection="1">
      <alignment horizontal="center"/>
      <protection locked="0"/>
    </xf>
    <xf numFmtId="1" fontId="168" fillId="48" borderId="95" xfId="8733" applyNumberFormat="1" applyFont="1" applyFill="1" applyBorder="1" applyAlignment="1" applyProtection="1">
      <alignment horizontal="center"/>
      <protection locked="0"/>
    </xf>
    <xf numFmtId="0" fontId="157" fillId="45" borderId="67" xfId="8733" applyFont="1" applyFill="1" applyBorder="1" applyAlignment="1">
      <alignment horizontal="center"/>
    </xf>
    <xf numFmtId="0" fontId="157" fillId="45" borderId="68" xfId="8733" applyFont="1" applyFill="1" applyBorder="1" applyAlignment="1">
      <alignment horizontal="center"/>
    </xf>
    <xf numFmtId="0" fontId="157" fillId="45" borderId="71" xfId="8733" applyFont="1" applyFill="1" applyBorder="1" applyAlignment="1">
      <alignment horizontal="center"/>
    </xf>
    <xf numFmtId="0" fontId="164" fillId="45" borderId="72" xfId="8733" applyFont="1" applyFill="1" applyBorder="1" applyAlignment="1">
      <alignment horizontal="center"/>
    </xf>
    <xf numFmtId="0" fontId="164" fillId="45" borderId="114" xfId="8733" applyFont="1" applyFill="1" applyBorder="1" applyAlignment="1">
      <alignment horizontal="center"/>
    </xf>
    <xf numFmtId="0" fontId="156" fillId="45" borderId="114" xfId="8733" applyFont="1" applyFill="1" applyBorder="1" applyAlignment="1">
      <alignment horizontal="center" vertical="center" wrapText="1"/>
    </xf>
    <xf numFmtId="0" fontId="156" fillId="45" borderId="76" xfId="8733" applyFont="1" applyFill="1" applyBorder="1" applyAlignment="1">
      <alignment horizontal="center" vertical="center" wrapText="1"/>
    </xf>
    <xf numFmtId="0" fontId="163" fillId="48" borderId="114" xfId="8733" applyFont="1" applyFill="1" applyBorder="1" applyAlignment="1" applyProtection="1">
      <alignment horizontal="center"/>
      <protection locked="0"/>
    </xf>
    <xf numFmtId="168" fontId="163" fillId="48" borderId="114" xfId="8734" applyNumberFormat="1" applyFont="1" applyFill="1" applyBorder="1" applyAlignment="1" applyProtection="1">
      <alignment horizontal="center"/>
      <protection locked="0"/>
    </xf>
    <xf numFmtId="1" fontId="163" fillId="48" borderId="114" xfId="8733" applyNumberFormat="1" applyFont="1" applyFill="1" applyBorder="1" applyAlignment="1" applyProtection="1">
      <alignment horizontal="center"/>
      <protection locked="0"/>
    </xf>
    <xf numFmtId="0" fontId="163" fillId="48" borderId="114" xfId="700" applyNumberFormat="1" applyFont="1" applyFill="1" applyBorder="1" applyAlignment="1" applyProtection="1">
      <alignment horizontal="left"/>
      <protection locked="0"/>
    </xf>
    <xf numFmtId="0" fontId="163" fillId="48" borderId="76" xfId="700" applyNumberFormat="1" applyFont="1" applyFill="1" applyBorder="1" applyAlignment="1" applyProtection="1">
      <alignment horizontal="left"/>
      <protection locked="0"/>
    </xf>
    <xf numFmtId="0" fontId="157" fillId="45" borderId="65" xfId="8733" applyFont="1" applyFill="1" applyBorder="1" applyAlignment="1">
      <alignment horizontal="center"/>
    </xf>
    <xf numFmtId="0" fontId="157" fillId="45" borderId="29" xfId="8733" applyFont="1" applyFill="1" applyBorder="1" applyAlignment="1">
      <alignment horizontal="center"/>
    </xf>
    <xf numFmtId="0" fontId="157" fillId="45" borderId="31" xfId="8733" applyFont="1" applyFill="1" applyBorder="1" applyAlignment="1">
      <alignment horizontal="center"/>
    </xf>
    <xf numFmtId="0" fontId="163" fillId="44" borderId="72" xfId="8733" applyFont="1" applyFill="1" applyBorder="1" applyAlignment="1" applyProtection="1">
      <alignment horizontal="right"/>
      <protection locked="0"/>
    </xf>
    <xf numFmtId="0" fontId="163" fillId="44" borderId="114" xfId="8733" applyFont="1" applyFill="1" applyBorder="1" applyAlignment="1" applyProtection="1">
      <alignment horizontal="right"/>
      <protection locked="0"/>
    </xf>
    <xf numFmtId="0" fontId="163" fillId="44" borderId="76" xfId="8733" applyFont="1" applyFill="1" applyBorder="1" applyAlignment="1" applyProtection="1">
      <alignment horizontal="right"/>
      <protection locked="0"/>
    </xf>
    <xf numFmtId="0" fontId="163" fillId="48" borderId="5" xfId="8733" applyFont="1" applyFill="1" applyBorder="1" applyAlignment="1" applyProtection="1">
      <alignment horizontal="left"/>
      <protection locked="0"/>
    </xf>
    <xf numFmtId="0" fontId="163" fillId="48" borderId="114" xfId="8733" applyFont="1" applyFill="1" applyBorder="1" applyAlignment="1" applyProtection="1">
      <alignment horizontal="left"/>
      <protection locked="0"/>
    </xf>
    <xf numFmtId="0" fontId="163" fillId="48" borderId="76" xfId="8733" applyFont="1" applyFill="1" applyBorder="1" applyAlignment="1" applyProtection="1">
      <alignment horizontal="left"/>
      <protection locked="0"/>
    </xf>
    <xf numFmtId="0" fontId="164" fillId="45" borderId="69" xfId="8733" applyFont="1" applyFill="1" applyBorder="1" applyAlignment="1">
      <alignment horizontal="center"/>
    </xf>
    <xf numFmtId="0" fontId="164" fillId="45" borderId="70" xfId="8733" applyFont="1" applyFill="1" applyBorder="1" applyAlignment="1">
      <alignment horizontal="center"/>
    </xf>
    <xf numFmtId="168" fontId="164" fillId="45" borderId="70" xfId="8734" applyNumberFormat="1" applyFont="1" applyFill="1" applyBorder="1" applyAlignment="1">
      <alignment horizontal="center"/>
    </xf>
    <xf numFmtId="1" fontId="164" fillId="45" borderId="70" xfId="8734" applyNumberFormat="1" applyFont="1" applyFill="1" applyBorder="1" applyAlignment="1">
      <alignment horizontal="center"/>
    </xf>
    <xf numFmtId="0" fontId="164" fillId="45" borderId="70" xfId="8734" applyNumberFormat="1" applyFont="1" applyFill="1" applyBorder="1" applyAlignment="1">
      <alignment horizontal="center"/>
    </xf>
    <xf numFmtId="0" fontId="164" fillId="45" borderId="77" xfId="8734" applyNumberFormat="1" applyFont="1" applyFill="1" applyBorder="1" applyAlignment="1">
      <alignment horizontal="center"/>
    </xf>
    <xf numFmtId="0" fontId="160" fillId="48" borderId="74" xfId="8733" applyFont="1" applyFill="1" applyBorder="1" applyAlignment="1" applyProtection="1">
      <alignment horizontal="left"/>
      <protection locked="0"/>
    </xf>
    <xf numFmtId="0" fontId="160" fillId="48" borderId="68" xfId="8733" applyFont="1" applyFill="1" applyBorder="1" applyAlignment="1" applyProtection="1">
      <alignment horizontal="left"/>
      <protection locked="0"/>
    </xf>
    <xf numFmtId="0" fontId="160" fillId="48" borderId="71" xfId="8733" applyFont="1" applyFill="1" applyBorder="1" applyAlignment="1" applyProtection="1">
      <alignment horizontal="left"/>
      <protection locked="0"/>
    </xf>
    <xf numFmtId="0" fontId="157" fillId="45" borderId="72" xfId="8733" applyFont="1" applyFill="1" applyBorder="1" applyAlignment="1">
      <alignment horizontal="center"/>
    </xf>
    <xf numFmtId="0" fontId="157" fillId="45" borderId="114" xfId="8733" applyFont="1" applyFill="1" applyBorder="1" applyAlignment="1">
      <alignment horizontal="center"/>
    </xf>
    <xf numFmtId="0" fontId="157" fillId="45" borderId="3" xfId="8733" applyFont="1" applyFill="1" applyBorder="1" applyAlignment="1">
      <alignment horizontal="center"/>
    </xf>
    <xf numFmtId="0" fontId="157" fillId="45" borderId="4" xfId="8733" applyFont="1" applyFill="1" applyBorder="1" applyAlignment="1">
      <alignment horizontal="center"/>
    </xf>
    <xf numFmtId="0" fontId="157" fillId="45" borderId="81" xfId="8733" applyFont="1" applyFill="1" applyBorder="1" applyAlignment="1">
      <alignment horizontal="center"/>
    </xf>
    <xf numFmtId="0" fontId="93" fillId="45" borderId="69" xfId="8733" applyFont="1" applyFill="1" applyBorder="1" applyAlignment="1">
      <alignment horizontal="center"/>
    </xf>
    <xf numFmtId="0" fontId="93" fillId="45" borderId="70" xfId="8733" applyFont="1" applyFill="1" applyBorder="1" applyAlignment="1">
      <alignment horizontal="center"/>
    </xf>
    <xf numFmtId="0" fontId="163" fillId="44" borderId="69" xfId="8733" applyFont="1" applyFill="1" applyBorder="1" applyAlignment="1" applyProtection="1">
      <alignment horizontal="right"/>
      <protection locked="0"/>
    </xf>
    <xf numFmtId="0" fontId="163" fillId="44" borderId="70" xfId="8733" applyFont="1" applyFill="1" applyBorder="1" applyAlignment="1" applyProtection="1">
      <alignment horizontal="right"/>
      <protection locked="0"/>
    </xf>
    <xf numFmtId="0" fontId="163" fillId="44" borderId="77" xfId="8733" applyFont="1" applyFill="1" applyBorder="1" applyAlignment="1" applyProtection="1">
      <alignment horizontal="right"/>
      <protection locked="0"/>
    </xf>
    <xf numFmtId="0" fontId="163" fillId="48" borderId="95" xfId="8733" applyFont="1" applyFill="1" applyBorder="1" applyAlignment="1" applyProtection="1">
      <alignment horizontal="left"/>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5" fillId="48" borderId="114" xfId="700" applyNumberFormat="1" applyFont="1" applyFill="1" applyBorder="1" applyAlignment="1" applyProtection="1">
      <alignment horizontal="left"/>
      <protection locked="0"/>
    </xf>
    <xf numFmtId="168" fontId="165" fillId="48" borderId="76" xfId="700" applyNumberFormat="1" applyFont="1" applyFill="1" applyBorder="1" applyAlignment="1" applyProtection="1">
      <alignment horizontal="left"/>
      <protection locked="0"/>
    </xf>
    <xf numFmtId="0" fontId="163" fillId="48" borderId="68" xfId="8733" applyFont="1" applyFill="1" applyBorder="1" applyAlignment="1" applyProtection="1">
      <alignment horizontal="left"/>
      <protection locked="0"/>
    </xf>
    <xf numFmtId="0" fontId="163" fillId="48" borderId="71" xfId="8733" applyFont="1" applyFill="1" applyBorder="1" applyAlignment="1" applyProtection="1">
      <alignment horizontal="left"/>
      <protection locked="0"/>
    </xf>
    <xf numFmtId="0" fontId="157" fillId="45" borderId="69" xfId="8733" applyFont="1" applyFill="1" applyBorder="1" applyAlignment="1">
      <alignment horizontal="center"/>
    </xf>
    <xf numFmtId="0" fontId="157" fillId="45" borderId="70" xfId="8733" applyFont="1" applyFill="1" applyBorder="1" applyAlignment="1">
      <alignment horizontal="center"/>
    </xf>
    <xf numFmtId="0" fontId="93" fillId="45" borderId="67" xfId="8733" applyFont="1" applyFill="1" applyBorder="1" applyAlignment="1">
      <alignment horizontal="center"/>
    </xf>
    <xf numFmtId="0" fontId="93" fillId="45" borderId="68" xfId="8733" applyFont="1" applyFill="1" applyBorder="1" applyAlignment="1">
      <alignment horizontal="center"/>
    </xf>
    <xf numFmtId="0" fontId="3" fillId="48" borderId="9" xfId="8733" applyFill="1" applyBorder="1" applyAlignment="1" applyProtection="1">
      <alignment horizontal="center"/>
      <protection locked="0"/>
    </xf>
    <xf numFmtId="0" fontId="3" fillId="48" borderId="6" xfId="8733" applyFill="1" applyBorder="1" applyAlignment="1" applyProtection="1">
      <alignment horizontal="center"/>
      <protection locked="0"/>
    </xf>
    <xf numFmtId="0" fontId="3" fillId="48" borderId="82" xfId="8733" applyFill="1" applyBorder="1" applyAlignment="1" applyProtection="1">
      <alignment horizontal="center"/>
      <protection locked="0"/>
    </xf>
    <xf numFmtId="0" fontId="164" fillId="45" borderId="97" xfId="8733" applyFont="1" applyFill="1" applyBorder="1" applyAlignment="1">
      <alignment horizontal="left"/>
    </xf>
    <xf numFmtId="0" fontId="164" fillId="45" borderId="2" xfId="8733" applyFont="1" applyFill="1" applyBorder="1" applyAlignment="1">
      <alignment horizontal="left"/>
    </xf>
    <xf numFmtId="10" fontId="3" fillId="0" borderId="94" xfId="8733" applyNumberFormat="1" applyBorder="1" applyAlignment="1">
      <alignment horizontal="center"/>
    </xf>
    <xf numFmtId="10" fontId="3" fillId="0" borderId="86" xfId="8733" applyNumberFormat="1" applyBorder="1" applyAlignment="1">
      <alignment horizontal="center"/>
    </xf>
    <xf numFmtId="10" fontId="3" fillId="0" borderId="85" xfId="8733" applyNumberFormat="1" applyBorder="1" applyAlignment="1">
      <alignment horizontal="center"/>
    </xf>
    <xf numFmtId="0" fontId="164" fillId="45" borderId="73" xfId="8733" applyFont="1" applyFill="1" applyBorder="1" applyAlignment="1">
      <alignment horizontal="left"/>
    </xf>
    <xf numFmtId="0" fontId="164" fillId="45" borderId="42" xfId="8733" applyFont="1" applyFill="1" applyBorder="1" applyAlignment="1">
      <alignment horizontal="left"/>
    </xf>
    <xf numFmtId="10" fontId="3" fillId="48" borderId="94" xfId="8733" applyNumberFormat="1" applyFill="1" applyBorder="1" applyAlignment="1" applyProtection="1">
      <alignment horizontal="center"/>
      <protection locked="0"/>
    </xf>
    <xf numFmtId="10" fontId="3" fillId="48" borderId="86" xfId="8733" applyNumberFormat="1" applyFill="1" applyBorder="1" applyAlignment="1" applyProtection="1">
      <alignment horizontal="center"/>
      <protection locked="0"/>
    </xf>
    <xf numFmtId="10" fontId="3" fillId="48" borderId="85" xfId="8733" applyNumberFormat="1" applyFill="1" applyBorder="1" applyAlignment="1" applyProtection="1">
      <alignment horizontal="center"/>
      <protection locked="0"/>
    </xf>
    <xf numFmtId="0" fontId="93" fillId="45" borderId="67" xfId="8733" applyFont="1" applyFill="1" applyBorder="1" applyAlignment="1">
      <alignment horizontal="center" wrapText="1"/>
    </xf>
    <xf numFmtId="0" fontId="93" fillId="45" borderId="68" xfId="8733" applyFont="1" applyFill="1" applyBorder="1" applyAlignment="1">
      <alignment horizontal="center" wrapText="1"/>
    </xf>
    <xf numFmtId="0" fontId="93" fillId="45" borderId="71" xfId="8733" applyFont="1" applyFill="1" applyBorder="1" applyAlignment="1">
      <alignment horizontal="center" wrapText="1"/>
    </xf>
    <xf numFmtId="0" fontId="157" fillId="45" borderId="98" xfId="8733" applyFont="1" applyFill="1" applyBorder="1" applyAlignment="1">
      <alignment horizontal="center"/>
    </xf>
    <xf numFmtId="0" fontId="157" fillId="45" borderId="13" xfId="8733" applyFont="1" applyFill="1" applyBorder="1" applyAlignment="1">
      <alignment horizontal="center"/>
    </xf>
    <xf numFmtId="0" fontId="163" fillId="48" borderId="72" xfId="8733" applyFont="1" applyFill="1" applyBorder="1" applyAlignment="1" applyProtection="1">
      <alignment horizontal="left" vertical="top"/>
      <protection locked="0"/>
    </xf>
    <xf numFmtId="0" fontId="163" fillId="48" borderId="114"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63" fillId="48" borderId="72" xfId="8733" applyFont="1" applyFill="1" applyBorder="1" applyAlignment="1" applyProtection="1">
      <alignment horizontal="center"/>
      <protection locked="0"/>
    </xf>
    <xf numFmtId="0" fontId="157" fillId="45" borderId="89" xfId="8733" applyFont="1" applyFill="1" applyBorder="1" applyAlignment="1">
      <alignment horizontal="right"/>
    </xf>
    <xf numFmtId="0" fontId="157" fillId="45" borderId="43" xfId="8733" applyFont="1" applyFill="1" applyBorder="1" applyAlignment="1">
      <alignment horizontal="right"/>
    </xf>
    <xf numFmtId="168" fontId="157" fillId="45" borderId="43" xfId="8733" applyNumberFormat="1" applyFont="1" applyFill="1" applyBorder="1" applyAlignment="1">
      <alignment horizontal="left"/>
    </xf>
    <xf numFmtId="168" fontId="157" fillId="45" borderId="88" xfId="8733" applyNumberFormat="1" applyFont="1" applyFill="1" applyBorder="1" applyAlignment="1">
      <alignment horizontal="left"/>
    </xf>
    <xf numFmtId="0" fontId="3" fillId="48" borderId="114" xfId="8733" applyFill="1" applyBorder="1" applyAlignment="1" applyProtection="1">
      <alignment horizontal="center"/>
      <protection locked="0"/>
    </xf>
    <xf numFmtId="0" fontId="3" fillId="48" borderId="76" xfId="8733" applyFill="1" applyBorder="1" applyAlignment="1" applyProtection="1">
      <alignment horizontal="center"/>
      <protection locked="0"/>
    </xf>
    <xf numFmtId="0" fontId="93" fillId="45" borderId="67" xfId="8733" applyFont="1" applyFill="1" applyBorder="1" applyAlignment="1">
      <alignment horizontal="left" wrapText="1"/>
    </xf>
    <xf numFmtId="0" fontId="93" fillId="45" borderId="68" xfId="8733" applyFont="1" applyFill="1" applyBorder="1" applyAlignment="1">
      <alignment horizontal="left" wrapText="1"/>
    </xf>
    <xf numFmtId="0" fontId="93" fillId="45" borderId="72" xfId="8733" applyFont="1" applyFill="1" applyBorder="1" applyAlignment="1">
      <alignment horizontal="left" wrapText="1"/>
    </xf>
    <xf numFmtId="0" fontId="93" fillId="45" borderId="114" xfId="8733" applyFont="1" applyFill="1" applyBorder="1" applyAlignment="1">
      <alignment horizontal="left" wrapText="1"/>
    </xf>
    <xf numFmtId="0" fontId="160" fillId="48" borderId="68" xfId="8733" applyFont="1" applyFill="1" applyBorder="1" applyAlignment="1" applyProtection="1">
      <alignment horizontal="left" wrapText="1"/>
      <protection locked="0"/>
    </xf>
    <xf numFmtId="0" fontId="160" fillId="48" borderId="71" xfId="8733" applyFont="1" applyFill="1" applyBorder="1" applyAlignment="1" applyProtection="1">
      <alignment horizontal="left" wrapText="1"/>
      <protection locked="0"/>
    </xf>
    <xf numFmtId="0" fontId="160" fillId="48" borderId="114" xfId="8733" applyFont="1" applyFill="1" applyBorder="1" applyAlignment="1" applyProtection="1">
      <alignment horizontal="left" wrapText="1"/>
      <protection locked="0"/>
    </xf>
    <xf numFmtId="0" fontId="160" fillId="48" borderId="76" xfId="8733" applyFont="1" applyFill="1" applyBorder="1" applyAlignment="1" applyProtection="1">
      <alignment horizontal="left" wrapText="1"/>
      <protection locked="0"/>
    </xf>
    <xf numFmtId="0" fontId="164" fillId="45" borderId="114" xfId="8733" applyFont="1" applyFill="1" applyBorder="1" applyAlignment="1">
      <alignment horizontal="center" wrapText="1"/>
    </xf>
    <xf numFmtId="0" fontId="156" fillId="45" borderId="114" xfId="8733" applyFont="1" applyFill="1" applyBorder="1" applyAlignment="1">
      <alignment horizontal="center"/>
    </xf>
    <xf numFmtId="0" fontId="156" fillId="45" borderId="76" xfId="8733" applyFont="1" applyFill="1" applyBorder="1" applyAlignment="1">
      <alignment horizontal="center"/>
    </xf>
    <xf numFmtId="0" fontId="164" fillId="45" borderId="7" xfId="8733" applyFont="1" applyFill="1" applyBorder="1" applyAlignment="1">
      <alignment horizontal="left"/>
    </xf>
    <xf numFmtId="0" fontId="164" fillId="45" borderId="96" xfId="8733" applyFont="1" applyFill="1" applyBorder="1" applyAlignment="1">
      <alignment horizontal="left"/>
    </xf>
    <xf numFmtId="0" fontId="3" fillId="48" borderId="70" xfId="8733" applyFill="1" applyBorder="1" applyAlignment="1" applyProtection="1">
      <alignment horizontal="center"/>
      <protection locked="0"/>
    </xf>
    <xf numFmtId="0" fontId="3" fillId="48" borderId="77" xfId="8733" applyFill="1" applyBorder="1" applyAlignment="1" applyProtection="1">
      <alignment horizontal="center"/>
      <protection locked="0"/>
    </xf>
    <xf numFmtId="0" fontId="160" fillId="48" borderId="3" xfId="8733" applyFont="1" applyFill="1" applyBorder="1" applyAlignment="1" applyProtection="1">
      <alignment horizontal="center"/>
      <protection locked="0"/>
    </xf>
    <xf numFmtId="0" fontId="160" fillId="48" borderId="4" xfId="8733" applyFont="1" applyFill="1" applyBorder="1" applyAlignment="1" applyProtection="1">
      <alignment horizontal="center"/>
      <protection locked="0"/>
    </xf>
    <xf numFmtId="0" fontId="160" fillId="48" borderId="81" xfId="8733" applyFont="1" applyFill="1" applyBorder="1" applyAlignment="1" applyProtection="1">
      <alignment horizontal="center"/>
      <protection locked="0"/>
    </xf>
    <xf numFmtId="0" fontId="93" fillId="45" borderId="71" xfId="8733" applyFont="1" applyFill="1" applyBorder="1" applyAlignment="1">
      <alignment horizontal="center"/>
    </xf>
    <xf numFmtId="0" fontId="170" fillId="45" borderId="114" xfId="8733" applyFont="1" applyFill="1" applyBorder="1" applyAlignment="1">
      <alignment horizontal="left"/>
    </xf>
    <xf numFmtId="0" fontId="170" fillId="45" borderId="76" xfId="8733" applyFont="1" applyFill="1" applyBorder="1" applyAlignment="1">
      <alignment horizontal="left"/>
    </xf>
    <xf numFmtId="0" fontId="167" fillId="45" borderId="72" xfId="8733" applyFont="1" applyFill="1" applyBorder="1" applyAlignment="1">
      <alignment horizontal="left"/>
    </xf>
    <xf numFmtId="0" fontId="167" fillId="45" borderId="114" xfId="8733" applyFont="1" applyFill="1" applyBorder="1" applyAlignment="1">
      <alignment horizontal="left"/>
    </xf>
    <xf numFmtId="0" fontId="167" fillId="45" borderId="69" xfId="8733" applyFont="1" applyFill="1" applyBorder="1" applyAlignment="1">
      <alignment horizontal="left"/>
    </xf>
    <xf numFmtId="0" fontId="167" fillId="45" borderId="70" xfId="8733" applyFont="1" applyFill="1" applyBorder="1" applyAlignment="1">
      <alignment horizontal="left"/>
    </xf>
    <xf numFmtId="0" fontId="3" fillId="51" borderId="70" xfId="8733" applyFill="1" applyBorder="1" applyAlignment="1" applyProtection="1">
      <alignment horizontal="center"/>
      <protection locked="0"/>
    </xf>
    <xf numFmtId="0" fontId="3" fillId="51" borderId="77" xfId="8733" applyFill="1" applyBorder="1" applyAlignment="1" applyProtection="1">
      <alignment horizontal="center"/>
      <protection locked="0"/>
    </xf>
    <xf numFmtId="0" fontId="93" fillId="45" borderId="67" xfId="8733" applyFont="1" applyFill="1" applyBorder="1" applyAlignment="1" applyProtection="1">
      <alignment horizontal="left" vertical="center" wrapText="1"/>
      <protection locked="0"/>
    </xf>
    <xf numFmtId="0" fontId="93" fillId="45" borderId="68" xfId="8733" applyFont="1" applyFill="1" applyBorder="1" applyAlignment="1" applyProtection="1">
      <alignment horizontal="left" vertical="center" wrapText="1"/>
      <protection locked="0"/>
    </xf>
    <xf numFmtId="0" fontId="93" fillId="45" borderId="72" xfId="8733" applyFont="1" applyFill="1" applyBorder="1" applyAlignment="1" applyProtection="1">
      <alignment horizontal="left" vertical="center" wrapText="1"/>
      <protection locked="0"/>
    </xf>
    <xf numFmtId="0" fontId="93" fillId="45" borderId="114" xfId="8733" applyFont="1" applyFill="1" applyBorder="1" applyAlignment="1" applyProtection="1">
      <alignment horizontal="left" vertical="center" wrapText="1"/>
      <protection locked="0"/>
    </xf>
    <xf numFmtId="0" fontId="160" fillId="48" borderId="68" xfId="8733" applyFont="1" applyFill="1" applyBorder="1" applyAlignment="1" applyProtection="1">
      <alignment horizontal="left" vertical="center" wrapText="1"/>
      <protection locked="0"/>
    </xf>
    <xf numFmtId="0" fontId="160" fillId="48" borderId="71" xfId="8733" applyFont="1" applyFill="1" applyBorder="1" applyAlignment="1" applyProtection="1">
      <alignment horizontal="left" vertical="center" wrapText="1"/>
      <protection locked="0"/>
    </xf>
    <xf numFmtId="0" fontId="160" fillId="48" borderId="114" xfId="8733" applyFont="1" applyFill="1" applyBorder="1" applyAlignment="1" applyProtection="1">
      <alignment horizontal="left" vertical="center" wrapText="1"/>
      <protection locked="0"/>
    </xf>
    <xf numFmtId="0" fontId="160" fillId="48" borderId="76" xfId="8733" applyFont="1" applyFill="1" applyBorder="1" applyAlignment="1" applyProtection="1">
      <alignment horizontal="left" vertical="center" wrapText="1"/>
      <protection locked="0"/>
    </xf>
    <xf numFmtId="0" fontId="163" fillId="48" borderId="72" xfId="8733" applyFont="1" applyFill="1" applyBorder="1" applyAlignment="1" applyProtection="1">
      <alignment horizontal="left" vertical="top" wrapText="1"/>
      <protection locked="0"/>
    </xf>
    <xf numFmtId="0" fontId="163" fillId="48" borderId="114" xfId="8733" applyFont="1" applyFill="1" applyBorder="1" applyAlignment="1" applyProtection="1">
      <alignment horizontal="left" vertical="top" wrapText="1"/>
      <protection locked="0"/>
    </xf>
    <xf numFmtId="0" fontId="163" fillId="48" borderId="69" xfId="8733" applyFont="1" applyFill="1" applyBorder="1" applyAlignment="1" applyProtection="1">
      <alignment horizontal="left" vertical="top" wrapText="1"/>
      <protection locked="0"/>
    </xf>
    <xf numFmtId="0" fontId="163" fillId="48" borderId="70" xfId="8733" applyFont="1" applyFill="1" applyBorder="1" applyAlignment="1" applyProtection="1">
      <alignment horizontal="left" vertical="top" wrapText="1"/>
      <protection locked="0"/>
    </xf>
    <xf numFmtId="0" fontId="160" fillId="48" borderId="114" xfId="8733" applyFont="1" applyFill="1" applyBorder="1" applyAlignment="1" applyProtection="1">
      <alignment horizontal="center" vertical="center" wrapText="1"/>
      <protection locked="0"/>
    </xf>
    <xf numFmtId="0" fontId="160" fillId="48" borderId="76" xfId="8733" applyFont="1" applyFill="1" applyBorder="1" applyAlignment="1" applyProtection="1">
      <alignment horizontal="center" vertical="center" wrapText="1"/>
      <protection locked="0"/>
    </xf>
    <xf numFmtId="0" fontId="160" fillId="48" borderId="70" xfId="8733" applyFont="1" applyFill="1" applyBorder="1" applyAlignment="1" applyProtection="1">
      <alignment horizontal="center" vertical="center" wrapText="1"/>
      <protection locked="0"/>
    </xf>
    <xf numFmtId="0" fontId="160" fillId="48" borderId="77" xfId="8733" applyFont="1" applyFill="1" applyBorder="1" applyAlignment="1" applyProtection="1">
      <alignment horizontal="center" vertical="center" wrapText="1"/>
      <protection locked="0"/>
    </xf>
    <xf numFmtId="0" fontId="93" fillId="45" borderId="71" xfId="8733" applyFont="1" applyFill="1" applyBorder="1" applyAlignment="1">
      <alignment horizontal="left" wrapText="1"/>
    </xf>
    <xf numFmtId="0" fontId="93" fillId="45" borderId="76" xfId="8733" applyFont="1" applyFill="1" applyBorder="1" applyAlignment="1">
      <alignment horizontal="left" wrapText="1"/>
    </xf>
    <xf numFmtId="0" fontId="93" fillId="45" borderId="65" xfId="8733" applyFont="1" applyFill="1" applyBorder="1" applyAlignment="1">
      <alignment horizontal="center"/>
    </xf>
    <xf numFmtId="0" fontId="93" fillId="45" borderId="29" xfId="8733" applyFont="1" applyFill="1" applyBorder="1" applyAlignment="1">
      <alignment horizontal="center"/>
    </xf>
    <xf numFmtId="0" fontId="93" fillId="45" borderId="31" xfId="8733" applyFont="1" applyFill="1" applyBorder="1" applyAlignment="1">
      <alignment horizontal="center"/>
    </xf>
    <xf numFmtId="0" fontId="156" fillId="48" borderId="90" xfId="8733" applyFont="1" applyFill="1" applyBorder="1" applyAlignment="1">
      <alignment horizontal="left"/>
    </xf>
    <xf numFmtId="0" fontId="156" fillId="48" borderId="4" xfId="8733" applyFont="1" applyFill="1" applyBorder="1" applyAlignment="1">
      <alignment horizontal="left"/>
    </xf>
    <xf numFmtId="0" fontId="156" fillId="48" borderId="5" xfId="8733" applyFont="1" applyFill="1" applyBorder="1" applyAlignment="1">
      <alignment horizontal="left"/>
    </xf>
    <xf numFmtId="0" fontId="156" fillId="45" borderId="72" xfId="8733" applyFont="1" applyFill="1" applyBorder="1" applyAlignment="1">
      <alignment horizontal="left"/>
    </xf>
    <xf numFmtId="0" fontId="156" fillId="45" borderId="114" xfId="8733" applyFont="1" applyFill="1" applyBorder="1" applyAlignment="1">
      <alignment horizontal="left"/>
    </xf>
    <xf numFmtId="0" fontId="168" fillId="48" borderId="114" xfId="8733" applyFont="1" applyFill="1" applyBorder="1" applyAlignment="1" applyProtection="1">
      <alignment horizontal="left"/>
      <protection locked="0"/>
    </xf>
    <xf numFmtId="0" fontId="168" fillId="48" borderId="76" xfId="8733" applyFont="1" applyFill="1" applyBorder="1" applyAlignment="1" applyProtection="1">
      <alignment horizontal="left"/>
      <protection locked="0"/>
    </xf>
    <xf numFmtId="0" fontId="165" fillId="48" borderId="72" xfId="8733" applyFont="1" applyFill="1" applyBorder="1" applyAlignment="1" applyProtection="1">
      <alignment horizontal="left" vertical="top"/>
      <protection locked="0"/>
    </xf>
    <xf numFmtId="0" fontId="165" fillId="48" borderId="114" xfId="8733" applyFont="1" applyFill="1" applyBorder="1" applyAlignment="1" applyProtection="1">
      <alignment horizontal="left" vertical="top"/>
      <protection locked="0"/>
    </xf>
    <xf numFmtId="0" fontId="165" fillId="48" borderId="76" xfId="8733" applyFont="1" applyFill="1" applyBorder="1" applyAlignment="1" applyProtection="1">
      <alignment horizontal="left" vertical="top"/>
      <protection locked="0"/>
    </xf>
    <xf numFmtId="0" fontId="165" fillId="48" borderId="69" xfId="8733" applyFont="1" applyFill="1" applyBorder="1" applyAlignment="1" applyProtection="1">
      <alignment horizontal="left" vertical="top"/>
      <protection locked="0"/>
    </xf>
    <xf numFmtId="0" fontId="165" fillId="48" borderId="70" xfId="8733" applyFont="1" applyFill="1" applyBorder="1" applyAlignment="1" applyProtection="1">
      <alignment horizontal="left" vertical="top"/>
      <protection locked="0"/>
    </xf>
    <xf numFmtId="0" fontId="165" fillId="48" borderId="77" xfId="8733" applyFont="1" applyFill="1" applyBorder="1" applyAlignment="1" applyProtection="1">
      <alignment horizontal="left" vertical="top"/>
      <protection locked="0"/>
    </xf>
    <xf numFmtId="0" fontId="156" fillId="45" borderId="67" xfId="8733" applyFont="1" applyFill="1" applyBorder="1" applyAlignment="1">
      <alignment horizontal="left"/>
    </xf>
    <xf numFmtId="0" fontId="156" fillId="45" borderId="68" xfId="8733" applyFont="1" applyFill="1" applyBorder="1" applyAlignment="1">
      <alignment horizontal="left"/>
    </xf>
    <xf numFmtId="0" fontId="93" fillId="45" borderId="72" xfId="8733" applyFont="1" applyFill="1" applyBorder="1" applyAlignment="1">
      <alignment horizontal="center"/>
    </xf>
    <xf numFmtId="0" fontId="93" fillId="45" borderId="114" xfId="8733" applyFont="1" applyFill="1" applyBorder="1" applyAlignment="1">
      <alignment horizontal="center"/>
    </xf>
    <xf numFmtId="0" fontId="156" fillId="45" borderId="114" xfId="8733" applyFont="1" applyFill="1" applyBorder="1" applyAlignment="1">
      <alignment horizontal="center" wrapText="1"/>
    </xf>
    <xf numFmtId="0" fontId="156" fillId="45" borderId="76" xfId="8733" applyFont="1" applyFill="1" applyBorder="1" applyAlignment="1">
      <alignment horizontal="center" wrapText="1"/>
    </xf>
    <xf numFmtId="0" fontId="162" fillId="45" borderId="72" xfId="8733" applyFont="1" applyFill="1" applyBorder="1" applyAlignment="1">
      <alignment horizontal="center"/>
    </xf>
    <xf numFmtId="0" fontId="162" fillId="45" borderId="114" xfId="8733" applyFont="1" applyFill="1" applyBorder="1" applyAlignment="1">
      <alignment horizontal="center"/>
    </xf>
    <xf numFmtId="0" fontId="165" fillId="48" borderId="114" xfId="8733" applyFont="1" applyFill="1" applyBorder="1" applyAlignment="1" applyProtection="1">
      <alignment horizontal="center"/>
      <protection locked="0"/>
    </xf>
    <xf numFmtId="14" fontId="163" fillId="48" borderId="114" xfId="8733" applyNumberFormat="1" applyFont="1" applyFill="1" applyBorder="1" applyAlignment="1" applyProtection="1">
      <alignment horizontal="center"/>
      <protection locked="0"/>
    </xf>
    <xf numFmtId="14" fontId="165" fillId="48" borderId="114" xfId="8733" applyNumberFormat="1" applyFont="1" applyFill="1" applyBorder="1" applyAlignment="1" applyProtection="1">
      <alignment horizontal="center"/>
      <protection locked="0"/>
    </xf>
    <xf numFmtId="0" fontId="93" fillId="45" borderId="76" xfId="8733" applyFont="1" applyFill="1" applyBorder="1" applyAlignment="1">
      <alignment horizontal="center"/>
    </xf>
    <xf numFmtId="168" fontId="165" fillId="48" borderId="114" xfId="8734" applyNumberFormat="1" applyFont="1" applyFill="1" applyBorder="1" applyAlignment="1" applyProtection="1">
      <alignment horizontal="center"/>
      <protection locked="0"/>
    </xf>
    <xf numFmtId="168" fontId="165" fillId="48" borderId="76" xfId="8734" applyNumberFormat="1" applyFont="1" applyFill="1" applyBorder="1" applyAlignment="1" applyProtection="1">
      <alignment horizontal="center"/>
      <protection locked="0"/>
    </xf>
    <xf numFmtId="0" fontId="166" fillId="48" borderId="114"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6" fillId="48" borderId="70" xfId="8733" applyFont="1" applyFill="1" applyBorder="1" applyAlignment="1" applyProtection="1">
      <alignment horizontal="left"/>
      <protection locked="0"/>
    </xf>
    <xf numFmtId="0" fontId="165" fillId="48" borderId="70" xfId="8733" applyFont="1" applyFill="1" applyBorder="1" applyAlignment="1" applyProtection="1">
      <alignment horizontal="center"/>
      <protection locked="0"/>
    </xf>
    <xf numFmtId="14" fontId="165" fillId="48" borderId="70" xfId="8733" applyNumberFormat="1" applyFont="1" applyFill="1" applyBorder="1" applyAlignment="1" applyProtection="1">
      <alignment horizontal="center"/>
      <protection locked="0"/>
    </xf>
    <xf numFmtId="168" fontId="165" fillId="48" borderId="70" xfId="8734" applyNumberFormat="1" applyFont="1" applyFill="1" applyBorder="1" applyAlignment="1" applyProtection="1">
      <alignment horizontal="center"/>
      <protection locked="0"/>
    </xf>
    <xf numFmtId="168" fontId="165" fillId="48" borderId="77" xfId="8734" applyNumberFormat="1" applyFont="1" applyFill="1" applyBorder="1" applyAlignment="1" applyProtection="1">
      <alignment horizontal="center"/>
      <protection locked="0"/>
    </xf>
    <xf numFmtId="0" fontId="157" fillId="45" borderId="67" xfId="8733" applyFont="1" applyFill="1" applyBorder="1" applyAlignment="1">
      <alignment horizontal="left"/>
    </xf>
    <xf numFmtId="0" fontId="157" fillId="45" borderId="68" xfId="8733" applyFont="1" applyFill="1" applyBorder="1" applyAlignment="1">
      <alignment horizontal="left"/>
    </xf>
    <xf numFmtId="0" fontId="157" fillId="45" borderId="71" xfId="8733" applyFont="1" applyFill="1" applyBorder="1" applyAlignment="1">
      <alignment horizontal="left"/>
    </xf>
    <xf numFmtId="14" fontId="163" fillId="48" borderId="76" xfId="8733" applyNumberFormat="1" applyFont="1" applyFill="1" applyBorder="1" applyAlignment="1" applyProtection="1">
      <alignment horizontal="center"/>
      <protection locked="0"/>
    </xf>
    <xf numFmtId="0" fontId="163" fillId="48" borderId="69" xfId="8733" applyFont="1" applyFill="1" applyBorder="1" applyAlignment="1" applyProtection="1">
      <alignment horizontal="center"/>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4" fontId="163" fillId="48" borderId="77" xfId="8733" applyNumberFormat="1" applyFont="1" applyFill="1" applyBorder="1" applyAlignment="1" applyProtection="1">
      <alignment horizontal="center"/>
      <protection locked="0"/>
    </xf>
    <xf numFmtId="0" fontId="163" fillId="45" borderId="72" xfId="8733" applyFont="1" applyFill="1" applyBorder="1" applyAlignment="1">
      <alignment horizontal="right"/>
    </xf>
    <xf numFmtId="0" fontId="163" fillId="45" borderId="114" xfId="8733" applyFont="1" applyFill="1" applyBorder="1" applyAlignment="1">
      <alignment horizontal="right"/>
    </xf>
    <xf numFmtId="168" fontId="165" fillId="44" borderId="114" xfId="700" applyNumberFormat="1" applyFont="1" applyFill="1" applyBorder="1" applyAlignment="1">
      <alignment horizontal="left"/>
    </xf>
    <xf numFmtId="0" fontId="93" fillId="45" borderId="65" xfId="8733" applyFont="1" applyFill="1" applyBorder="1" applyAlignment="1">
      <alignment horizontal="left" wrapText="1"/>
    </xf>
    <xf numFmtId="0" fontId="93" fillId="45" borderId="29" xfId="8733" applyFont="1" applyFill="1" applyBorder="1" applyAlignment="1">
      <alignment horizontal="left" wrapText="1"/>
    </xf>
    <xf numFmtId="0" fontId="93" fillId="45" borderId="31" xfId="8733" applyFont="1" applyFill="1" applyBorder="1" applyAlignment="1">
      <alignment horizontal="left" wrapText="1"/>
    </xf>
    <xf numFmtId="0" fontId="93" fillId="45" borderId="73" xfId="8733" applyFont="1" applyFill="1" applyBorder="1" applyAlignment="1">
      <alignment horizontal="left" wrapText="1"/>
    </xf>
    <xf numFmtId="0" fontId="93" fillId="45" borderId="42" xfId="8733" applyFont="1" applyFill="1" applyBorder="1" applyAlignment="1">
      <alignment horizontal="left" wrapText="1"/>
    </xf>
    <xf numFmtId="0" fontId="93" fillId="45" borderId="44" xfId="8733" applyFont="1" applyFill="1" applyBorder="1" applyAlignment="1">
      <alignment horizontal="left" wrapText="1"/>
    </xf>
    <xf numFmtId="168" fontId="163" fillId="48" borderId="114" xfId="700" applyNumberFormat="1" applyFont="1" applyFill="1" applyBorder="1" applyAlignment="1" applyProtection="1">
      <alignment horizontal="left"/>
      <protection locked="0"/>
    </xf>
    <xf numFmtId="43" fontId="160" fillId="50" borderId="72" xfId="698" applyFont="1" applyFill="1" applyBorder="1" applyAlignment="1" applyProtection="1">
      <alignment horizontal="left"/>
      <protection hidden="1"/>
    </xf>
    <xf numFmtId="43" fontId="160" fillId="50" borderId="114" xfId="698" applyFont="1" applyFill="1" applyBorder="1" applyAlignment="1" applyProtection="1">
      <alignment horizontal="left"/>
      <protection hidden="1"/>
    </xf>
    <xf numFmtId="44" fontId="1" fillId="48" borderId="114" xfId="700" applyFont="1" applyFill="1" applyBorder="1" applyAlignment="1" applyProtection="1">
      <alignment horizontal="center"/>
      <protection locked="0"/>
    </xf>
    <xf numFmtId="0" fontId="93" fillId="47" borderId="0" xfId="8733" applyFont="1" applyFill="1" applyAlignment="1">
      <alignment horizontal="center"/>
    </xf>
    <xf numFmtId="0" fontId="164" fillId="51" borderId="114" xfId="8733" applyFont="1" applyFill="1" applyBorder="1" applyAlignment="1">
      <alignment horizontal="center"/>
    </xf>
    <xf numFmtId="0" fontId="164" fillId="51" borderId="76" xfId="8733" applyFont="1" applyFill="1" applyBorder="1" applyAlignment="1">
      <alignment horizontal="center"/>
    </xf>
    <xf numFmtId="0" fontId="165" fillId="45" borderId="72" xfId="8733" applyFont="1" applyFill="1" applyBorder="1" applyAlignment="1">
      <alignment horizontal="right"/>
    </xf>
    <xf numFmtId="0" fontId="165" fillId="45" borderId="114" xfId="8733" applyFont="1" applyFill="1" applyBorder="1" applyAlignment="1">
      <alignment horizontal="right"/>
    </xf>
    <xf numFmtId="168" fontId="163" fillId="44" borderId="114" xfId="700" applyNumberFormat="1" applyFont="1" applyFill="1" applyBorder="1" applyAlignment="1" applyProtection="1">
      <alignment horizontal="left"/>
      <protection locked="0"/>
    </xf>
    <xf numFmtId="0" fontId="3" fillId="48" borderId="3" xfId="8733" applyFill="1" applyBorder="1" applyAlignment="1">
      <alignment horizontal="center"/>
    </xf>
    <xf numFmtId="0" fontId="3" fillId="48" borderId="4" xfId="8733" applyFill="1" applyBorder="1" applyAlignment="1">
      <alignment horizontal="center"/>
    </xf>
    <xf numFmtId="0" fontId="3" fillId="48" borderId="81" xfId="8733" applyFill="1" applyBorder="1" applyAlignment="1">
      <alignment horizontal="center"/>
    </xf>
    <xf numFmtId="43" fontId="157" fillId="50" borderId="111" xfId="698" applyFont="1" applyFill="1" applyBorder="1" applyAlignment="1" applyProtection="1">
      <alignment horizontal="center"/>
      <protection hidden="1"/>
    </xf>
    <xf numFmtId="43" fontId="157" fillId="50" borderId="84" xfId="698" applyFont="1" applyFill="1" applyBorder="1" applyAlignment="1" applyProtection="1">
      <alignment horizontal="center"/>
      <protection hidden="1"/>
    </xf>
    <xf numFmtId="43" fontId="157" fillId="50" borderId="102" xfId="698" applyFont="1" applyFill="1" applyBorder="1" applyAlignment="1" applyProtection="1">
      <alignment horizontal="center"/>
      <protection hidden="1"/>
    </xf>
    <xf numFmtId="43" fontId="160" fillId="50" borderId="98" xfId="698" applyFont="1" applyFill="1" applyBorder="1" applyAlignment="1" applyProtection="1">
      <alignment horizontal="left"/>
      <protection hidden="1"/>
    </xf>
    <xf numFmtId="43" fontId="160"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3" fillId="48" borderId="9" xfId="8733" applyFont="1" applyFill="1" applyBorder="1" applyAlignment="1">
      <alignment horizontal="center"/>
    </xf>
    <xf numFmtId="0" fontId="163" fillId="48" borderId="6" xfId="8733" applyFont="1" applyFill="1" applyBorder="1" applyAlignment="1">
      <alignment horizontal="center"/>
    </xf>
    <xf numFmtId="0" fontId="163" fillId="48" borderId="82" xfId="8733" applyFont="1" applyFill="1" applyBorder="1" applyAlignment="1">
      <alignment horizontal="center"/>
    </xf>
    <xf numFmtId="0" fontId="165" fillId="48" borderId="114" xfId="8733" applyFont="1" applyFill="1" applyBorder="1" applyAlignment="1" applyProtection="1">
      <alignment horizontal="left"/>
      <protection locked="0"/>
    </xf>
    <xf numFmtId="0" fontId="3" fillId="48" borderId="1" xfId="8733" applyFill="1" applyBorder="1" applyAlignment="1">
      <alignment horizontal="center"/>
    </xf>
    <xf numFmtId="0" fontId="3" fillId="48" borderId="2" xfId="8733" applyFill="1" applyBorder="1" applyAlignment="1">
      <alignment horizontal="center"/>
    </xf>
    <xf numFmtId="0" fontId="3" fillId="48" borderId="112" xfId="8733" applyFill="1" applyBorder="1" applyAlignment="1">
      <alignment horizontal="center"/>
    </xf>
    <xf numFmtId="0" fontId="165" fillId="48" borderId="72" xfId="8733" applyFont="1" applyFill="1" applyBorder="1" applyAlignment="1" applyProtection="1">
      <alignment horizontal="center"/>
      <protection locked="0"/>
    </xf>
    <xf numFmtId="43" fontId="160" fillId="50" borderId="72" xfId="698" applyFont="1" applyFill="1" applyBorder="1" applyAlignment="1" applyProtection="1">
      <alignment horizontal="left" wrapText="1"/>
      <protection hidden="1"/>
    </xf>
    <xf numFmtId="43" fontId="160" fillId="50" borderId="114" xfId="698" applyFont="1" applyFill="1" applyBorder="1" applyAlignment="1" applyProtection="1">
      <alignment horizontal="left" wrapText="1"/>
      <protection hidden="1"/>
    </xf>
    <xf numFmtId="44" fontId="1" fillId="48" borderId="114" xfId="700" applyFont="1" applyFill="1" applyBorder="1" applyAlignment="1" applyProtection="1">
      <alignment horizontal="center"/>
      <protection hidden="1"/>
    </xf>
    <xf numFmtId="0" fontId="165" fillId="45" borderId="67" xfId="8733" applyFont="1" applyFill="1" applyBorder="1" applyAlignment="1">
      <alignment horizontal="right"/>
    </xf>
    <xf numFmtId="0" fontId="165" fillId="45" borderId="68" xfId="8733" applyFont="1" applyFill="1" applyBorder="1" applyAlignment="1">
      <alignment horizontal="right"/>
    </xf>
    <xf numFmtId="168" fontId="160" fillId="44" borderId="68" xfId="700" applyNumberFormat="1" applyFont="1" applyFill="1" applyBorder="1" applyAlignment="1">
      <alignment horizontal="left"/>
    </xf>
    <xf numFmtId="168" fontId="160" fillId="44" borderId="71" xfId="700" applyNumberFormat="1" applyFont="1" applyFill="1" applyBorder="1" applyAlignment="1">
      <alignment horizontal="left"/>
    </xf>
    <xf numFmtId="0" fontId="162" fillId="48" borderId="66" xfId="8733" applyFont="1" applyFill="1" applyBorder="1" applyAlignment="1">
      <alignment horizontal="left" wrapText="1"/>
    </xf>
    <xf numFmtId="0" fontId="162" fillId="48" borderId="0" xfId="8733" applyFont="1" applyFill="1" applyAlignment="1">
      <alignment horizontal="left" wrapText="1"/>
    </xf>
    <xf numFmtId="0" fontId="162" fillId="48" borderId="41" xfId="8733" applyFont="1" applyFill="1" applyBorder="1" applyAlignment="1">
      <alignment horizontal="left" wrapText="1"/>
    </xf>
    <xf numFmtId="0" fontId="162" fillId="48" borderId="73" xfId="8733" applyFont="1" applyFill="1" applyBorder="1" applyAlignment="1">
      <alignment horizontal="left" wrapText="1"/>
    </xf>
    <xf numFmtId="0" fontId="162" fillId="48" borderId="42" xfId="8733" applyFont="1" applyFill="1" applyBorder="1" applyAlignment="1">
      <alignment horizontal="left" wrapText="1"/>
    </xf>
    <xf numFmtId="0" fontId="162" fillId="48" borderId="44" xfId="8733" applyFont="1" applyFill="1" applyBorder="1" applyAlignment="1">
      <alignment horizontal="left" wrapText="1"/>
    </xf>
    <xf numFmtId="0" fontId="164" fillId="45" borderId="69" xfId="8733" applyFont="1" applyFill="1" applyBorder="1" applyAlignment="1">
      <alignment horizontal="right"/>
    </xf>
    <xf numFmtId="0" fontId="164" fillId="45" borderId="70" xfId="8733" applyFont="1" applyFill="1" applyBorder="1" applyAlignment="1">
      <alignment horizontal="right"/>
    </xf>
    <xf numFmtId="0" fontId="156" fillId="44" borderId="70" xfId="700" applyNumberFormat="1" applyFont="1" applyFill="1" applyBorder="1" applyAlignment="1">
      <alignment horizontal="left"/>
    </xf>
    <xf numFmtId="168" fontId="156" fillId="44" borderId="70" xfId="700" applyNumberFormat="1" applyFont="1" applyFill="1" applyBorder="1" applyAlignment="1">
      <alignment horizontal="left"/>
    </xf>
    <xf numFmtId="168" fontId="156" fillId="44" borderId="77" xfId="700" applyNumberFormat="1" applyFont="1" applyFill="1" applyBorder="1" applyAlignment="1">
      <alignment horizontal="left"/>
    </xf>
    <xf numFmtId="0" fontId="157" fillId="47" borderId="0" xfId="8733" applyFont="1" applyFill="1" applyAlignment="1">
      <alignment horizontal="right"/>
    </xf>
    <xf numFmtId="168" fontId="161" fillId="47" borderId="0" xfId="700" applyNumberFormat="1" applyFont="1" applyFill="1" applyBorder="1" applyAlignment="1" applyProtection="1">
      <alignment horizontal="left"/>
      <protection locked="0"/>
    </xf>
    <xf numFmtId="0" fontId="163" fillId="48" borderId="87" xfId="8733" applyFont="1" applyFill="1" applyBorder="1" applyAlignment="1" applyProtection="1">
      <alignment horizontal="center"/>
      <protection locked="0"/>
    </xf>
    <xf numFmtId="0" fontId="163" fillId="48" borderId="86" xfId="8733" applyFont="1" applyFill="1" applyBorder="1" applyAlignment="1" applyProtection="1">
      <alignment horizontal="center"/>
      <protection locked="0"/>
    </xf>
    <xf numFmtId="0" fontId="165" fillId="48" borderId="70" xfId="8733" applyFont="1" applyFill="1" applyBorder="1" applyAlignment="1" applyProtection="1">
      <alignment horizontal="left"/>
      <protection locked="0"/>
    </xf>
    <xf numFmtId="0" fontId="165" fillId="48" borderId="77" xfId="8733" applyFont="1" applyFill="1" applyBorder="1" applyAlignment="1" applyProtection="1">
      <alignment horizontal="left"/>
      <protection locked="0"/>
    </xf>
    <xf numFmtId="168" fontId="163" fillId="48" borderId="86" xfId="700" applyNumberFormat="1" applyFont="1" applyFill="1" applyBorder="1" applyAlignment="1" applyProtection="1">
      <alignment horizontal="left"/>
      <protection locked="0"/>
    </xf>
    <xf numFmtId="168" fontId="163" fillId="48" borderId="85" xfId="700" applyNumberFormat="1" applyFont="1" applyFill="1" applyBorder="1" applyAlignment="1" applyProtection="1">
      <alignment horizontal="left"/>
      <protection locked="0"/>
    </xf>
    <xf numFmtId="0" fontId="163" fillId="48" borderId="87" xfId="8733" applyFont="1" applyFill="1" applyBorder="1" applyAlignment="1" applyProtection="1">
      <alignment horizontal="left"/>
      <protection locked="0"/>
    </xf>
    <xf numFmtId="0" fontId="163" fillId="48" borderId="86" xfId="8733" applyFont="1" applyFill="1" applyBorder="1" applyAlignment="1" applyProtection="1">
      <alignment horizontal="left"/>
      <protection locked="0"/>
    </xf>
    <xf numFmtId="0" fontId="163" fillId="48" borderId="85" xfId="8733" applyFont="1" applyFill="1" applyBorder="1" applyAlignment="1" applyProtection="1">
      <alignment horizontal="left"/>
      <protection locked="0"/>
    </xf>
    <xf numFmtId="0" fontId="93" fillId="48" borderId="80" xfId="8733" applyFont="1" applyFill="1" applyBorder="1" applyAlignment="1">
      <alignment horizontal="left"/>
    </xf>
    <xf numFmtId="0" fontId="93"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3" fillId="45" borderId="114" xfId="8733" applyFont="1" applyFill="1" applyBorder="1" applyAlignment="1">
      <alignment horizontal="left"/>
    </xf>
    <xf numFmtId="182" fontId="1" fillId="48" borderId="114" xfId="700" applyNumberFormat="1" applyFont="1" applyFill="1" applyBorder="1" applyAlignment="1" applyProtection="1">
      <alignment horizontal="center"/>
      <protection locked="0"/>
    </xf>
    <xf numFmtId="10" fontId="163" fillId="48" borderId="114" xfId="1022" applyNumberFormat="1" applyFont="1" applyFill="1" applyBorder="1" applyAlignment="1" applyProtection="1">
      <alignment horizontal="center"/>
      <protection locked="0"/>
    </xf>
    <xf numFmtId="182" fontId="3" fillId="0" borderId="13" xfId="8733" applyNumberFormat="1" applyBorder="1" applyAlignment="1">
      <alignment horizontal="center"/>
    </xf>
    <xf numFmtId="0" fontId="3" fillId="0" borderId="13" xfId="8733" applyBorder="1" applyAlignment="1">
      <alignment horizontal="center"/>
    </xf>
    <xf numFmtId="0" fontId="156" fillId="45" borderId="80" xfId="0" applyFont="1" applyFill="1" applyBorder="1" applyAlignment="1" applyProtection="1">
      <alignment horizontal="center" wrapText="1"/>
      <protection hidden="1"/>
    </xf>
    <xf numFmtId="0" fontId="156" fillId="45" borderId="79" xfId="0" applyFont="1" applyFill="1" applyBorder="1" applyAlignment="1" applyProtection="1">
      <alignment horizontal="center" wrapText="1"/>
      <protection hidden="1"/>
    </xf>
    <xf numFmtId="0" fontId="156" fillId="45" borderId="78" xfId="0" applyFont="1" applyFill="1" applyBorder="1" applyAlignment="1" applyProtection="1">
      <alignment horizontal="center" wrapText="1"/>
      <protection hidden="1"/>
    </xf>
    <xf numFmtId="0" fontId="156" fillId="45" borderId="13" xfId="0" applyFont="1" applyFill="1" applyBorder="1" applyAlignment="1" applyProtection="1">
      <alignment horizontal="left" wrapText="1"/>
      <protection hidden="1"/>
    </xf>
    <xf numFmtId="0" fontId="156" fillId="45" borderId="13" xfId="0" applyFont="1" applyFill="1" applyBorder="1" applyAlignment="1" applyProtection="1">
      <alignment horizontal="center" wrapText="1"/>
      <protection hidden="1"/>
    </xf>
    <xf numFmtId="0" fontId="162" fillId="45" borderId="114" xfId="8733" applyFont="1" applyFill="1" applyBorder="1" applyAlignment="1">
      <alignment horizontal="left" wrapText="1"/>
    </xf>
    <xf numFmtId="43" fontId="157" fillId="45" borderId="80" xfId="698" applyFont="1" applyFill="1" applyBorder="1" applyAlignment="1" applyProtection="1">
      <alignment horizontal="center"/>
      <protection hidden="1"/>
    </xf>
    <xf numFmtId="43" fontId="157" fillId="45" borderId="79" xfId="698" applyFont="1" applyFill="1" applyBorder="1" applyAlignment="1" applyProtection="1">
      <alignment horizontal="center"/>
      <protection hidden="1"/>
    </xf>
    <xf numFmtId="43" fontId="157" fillId="45" borderId="78" xfId="698" applyFont="1" applyFill="1" applyBorder="1" applyAlignment="1" applyProtection="1">
      <alignment horizontal="center"/>
      <protection hidden="1"/>
    </xf>
    <xf numFmtId="43" fontId="161" fillId="49" borderId="66" xfId="698" applyFont="1" applyFill="1" applyBorder="1" applyAlignment="1" applyProtection="1">
      <alignment horizontal="center" wrapText="1"/>
      <protection hidden="1"/>
    </xf>
    <xf numFmtId="43" fontId="161" fillId="49" borderId="0" xfId="698" applyFont="1" applyFill="1" applyBorder="1" applyAlignment="1" applyProtection="1">
      <alignment horizontal="center" wrapText="1"/>
      <protection hidden="1"/>
    </xf>
    <xf numFmtId="43" fontId="161" fillId="49" borderId="12" xfId="698" applyFont="1" applyFill="1" applyBorder="1" applyAlignment="1" applyProtection="1">
      <alignment horizontal="center" wrapText="1"/>
      <protection hidden="1"/>
    </xf>
    <xf numFmtId="43" fontId="161" fillId="49" borderId="83" xfId="698" applyFont="1" applyFill="1" applyBorder="1" applyAlignment="1" applyProtection="1">
      <alignment horizontal="center" wrapText="1"/>
      <protection hidden="1"/>
    </xf>
    <xf numFmtId="43" fontId="161" fillId="49" borderId="6" xfId="698" applyFont="1" applyFill="1" applyBorder="1" applyAlignment="1" applyProtection="1">
      <alignment horizontal="center" wrapText="1"/>
      <protection hidden="1"/>
    </xf>
    <xf numFmtId="43" fontId="161" fillId="49" borderId="10" xfId="698" applyFont="1" applyFill="1" applyBorder="1" applyAlignment="1" applyProtection="1">
      <alignment horizontal="center" wrapText="1"/>
      <protection hidden="1"/>
    </xf>
    <xf numFmtId="43" fontId="161" fillId="49" borderId="8" xfId="698" applyFont="1" applyFill="1" applyBorder="1" applyAlignment="1" applyProtection="1">
      <alignment horizontal="center" wrapText="1"/>
      <protection hidden="1"/>
    </xf>
    <xf numFmtId="43" fontId="161" fillId="49" borderId="9" xfId="698" applyFont="1" applyFill="1" applyBorder="1" applyAlignment="1" applyProtection="1">
      <alignment horizontal="center" wrapText="1"/>
      <protection hidden="1"/>
    </xf>
    <xf numFmtId="14" fontId="161" fillId="0" borderId="8" xfId="700" applyNumberFormat="1" applyFont="1" applyFill="1" applyBorder="1" applyAlignment="1" applyProtection="1">
      <alignment horizontal="center" wrapText="1"/>
      <protection hidden="1"/>
    </xf>
    <xf numFmtId="14" fontId="161" fillId="0" borderId="0" xfId="700" applyNumberFormat="1" applyFont="1" applyFill="1" applyBorder="1" applyAlignment="1" applyProtection="1">
      <alignment horizontal="center" wrapText="1"/>
      <protection hidden="1"/>
    </xf>
    <xf numFmtId="14" fontId="161" fillId="0" borderId="12" xfId="700" applyNumberFormat="1" applyFont="1" applyFill="1" applyBorder="1" applyAlignment="1" applyProtection="1">
      <alignment horizontal="center" wrapText="1"/>
      <protection hidden="1"/>
    </xf>
    <xf numFmtId="14" fontId="161" fillId="0" borderId="9" xfId="700" applyNumberFormat="1" applyFont="1" applyFill="1" applyBorder="1" applyAlignment="1" applyProtection="1">
      <alignment horizontal="center" wrapText="1"/>
      <protection hidden="1"/>
    </xf>
    <xf numFmtId="14" fontId="161" fillId="0" borderId="6" xfId="700" applyNumberFormat="1" applyFont="1" applyFill="1" applyBorder="1" applyAlignment="1" applyProtection="1">
      <alignment horizontal="center" wrapText="1"/>
      <protection hidden="1"/>
    </xf>
    <xf numFmtId="14" fontId="161" fillId="0" borderId="10" xfId="700" applyNumberFormat="1" applyFont="1" applyFill="1" applyBorder="1" applyAlignment="1" applyProtection="1">
      <alignment horizontal="center" wrapText="1"/>
      <protection hidden="1"/>
    </xf>
    <xf numFmtId="44" fontId="161" fillId="0" borderId="8" xfId="700" applyFont="1" applyBorder="1" applyAlignment="1" applyProtection="1">
      <alignment horizontal="center" wrapText="1"/>
      <protection hidden="1"/>
    </xf>
    <xf numFmtId="44" fontId="161" fillId="0" borderId="0" xfId="700" applyFont="1" applyBorder="1" applyAlignment="1" applyProtection="1">
      <alignment horizontal="center" wrapText="1"/>
      <protection hidden="1"/>
    </xf>
    <xf numFmtId="44" fontId="161" fillId="0" borderId="12" xfId="700" applyFont="1" applyBorder="1" applyAlignment="1" applyProtection="1">
      <alignment horizontal="center" wrapText="1"/>
      <protection hidden="1"/>
    </xf>
    <xf numFmtId="44" fontId="161" fillId="0" borderId="9" xfId="700" applyFont="1" applyBorder="1" applyAlignment="1" applyProtection="1">
      <alignment horizontal="center" wrapText="1"/>
      <protection hidden="1"/>
    </xf>
    <xf numFmtId="44" fontId="161" fillId="0" borderId="6" xfId="700" applyFont="1" applyBorder="1" applyAlignment="1" applyProtection="1">
      <alignment horizontal="center" wrapText="1"/>
      <protection hidden="1"/>
    </xf>
    <xf numFmtId="44" fontId="161" fillId="0" borderId="10" xfId="700" applyFont="1" applyBorder="1" applyAlignment="1" applyProtection="1">
      <alignment horizontal="center" wrapText="1"/>
      <protection hidden="1"/>
    </xf>
    <xf numFmtId="43" fontId="161" fillId="49" borderId="41" xfId="698" applyFont="1" applyFill="1" applyBorder="1" applyAlignment="1" applyProtection="1">
      <alignment horizontal="center" wrapText="1"/>
      <protection hidden="1"/>
    </xf>
    <xf numFmtId="43" fontId="161" fillId="49" borderId="82" xfId="698" applyFont="1" applyFill="1" applyBorder="1" applyAlignment="1" applyProtection="1">
      <alignment horizontal="center" wrapText="1"/>
      <protection hidden="1"/>
    </xf>
    <xf numFmtId="0" fontId="159" fillId="50" borderId="3" xfId="698" applyNumberFormat="1" applyFont="1" applyFill="1" applyBorder="1" applyAlignment="1" applyProtection="1">
      <alignment horizontal="center"/>
      <protection locked="0"/>
    </xf>
    <xf numFmtId="0" fontId="159" fillId="50" borderId="4" xfId="698" applyNumberFormat="1" applyFont="1" applyFill="1" applyBorder="1" applyAlignment="1" applyProtection="1">
      <alignment horizontal="center"/>
      <protection locked="0"/>
    </xf>
    <xf numFmtId="0" fontId="159" fillId="50" borderId="81" xfId="698" applyNumberFormat="1" applyFont="1" applyFill="1" applyBorder="1" applyAlignment="1" applyProtection="1">
      <alignment horizontal="center"/>
      <protection locked="0"/>
    </xf>
    <xf numFmtId="0" fontId="160" fillId="49" borderId="72" xfId="698" applyNumberFormat="1" applyFont="1" applyFill="1" applyBorder="1" applyAlignment="1" applyProtection="1">
      <alignment horizontal="center"/>
      <protection hidden="1"/>
    </xf>
    <xf numFmtId="0" fontId="160" fillId="49" borderId="114" xfId="698" applyNumberFormat="1" applyFont="1" applyFill="1" applyBorder="1" applyAlignment="1" applyProtection="1">
      <alignment horizontal="center"/>
      <protection hidden="1"/>
    </xf>
    <xf numFmtId="0" fontId="160" fillId="48" borderId="114" xfId="0" applyFont="1" applyFill="1" applyBorder="1" applyAlignment="1" applyProtection="1">
      <alignment horizontal="center"/>
      <protection locked="0"/>
    </xf>
    <xf numFmtId="14" fontId="159" fillId="48" borderId="114" xfId="700" applyNumberFormat="1" applyFont="1" applyFill="1" applyBorder="1" applyAlignment="1" applyProtection="1">
      <alignment horizontal="center"/>
      <protection locked="0"/>
    </xf>
    <xf numFmtId="168" fontId="160" fillId="48" borderId="114" xfId="700" applyNumberFormat="1" applyFont="1" applyFill="1" applyBorder="1" applyAlignment="1" applyProtection="1">
      <alignment horizontal="center"/>
      <protection locked="0"/>
    </xf>
    <xf numFmtId="9" fontId="160" fillId="48" borderId="114" xfId="1022" applyFont="1" applyFill="1" applyBorder="1" applyAlignment="1" applyProtection="1">
      <alignment horizontal="center"/>
      <protection locked="0"/>
    </xf>
    <xf numFmtId="44" fontId="159" fillId="48" borderId="114" xfId="700" applyFont="1" applyFill="1" applyBorder="1" applyAlignment="1" applyProtection="1">
      <alignment horizontal="center"/>
      <protection locked="0"/>
    </xf>
    <xf numFmtId="0" fontId="158" fillId="47" borderId="65" xfId="8733" applyFont="1" applyFill="1" applyBorder="1" applyAlignment="1">
      <alignment horizontal="center"/>
    </xf>
    <xf numFmtId="0" fontId="158" fillId="47" borderId="29" xfId="8733" applyFont="1" applyFill="1" applyBorder="1" applyAlignment="1">
      <alignment horizontal="center"/>
    </xf>
    <xf numFmtId="0" fontId="158" fillId="47" borderId="31" xfId="8733" applyFont="1" applyFill="1" applyBorder="1" applyAlignment="1">
      <alignment horizontal="center"/>
    </xf>
    <xf numFmtId="0" fontId="3" fillId="47" borderId="66" xfId="8733" applyFill="1" applyBorder="1" applyAlignment="1">
      <alignment horizontal="center"/>
    </xf>
    <xf numFmtId="0" fontId="3" fillId="47" borderId="0" xfId="8733" applyFill="1" applyAlignment="1">
      <alignment horizontal="center"/>
    </xf>
    <xf numFmtId="0" fontId="3" fillId="47" borderId="41" xfId="8733" applyFill="1" applyBorder="1" applyAlignment="1">
      <alignment horizontal="center"/>
    </xf>
    <xf numFmtId="0" fontId="157" fillId="47" borderId="66" xfId="8733" applyFont="1" applyFill="1" applyBorder="1" applyAlignment="1">
      <alignment horizontal="center"/>
    </xf>
    <xf numFmtId="0" fontId="157" fillId="47" borderId="0" xfId="8733" applyFont="1" applyFill="1" applyAlignment="1">
      <alignment horizontal="center"/>
    </xf>
    <xf numFmtId="0" fontId="157" fillId="47" borderId="41" xfId="8733" applyFont="1" applyFill="1" applyBorder="1" applyAlignment="1">
      <alignment horizontal="center"/>
    </xf>
    <xf numFmtId="0" fontId="93" fillId="47" borderId="66" xfId="8733" applyFont="1" applyFill="1" applyBorder="1" applyAlignment="1">
      <alignment horizontal="center"/>
    </xf>
    <xf numFmtId="0" fontId="93" fillId="47" borderId="41" xfId="8733" applyFont="1" applyFill="1" applyBorder="1" applyAlignment="1">
      <alignment horizontal="center"/>
    </xf>
    <xf numFmtId="0" fontId="93" fillId="47" borderId="0" xfId="8733" applyFont="1" applyFill="1" applyAlignment="1">
      <alignment horizontal="left"/>
    </xf>
    <xf numFmtId="43" fontId="157" fillId="49" borderId="72" xfId="698" applyFont="1" applyFill="1" applyBorder="1" applyAlignment="1" applyProtection="1">
      <alignment horizontal="right"/>
      <protection hidden="1"/>
    </xf>
    <xf numFmtId="43" fontId="157" fillId="49" borderId="114" xfId="698" applyFont="1" applyFill="1" applyBorder="1" applyAlignment="1" applyProtection="1">
      <alignment horizontal="right"/>
      <protection hidden="1"/>
    </xf>
    <xf numFmtId="44" fontId="157" fillId="0" borderId="114" xfId="700" applyFont="1" applyBorder="1" applyAlignment="1" applyProtection="1">
      <alignment horizontal="center"/>
      <protection hidden="1"/>
    </xf>
    <xf numFmtId="168" fontId="157" fillId="0" borderId="114" xfId="700" applyNumberFormat="1" applyFont="1" applyBorder="1" applyAlignment="1" applyProtection="1">
      <alignment horizontal="center"/>
      <protection hidden="1"/>
    </xf>
    <xf numFmtId="9" fontId="157" fillId="0" borderId="114" xfId="4494" applyFont="1" applyBorder="1" applyAlignment="1" applyProtection="1">
      <alignment horizontal="center"/>
      <protection hidden="1"/>
    </xf>
    <xf numFmtId="43" fontId="157" fillId="49" borderId="3" xfId="698" applyFont="1" applyFill="1" applyBorder="1" applyAlignment="1" applyProtection="1">
      <alignment horizontal="center"/>
      <protection hidden="1"/>
    </xf>
    <xf numFmtId="43" fontId="157" fillId="49" borderId="4" xfId="698" applyFont="1" applyFill="1" applyBorder="1" applyAlignment="1" applyProtection="1">
      <alignment horizontal="center"/>
      <protection hidden="1"/>
    </xf>
    <xf numFmtId="43" fontId="157" fillId="49" borderId="81" xfId="698" applyFont="1" applyFill="1" applyBorder="1" applyAlignment="1" applyProtection="1">
      <alignment horizontal="center"/>
      <protection hidden="1"/>
    </xf>
    <xf numFmtId="0" fontId="93" fillId="44" borderId="0" xfId="8733" applyFont="1" applyFill="1" applyAlignment="1">
      <alignment horizontal="left"/>
    </xf>
    <xf numFmtId="0" fontId="3" fillId="48" borderId="80" xfId="8733" applyFill="1" applyBorder="1" applyAlignment="1" applyProtection="1">
      <alignment horizontal="left"/>
      <protection locked="0"/>
    </xf>
    <xf numFmtId="0" fontId="3" fillId="48" borderId="79" xfId="8733" applyFill="1" applyBorder="1" applyAlignment="1" applyProtection="1">
      <alignment horizontal="left"/>
      <protection locked="0"/>
    </xf>
    <xf numFmtId="0" fontId="3" fillId="48" borderId="78" xfId="8733" applyFill="1" applyBorder="1" applyAlignment="1" applyProtection="1">
      <alignment horizontal="left"/>
      <protection locked="0"/>
    </xf>
    <xf numFmtId="0" fontId="156" fillId="44" borderId="0" xfId="8733" applyFont="1" applyFill="1" applyAlignment="1">
      <alignment horizontal="left" vertical="top"/>
    </xf>
    <xf numFmtId="0" fontId="93" fillId="44" borderId="0" xfId="8730" applyFont="1" applyFill="1" applyBorder="1" applyAlignment="1">
      <alignment horizontal="left" vertical="top"/>
    </xf>
    <xf numFmtId="14" fontId="3" fillId="48" borderId="80" xfId="8733" applyNumberFormat="1" applyFill="1" applyBorder="1" applyAlignment="1" applyProtection="1">
      <alignment horizontal="center"/>
      <protection locked="0"/>
    </xf>
    <xf numFmtId="14" fontId="3" fillId="48" borderId="79" xfId="8733" applyNumberFormat="1" applyFill="1" applyBorder="1" applyAlignment="1" applyProtection="1">
      <alignment horizontal="center"/>
      <protection locked="0"/>
    </xf>
    <xf numFmtId="14" fontId="3" fillId="48" borderId="78" xfId="8733" applyNumberFormat="1" applyFill="1" applyBorder="1" applyAlignment="1" applyProtection="1">
      <alignment horizontal="center"/>
      <protection locked="0"/>
    </xf>
    <xf numFmtId="0" fontId="157" fillId="47" borderId="0" xfId="8733" applyFont="1" applyFill="1" applyAlignment="1">
      <alignment horizontal="left" vertical="top" wrapText="1"/>
    </xf>
    <xf numFmtId="0" fontId="93" fillId="47" borderId="42" xfId="8733" applyFont="1" applyFill="1" applyBorder="1" applyAlignment="1">
      <alignment horizontal="center"/>
    </xf>
    <xf numFmtId="0" fontId="3" fillId="48" borderId="80" xfId="8733" applyFill="1" applyBorder="1" applyAlignment="1" applyProtection="1">
      <alignment horizontal="center"/>
      <protection locked="0"/>
    </xf>
    <xf numFmtId="0" fontId="3" fillId="48" borderId="79" xfId="8733" applyFill="1" applyBorder="1" applyAlignment="1" applyProtection="1">
      <alignment horizontal="center"/>
      <protection locked="0"/>
    </xf>
    <xf numFmtId="0" fontId="3" fillId="48" borderId="78" xfId="8733" applyFill="1" applyBorder="1" applyAlignment="1" applyProtection="1">
      <alignment horizontal="center"/>
      <protection locked="0"/>
    </xf>
    <xf numFmtId="168" fontId="18" fillId="2" borderId="3" xfId="569" applyNumberFormat="1" applyFill="1" applyBorder="1" applyAlignment="1">
      <alignment horizontal="center"/>
    </xf>
    <xf numFmtId="168" fontId="18" fillId="2" borderId="4" xfId="569" applyNumberFormat="1" applyFill="1" applyBorder="1" applyAlignment="1">
      <alignment horizontal="center"/>
    </xf>
    <xf numFmtId="168" fontId="18" fillId="2" borderId="5" xfId="569" applyNumberFormat="1" applyFill="1" applyBorder="1" applyAlignment="1">
      <alignment horizontal="center"/>
    </xf>
    <xf numFmtId="168" fontId="18" fillId="5" borderId="5" xfId="569" applyNumberFormat="1" applyFill="1" applyBorder="1" applyAlignment="1" applyProtection="1">
      <alignment horizontal="center"/>
      <protection locked="0"/>
    </xf>
    <xf numFmtId="168" fontId="18" fillId="5" borderId="114" xfId="569" applyNumberFormat="1" applyFill="1" applyBorder="1" applyAlignment="1" applyProtection="1">
      <alignment horizontal="center"/>
      <protection locked="0"/>
    </xf>
    <xf numFmtId="168" fontId="18" fillId="0" borderId="5" xfId="569" applyNumberFormat="1" applyBorder="1" applyAlignment="1">
      <alignment horizontal="center"/>
    </xf>
    <xf numFmtId="168" fontId="18" fillId="0" borderId="114" xfId="569" applyNumberFormat="1" applyBorder="1" applyAlignment="1">
      <alignment horizontal="center"/>
    </xf>
    <xf numFmtId="168" fontId="18" fillId="0" borderId="3" xfId="569" applyNumberFormat="1" applyBorder="1" applyAlignment="1">
      <alignment horizontal="center"/>
    </xf>
    <xf numFmtId="168" fontId="18" fillId="0" borderId="4" xfId="569" applyNumberFormat="1" applyBorder="1" applyAlignment="1">
      <alignment horizontal="center"/>
    </xf>
    <xf numFmtId="179" fontId="25" fillId="0" borderId="0" xfId="569" applyNumberFormat="1" applyFont="1" applyAlignment="1">
      <alignment horizontal="center" wrapText="1"/>
    </xf>
    <xf numFmtId="0" fontId="25" fillId="0" borderId="16" xfId="271" applyFont="1" applyBorder="1" applyAlignment="1">
      <alignment horizontal="center"/>
    </xf>
    <xf numFmtId="164" fontId="25" fillId="0" borderId="0" xfId="569" applyNumberFormat="1" applyFont="1" applyAlignment="1">
      <alignment horizontal="center" wrapText="1"/>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0" fontId="47" fillId="0" borderId="0" xfId="569" applyFont="1" applyAlignment="1">
      <alignment horizontal="left"/>
    </xf>
    <xf numFmtId="0" fontId="18" fillId="0" borderId="3" xfId="569" applyBorder="1" applyAlignment="1">
      <alignment horizontal="right"/>
    </xf>
    <xf numFmtId="0" fontId="18" fillId="0" borderId="4" xfId="569" applyBorder="1" applyAlignment="1">
      <alignment horizontal="right"/>
    </xf>
    <xf numFmtId="0" fontId="18" fillId="0" borderId="5" xfId="569" applyBorder="1" applyAlignment="1">
      <alignment horizontal="right"/>
    </xf>
    <xf numFmtId="0" fontId="26" fillId="0" borderId="3" xfId="569" applyFont="1" applyBorder="1" applyAlignment="1">
      <alignment horizontal="right"/>
    </xf>
    <xf numFmtId="0" fontId="26" fillId="0" borderId="4" xfId="569" applyFont="1" applyBorder="1" applyAlignment="1">
      <alignment horizontal="right"/>
    </xf>
    <xf numFmtId="0" fontId="26" fillId="0" borderId="5" xfId="569" applyFont="1" applyBorder="1" applyAlignment="1">
      <alignment horizontal="right"/>
    </xf>
    <xf numFmtId="168" fontId="18" fillId="0" borderId="3" xfId="569" applyNumberFormat="1" applyBorder="1" applyAlignment="1">
      <alignment horizontal="right"/>
    </xf>
    <xf numFmtId="168" fontId="18" fillId="0" borderId="4" xfId="569" applyNumberFormat="1" applyBorder="1" applyAlignment="1">
      <alignment horizontal="right"/>
    </xf>
    <xf numFmtId="168" fontId="18" fillId="0" borderId="5" xfId="569" applyNumberFormat="1" applyBorder="1" applyAlignment="1">
      <alignment horizontal="right"/>
    </xf>
    <xf numFmtId="9" fontId="18" fillId="0" borderId="5" xfId="569" applyNumberFormat="1" applyBorder="1" applyAlignment="1">
      <alignment horizontal="center"/>
    </xf>
    <xf numFmtId="9" fontId="18" fillId="0" borderId="114" xfId="569" applyNumberFormat="1" applyBorder="1" applyAlignment="1">
      <alignment horizontal="center"/>
    </xf>
    <xf numFmtId="0" fontId="25" fillId="0" borderId="3" xfId="569" applyFont="1" applyBorder="1" applyAlignment="1">
      <alignment horizontal="left"/>
    </xf>
    <xf numFmtId="0" fontId="25" fillId="0" borderId="5" xfId="569" applyFont="1" applyBorder="1" applyAlignment="1">
      <alignment horizontal="left"/>
    </xf>
    <xf numFmtId="0" fontId="26" fillId="0" borderId="4" xfId="569" applyFont="1" applyBorder="1" applyAlignment="1">
      <alignment horizontal="left"/>
    </xf>
    <xf numFmtId="0" fontId="26" fillId="0" borderId="5" xfId="569" applyFont="1" applyBorder="1" applyAlignment="1">
      <alignment horizontal="left"/>
    </xf>
    <xf numFmtId="0" fontId="24" fillId="3" borderId="2" xfId="569" applyFont="1" applyFill="1" applyBorder="1" applyAlignment="1">
      <alignment horizontal="center" vertical="center"/>
    </xf>
    <xf numFmtId="0" fontId="24" fillId="3" borderId="16" xfId="569" applyFont="1" applyFill="1" applyBorder="1" applyAlignment="1">
      <alignment horizontal="center" vertical="center"/>
    </xf>
    <xf numFmtId="0" fontId="25" fillId="0" borderId="114" xfId="569" applyFont="1" applyBorder="1" applyAlignment="1">
      <alignment horizontal="center" wrapText="1"/>
    </xf>
    <xf numFmtId="168" fontId="18" fillId="0" borderId="7" xfId="569" applyNumberFormat="1" applyBorder="1" applyAlignment="1">
      <alignment horizontal="center"/>
    </xf>
    <xf numFmtId="168" fontId="18" fillId="0" borderId="15" xfId="569" applyNumberFormat="1" applyBorder="1" applyAlignment="1">
      <alignment horizontal="center"/>
    </xf>
    <xf numFmtId="168" fontId="18" fillId="5" borderId="10" xfId="569" applyNumberFormat="1" applyFill="1" applyBorder="1" applyAlignment="1" applyProtection="1">
      <alignment horizontal="center"/>
      <protection locked="0"/>
    </xf>
    <xf numFmtId="168" fontId="18" fillId="5" borderId="13" xfId="569" applyNumberFormat="1" applyFill="1" applyBorder="1" applyAlignment="1" applyProtection="1">
      <alignment horizontal="center"/>
      <protection locked="0"/>
    </xf>
    <xf numFmtId="5" fontId="18" fillId="0" borderId="5" xfId="569" applyNumberFormat="1" applyBorder="1" applyAlignment="1">
      <alignment horizontal="center"/>
    </xf>
    <xf numFmtId="5" fontId="18" fillId="0" borderId="114" xfId="569" applyNumberFormat="1" applyBorder="1" applyAlignment="1">
      <alignment horizontal="center"/>
    </xf>
    <xf numFmtId="5" fontId="18" fillId="0" borderId="3" xfId="569" applyNumberFormat="1" applyBorder="1" applyAlignment="1">
      <alignment horizontal="center"/>
    </xf>
    <xf numFmtId="5" fontId="18" fillId="0" borderId="4" xfId="569" applyNumberFormat="1" applyBorder="1" applyAlignment="1">
      <alignment horizontal="center"/>
    </xf>
    <xf numFmtId="9" fontId="18" fillId="0" borderId="9" xfId="569" applyNumberFormat="1" applyBorder="1" applyAlignment="1">
      <alignment horizontal="center" vertical="center"/>
    </xf>
    <xf numFmtId="9" fontId="18" fillId="0" borderId="6" xfId="569" applyNumberFormat="1" applyBorder="1" applyAlignment="1">
      <alignment horizontal="center" vertical="center"/>
    </xf>
    <xf numFmtId="9" fontId="18" fillId="0" borderId="10" xfId="569" applyNumberFormat="1" applyBorder="1" applyAlignment="1">
      <alignment horizontal="center" vertical="center"/>
    </xf>
    <xf numFmtId="168" fontId="18" fillId="0" borderId="114" xfId="569" applyNumberFormat="1" applyBorder="1" applyAlignment="1">
      <alignment horizontal="right"/>
    </xf>
    <xf numFmtId="0" fontId="25" fillId="0" borderId="6" xfId="569" applyFont="1" applyBorder="1" applyAlignment="1">
      <alignment horizontal="center"/>
    </xf>
    <xf numFmtId="0" fontId="18" fillId="0" borderId="4" xfId="569" applyBorder="1" applyAlignment="1">
      <alignment horizontal="center"/>
    </xf>
    <xf numFmtId="0" fontId="18" fillId="0" borderId="5" xfId="569" applyBorder="1" applyAlignment="1">
      <alignment horizontal="center"/>
    </xf>
    <xf numFmtId="176" fontId="18" fillId="5" borderId="3" xfId="569" applyNumberFormat="1" applyFill="1" applyBorder="1" applyAlignment="1" applyProtection="1">
      <alignment horizontal="right"/>
      <protection locked="0"/>
    </xf>
    <xf numFmtId="176" fontId="18" fillId="5" borderId="4" xfId="569" applyNumberFormat="1" applyFill="1" applyBorder="1" applyAlignment="1" applyProtection="1">
      <alignment horizontal="right"/>
      <protection locked="0"/>
    </xf>
    <xf numFmtId="176" fontId="18" fillId="5" borderId="5" xfId="569" applyNumberFormat="1" applyFill="1" applyBorder="1" applyAlignment="1" applyProtection="1">
      <alignment horizontal="right"/>
      <protection locked="0"/>
    </xf>
    <xf numFmtId="0" fontId="98" fillId="0" borderId="0" xfId="569" applyFont="1" applyAlignment="1">
      <alignment horizontal="left" wrapText="1"/>
    </xf>
    <xf numFmtId="0" fontId="25" fillId="0" borderId="114" xfId="569" applyFont="1" applyBorder="1" applyAlignment="1">
      <alignment horizontal="center"/>
    </xf>
    <xf numFmtId="165" fontId="18" fillId="0" borderId="114" xfId="569" applyNumberFormat="1" applyBorder="1" applyAlignment="1" applyProtection="1">
      <alignment horizontal="center"/>
      <protection locked="0"/>
    </xf>
    <xf numFmtId="168" fontId="18" fillId="0" borderId="114" xfId="569" applyNumberFormat="1" applyBorder="1"/>
    <xf numFmtId="168" fontId="18" fillId="0" borderId="3" xfId="569" applyNumberFormat="1" applyBorder="1"/>
    <xf numFmtId="168" fontId="18" fillId="0" borderId="4" xfId="569" applyNumberFormat="1" applyBorder="1"/>
    <xf numFmtId="168" fontId="18" fillId="0" borderId="5" xfId="569" applyNumberFormat="1" applyBorder="1"/>
    <xf numFmtId="168" fontId="18" fillId="0" borderId="114" xfId="569" applyNumberFormat="1" applyBorder="1" applyAlignment="1">
      <alignment wrapText="1"/>
    </xf>
    <xf numFmtId="9" fontId="18" fillId="0" borderId="15" xfId="569" applyNumberFormat="1" applyBorder="1" applyAlignment="1">
      <alignment horizontal="center"/>
    </xf>
    <xf numFmtId="0" fontId="18" fillId="0" borderId="114" xfId="569" applyBorder="1" applyAlignment="1">
      <alignment horizontal="center"/>
    </xf>
    <xf numFmtId="0" fontId="98" fillId="0" borderId="0" xfId="0" applyFont="1" applyAlignment="1">
      <alignment horizontal="left" vertical="top" wrapText="1"/>
    </xf>
    <xf numFmtId="0" fontId="25" fillId="0" borderId="0" xfId="4495" applyFont="1" applyAlignment="1">
      <alignment horizontal="left" wrapText="1"/>
    </xf>
    <xf numFmtId="0" fontId="18" fillId="0" borderId="0" xfId="4495" applyFont="1" applyAlignment="1">
      <alignment wrapText="1"/>
    </xf>
    <xf numFmtId="0" fontId="18" fillId="0" borderId="0" xfId="4495" applyFont="1" applyAlignment="1">
      <alignment horizontal="left"/>
    </xf>
    <xf numFmtId="0" fontId="18" fillId="5" borderId="6" xfId="4495" applyFont="1" applyFill="1" applyBorder="1" applyAlignment="1" applyProtection="1">
      <alignment horizontal="center"/>
      <protection locked="0"/>
    </xf>
    <xf numFmtId="164" fontId="18" fillId="0" borderId="50" xfId="4495" applyNumberFormat="1" applyFont="1" applyBorder="1" applyAlignment="1">
      <alignment horizontal="left" vertical="top" wrapText="1"/>
    </xf>
    <xf numFmtId="164" fontId="18" fillId="0" borderId="51" xfId="4495" applyNumberFormat="1" applyFont="1" applyBorder="1" applyAlignment="1">
      <alignment horizontal="left" vertical="top" wrapText="1"/>
    </xf>
    <xf numFmtId="164" fontId="18" fillId="0" borderId="52" xfId="4495" applyNumberFormat="1" applyFont="1" applyBorder="1" applyAlignment="1">
      <alignment horizontal="left" vertical="top" wrapText="1"/>
    </xf>
    <xf numFmtId="164" fontId="18" fillId="0" borderId="53" xfId="4495" applyNumberFormat="1" applyFont="1" applyBorder="1" applyAlignment="1">
      <alignment horizontal="left" vertical="top" wrapText="1"/>
    </xf>
    <xf numFmtId="164" fontId="18" fillId="0" borderId="0" xfId="4495" applyNumberFormat="1" applyFont="1" applyAlignment="1">
      <alignment horizontal="left" vertical="top" wrapText="1"/>
    </xf>
    <xf numFmtId="164" fontId="18" fillId="0" borderId="54" xfId="4495" applyNumberFormat="1" applyFont="1" applyBorder="1" applyAlignment="1">
      <alignment horizontal="left" vertical="top" wrapText="1"/>
    </xf>
    <xf numFmtId="164" fontId="18" fillId="0" borderId="57" xfId="4495" applyNumberFormat="1" applyFont="1" applyBorder="1" applyAlignment="1">
      <alignment horizontal="left" vertical="top" wrapText="1"/>
    </xf>
    <xf numFmtId="164" fontId="18" fillId="0" borderId="58" xfId="4495" applyNumberFormat="1" applyFont="1" applyBorder="1" applyAlignment="1">
      <alignment horizontal="left" vertical="top" wrapText="1"/>
    </xf>
    <xf numFmtId="164" fontId="18" fillId="0" borderId="59" xfId="4495" applyNumberFormat="1" applyFont="1" applyBorder="1" applyAlignment="1">
      <alignment horizontal="left" vertical="top" wrapText="1"/>
    </xf>
    <xf numFmtId="0" fontId="18" fillId="45" borderId="114" xfId="4495" applyFont="1" applyFill="1" applyBorder="1" applyAlignment="1">
      <alignment horizontal="center"/>
    </xf>
    <xf numFmtId="4" fontId="26" fillId="0" borderId="3" xfId="4495" applyNumberFormat="1" applyFont="1" applyBorder="1" applyAlignment="1">
      <alignment horizontal="center"/>
    </xf>
    <xf numFmtId="4" fontId="26" fillId="0" borderId="4" xfId="4495" applyNumberFormat="1" applyFont="1" applyBorder="1" applyAlignment="1">
      <alignment horizontal="center"/>
    </xf>
    <xf numFmtId="4" fontId="26" fillId="0" borderId="5" xfId="4495" applyNumberFormat="1" applyFont="1" applyBorder="1" applyAlignment="1">
      <alignment horizontal="center"/>
    </xf>
    <xf numFmtId="165" fontId="113" fillId="0" borderId="3" xfId="4496" applyNumberFormat="1" applyFont="1" applyBorder="1" applyAlignment="1">
      <alignment horizontal="center" vertical="top" wrapText="1"/>
    </xf>
    <xf numFmtId="165" fontId="113" fillId="0" borderId="4" xfId="4496" applyNumberFormat="1" applyFont="1" applyBorder="1" applyAlignment="1">
      <alignment horizontal="center" vertical="top" wrapText="1"/>
    </xf>
    <xf numFmtId="165" fontId="113" fillId="0" borderId="5" xfId="4496" applyNumberFormat="1" applyFont="1" applyBorder="1" applyAlignment="1">
      <alignment horizontal="center" vertical="top" wrapText="1"/>
    </xf>
    <xf numFmtId="3" fontId="18" fillId="43" borderId="6" xfId="1192" applyNumberFormat="1" applyFill="1" applyBorder="1" applyAlignment="1" applyProtection="1">
      <alignment horizontal="right"/>
      <protection locked="0"/>
    </xf>
    <xf numFmtId="168" fontId="18" fillId="0" borderId="0" xfId="1192" applyNumberFormat="1" applyAlignment="1">
      <alignment horizontal="right"/>
    </xf>
    <xf numFmtId="0" fontId="133" fillId="0" borderId="0" xfId="1192" applyFont="1" applyAlignment="1">
      <alignment horizontal="center"/>
    </xf>
    <xf numFmtId="168" fontId="18" fillId="43" borderId="6" xfId="543" applyNumberFormat="1" applyFill="1" applyBorder="1" applyAlignment="1" applyProtection="1">
      <alignment horizontal="center"/>
      <protection locked="0"/>
    </xf>
    <xf numFmtId="168" fontId="18" fillId="5" borderId="4" xfId="1192" applyNumberFormat="1" applyFill="1" applyBorder="1" applyAlignment="1" applyProtection="1">
      <alignment horizontal="center"/>
      <protection locked="0"/>
    </xf>
    <xf numFmtId="4" fontId="26" fillId="0" borderId="6" xfId="4495" applyNumberFormat="1" applyFont="1" applyBorder="1" applyAlignment="1">
      <alignment horizontal="center"/>
    </xf>
    <xf numFmtId="1" fontId="18" fillId="5" borderId="2" xfId="1192" applyNumberFormat="1" applyFill="1" applyBorder="1" applyAlignment="1" applyProtection="1">
      <alignment horizontal="center"/>
      <protection locked="0"/>
    </xf>
    <xf numFmtId="168" fontId="18" fillId="0" borderId="6" xfId="1192" applyNumberFormat="1" applyBorder="1" applyAlignment="1">
      <alignment horizontal="right"/>
    </xf>
    <xf numFmtId="168" fontId="18" fillId="0" borderId="4" xfId="1192" applyNumberFormat="1" applyBorder="1" applyAlignment="1">
      <alignment horizontal="right"/>
    </xf>
    <xf numFmtId="4" fontId="26" fillId="0" borderId="0" xfId="4495" applyNumberFormat="1" applyFont="1" applyAlignment="1">
      <alignment horizontal="center"/>
    </xf>
    <xf numFmtId="0" fontId="18" fillId="0" borderId="53" xfId="4495" applyFont="1" applyBorder="1" applyAlignment="1">
      <alignment horizontal="left" vertical="top" wrapText="1"/>
    </xf>
    <xf numFmtId="0" fontId="18" fillId="0" borderId="0" xfId="4495" applyFont="1" applyAlignment="1">
      <alignment horizontal="left" vertical="top" wrapText="1"/>
    </xf>
    <xf numFmtId="0" fontId="18" fillId="0" borderId="54" xfId="4495" applyFont="1" applyBorder="1" applyAlignment="1">
      <alignment horizontal="left" vertical="top" wrapText="1"/>
    </xf>
    <xf numFmtId="0" fontId="18" fillId="0" borderId="57" xfId="4495" applyFont="1" applyBorder="1" applyAlignment="1">
      <alignment horizontal="left" vertical="top" wrapText="1"/>
    </xf>
    <xf numFmtId="0" fontId="18" fillId="0" borderId="58" xfId="4495" applyFont="1" applyBorder="1" applyAlignment="1">
      <alignment horizontal="left" vertical="top" wrapText="1"/>
    </xf>
    <xf numFmtId="168" fontId="18" fillId="0" borderId="6" xfId="4496" applyNumberFormat="1" applyFont="1" applyBorder="1" applyAlignment="1">
      <alignment horizontal="center"/>
    </xf>
    <xf numFmtId="168" fontId="18" fillId="0" borderId="4" xfId="4496" applyNumberFormat="1" applyFont="1" applyBorder="1" applyAlignment="1">
      <alignment horizontal="center"/>
    </xf>
    <xf numFmtId="9" fontId="18" fillId="0" borderId="4" xfId="4496" applyNumberFormat="1" applyFont="1" applyBorder="1" applyAlignment="1">
      <alignment horizontal="center"/>
    </xf>
    <xf numFmtId="0" fontId="18" fillId="0" borderId="3" xfId="4495" applyFont="1" applyBorder="1" applyAlignment="1">
      <alignment horizontal="center"/>
    </xf>
    <xf numFmtId="0" fontId="18" fillId="0" borderId="4" xfId="4495" applyFont="1" applyBorder="1" applyAlignment="1">
      <alignment horizontal="center"/>
    </xf>
    <xf numFmtId="0" fontId="18" fillId="0" borderId="5" xfId="4495" applyFont="1" applyBorder="1" applyAlignment="1">
      <alignment horizontal="center"/>
    </xf>
    <xf numFmtId="0" fontId="26" fillId="0" borderId="51" xfId="4495" applyFont="1" applyBorder="1" applyAlignment="1">
      <alignment horizontal="left" vertical="top" wrapText="1"/>
    </xf>
    <xf numFmtId="0" fontId="26" fillId="0" borderId="0" xfId="4495" applyFont="1" applyAlignment="1">
      <alignment horizontal="left" vertical="top" wrapText="1"/>
    </xf>
    <xf numFmtId="0" fontId="26" fillId="0" borderId="58" xfId="4495" applyFont="1" applyBorder="1" applyAlignment="1">
      <alignment horizontal="left" vertical="top" wrapText="1"/>
    </xf>
    <xf numFmtId="10" fontId="26" fillId="0" borderId="2" xfId="4495" applyNumberFormat="1" applyFont="1" applyBorder="1" applyAlignment="1">
      <alignment horizontal="center"/>
    </xf>
    <xf numFmtId="0" fontId="26" fillId="0" borderId="0" xfId="4495" applyFont="1" applyAlignment="1">
      <alignment horizontal="center"/>
    </xf>
    <xf numFmtId="9" fontId="26" fillId="5" borderId="6" xfId="4495" applyNumberFormat="1" applyFont="1" applyFill="1" applyBorder="1" applyAlignment="1">
      <alignment horizontal="left"/>
    </xf>
    <xf numFmtId="0" fontId="121" fillId="0" borderId="0" xfId="4495" applyFont="1" applyAlignment="1">
      <alignment horizontal="left" vertical="top" wrapText="1"/>
    </xf>
    <xf numFmtId="0" fontId="34" fillId="42" borderId="2" xfId="4495" applyFont="1" applyFill="1" applyBorder="1" applyAlignment="1">
      <alignment horizontal="center"/>
    </xf>
    <xf numFmtId="0" fontId="34" fillId="42" borderId="6" xfId="4495" applyFont="1" applyFill="1" applyBorder="1" applyAlignment="1">
      <alignment horizontal="center"/>
    </xf>
    <xf numFmtId="0" fontId="25" fillId="0" borderId="114" xfId="4495" applyFont="1" applyBorder="1" applyAlignment="1">
      <alignment horizontal="center"/>
    </xf>
    <xf numFmtId="0" fontId="111" fillId="5" borderId="55" xfId="4495" applyFill="1" applyBorder="1" applyAlignment="1" applyProtection="1">
      <alignment horizontal="center"/>
      <protection locked="0"/>
    </xf>
    <xf numFmtId="0" fontId="111" fillId="5" borderId="6" xfId="4495" applyFill="1" applyBorder="1" applyAlignment="1" applyProtection="1">
      <alignment horizontal="center"/>
      <protection locked="0"/>
    </xf>
    <xf numFmtId="0" fontId="25" fillId="0" borderId="0" xfId="4495" applyFont="1" applyAlignment="1">
      <alignment horizontal="center"/>
    </xf>
    <xf numFmtId="0" fontId="25" fillId="0" borderId="54" xfId="4495" applyFont="1" applyBorder="1" applyAlignment="1">
      <alignment horizontal="center"/>
    </xf>
    <xf numFmtId="0" fontId="18" fillId="5" borderId="6" xfId="4495" applyFont="1" applyFill="1" applyBorder="1" applyAlignment="1" applyProtection="1">
      <alignment horizontal="center" vertical="center" wrapText="1" shrinkToFit="1"/>
      <protection locked="0"/>
    </xf>
    <xf numFmtId="0" fontId="109" fillId="0" borderId="4" xfId="1192" applyFont="1" applyBorder="1" applyAlignment="1">
      <alignment horizontal="left"/>
    </xf>
    <xf numFmtId="0" fontId="133" fillId="0" borderId="6" xfId="1192" applyFont="1" applyBorder="1" applyAlignment="1">
      <alignment horizontal="center"/>
    </xf>
    <xf numFmtId="168" fontId="18" fillId="43" borderId="6" xfId="1192" applyNumberFormat="1" applyFill="1" applyBorder="1" applyAlignment="1" applyProtection="1">
      <alignment horizontal="right"/>
      <protection locked="0"/>
    </xf>
    <xf numFmtId="0" fontId="26" fillId="5" borderId="58" xfId="4495" applyFont="1" applyFill="1" applyBorder="1" applyAlignment="1">
      <alignment horizontal="left"/>
    </xf>
    <xf numFmtId="0" fontId="111" fillId="5" borderId="50" xfId="4495" applyFill="1" applyBorder="1" applyAlignment="1">
      <alignment horizontal="center"/>
    </xf>
    <xf numFmtId="0" fontId="111" fillId="5" borderId="51" xfId="4495" applyFill="1" applyBorder="1" applyAlignment="1">
      <alignment horizontal="center"/>
    </xf>
    <xf numFmtId="0" fontId="47" fillId="0" borderId="51" xfId="4495" applyFont="1" applyBorder="1" applyAlignment="1">
      <alignment horizontal="left" vertical="top" wrapText="1"/>
    </xf>
    <xf numFmtId="0" fontId="47" fillId="0" borderId="0" xfId="4495" applyFont="1" applyAlignment="1">
      <alignment horizontal="left" vertical="top" wrapText="1"/>
    </xf>
    <xf numFmtId="9" fontId="26" fillId="5" borderId="58" xfId="4495" applyNumberFormat="1" applyFont="1" applyFill="1" applyBorder="1" applyAlignment="1">
      <alignment horizontal="left"/>
    </xf>
    <xf numFmtId="0" fontId="111" fillId="0" borderId="0" xfId="4495" applyAlignment="1">
      <alignment horizontal="center"/>
    </xf>
    <xf numFmtId="0" fontId="26" fillId="5" borderId="6" xfId="4495" applyFont="1" applyFill="1" applyBorder="1" applyAlignment="1">
      <alignment horizontal="left"/>
    </xf>
    <xf numFmtId="0" fontId="111" fillId="5" borderId="62" xfId="4495" applyFill="1" applyBorder="1" applyAlignment="1">
      <alignment horizontal="center"/>
    </xf>
    <xf numFmtId="0" fontId="111" fillId="5" borderId="63" xfId="4495" applyFill="1" applyBorder="1" applyAlignment="1">
      <alignment horizontal="center"/>
    </xf>
    <xf numFmtId="0" fontId="25" fillId="0" borderId="51" xfId="4495" applyFont="1" applyBorder="1" applyAlignment="1">
      <alignment horizontal="center" vertical="top"/>
    </xf>
    <xf numFmtId="0" fontId="25" fillId="0" borderId="52" xfId="4495" applyFont="1" applyBorder="1" applyAlignment="1">
      <alignment horizontal="center" vertical="top"/>
    </xf>
    <xf numFmtId="0" fontId="25" fillId="0" borderId="0" xfId="4495" applyFont="1" applyAlignment="1">
      <alignment horizontal="right"/>
    </xf>
    <xf numFmtId="0" fontId="18" fillId="0" borderId="6" xfId="1192" applyBorder="1" applyAlignment="1">
      <alignment horizontal="right"/>
    </xf>
    <xf numFmtId="9" fontId="18" fillId="5" borderId="4" xfId="1192" applyNumberFormat="1" applyFill="1" applyBorder="1" applyAlignment="1" applyProtection="1">
      <alignment horizontal="left"/>
      <protection locked="0"/>
    </xf>
    <xf numFmtId="0" fontId="113" fillId="0" borderId="50" xfId="4496" applyFont="1" applyBorder="1" applyAlignment="1">
      <alignment horizontal="left" wrapText="1"/>
    </xf>
    <xf numFmtId="0" fontId="113" fillId="0" borderId="51" xfId="4496" applyFont="1" applyBorder="1" applyAlignment="1">
      <alignment horizontal="left" wrapText="1"/>
    </xf>
    <xf numFmtId="0" fontId="113" fillId="0" borderId="52" xfId="4496" applyFont="1" applyBorder="1" applyAlignment="1">
      <alignment horizontal="left" wrapText="1"/>
    </xf>
    <xf numFmtId="0" fontId="113" fillId="0" borderId="57" xfId="4496" applyFont="1" applyBorder="1" applyAlignment="1">
      <alignment horizontal="left" wrapText="1"/>
    </xf>
    <xf numFmtId="0" fontId="113" fillId="0" borderId="58" xfId="4496" applyFont="1" applyBorder="1" applyAlignment="1">
      <alignment horizontal="left" wrapText="1"/>
    </xf>
    <xf numFmtId="0" fontId="113" fillId="0" borderId="59" xfId="4496" applyFont="1" applyBorder="1" applyAlignment="1">
      <alignment horizontal="left" wrapText="1"/>
    </xf>
    <xf numFmtId="0" fontId="111" fillId="0" borderId="53" xfId="4495" applyBorder="1" applyAlignment="1">
      <alignment horizontal="center"/>
    </xf>
    <xf numFmtId="0" fontId="26" fillId="5" borderId="0" xfId="4495" applyFont="1" applyFill="1" applyAlignment="1">
      <alignment horizontal="left" vertical="top"/>
    </xf>
    <xf numFmtId="0" fontId="25" fillId="0" borderId="4" xfId="4495" applyFont="1" applyBorder="1" applyAlignment="1">
      <alignment horizontal="left"/>
    </xf>
    <xf numFmtId="0" fontId="25" fillId="0" borderId="5" xfId="4495" applyFont="1" applyBorder="1" applyAlignment="1">
      <alignment horizontal="left"/>
    </xf>
    <xf numFmtId="1" fontId="25" fillId="0" borderId="114" xfId="4495" applyNumberFormat="1" applyFont="1" applyBorder="1" applyAlignment="1">
      <alignment horizontal="center"/>
    </xf>
    <xf numFmtId="0" fontId="25" fillId="0" borderId="3" xfId="4495" applyFont="1" applyBorder="1" applyAlignment="1">
      <alignment horizontal="center" wrapText="1"/>
    </xf>
    <xf numFmtId="0" fontId="25" fillId="0" borderId="4" xfId="4495" applyFont="1" applyBorder="1" applyAlignment="1">
      <alignment horizontal="center" wrapText="1"/>
    </xf>
    <xf numFmtId="0" fontId="25" fillId="0" borderId="5" xfId="4495" applyFont="1" applyBorder="1" applyAlignment="1">
      <alignment horizontal="center" wrapText="1"/>
    </xf>
    <xf numFmtId="0" fontId="18" fillId="0" borderId="4" xfId="4495" applyFont="1" applyBorder="1" applyAlignment="1">
      <alignment horizontal="left"/>
    </xf>
    <xf numFmtId="0" fontId="18" fillId="0" borderId="5" xfId="4495" applyFont="1" applyBorder="1" applyAlignment="1">
      <alignment horizontal="left"/>
    </xf>
    <xf numFmtId="1" fontId="18" fillId="0" borderId="114" xfId="4495" applyNumberFormat="1" applyFont="1" applyBorder="1" applyAlignment="1">
      <alignment horizontal="center"/>
    </xf>
    <xf numFmtId="0" fontId="18" fillId="0" borderId="114" xfId="4495" applyFont="1" applyBorder="1" applyAlignment="1">
      <alignment horizontal="center"/>
    </xf>
    <xf numFmtId="1" fontId="18" fillId="46" borderId="114" xfId="4495" applyNumberFormat="1" applyFont="1" applyFill="1" applyBorder="1" applyAlignment="1">
      <alignment horizontal="center"/>
    </xf>
    <xf numFmtId="0" fontId="25" fillId="0" borderId="3" xfId="4495" applyFont="1" applyBorder="1" applyAlignment="1">
      <alignment horizontal="center"/>
    </xf>
    <xf numFmtId="0" fontId="25" fillId="0" borderId="4" xfId="4495" applyFont="1" applyBorder="1" applyAlignment="1">
      <alignment horizontal="center"/>
    </xf>
    <xf numFmtId="0" fontId="25" fillId="0" borderId="5" xfId="4495" applyFont="1" applyBorder="1" applyAlignment="1">
      <alignment horizontal="center"/>
    </xf>
    <xf numFmtId="0" fontId="25" fillId="0" borderId="3" xfId="4495" applyFont="1" applyBorder="1" applyAlignment="1">
      <alignment horizontal="left"/>
    </xf>
    <xf numFmtId="0" fontId="18" fillId="5" borderId="114" xfId="4495" applyFont="1" applyFill="1" applyBorder="1" applyAlignment="1" applyProtection="1">
      <alignment horizontal="center"/>
      <protection locked="0"/>
    </xf>
    <xf numFmtId="164" fontId="56" fillId="0" borderId="1" xfId="4495" applyNumberFormat="1" applyFont="1" applyBorder="1" applyAlignment="1">
      <alignment horizontal="right" vertical="center"/>
    </xf>
    <xf numFmtId="164" fontId="56" fillId="0" borderId="2" xfId="4495" applyNumberFormat="1" applyFont="1" applyBorder="1" applyAlignment="1">
      <alignment horizontal="right" vertical="center"/>
    </xf>
    <xf numFmtId="164" fontId="56" fillId="0" borderId="7" xfId="4495" applyNumberFormat="1" applyFont="1" applyBorder="1" applyAlignment="1">
      <alignment horizontal="right" vertical="center"/>
    </xf>
    <xf numFmtId="164" fontId="56" fillId="0" borderId="9" xfId="4495" applyNumberFormat="1" applyFont="1" applyBorder="1" applyAlignment="1">
      <alignment horizontal="right" vertical="center"/>
    </xf>
    <xf numFmtId="164" fontId="56" fillId="0" borderId="6" xfId="4495" applyNumberFormat="1" applyFont="1" applyBorder="1" applyAlignment="1">
      <alignment horizontal="right" vertical="center"/>
    </xf>
    <xf numFmtId="164" fontId="56" fillId="0" borderId="10" xfId="4495" applyNumberFormat="1" applyFont="1" applyBorder="1" applyAlignment="1">
      <alignment horizontal="right" vertical="center"/>
    </xf>
    <xf numFmtId="180" fontId="56" fillId="0" borderId="1" xfId="4495" applyNumberFormat="1" applyFont="1" applyBorder="1" applyAlignment="1">
      <alignment horizontal="center" vertical="center"/>
    </xf>
    <xf numFmtId="180" fontId="56" fillId="0" borderId="2" xfId="4495" applyNumberFormat="1" applyFont="1" applyBorder="1" applyAlignment="1">
      <alignment horizontal="center" vertical="center"/>
    </xf>
    <xf numFmtId="180" fontId="56" fillId="0" borderId="7" xfId="4495" applyNumberFormat="1" applyFont="1" applyBorder="1" applyAlignment="1">
      <alignment horizontal="center" vertical="center"/>
    </xf>
    <xf numFmtId="180" fontId="56" fillId="0" borderId="9" xfId="4495" applyNumberFormat="1" applyFont="1" applyBorder="1" applyAlignment="1">
      <alignment horizontal="center" vertical="center"/>
    </xf>
    <xf numFmtId="180" fontId="56" fillId="0" borderId="6" xfId="4495" applyNumberFormat="1" applyFont="1" applyBorder="1" applyAlignment="1">
      <alignment horizontal="center" vertical="center"/>
    </xf>
    <xf numFmtId="180" fontId="56" fillId="0" borderId="10" xfId="4495" applyNumberFormat="1" applyFont="1" applyBorder="1" applyAlignment="1">
      <alignment horizontal="center" vertical="center"/>
    </xf>
    <xf numFmtId="1" fontId="25" fillId="0" borderId="4" xfId="4495" applyNumberFormat="1" applyFont="1" applyBorder="1" applyAlignment="1">
      <alignment horizontal="center" wrapText="1"/>
    </xf>
    <xf numFmtId="0" fontId="18" fillId="0" borderId="50" xfId="4496" applyFont="1" applyBorder="1" applyAlignment="1">
      <alignment horizontal="left" wrapText="1"/>
    </xf>
    <xf numFmtId="0" fontId="18" fillId="0" borderId="51" xfId="4496" applyFont="1" applyBorder="1" applyAlignment="1">
      <alignment horizontal="left" wrapText="1"/>
    </xf>
    <xf numFmtId="0" fontId="18" fillId="0" borderId="52" xfId="4496" applyFont="1" applyBorder="1" applyAlignment="1">
      <alignment horizontal="left" wrapText="1"/>
    </xf>
    <xf numFmtId="0" fontId="18" fillId="0" borderId="53" xfId="4496" applyFont="1" applyBorder="1" applyAlignment="1">
      <alignment horizontal="left" wrapText="1"/>
    </xf>
    <xf numFmtId="0" fontId="18" fillId="0" borderId="0" xfId="4496" applyFont="1" applyAlignment="1">
      <alignment horizontal="left" wrapText="1"/>
    </xf>
    <xf numFmtId="0" fontId="18" fillId="0" borderId="54" xfId="4496" applyFont="1" applyBorder="1" applyAlignment="1">
      <alignment horizontal="left" wrapText="1"/>
    </xf>
    <xf numFmtId="0" fontId="18" fillId="0" borderId="57" xfId="4496" applyFont="1" applyBorder="1" applyAlignment="1">
      <alignment horizontal="left" wrapText="1"/>
    </xf>
    <xf numFmtId="0" fontId="18" fillId="0" borderId="58" xfId="4496" applyFont="1" applyBorder="1" applyAlignment="1">
      <alignment horizontal="left" wrapText="1"/>
    </xf>
    <xf numFmtId="0" fontId="18" fillId="0" borderId="59" xfId="4496" applyFont="1" applyBorder="1" applyAlignment="1">
      <alignment horizontal="left" wrapText="1"/>
    </xf>
    <xf numFmtId="1" fontId="18" fillId="0" borderId="4" xfId="4496" applyNumberFormat="1" applyFont="1" applyBorder="1" applyAlignment="1">
      <alignment horizontal="center"/>
    </xf>
    <xf numFmtId="1" fontId="18" fillId="0" borderId="5" xfId="4496" applyNumberFormat="1" applyFont="1" applyBorder="1" applyAlignment="1">
      <alignment horizontal="center"/>
    </xf>
    <xf numFmtId="49" fontId="24" fillId="3" borderId="2" xfId="4495" applyNumberFormat="1" applyFont="1" applyFill="1" applyBorder="1" applyAlignment="1">
      <alignment horizontal="center" vertical="center" wrapText="1"/>
    </xf>
    <xf numFmtId="49" fontId="24" fillId="3" borderId="2" xfId="4495" applyNumberFormat="1" applyFont="1" applyFill="1" applyBorder="1" applyAlignment="1">
      <alignment horizontal="center" vertical="center"/>
    </xf>
    <xf numFmtId="49" fontId="24" fillId="3" borderId="0" xfId="4495" applyNumberFormat="1" applyFont="1" applyFill="1" applyAlignment="1">
      <alignment horizontal="center" vertical="center"/>
    </xf>
    <xf numFmtId="0" fontId="25" fillId="0" borderId="1" xfId="4495" applyFont="1" applyBorder="1" applyAlignment="1">
      <alignment horizontal="center" wrapText="1"/>
    </xf>
    <xf numFmtId="0" fontId="25" fillId="0" borderId="2" xfId="4495" applyFont="1" applyBorder="1" applyAlignment="1">
      <alignment horizontal="center" wrapText="1"/>
    </xf>
    <xf numFmtId="0" fontId="25" fillId="0" borderId="7" xfId="4495" applyFont="1" applyBorder="1" applyAlignment="1">
      <alignment horizontal="center" wrapText="1"/>
    </xf>
    <xf numFmtId="0" fontId="25" fillId="0" borderId="9" xfId="4495" applyFont="1" applyBorder="1" applyAlignment="1">
      <alignment horizontal="center" wrapText="1"/>
    </xf>
    <xf numFmtId="0" fontId="25" fillId="0" borderId="6" xfId="4495" applyFont="1" applyBorder="1" applyAlignment="1">
      <alignment horizontal="center" wrapText="1"/>
    </xf>
    <xf numFmtId="0" fontId="25" fillId="0" borderId="10" xfId="4495" applyFont="1" applyBorder="1" applyAlignment="1">
      <alignment horizontal="center" wrapText="1"/>
    </xf>
    <xf numFmtId="0" fontId="25" fillId="0" borderId="0" xfId="4495" applyFont="1" applyAlignment="1">
      <alignment horizontal="center" vertical="top"/>
    </xf>
    <xf numFmtId="0" fontId="111" fillId="5" borderId="53" xfId="4495" applyFill="1" applyBorder="1" applyAlignment="1">
      <alignment horizontal="center"/>
    </xf>
    <xf numFmtId="0" fontId="111" fillId="5" borderId="0" xfId="4495" applyFill="1" applyAlignment="1">
      <alignment horizontal="center"/>
    </xf>
    <xf numFmtId="0" fontId="111" fillId="5" borderId="55" xfId="4495" applyFill="1" applyBorder="1" applyAlignment="1">
      <alignment horizontal="center"/>
    </xf>
    <xf numFmtId="0" fontId="111" fillId="5" borderId="6" xfId="4495" applyFill="1" applyBorder="1" applyAlignment="1">
      <alignment horizontal="center"/>
    </xf>
    <xf numFmtId="0" fontId="26" fillId="5" borderId="0" xfId="4495" applyFont="1" applyFill="1" applyAlignment="1">
      <alignment horizontal="left" vertical="top" wrapText="1"/>
    </xf>
    <xf numFmtId="0" fontId="26" fillId="5" borderId="58" xfId="4495" applyFont="1" applyFill="1" applyBorder="1" applyAlignment="1">
      <alignment horizontal="left" vertical="top" wrapText="1"/>
    </xf>
    <xf numFmtId="0" fontId="47" fillId="0" borderId="51" xfId="4495" applyFont="1" applyBorder="1" applyAlignment="1">
      <alignment horizontal="left" wrapText="1"/>
    </xf>
    <xf numFmtId="0" fontId="47" fillId="0" borderId="0" xfId="4495" applyFont="1" applyAlignment="1">
      <alignment horizontal="left" wrapText="1"/>
    </xf>
    <xf numFmtId="0" fontId="25" fillId="0" borderId="54" xfId="4495" applyFont="1" applyBorder="1" applyAlignment="1">
      <alignment horizontal="center" vertical="top"/>
    </xf>
    <xf numFmtId="0" fontId="121" fillId="0" borderId="0" xfId="4495" applyFont="1" applyAlignment="1">
      <alignment horizontal="left" vertical="center" wrapText="1"/>
    </xf>
    <xf numFmtId="0" fontId="25" fillId="0" borderId="0" xfId="4495" applyFont="1" applyAlignment="1">
      <alignment horizontal="left" vertical="top" wrapText="1"/>
    </xf>
    <xf numFmtId="0" fontId="18" fillId="0" borderId="0" xfId="4495" applyFont="1" applyAlignment="1">
      <alignment horizontal="left" vertical="top" wrapText="1" shrinkToFit="1"/>
    </xf>
    <xf numFmtId="44" fontId="18" fillId="0" borderId="0" xfId="707" applyFont="1" applyFill="1" applyBorder="1" applyAlignment="1" applyProtection="1">
      <alignment horizontal="left" vertical="top" wrapText="1"/>
    </xf>
    <xf numFmtId="0" fontId="18" fillId="0" borderId="0" xfId="4495" applyFont="1" applyAlignment="1">
      <alignment horizontal="left" vertical="center" wrapText="1" shrinkToFit="1"/>
    </xf>
    <xf numFmtId="0" fontId="18" fillId="5" borderId="6" xfId="4495" applyFont="1" applyFill="1" applyBorder="1" applyAlignment="1" applyProtection="1">
      <alignment horizontal="left" wrapText="1" shrinkToFit="1"/>
      <protection locked="0"/>
    </xf>
    <xf numFmtId="0" fontId="18" fillId="43" borderId="6" xfId="1192" applyFill="1" applyBorder="1" applyAlignment="1" applyProtection="1">
      <alignment horizontal="left" vertical="top"/>
      <protection locked="0"/>
    </xf>
    <xf numFmtId="0" fontId="148" fillId="0" borderId="0" xfId="0" applyFont="1" applyAlignment="1" applyProtection="1">
      <alignment horizontal="left"/>
      <protection locked="0"/>
    </xf>
    <xf numFmtId="168" fontId="147" fillId="0" borderId="0" xfId="0" applyNumberFormat="1" applyFont="1" applyAlignment="1">
      <alignment horizontal="center" vertical="top" wrapText="1"/>
    </xf>
    <xf numFmtId="168" fontId="147" fillId="0" borderId="12" xfId="0" applyNumberFormat="1" applyFont="1" applyBorder="1" applyAlignment="1">
      <alignment horizontal="center" vertical="top" wrapText="1"/>
    </xf>
    <xf numFmtId="0" fontId="18" fillId="0" borderId="50" xfId="4495" applyFont="1" applyBorder="1" applyAlignment="1">
      <alignment horizontal="left" vertical="center" wrapText="1"/>
    </xf>
    <xf numFmtId="0" fontId="18" fillId="0" borderId="51" xfId="4495" applyFont="1" applyBorder="1" applyAlignment="1">
      <alignment horizontal="left" vertical="center" wrapText="1"/>
    </xf>
    <xf numFmtId="0" fontId="18" fillId="0" borderId="52" xfId="4495" applyFont="1" applyBorder="1" applyAlignment="1">
      <alignment horizontal="left" vertical="center" wrapText="1"/>
    </xf>
    <xf numFmtId="0" fontId="18" fillId="0" borderId="53" xfId="4495" applyFont="1" applyBorder="1" applyAlignment="1">
      <alignment horizontal="left" vertical="center" wrapText="1"/>
    </xf>
    <xf numFmtId="0" fontId="18" fillId="0" borderId="0" xfId="4495" applyFont="1" applyAlignment="1">
      <alignment horizontal="left" vertical="center" wrapText="1"/>
    </xf>
    <xf numFmtId="0" fontId="18" fillId="0" borderId="54" xfId="4495" applyFont="1" applyBorder="1" applyAlignment="1">
      <alignment horizontal="left" vertical="center" wrapText="1"/>
    </xf>
    <xf numFmtId="0" fontId="18" fillId="43" borderId="53" xfId="4495" applyFont="1" applyFill="1" applyBorder="1" applyAlignment="1" applyProtection="1">
      <alignment vertical="top" wrapText="1"/>
      <protection locked="0"/>
    </xf>
    <xf numFmtId="0" fontId="18" fillId="43" borderId="0" xfId="4495" applyFont="1" applyFill="1" applyAlignment="1" applyProtection="1">
      <alignment vertical="top" wrapText="1"/>
      <protection locked="0"/>
    </xf>
    <xf numFmtId="0" fontId="18" fillId="43" borderId="54" xfId="4495" applyFont="1" applyFill="1" applyBorder="1" applyAlignment="1" applyProtection="1">
      <alignment vertical="top" wrapText="1"/>
      <protection locked="0"/>
    </xf>
    <xf numFmtId="0" fontId="18" fillId="43" borderId="55" xfId="4495" applyFont="1" applyFill="1" applyBorder="1" applyAlignment="1" applyProtection="1">
      <alignment vertical="top" wrapText="1"/>
      <protection locked="0"/>
    </xf>
    <xf numFmtId="0" fontId="18" fillId="43" borderId="6" xfId="4495" applyFont="1" applyFill="1" applyBorder="1" applyAlignment="1" applyProtection="1">
      <alignment vertical="top" wrapText="1"/>
      <protection locked="0"/>
    </xf>
    <xf numFmtId="0" fontId="18" fillId="43" borderId="56" xfId="4495" applyFont="1" applyFill="1" applyBorder="1" applyAlignment="1" applyProtection="1">
      <alignment vertical="top" wrapText="1"/>
      <protection locked="0"/>
    </xf>
    <xf numFmtId="0" fontId="18" fillId="43" borderId="0" xfId="4495" applyFont="1" applyFill="1" applyAlignment="1" applyProtection="1">
      <alignment horizontal="left" vertical="center" wrapText="1"/>
      <protection locked="0"/>
    </xf>
    <xf numFmtId="0" fontId="18" fillId="43" borderId="54" xfId="4495" applyFont="1" applyFill="1" applyBorder="1" applyAlignment="1" applyProtection="1">
      <alignment horizontal="left" vertical="center" wrapText="1"/>
      <protection locked="0"/>
    </xf>
    <xf numFmtId="0" fontId="18" fillId="43" borderId="6" xfId="4495" applyFont="1" applyFill="1" applyBorder="1" applyAlignment="1" applyProtection="1">
      <alignment horizontal="left" vertical="center" wrapText="1"/>
      <protection locked="0"/>
    </xf>
    <xf numFmtId="0" fontId="18" fillId="43" borderId="56" xfId="4495" applyFont="1" applyFill="1" applyBorder="1" applyAlignment="1" applyProtection="1">
      <alignment horizontal="left" vertical="center" wrapText="1"/>
      <protection locked="0"/>
    </xf>
    <xf numFmtId="0" fontId="111" fillId="5" borderId="62" xfId="4495" applyFill="1" applyBorder="1" applyAlignment="1" applyProtection="1">
      <alignment horizontal="center"/>
      <protection locked="0"/>
    </xf>
    <xf numFmtId="0" fontId="111" fillId="5" borderId="63" xfId="4495" applyFill="1" applyBorder="1" applyAlignment="1" applyProtection="1">
      <alignment horizontal="center"/>
      <protection locked="0"/>
    </xf>
    <xf numFmtId="0" fontId="18" fillId="0" borderId="59" xfId="4495" applyFont="1" applyBorder="1" applyAlignment="1">
      <alignment horizontal="left" vertical="top" wrapText="1"/>
    </xf>
    <xf numFmtId="0" fontId="18" fillId="0" borderId="4" xfId="4496" applyFont="1" applyBorder="1" applyAlignment="1">
      <alignment horizontal="center"/>
    </xf>
    <xf numFmtId="0" fontId="18" fillId="0" borderId="5" xfId="4496" applyFont="1" applyBorder="1" applyAlignment="1">
      <alignment horizontal="center"/>
    </xf>
    <xf numFmtId="0" fontId="18" fillId="0" borderId="50" xfId="4495" applyFont="1" applyBorder="1" applyAlignment="1">
      <alignment horizontal="left" vertical="top" wrapText="1"/>
    </xf>
    <xf numFmtId="0" fontId="18" fillId="0" borderId="51" xfId="4495" applyFont="1" applyBorder="1" applyAlignment="1">
      <alignment horizontal="left" vertical="top" wrapText="1"/>
    </xf>
    <xf numFmtId="0" fontId="18" fillId="0" borderId="52" xfId="4495" applyFont="1" applyBorder="1" applyAlignment="1">
      <alignment horizontal="left" vertical="top" wrapText="1"/>
    </xf>
    <xf numFmtId="0" fontId="25" fillId="0" borderId="0" xfId="4495" applyFont="1"/>
    <xf numFmtId="0" fontId="18" fillId="0" borderId="57" xfId="4495" applyFont="1" applyBorder="1" applyAlignment="1">
      <alignment horizontal="left" vertical="center" wrapText="1"/>
    </xf>
    <xf numFmtId="0" fontId="18" fillId="0" borderId="58" xfId="4495" applyFont="1" applyBorder="1" applyAlignment="1">
      <alignment horizontal="left" vertical="center" wrapText="1"/>
    </xf>
    <xf numFmtId="0" fontId="18" fillId="0" borderId="59" xfId="4495" applyFont="1" applyBorder="1" applyAlignment="1">
      <alignment horizontal="left" vertical="center" wrapText="1"/>
    </xf>
    <xf numFmtId="0" fontId="25" fillId="0" borderId="0" xfId="4495" applyFont="1" applyAlignment="1">
      <alignment horizontal="left" vertical="top"/>
    </xf>
    <xf numFmtId="0" fontId="111" fillId="0" borderId="0" xfId="4495" applyAlignment="1" applyProtection="1">
      <alignment horizontal="center"/>
      <protection locked="0"/>
    </xf>
    <xf numFmtId="9" fontId="18" fillId="0" borderId="4" xfId="543" applyNumberFormat="1" applyBorder="1" applyAlignment="1">
      <alignment horizontal="center"/>
    </xf>
    <xf numFmtId="168" fontId="18" fillId="0" borderId="6" xfId="4495" applyNumberFormat="1" applyFont="1" applyBorder="1" applyAlignment="1">
      <alignment horizontal="right"/>
    </xf>
    <xf numFmtId="168" fontId="109" fillId="0" borderId="6" xfId="4495" applyNumberFormat="1" applyFont="1" applyBorder="1" applyAlignment="1">
      <alignment horizontal="right"/>
    </xf>
    <xf numFmtId="168" fontId="18" fillId="43" borderId="6" xfId="4495" applyNumberFormat="1" applyFont="1" applyFill="1" applyBorder="1" applyAlignment="1" applyProtection="1">
      <alignment horizontal="right"/>
      <protection locked="0"/>
    </xf>
    <xf numFmtId="6" fontId="18" fillId="0" borderId="3" xfId="1192" applyNumberFormat="1" applyBorder="1" applyAlignment="1">
      <alignment horizontal="right"/>
    </xf>
    <xf numFmtId="6" fontId="18" fillId="0" borderId="4" xfId="1192" applyNumberFormat="1" applyBorder="1" applyAlignment="1">
      <alignment horizontal="right"/>
    </xf>
    <xf numFmtId="6" fontId="18" fillId="0" borderId="5" xfId="1192" applyNumberFormat="1" applyBorder="1" applyAlignment="1">
      <alignment horizontal="right"/>
    </xf>
    <xf numFmtId="168" fontId="18" fillId="0" borderId="4" xfId="4495" applyNumberFormat="1" applyFont="1" applyBorder="1" applyAlignment="1">
      <alignment horizontal="right"/>
    </xf>
    <xf numFmtId="165" fontId="18" fillId="43" borderId="3" xfId="4495" applyNumberFormat="1" applyFont="1" applyFill="1" applyBorder="1" applyAlignment="1" applyProtection="1">
      <alignment horizontal="center"/>
      <protection locked="0"/>
    </xf>
    <xf numFmtId="165" fontId="18" fillId="43" borderId="4" xfId="4495" applyNumberFormat="1" applyFont="1" applyFill="1" applyBorder="1" applyAlignment="1" applyProtection="1">
      <alignment horizontal="center"/>
      <protection locked="0"/>
    </xf>
    <xf numFmtId="165" fontId="18" fillId="43" borderId="5" xfId="4495" applyNumberFormat="1" applyFont="1" applyFill="1" applyBorder="1" applyAlignment="1" applyProtection="1">
      <alignment horizontal="center"/>
      <protection locked="0"/>
    </xf>
    <xf numFmtId="165" fontId="18" fillId="0" borderId="6" xfId="1192" applyNumberFormat="1" applyBorder="1" applyAlignment="1">
      <alignment horizontal="right"/>
    </xf>
    <xf numFmtId="168" fontId="18" fillId="0" borderId="2" xfId="1192" applyNumberFormat="1" applyBorder="1" applyAlignment="1">
      <alignment horizontal="right"/>
    </xf>
    <xf numFmtId="0" fontId="18" fillId="5" borderId="6" xfId="1192" applyFill="1" applyBorder="1" applyAlignment="1" applyProtection="1">
      <alignment horizontal="left"/>
      <protection locked="0"/>
    </xf>
    <xf numFmtId="165" fontId="18" fillId="0" borderId="0" xfId="1192" applyNumberFormat="1" applyAlignment="1">
      <alignment horizontal="right"/>
    </xf>
    <xf numFmtId="2" fontId="18" fillId="0" borderId="0" xfId="1192" applyNumberFormat="1" applyAlignment="1">
      <alignment horizontal="right"/>
    </xf>
    <xf numFmtId="1" fontId="18" fillId="0" borderId="3" xfId="4495" applyNumberFormat="1" applyFont="1" applyBorder="1" applyAlignment="1">
      <alignment horizontal="center"/>
    </xf>
    <xf numFmtId="1" fontId="18" fillId="0" borderId="4" xfId="4495" applyNumberFormat="1" applyFont="1" applyBorder="1" applyAlignment="1">
      <alignment horizontal="center"/>
    </xf>
    <xf numFmtId="1" fontId="18" fillId="0" borderId="5" xfId="4495" applyNumberFormat="1" applyFont="1" applyBorder="1" applyAlignment="1">
      <alignment horizontal="center"/>
    </xf>
    <xf numFmtId="0" fontId="26" fillId="5" borderId="6" xfId="4495" applyFont="1" applyFill="1" applyBorder="1" applyAlignment="1" applyProtection="1">
      <alignment horizontal="left"/>
      <protection locked="0"/>
    </xf>
    <xf numFmtId="0" fontId="18" fillId="5" borderId="6" xfId="4495" applyFont="1" applyFill="1" applyBorder="1" applyAlignment="1" applyProtection="1">
      <alignment horizontal="left"/>
      <protection locked="0"/>
    </xf>
    <xf numFmtId="0" fontId="47" fillId="5" borderId="6" xfId="4495" applyFont="1" applyFill="1" applyBorder="1" applyAlignment="1" applyProtection="1">
      <alignment horizontal="left"/>
      <protection locked="0"/>
    </xf>
    <xf numFmtId="0" fontId="18" fillId="44" borderId="6" xfId="4495" applyFont="1" applyFill="1" applyBorder="1" applyAlignment="1">
      <alignment horizontal="left"/>
    </xf>
    <xf numFmtId="0" fontId="18" fillId="0" borderId="0" xfId="1192" applyAlignment="1">
      <alignment horizontal="right"/>
    </xf>
    <xf numFmtId="9" fontId="18" fillId="0" borderId="6" xfId="1192" applyNumberFormat="1" applyBorder="1" applyAlignment="1">
      <alignment horizontal="center"/>
    </xf>
    <xf numFmtId="9" fontId="18" fillId="0" borderId="6" xfId="1192" quotePrefix="1" applyNumberFormat="1" applyBorder="1" applyAlignment="1">
      <alignment horizontal="center"/>
    </xf>
    <xf numFmtId="9" fontId="18" fillId="0" borderId="0" xfId="1192" quotePrefix="1" applyNumberFormat="1" applyAlignment="1">
      <alignment horizontal="center"/>
    </xf>
    <xf numFmtId="1" fontId="18" fillId="5" borderId="4" xfId="1192" applyNumberFormat="1" applyFill="1" applyBorder="1" applyAlignment="1" applyProtection="1">
      <alignment horizontal="center"/>
      <protection locked="0"/>
    </xf>
    <xf numFmtId="0" fontId="18" fillId="0" borderId="6" xfId="1192" applyBorder="1" applyAlignment="1">
      <alignment horizontal="left"/>
    </xf>
    <xf numFmtId="1" fontId="113" fillId="0" borderId="55" xfId="4496" applyNumberFormat="1" applyFont="1" applyBorder="1" applyAlignment="1">
      <alignment horizontal="center" vertical="top" wrapText="1"/>
    </xf>
    <xf numFmtId="1" fontId="113" fillId="0" borderId="6" xfId="4496" applyNumberFormat="1" applyFont="1" applyBorder="1" applyAlignment="1">
      <alignment horizontal="center" vertical="top" wrapText="1"/>
    </xf>
    <xf numFmtId="165" fontId="113" fillId="0" borderId="55" xfId="4496" applyNumberFormat="1" applyFont="1" applyBorder="1" applyAlignment="1">
      <alignment horizontal="center" vertical="top" wrapText="1"/>
    </xf>
    <xf numFmtId="165" fontId="113" fillId="0" borderId="6" xfId="4496" applyNumberFormat="1" applyFont="1" applyBorder="1" applyAlignment="1">
      <alignment horizontal="center" vertical="top" wrapText="1"/>
    </xf>
    <xf numFmtId="168" fontId="113" fillId="43" borderId="55" xfId="4496" applyNumberFormat="1" applyFont="1" applyFill="1" applyBorder="1" applyAlignment="1" applyProtection="1">
      <alignment horizontal="center" vertical="top" wrapText="1"/>
      <protection locked="0"/>
    </xf>
    <xf numFmtId="168" fontId="113" fillId="43" borderId="6" xfId="4496" applyNumberFormat="1" applyFont="1" applyFill="1" applyBorder="1" applyAlignment="1" applyProtection="1">
      <alignment horizontal="center" vertical="top" wrapText="1"/>
      <protection locked="0"/>
    </xf>
    <xf numFmtId="0" fontId="113" fillId="0" borderId="50" xfId="4496" applyFont="1" applyBorder="1" applyAlignment="1">
      <alignment horizontal="left" vertical="top" wrapText="1"/>
    </xf>
    <xf numFmtId="0" fontId="113" fillId="0" borderId="51" xfId="4496" applyFont="1" applyBorder="1" applyAlignment="1">
      <alignment horizontal="left" vertical="top" wrapText="1"/>
    </xf>
    <xf numFmtId="0" fontId="113" fillId="0" borderId="52" xfId="4496" applyFont="1" applyBorder="1" applyAlignment="1">
      <alignment horizontal="left" vertical="top" wrapText="1"/>
    </xf>
    <xf numFmtId="0" fontId="113" fillId="0" borderId="53" xfId="4496" applyFont="1" applyBorder="1" applyAlignment="1">
      <alignment horizontal="left" vertical="top" wrapText="1"/>
    </xf>
    <xf numFmtId="0" fontId="113" fillId="0" borderId="0" xfId="4496" applyFont="1" applyAlignment="1">
      <alignment horizontal="left" vertical="top" wrapText="1"/>
    </xf>
    <xf numFmtId="0" fontId="113" fillId="0" borderId="54" xfId="4496" applyFont="1" applyBorder="1" applyAlignment="1">
      <alignment horizontal="left" vertical="top" wrapText="1"/>
    </xf>
    <xf numFmtId="168" fontId="113" fillId="0" borderId="55" xfId="4496" applyNumberFormat="1" applyFont="1" applyBorder="1" applyAlignment="1">
      <alignment horizontal="center" vertical="top"/>
    </xf>
    <xf numFmtId="168" fontId="113" fillId="0" borderId="6" xfId="4496" applyNumberFormat="1" applyFont="1" applyBorder="1" applyAlignment="1">
      <alignment horizontal="center" vertical="top"/>
    </xf>
    <xf numFmtId="0" fontId="113" fillId="5" borderId="6" xfId="4496" applyFont="1" applyFill="1" applyBorder="1" applyAlignment="1" applyProtection="1">
      <alignment horizontal="center"/>
      <protection locked="0"/>
    </xf>
    <xf numFmtId="10" fontId="113" fillId="0" borderId="3" xfId="4496" applyNumberFormat="1" applyFont="1" applyBorder="1" applyAlignment="1">
      <alignment horizontal="center" vertical="top" wrapText="1"/>
    </xf>
    <xf numFmtId="10" fontId="113" fillId="0" borderId="4" xfId="4496" applyNumberFormat="1" applyFont="1" applyBorder="1" applyAlignment="1">
      <alignment horizontal="center" vertical="top" wrapText="1"/>
    </xf>
    <xf numFmtId="10" fontId="113" fillId="0" borderId="5" xfId="4496" applyNumberFormat="1" applyFont="1" applyBorder="1" applyAlignment="1">
      <alignment horizontal="center" vertical="top" wrapText="1"/>
    </xf>
    <xf numFmtId="0" fontId="113" fillId="0" borderId="55" xfId="4496" applyFont="1" applyBorder="1" applyAlignment="1">
      <alignment horizontal="center" vertical="top" wrapText="1"/>
    </xf>
    <xf numFmtId="0" fontId="113" fillId="0" borderId="6" xfId="4496" applyFont="1" applyBorder="1" applyAlignment="1">
      <alignment horizontal="center" vertical="top" wrapText="1"/>
    </xf>
    <xf numFmtId="0" fontId="24" fillId="3" borderId="2" xfId="4495" applyFont="1" applyFill="1" applyBorder="1" applyAlignment="1">
      <alignment horizontal="center" vertical="center"/>
    </xf>
    <xf numFmtId="0" fontId="24" fillId="3" borderId="16" xfId="4495" applyFont="1" applyFill="1" applyBorder="1" applyAlignment="1">
      <alignment horizontal="center" vertical="center"/>
    </xf>
    <xf numFmtId="0" fontId="25" fillId="0" borderId="48" xfId="4495" applyFont="1" applyBorder="1" applyAlignment="1">
      <alignment horizontal="left" vertical="top"/>
    </xf>
    <xf numFmtId="0" fontId="25" fillId="0" borderId="49" xfId="4495" applyFont="1" applyBorder="1" applyAlignment="1">
      <alignment horizontal="left" vertical="top"/>
    </xf>
    <xf numFmtId="0" fontId="18" fillId="0" borderId="50" xfId="4495" applyFont="1" applyBorder="1" applyAlignment="1">
      <alignment vertical="center" wrapText="1"/>
    </xf>
    <xf numFmtId="0" fontId="18" fillId="0" borderId="51" xfId="4495" applyFont="1" applyBorder="1" applyAlignment="1">
      <alignment vertical="center" wrapText="1"/>
    </xf>
    <xf numFmtId="0" fontId="18" fillId="0" borderId="52" xfId="4495" applyFont="1" applyBorder="1" applyAlignment="1">
      <alignment vertical="center" wrapText="1"/>
    </xf>
    <xf numFmtId="0" fontId="18" fillId="0" borderId="57" xfId="4495" applyFont="1" applyBorder="1" applyAlignment="1">
      <alignment vertical="center" wrapText="1"/>
    </xf>
    <xf numFmtId="0" fontId="18" fillId="0" borderId="58" xfId="4495" applyFont="1" applyBorder="1" applyAlignment="1">
      <alignment vertical="center" wrapText="1"/>
    </xf>
    <xf numFmtId="0" fontId="18" fillId="0" borderId="59" xfId="4495" applyFont="1" applyBorder="1" applyAlignment="1">
      <alignment vertical="center" wrapText="1"/>
    </xf>
    <xf numFmtId="0" fontId="113" fillId="43" borderId="55" xfId="4496" applyFont="1" applyFill="1" applyBorder="1" applyAlignment="1" applyProtection="1">
      <alignment horizontal="left" vertical="top" wrapText="1"/>
      <protection locked="0"/>
    </xf>
    <xf numFmtId="0" fontId="113" fillId="43" borderId="6" xfId="4496" applyFont="1" applyFill="1" applyBorder="1" applyAlignment="1" applyProtection="1">
      <alignment horizontal="left" vertical="top" wrapText="1"/>
      <protection locked="0"/>
    </xf>
    <xf numFmtId="0" fontId="113" fillId="43" borderId="56" xfId="4496" applyFont="1" applyFill="1" applyBorder="1" applyAlignment="1" applyProtection="1">
      <alignment horizontal="left" vertical="top" wrapText="1"/>
      <protection locked="0"/>
    </xf>
    <xf numFmtId="165" fontId="113" fillId="0" borderId="60" xfId="4496" applyNumberFormat="1" applyFont="1" applyBorder="1" applyAlignment="1">
      <alignment horizontal="center" vertical="top" wrapText="1"/>
    </xf>
    <xf numFmtId="0" fontId="113" fillId="5" borderId="60" xfId="4496" applyFont="1" applyFill="1" applyBorder="1" applyAlignment="1" applyProtection="1">
      <alignment horizontal="center"/>
      <protection locked="0"/>
    </xf>
    <xf numFmtId="0" fontId="113" fillId="5" borderId="4" xfId="4496" applyFont="1" applyFill="1" applyBorder="1" applyAlignment="1" applyProtection="1">
      <alignment horizontal="center"/>
      <protection locked="0"/>
    </xf>
    <xf numFmtId="0" fontId="113" fillId="0" borderId="57" xfId="4496" applyFont="1" applyBorder="1" applyAlignment="1">
      <alignment horizontal="left" vertical="top" wrapText="1"/>
    </xf>
    <xf numFmtId="0" fontId="113" fillId="0" borderId="58" xfId="4496" applyFont="1" applyBorder="1" applyAlignment="1">
      <alignment horizontal="left" vertical="top" wrapText="1"/>
    </xf>
    <xf numFmtId="0" fontId="113" fillId="0" borderId="59" xfId="4496" applyFont="1" applyBorder="1" applyAlignment="1">
      <alignment horizontal="left" vertical="top" wrapText="1"/>
    </xf>
    <xf numFmtId="0" fontId="113" fillId="5" borderId="55" xfId="4496" applyFont="1" applyFill="1" applyBorder="1" applyAlignment="1" applyProtection="1">
      <alignment horizontal="center"/>
      <protection locked="0"/>
    </xf>
    <xf numFmtId="0" fontId="113" fillId="0" borderId="47" xfId="4496" applyFont="1" applyBorder="1"/>
    <xf numFmtId="0" fontId="113" fillId="0" borderId="48" xfId="4496" applyFont="1" applyBorder="1"/>
    <xf numFmtId="0" fontId="113" fillId="0" borderId="49" xfId="4496" applyFont="1" applyBorder="1"/>
    <xf numFmtId="0" fontId="18" fillId="0" borderId="47" xfId="4495" applyFont="1" applyBorder="1" applyAlignment="1">
      <alignment horizontal="left" vertical="center" wrapText="1"/>
    </xf>
    <xf numFmtId="0" fontId="18" fillId="0" borderId="48" xfId="4495" applyFont="1" applyBorder="1" applyAlignment="1">
      <alignment horizontal="left" vertical="center" wrapText="1"/>
    </xf>
    <xf numFmtId="0" fontId="18" fillId="0" borderId="49" xfId="4495" applyFont="1" applyBorder="1" applyAlignment="1">
      <alignment horizontal="left" vertical="center" wrapText="1"/>
    </xf>
    <xf numFmtId="0" fontId="89" fillId="0" borderId="3" xfId="4496" applyFont="1" applyBorder="1" applyAlignment="1">
      <alignment horizontal="left" indent="2"/>
    </xf>
    <xf numFmtId="0" fontId="89" fillId="0" borderId="4" xfId="4496" applyFont="1" applyBorder="1" applyAlignment="1">
      <alignment horizontal="left" indent="2"/>
    </xf>
    <xf numFmtId="0" fontId="89" fillId="0" borderId="5" xfId="4496" applyFont="1" applyBorder="1" applyAlignment="1">
      <alignment horizontal="left" indent="2"/>
    </xf>
    <xf numFmtId="9" fontId="128" fillId="45" borderId="3" xfId="4499" applyFont="1" applyFill="1" applyBorder="1" applyAlignment="1" applyProtection="1">
      <alignment horizontal="center" vertical="center"/>
    </xf>
    <xf numFmtId="9" fontId="128" fillId="45" borderId="4" xfId="4499" applyFont="1" applyFill="1" applyBorder="1" applyAlignment="1" applyProtection="1">
      <alignment horizontal="center" vertical="center"/>
    </xf>
    <xf numFmtId="9" fontId="128" fillId="45" borderId="5" xfId="4499" applyFont="1" applyFill="1" applyBorder="1" applyAlignment="1" applyProtection="1">
      <alignment horizontal="center" vertical="center"/>
    </xf>
    <xf numFmtId="0" fontId="89" fillId="0" borderId="0" xfId="4496" applyFont="1" applyAlignment="1">
      <alignment wrapText="1"/>
    </xf>
    <xf numFmtId="49" fontId="89" fillId="45" borderId="15" xfId="4496" applyNumberFormat="1" applyFont="1" applyFill="1" applyBorder="1" applyAlignment="1">
      <alignment horizontal="center" vertical="center" wrapText="1"/>
    </xf>
    <xf numFmtId="49" fontId="89" fillId="45" borderId="13" xfId="4496" applyNumberFormat="1" applyFont="1" applyFill="1" applyBorder="1" applyAlignment="1">
      <alignment horizontal="center" vertical="center" wrapText="1"/>
    </xf>
    <xf numFmtId="0" fontId="128" fillId="0" borderId="75" xfId="4496" applyFont="1" applyBorder="1" applyAlignment="1">
      <alignment horizontal="center" vertical="top" wrapText="1"/>
    </xf>
    <xf numFmtId="0" fontId="128" fillId="0" borderId="74" xfId="4496" applyFont="1" applyBorder="1" applyAlignment="1">
      <alignment horizontal="center" vertical="top" wrapText="1"/>
    </xf>
    <xf numFmtId="0" fontId="89" fillId="0" borderId="0" xfId="4496" applyFont="1" applyAlignment="1">
      <alignment horizontal="left" wrapText="1"/>
    </xf>
    <xf numFmtId="0" fontId="89" fillId="0" borderId="0" xfId="4496" applyFont="1" applyAlignment="1">
      <alignment horizontal="center" vertical="center" wrapText="1"/>
    </xf>
    <xf numFmtId="0" fontId="89" fillId="43" borderId="0" xfId="4496" applyFont="1" applyFill="1" applyAlignment="1" applyProtection="1">
      <alignment horizontal="left" vertical="top" wrapText="1"/>
      <protection locked="0"/>
    </xf>
    <xf numFmtId="0" fontId="89" fillId="43" borderId="6" xfId="4496" applyFont="1" applyFill="1" applyBorder="1" applyAlignment="1" applyProtection="1">
      <alignment horizontal="left" vertical="top" wrapText="1"/>
      <protection locked="0"/>
    </xf>
    <xf numFmtId="168" fontId="89" fillId="0" borderId="13" xfId="4499" applyNumberFormat="1" applyFont="1" applyFill="1" applyBorder="1" applyAlignment="1" applyProtection="1">
      <alignment horizontal="left" vertical="center" indent="1"/>
    </xf>
    <xf numFmtId="168" fontId="89" fillId="0" borderId="114" xfId="4499" applyNumberFormat="1" applyFont="1" applyFill="1" applyBorder="1" applyAlignment="1" applyProtection="1">
      <alignment horizontal="left" vertical="center" indent="1"/>
    </xf>
    <xf numFmtId="0" fontId="89" fillId="0" borderId="3" xfId="4496" applyFont="1" applyBorder="1" applyAlignment="1">
      <alignment horizontal="left" indent="1"/>
    </xf>
    <xf numFmtId="0" fontId="89" fillId="0" borderId="4" xfId="4496" applyFont="1" applyBorder="1" applyAlignment="1">
      <alignment horizontal="left" indent="1"/>
    </xf>
    <xf numFmtId="0" fontId="89" fillId="0" borderId="5" xfId="4496" applyFont="1" applyBorder="1" applyAlignment="1">
      <alignment horizontal="left" indent="1"/>
    </xf>
    <xf numFmtId="0" fontId="89" fillId="0" borderId="67" xfId="4496" applyFont="1" applyBorder="1" applyAlignment="1">
      <alignment horizontal="right"/>
    </xf>
    <xf numFmtId="0" fontId="89" fillId="0" borderId="68" xfId="4496" applyFont="1" applyBorder="1" applyAlignment="1">
      <alignment horizontal="right"/>
    </xf>
    <xf numFmtId="0" fontId="89" fillId="0" borderId="0" xfId="4496" applyFont="1" applyAlignment="1">
      <alignment horizontal="left" wrapText="1" indent="1"/>
    </xf>
    <xf numFmtId="49" fontId="127" fillId="3" borderId="0" xfId="1192" applyNumberFormat="1" applyFont="1" applyFill="1" applyAlignment="1">
      <alignment horizontal="center" vertical="center"/>
    </xf>
    <xf numFmtId="0" fontId="89" fillId="0" borderId="114" xfId="4496" applyFont="1" applyBorder="1" applyAlignment="1">
      <alignment horizontal="left" indent="1"/>
    </xf>
    <xf numFmtId="0" fontId="89" fillId="0" borderId="114" xfId="4496" applyFont="1" applyBorder="1" applyAlignment="1">
      <alignment horizontal="left" indent="2"/>
    </xf>
    <xf numFmtId="0" fontId="128" fillId="45" borderId="3" xfId="4496" applyFont="1" applyFill="1" applyBorder="1" applyAlignment="1">
      <alignment horizontal="center" vertical="center"/>
    </xf>
    <xf numFmtId="0" fontId="128" fillId="45" borderId="4" xfId="4496" applyFont="1" applyFill="1" applyBorder="1" applyAlignment="1">
      <alignment horizontal="center" vertical="center"/>
    </xf>
    <xf numFmtId="0" fontId="128" fillId="45" borderId="5" xfId="4496" applyFont="1" applyFill="1" applyBorder="1" applyAlignment="1">
      <alignment horizontal="center" vertical="center"/>
    </xf>
    <xf numFmtId="0" fontId="128" fillId="0" borderId="68" xfId="4496" applyFont="1" applyBorder="1" applyAlignment="1">
      <alignment horizontal="left" indent="1"/>
    </xf>
    <xf numFmtId="168" fontId="89" fillId="0" borderId="70" xfId="4499" applyNumberFormat="1" applyFont="1" applyFill="1" applyBorder="1" applyAlignment="1" applyProtection="1">
      <alignment horizontal="left" vertical="center" indent="1"/>
    </xf>
    <xf numFmtId="0" fontId="89" fillId="0" borderId="72" xfId="4496" applyFont="1" applyBorder="1" applyAlignment="1">
      <alignment horizontal="right"/>
    </xf>
    <xf numFmtId="0" fontId="89" fillId="0" borderId="114" xfId="4496" applyFont="1" applyBorder="1" applyAlignment="1">
      <alignment horizontal="right"/>
    </xf>
    <xf numFmtId="0" fontId="89" fillId="0" borderId="69" xfId="4496" applyFont="1" applyBorder="1" applyAlignment="1">
      <alignment horizontal="right"/>
    </xf>
    <xf numFmtId="0" fontId="89" fillId="0" borderId="70" xfId="4496" applyFont="1" applyBorder="1" applyAlignment="1">
      <alignment horizontal="right"/>
    </xf>
    <xf numFmtId="0" fontId="89" fillId="0" borderId="114" xfId="4496" applyFont="1" applyBorder="1"/>
    <xf numFmtId="0" fontId="89" fillId="0" borderId="76" xfId="4496" applyFont="1" applyBorder="1"/>
    <xf numFmtId="0" fontId="89" fillId="0" borderId="70" xfId="4496" applyFont="1" applyBorder="1"/>
    <xf numFmtId="0" fontId="89" fillId="0" borderId="77" xfId="4496" applyFont="1" applyBorder="1"/>
    <xf numFmtId="0" fontId="89" fillId="0" borderId="68" xfId="4496" applyFont="1" applyBorder="1"/>
    <xf numFmtId="0" fontId="89" fillId="0" borderId="71" xfId="4496" applyFont="1" applyBorder="1"/>
    <xf numFmtId="0" fontId="23" fillId="0" borderId="6" xfId="271" applyFont="1" applyBorder="1" applyAlignment="1">
      <alignment horizontal="center"/>
    </xf>
    <xf numFmtId="0" fontId="23" fillId="0" borderId="0" xfId="0" applyFont="1" applyAlignment="1" applyProtection="1">
      <alignment wrapText="1"/>
      <protection locked="0"/>
    </xf>
    <xf numFmtId="3" fontId="18" fillId="0" borderId="0" xfId="0" applyNumberFormat="1" applyFont="1" applyAlignment="1">
      <alignment horizontal="left" vertical="top" wrapText="1"/>
    </xf>
    <xf numFmtId="0" fontId="18" fillId="43" borderId="0" xfId="0" applyFont="1" applyFill="1" applyAlignment="1">
      <alignment horizontal="left"/>
    </xf>
  </cellXfs>
  <cellStyles count="25886">
    <cellStyle name="01 #" xfId="25684" xr:uid="{B1B1B4FB-8B72-4FA8-8BE3-A17181C3476A}"/>
    <cellStyle name="01 # 2" xfId="25686" xr:uid="{CBBE6959-6C4D-4750-8338-3F4E71CFD79B}"/>
    <cellStyle name="01 # 2 2" xfId="25839" xr:uid="{332CEBC3-A56D-47BC-BEA4-6D8A4A4050A5}"/>
    <cellStyle name="01 # 2 3" xfId="25859" xr:uid="{5635832F-3BF5-477E-838B-518449C1654B}"/>
    <cellStyle name="01 # 3" xfId="25838" xr:uid="{4CD20B51-CE1E-4A02-A714-BDFED95B9B33}"/>
    <cellStyle name="01 # 4" xfId="25860" xr:uid="{8907C817-AEB0-4F8A-A285-B79C9801166C}"/>
    <cellStyle name="01 #_Dropdowns" xfId="25685" xr:uid="{AC6F5895-DEB0-4CCE-8BED-FC43E53AD547}"/>
    <cellStyle name="01 $" xfId="25687" xr:uid="{D7F16184-D173-444B-8668-1D3EAE3E6932}"/>
    <cellStyle name="01 $ 2" xfId="25688" xr:uid="{36D4B9FC-740F-4910-A183-CEEB4222463D}"/>
    <cellStyle name="01 $ 2 2" xfId="25841" xr:uid="{279742AD-B9C9-4187-A610-CBB8748575F5}"/>
    <cellStyle name="01 $ 2 3" xfId="25857" xr:uid="{81DC914B-1B77-4A63-85FC-A23433989C0B}"/>
    <cellStyle name="01 $ 3" xfId="25840" xr:uid="{9E99C94C-4DC2-440E-A17B-1830241CBB1A}"/>
    <cellStyle name="01 $ 4" xfId="25858" xr:uid="{C73CC184-A634-4DCB-A4E0-F93DB1604B43}"/>
    <cellStyle name="01 %" xfId="25689" xr:uid="{1A2DA9DD-17FE-4ACF-9391-F1BAB081E50B}"/>
    <cellStyle name="01 % 2" xfId="25842" xr:uid="{1133AE5D-0272-4005-9182-EC5AC239DC9C}"/>
    <cellStyle name="01 % 3" xfId="25856" xr:uid="{8B700137-35A3-43E4-808E-E9958FDE1C1C}"/>
    <cellStyle name="01 DATE" xfId="25690" xr:uid="{98F82D89-66A6-4094-9CCF-A236B074E1E0}"/>
    <cellStyle name="01 DATE 2" xfId="25691" xr:uid="{42DEA2BA-53A7-4C34-9CD6-8EF4BA5CB97C}"/>
    <cellStyle name="01 DATE 2 2" xfId="25844" xr:uid="{803B06D2-6D6F-4C8A-8CB2-A623E227E394}"/>
    <cellStyle name="01 DATE 2 3" xfId="25823" xr:uid="{28DB8DC9-72A1-4B9F-80F6-2AFE917D9C40}"/>
    <cellStyle name="01 DATE 3" xfId="25843" xr:uid="{C20B78AD-15FB-4BE1-BEF7-5F9F5D867397}"/>
    <cellStyle name="01 DATE 4" xfId="25806" xr:uid="{F70C515A-535E-4D9C-BBCC-1FB2B7E96618}"/>
    <cellStyle name="01 TEXT" xfId="25627" xr:uid="{3EE5314F-FF9A-42A9-85D2-F509DC4F0F4C}"/>
    <cellStyle name="01 TEXT 2" xfId="25629" xr:uid="{5B8E73ED-78F6-472A-93EE-552F4E020C40}"/>
    <cellStyle name="01 TEXT 2 2" xfId="25656" xr:uid="{1492F3FA-7C98-4872-BD85-7ED426B4E3E3}"/>
    <cellStyle name="01 TEXT 2 2 2" xfId="25683" xr:uid="{9858B64E-4D02-4AC5-B33D-DD9A4E950EED}"/>
    <cellStyle name="01 TEXT 2 2 2 2" xfId="25837" xr:uid="{54EAB502-A156-4406-BB5F-02F9FB6E91D1}"/>
    <cellStyle name="01 TEXT 2 2 2 3" xfId="25815" xr:uid="{98976B34-F611-4314-BC71-4EA41B44F2FA}"/>
    <cellStyle name="01 TEXT 2 2 3" xfId="25820" xr:uid="{1D085B2B-C4C2-4B8E-999D-7913970A8C60}"/>
    <cellStyle name="01 TEXT 2 2 4" xfId="25861" xr:uid="{3C54F994-7E43-49EB-B3A8-898833FFF535}"/>
    <cellStyle name="01 TEXT 2 2_Dropdowns" xfId="25694" xr:uid="{41E8BBE7-0034-4501-9DE9-7FB27D8F20D4}"/>
    <cellStyle name="01 TEXT 2 3" xfId="25807" xr:uid="{F5D107FB-3A01-47CE-B76D-9E3219AE809A}"/>
    <cellStyle name="01 TEXT 2 4" xfId="25814" xr:uid="{6D435DBA-B27B-473F-AFAF-B321A9AABEAE}"/>
    <cellStyle name="01 TEXT 2_Dropdowns" xfId="25693" xr:uid="{5CA732B5-26AC-4035-AA8D-24A83A09E2E7}"/>
    <cellStyle name="01 TEXT 3" xfId="25805" xr:uid="{78199365-D322-4806-B37B-0F71C2876E40}"/>
    <cellStyle name="01 TEXT 4" xfId="25866" xr:uid="{8567BB73-EB67-4DEC-BA53-0E9CA6C4E916}"/>
    <cellStyle name="01 TEXT_Dropdowns" xfId="25692" xr:uid="{EC1A9BD2-4986-4486-8972-223FE0570A8E}"/>
    <cellStyle name="02 Prompt" xfId="25695" xr:uid="{015D9B6C-DD14-4104-B470-64CFFE1D041A}"/>
    <cellStyle name="02 Prompt 2" xfId="25618" xr:uid="{394579D5-2702-444E-9DAB-BC42E3A7148E}"/>
    <cellStyle name="02 Prompt 2 2" xfId="25624" xr:uid="{6D868599-3EC3-41C6-B9D1-B61E340376B0}"/>
    <cellStyle name="02 Prompt 2 2 2" xfId="25804" xr:uid="{53EB95E0-535E-41F1-8CEE-9083638EFDEA}"/>
    <cellStyle name="02 Prompt 2 2 3" xfId="25867" xr:uid="{B7658C17-878F-477F-93CA-3BA453A71F15}"/>
    <cellStyle name="02 Prompt 2 3" xfId="25632" xr:uid="{6EC53525-895A-4F45-8360-549FF179943C}"/>
    <cellStyle name="02 Prompt 2 3 2" xfId="25655" xr:uid="{F90DE97C-B925-4BA9-8837-A90B16E2565A}"/>
    <cellStyle name="02 Prompt 2 3 2 2" xfId="25682" xr:uid="{83D62146-2434-426C-8EE2-59399850C04B}"/>
    <cellStyle name="02 Prompt 2 3 2 2 2" xfId="25836" xr:uid="{83FA5A3E-F7C1-4731-8029-2B83035E1045}"/>
    <cellStyle name="02 Prompt 2 3 2 2 3" xfId="25811" xr:uid="{38E4DED2-7259-461B-B56D-7D3A9BB2A3E3}"/>
    <cellStyle name="02 Prompt 2 3 2 3" xfId="25819" xr:uid="{3B4C788E-1647-4B72-9694-7E1C771A7C81}"/>
    <cellStyle name="02 Prompt 2 3 2 4" xfId="25862" xr:uid="{153281A8-CC2D-411C-9B35-CFF2AE42B066}"/>
    <cellStyle name="02 Prompt 2 3 2_Dropdowns" xfId="25698" xr:uid="{6522652B-8A39-4E77-B6BC-4C64B000B20A}"/>
    <cellStyle name="02 Prompt 2 3 3" xfId="25810" xr:uid="{431DB2F7-7148-4A83-8577-FE47FC923299}"/>
    <cellStyle name="02 Prompt 2 3 4" xfId="25864" xr:uid="{9A24D6D8-9F72-4AB2-887E-9C0C8982EADB}"/>
    <cellStyle name="02 Prompt 2 3_Dropdowns" xfId="25697" xr:uid="{56ED5EE7-B1A8-4D4A-BC6E-643EA0409FF7}"/>
    <cellStyle name="02 Prompt 2 4" xfId="25800" xr:uid="{3500E32F-6B32-4065-AA2C-A2B5C35FD33A}"/>
    <cellStyle name="02 Prompt 2 5" xfId="25883" xr:uid="{D8D81797-56FC-4871-B596-E9B5F1FBB2A2}"/>
    <cellStyle name="02 Prompt 2_Dropdowns" xfId="25696" xr:uid="{CD162532-9AEF-4652-A4D1-C45874E84195}"/>
    <cellStyle name="02 Prompt 3" xfId="25845" xr:uid="{D9790C78-035D-4CFA-89C1-F99CD391C6D0}"/>
    <cellStyle name="02 Prompt 4" xfId="25855" xr:uid="{07461947-68C9-48DE-8805-86D5411C93B1}"/>
    <cellStyle name="02 Prompt TITLE" xfId="25699" xr:uid="{ABD45D1F-26BE-48E8-89B7-15498D011423}"/>
    <cellStyle name="02 Prompt TITLE 2" xfId="25619" xr:uid="{CCBDBBD1-943D-48CF-96EF-D8CBCDED747A}"/>
    <cellStyle name="02 Prompt TITLE 2 2" xfId="25623" xr:uid="{E89AE7D9-E1A0-44E0-A259-4330CFB8A09A}"/>
    <cellStyle name="02 Prompt TITLE 2 2 2" xfId="25803" xr:uid="{3EE08D37-2DEF-4528-9670-DE9A89CA0D3C}"/>
    <cellStyle name="02 Prompt TITLE 2 2 3" xfId="25876" xr:uid="{71AD8E14-A611-43F3-AD34-98D3CE6D505A}"/>
    <cellStyle name="02 Prompt TITLE 2 3" xfId="25631" xr:uid="{C6FC9215-D02C-4AD4-96A4-EA648FA6CC6A}"/>
    <cellStyle name="02 Prompt TITLE 2 3 2" xfId="25809" xr:uid="{15807E4C-417A-4E81-94D9-97A7A0EED1EA}"/>
    <cellStyle name="02 Prompt TITLE 2 3 3" xfId="25865" xr:uid="{060A54D2-F4D1-4438-BD9C-CACF8CBD4257}"/>
    <cellStyle name="02 Prompt TITLE 2 4" xfId="25801" xr:uid="{6FF62130-5AC9-4BAF-A383-2378E562E9A9}"/>
    <cellStyle name="02 Prompt TITLE 2 5" xfId="25822" xr:uid="{11F40C98-8B5D-42A0-9D24-A2A55CF22802}"/>
    <cellStyle name="02 Prompt TITLE 2_Dropdowns" xfId="25700" xr:uid="{BAEA9CFC-0BC3-41DA-B84E-3A8A0385AE8F}"/>
    <cellStyle name="02 Prompt TITLE 3" xfId="25846" xr:uid="{8E82712B-DA64-4DCA-939E-5597319B5E5B}"/>
    <cellStyle name="02 Prompt TITLE 4" xfId="25854" xr:uid="{1A2E28DE-9B0F-4E33-A481-CE0EA52D5158}"/>
    <cellStyle name="03 Notes" xfId="25701" xr:uid="{FB64AF5B-7441-4421-BDB9-CEA8B9EEDBEE}"/>
    <cellStyle name="03 Notes 2" xfId="25633" xr:uid="{2853C1CD-70CA-4DB4-92C9-44AFC91A7B09}"/>
    <cellStyle name="03 Notes 2 2" xfId="25703" xr:uid="{7400A486-B17F-4852-8A9A-1892F3701E28}"/>
    <cellStyle name="03 Notes 2 2 2" xfId="25848" xr:uid="{D0800457-C672-4CFC-90E8-4F6558E7CB36}"/>
    <cellStyle name="03 Notes 2 2 3" xfId="25832" xr:uid="{80234903-020F-42D2-A974-69F08CE4CF12}"/>
    <cellStyle name="03 Notes 2 3" xfId="25812" xr:uid="{F600770F-B87D-419C-870D-5E91CE476415}"/>
    <cellStyle name="03 Notes 2 4" xfId="25863" xr:uid="{9D271F5F-7B8F-4FE3-B430-450CC98B554C}"/>
    <cellStyle name="03 Notes 2_Dropdowns" xfId="25702" xr:uid="{7706FA49-CA1F-4223-918C-8A243CE1C417}"/>
    <cellStyle name="03 Notes 3" xfId="25847" xr:uid="{CF1DF525-232F-432C-AA00-160507C5A819}"/>
    <cellStyle name="03 Notes 4" xfId="25853" xr:uid="{9190A0BD-4EF2-4428-B524-27F54E8CF2C6}"/>
    <cellStyle name="05 Warning Text 2" xfId="25634" xr:uid="{10CC94F9-57E9-488E-A1B1-7057E25FB5FB}"/>
    <cellStyle name="20% - Accent1" xfId="1" builtinId="30" customBuiltin="1"/>
    <cellStyle name="20% - Accent1 10" xfId="4504" xr:uid="{00000000-0005-0000-0000-000001000000}"/>
    <cellStyle name="20% - Accent1 10 2" xfId="21395" xr:uid="{A28C85EF-415A-4805-9428-47E028767A1F}"/>
    <cellStyle name="20% - Accent1 10 3" xfId="12954" xr:uid="{6A3F7EED-7DA4-4D70-B778-8D31663A8155}"/>
    <cellStyle name="20% - Accent1 11" xfId="17177" xr:uid="{78EA2858-0F89-4F91-ADAD-B64671BF0B16}"/>
    <cellStyle name="20% - Accent1 12" xfId="8736" xr:uid="{6528DCAF-29CC-42DC-8730-6687A32583C9}"/>
    <cellStyle name="20% - Accent1 2" xfId="2" xr:uid="{00000000-0005-0000-0000-000002000000}"/>
    <cellStyle name="20% - Accent1 2 10" xfId="17178" xr:uid="{E1A4A3AA-5426-46A6-808C-5774C22A9FFF}"/>
    <cellStyle name="20% - Accent1 2 11" xfId="8737" xr:uid="{B8E9C90D-1B84-4693-98A6-7C5E1B9FDDDA}"/>
    <cellStyle name="20% - Accent1 2 2" xfId="3" xr:uid="{00000000-0005-0000-0000-000003000000}"/>
    <cellStyle name="20% - Accent1 2 2 10" xfId="8738" xr:uid="{D670FA69-DE35-4119-A45A-640C7F15C204}"/>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23957" xr:uid="{6E16CA20-5715-4F0C-8EF1-79E91565D775}"/>
    <cellStyle name="20% - Accent1 2 2 2 2 2 2 3" xfId="15516" xr:uid="{70900C94-5175-4996-AEDA-F760E0D6E98E}"/>
    <cellStyle name="20% - Accent1 2 2 2 2 2 3" xfId="19739" xr:uid="{42129A4C-EB1C-4378-B41B-1BC7A8DFC7E0}"/>
    <cellStyle name="20% - Accent1 2 2 2 2 2 4" xfId="11298" xr:uid="{12A10F0B-C4A0-4609-B3FB-310E4399ED09}"/>
    <cellStyle name="20% - Accent1 2 2 2 2 3" xfId="4921" xr:uid="{00000000-0005-0000-0000-000008000000}"/>
    <cellStyle name="20% - Accent1 2 2 2 2 3 2" xfId="21812" xr:uid="{9932C613-B7A4-4B15-9A75-AA7C2F464F06}"/>
    <cellStyle name="20% - Accent1 2 2 2 2 3 3" xfId="13371" xr:uid="{E71334EB-5563-4911-A0AE-641D764B1DC9}"/>
    <cellStyle name="20% - Accent1 2 2 2 2 4" xfId="17594" xr:uid="{D3154E5C-BDA9-42E9-A5DE-99A39C0FD304}"/>
    <cellStyle name="20% - Accent1 2 2 2 2 5" xfId="9153" xr:uid="{4A00B803-5552-494F-B790-8AEAC59B6A28}"/>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24370" xr:uid="{37330DDE-7DF3-4489-B832-3263E23AB07B}"/>
    <cellStyle name="20% - Accent1 2 2 2 3 2 2 3" xfId="15929" xr:uid="{663F3378-741A-49A8-AB3E-700817D29BE2}"/>
    <cellStyle name="20% - Accent1 2 2 2 3 2 3" xfId="20152" xr:uid="{81789911-0272-4276-8F4D-205CAA1F5A0D}"/>
    <cellStyle name="20% - Accent1 2 2 2 3 2 4" xfId="11711" xr:uid="{AE3DB030-5D88-4EC8-AA06-FDE4A19E83BD}"/>
    <cellStyle name="20% - Accent1 2 2 2 3 3" xfId="5334" xr:uid="{00000000-0005-0000-0000-00000C000000}"/>
    <cellStyle name="20% - Accent1 2 2 2 3 3 2" xfId="22225" xr:uid="{317BA000-C94C-4072-AA8D-4D04C31CD5CE}"/>
    <cellStyle name="20% - Accent1 2 2 2 3 3 3" xfId="13784" xr:uid="{4CF23A72-7D34-441A-95D8-43E1C135FE0F}"/>
    <cellStyle name="20% - Accent1 2 2 2 3 4" xfId="18007" xr:uid="{DB5E4412-F7D9-4E07-A8C3-A6C4AA4625C8}"/>
    <cellStyle name="20% - Accent1 2 2 2 3 5" xfId="9566" xr:uid="{8FA3B137-29B8-4209-8D70-6D2FDB1FF851}"/>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24783" xr:uid="{89BA3C89-EFFE-4011-BDE9-310821090489}"/>
    <cellStyle name="20% - Accent1 2 2 2 4 2 2 3" xfId="16342" xr:uid="{34A816E7-80D8-4639-94AC-8D899FE4BF8D}"/>
    <cellStyle name="20% - Accent1 2 2 2 4 2 3" xfId="20565" xr:uid="{B1510EFC-6DF7-4E80-83F6-15F1BBC3B3C9}"/>
    <cellStyle name="20% - Accent1 2 2 2 4 2 4" xfId="12124" xr:uid="{7932A01C-E6B9-41BF-AF5D-5C7767006287}"/>
    <cellStyle name="20% - Accent1 2 2 2 4 3" xfId="5747" xr:uid="{00000000-0005-0000-0000-000010000000}"/>
    <cellStyle name="20% - Accent1 2 2 2 4 3 2" xfId="22638" xr:uid="{EEC95D3E-D6F6-468A-BB56-23B4948C6844}"/>
    <cellStyle name="20% - Accent1 2 2 2 4 3 3" xfId="14197" xr:uid="{90AF29C5-AC91-4152-88CA-9F13EFDC9A22}"/>
    <cellStyle name="20% - Accent1 2 2 2 4 4" xfId="18420" xr:uid="{8D6CD64D-0544-4CEF-9D2F-FEB08C92AC76}"/>
    <cellStyle name="20% - Accent1 2 2 2 4 5" xfId="9979" xr:uid="{12639121-72EF-4286-88C2-46C412FBBC1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25196" xr:uid="{97B82814-E9DC-4AA6-B878-5548B62A8F78}"/>
    <cellStyle name="20% - Accent1 2 2 2 5 2 2 3" xfId="16755" xr:uid="{C4F827D0-2110-4BB1-906D-8CA67E6A2DD3}"/>
    <cellStyle name="20% - Accent1 2 2 2 5 2 3" xfId="20978" xr:uid="{D7B62819-37C1-443E-8101-3DA2F91212DC}"/>
    <cellStyle name="20% - Accent1 2 2 2 5 2 4" xfId="12537" xr:uid="{C5A48A99-D14E-4386-B0CC-072AE2327466}"/>
    <cellStyle name="20% - Accent1 2 2 2 5 3" xfId="6160" xr:uid="{00000000-0005-0000-0000-000014000000}"/>
    <cellStyle name="20% - Accent1 2 2 2 5 3 2" xfId="23051" xr:uid="{75B71F81-EF74-41C3-8D62-CA29C8363D53}"/>
    <cellStyle name="20% - Accent1 2 2 2 5 3 3" xfId="14610" xr:uid="{0FAAA447-3C5E-47E0-A33E-3E9916E4B4CB}"/>
    <cellStyle name="20% - Accent1 2 2 2 5 4" xfId="18833" xr:uid="{03ABD819-2696-4B74-AD5A-AC805DC85547}"/>
    <cellStyle name="20% - Accent1 2 2 2 5 5" xfId="10392" xr:uid="{3120BCD3-4197-4ED1-A03E-9FFA7986D0DF}"/>
    <cellStyle name="20% - Accent1 2 2 2 6" xfId="2267" xr:uid="{00000000-0005-0000-0000-000015000000}"/>
    <cellStyle name="20% - Accent1 2 2 2 6 2" xfId="6573" xr:uid="{00000000-0005-0000-0000-000016000000}"/>
    <cellStyle name="20% - Accent1 2 2 2 6 2 2" xfId="23464" xr:uid="{06FD5DE3-50A1-41B9-9FEB-A7E2FDD1BA14}"/>
    <cellStyle name="20% - Accent1 2 2 2 6 2 3" xfId="15023" xr:uid="{67603E62-7151-4E28-82D7-276780F05FF5}"/>
    <cellStyle name="20% - Accent1 2 2 2 6 3" xfId="19246" xr:uid="{F6232207-6E3A-46D9-BD56-4B6AB592014E}"/>
    <cellStyle name="20% - Accent1 2 2 2 6 4" xfId="10805" xr:uid="{7648703A-9F91-478C-84FF-546E6B0F532F}"/>
    <cellStyle name="20% - Accent1 2 2 2 7" xfId="4507" xr:uid="{00000000-0005-0000-0000-000017000000}"/>
    <cellStyle name="20% - Accent1 2 2 2 7 2" xfId="21398" xr:uid="{BB8F6544-B3B2-4E9D-AAED-EEF20D2F235E}"/>
    <cellStyle name="20% - Accent1 2 2 2 7 3" xfId="12957" xr:uid="{96762A06-7FAF-44BD-847D-599B2D79B066}"/>
    <cellStyle name="20% - Accent1 2 2 2 8" xfId="17180" xr:uid="{4160D284-BF7A-4F5D-B948-A65E2519FFE3}"/>
    <cellStyle name="20% - Accent1 2 2 2 9" xfId="8739" xr:uid="{1A9268E2-2E08-471B-B065-0CF3D0410CAB}"/>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23956" xr:uid="{6DC02E3B-4B1A-4A29-B407-994DC33A3665}"/>
    <cellStyle name="20% - Accent1 2 2 3 2 2 3" xfId="15515" xr:uid="{C58B4282-4848-432A-ADD4-0EB220E124C0}"/>
    <cellStyle name="20% - Accent1 2 2 3 2 3" xfId="19738" xr:uid="{2ED72865-EA8E-4188-920F-91BF83DF2FF0}"/>
    <cellStyle name="20% - Accent1 2 2 3 2 4" xfId="11297" xr:uid="{4EB1C01A-8DB0-4A2F-836B-C756EE223AFB}"/>
    <cellStyle name="20% - Accent1 2 2 3 3" xfId="4920" xr:uid="{00000000-0005-0000-0000-00001B000000}"/>
    <cellStyle name="20% - Accent1 2 2 3 3 2" xfId="21811" xr:uid="{382B6517-FBE9-4777-AD75-F1910032A82C}"/>
    <cellStyle name="20% - Accent1 2 2 3 3 3" xfId="13370" xr:uid="{64E200D6-3916-445F-83A8-5F17EC8F8D04}"/>
    <cellStyle name="20% - Accent1 2 2 3 4" xfId="17593" xr:uid="{097700D2-8863-4316-81BA-FFBC8E07AA26}"/>
    <cellStyle name="20% - Accent1 2 2 3 5" xfId="9152" xr:uid="{E61A27C7-8332-40D2-8FBB-769F16762C89}"/>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24369" xr:uid="{EFF984AF-B071-4058-92F0-952E4CCBD60A}"/>
    <cellStyle name="20% - Accent1 2 2 4 2 2 3" xfId="15928" xr:uid="{7BF982DE-2CF0-4415-BBD2-0854A90C242A}"/>
    <cellStyle name="20% - Accent1 2 2 4 2 3" xfId="20151" xr:uid="{6A2CECFB-ED11-4047-87CA-1606C6D39170}"/>
    <cellStyle name="20% - Accent1 2 2 4 2 4" xfId="11710" xr:uid="{23E1E735-2C4F-4FD6-9B27-A68C9DF936C0}"/>
    <cellStyle name="20% - Accent1 2 2 4 3" xfId="5333" xr:uid="{00000000-0005-0000-0000-00001F000000}"/>
    <cellStyle name="20% - Accent1 2 2 4 3 2" xfId="22224" xr:uid="{8B817581-4455-4E66-8116-893FDB0D7DC1}"/>
    <cellStyle name="20% - Accent1 2 2 4 3 3" xfId="13783" xr:uid="{0DFDB41D-E87A-44BA-B2E0-63CD95EC04B1}"/>
    <cellStyle name="20% - Accent1 2 2 4 4" xfId="18006" xr:uid="{26DC5391-BB97-432A-AA1D-701E1193C5A8}"/>
    <cellStyle name="20% - Accent1 2 2 4 5" xfId="9565" xr:uid="{AEDB7E50-7152-41AC-B295-C93441FB57BE}"/>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24782" xr:uid="{251D70E5-A2C0-43F1-AE03-2668DEE7474F}"/>
    <cellStyle name="20% - Accent1 2 2 5 2 2 3" xfId="16341" xr:uid="{FFC49062-7FC4-4E21-A604-08325757BDAA}"/>
    <cellStyle name="20% - Accent1 2 2 5 2 3" xfId="20564" xr:uid="{60B5342C-FE70-4924-97D5-5B51D02B062C}"/>
    <cellStyle name="20% - Accent1 2 2 5 2 4" xfId="12123" xr:uid="{185B9D40-BD5E-4B7B-B97E-E4B04BAC0ED8}"/>
    <cellStyle name="20% - Accent1 2 2 5 3" xfId="5746" xr:uid="{00000000-0005-0000-0000-000023000000}"/>
    <cellStyle name="20% - Accent1 2 2 5 3 2" xfId="22637" xr:uid="{F07C8C1A-E899-410F-B3E1-A8CEB8492678}"/>
    <cellStyle name="20% - Accent1 2 2 5 3 3" xfId="14196" xr:uid="{E2073A77-C7B9-43AC-8194-39DC02387DFB}"/>
    <cellStyle name="20% - Accent1 2 2 5 4" xfId="18419" xr:uid="{D38DCE64-9C38-441F-94FE-FDE084AE5FB2}"/>
    <cellStyle name="20% - Accent1 2 2 5 5" xfId="9978" xr:uid="{14AAC55F-A64F-48F2-A904-08747B316BD2}"/>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25195" xr:uid="{B2EB3969-4DAE-46E5-8AF0-962739E4D01A}"/>
    <cellStyle name="20% - Accent1 2 2 6 2 2 3" xfId="16754" xr:uid="{8F0E8FEE-1469-4044-AF33-A911A0F6F9A9}"/>
    <cellStyle name="20% - Accent1 2 2 6 2 3" xfId="20977" xr:uid="{5F07022A-6193-4A8A-AA6F-CB22880E2F21}"/>
    <cellStyle name="20% - Accent1 2 2 6 2 4" xfId="12536" xr:uid="{0F00932C-9394-48A5-B0FA-D811E0FA1315}"/>
    <cellStyle name="20% - Accent1 2 2 6 3" xfId="6159" xr:uid="{00000000-0005-0000-0000-000027000000}"/>
    <cellStyle name="20% - Accent1 2 2 6 3 2" xfId="23050" xr:uid="{E0ED0323-2F0F-46C1-A9B2-8730CF2C7D4D}"/>
    <cellStyle name="20% - Accent1 2 2 6 3 3" xfId="14609" xr:uid="{764EC2ED-4C36-4FEF-9226-BEA9680B2CF1}"/>
    <cellStyle name="20% - Accent1 2 2 6 4" xfId="18832" xr:uid="{F27DE76D-51E7-4FED-9CF2-B59461CBFEB3}"/>
    <cellStyle name="20% - Accent1 2 2 6 5" xfId="10391" xr:uid="{632C2C2E-5FF8-4908-A636-9CD922BE4809}"/>
    <cellStyle name="20% - Accent1 2 2 7" xfId="2266" xr:uid="{00000000-0005-0000-0000-000028000000}"/>
    <cellStyle name="20% - Accent1 2 2 7 2" xfId="6572" xr:uid="{00000000-0005-0000-0000-000029000000}"/>
    <cellStyle name="20% - Accent1 2 2 7 2 2" xfId="23463" xr:uid="{53CFC9FB-5E5F-4F08-A2F5-397EECA1EB76}"/>
    <cellStyle name="20% - Accent1 2 2 7 2 3" xfId="15022" xr:uid="{0EECEBE0-57B2-4E41-A393-3B99F2F4AF9C}"/>
    <cellStyle name="20% - Accent1 2 2 7 3" xfId="19245" xr:uid="{9625F540-256E-4E18-8112-0475BCE69F4C}"/>
    <cellStyle name="20% - Accent1 2 2 7 4" xfId="10804" xr:uid="{3EEEE79B-5747-4FD3-BE7E-6091285F4DBB}"/>
    <cellStyle name="20% - Accent1 2 2 8" xfId="4506" xr:uid="{00000000-0005-0000-0000-00002A000000}"/>
    <cellStyle name="20% - Accent1 2 2 8 2" xfId="21397" xr:uid="{18365BCC-D10C-43B2-82FB-785D3F254797}"/>
    <cellStyle name="20% - Accent1 2 2 8 3" xfId="12956" xr:uid="{707B1D11-16C4-4339-B1CA-739A5DEA6381}"/>
    <cellStyle name="20% - Accent1 2 2 9" xfId="17179" xr:uid="{6085B0D5-6331-4156-8CAA-53AAB14EFC7D}"/>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23958" xr:uid="{A35F53A2-984D-4FDD-BF58-067D4F0B394B}"/>
    <cellStyle name="20% - Accent1 2 3 2 2 2 3" xfId="15517" xr:uid="{CE917125-C3BE-43E4-9369-2D0146151129}"/>
    <cellStyle name="20% - Accent1 2 3 2 2 3" xfId="19740" xr:uid="{282B41B5-292D-4999-8C7E-E8E7EA874957}"/>
    <cellStyle name="20% - Accent1 2 3 2 2 4" xfId="11299" xr:uid="{A3373010-E5C8-4D93-ACE7-5A95A6385236}"/>
    <cellStyle name="20% - Accent1 2 3 2 3" xfId="4922" xr:uid="{00000000-0005-0000-0000-00002F000000}"/>
    <cellStyle name="20% - Accent1 2 3 2 3 2" xfId="21813" xr:uid="{E2DA2811-052F-474C-8361-DF8FCF50CE86}"/>
    <cellStyle name="20% - Accent1 2 3 2 3 3" xfId="13372" xr:uid="{79248A80-6B32-40DA-B28B-7B6A6D593B12}"/>
    <cellStyle name="20% - Accent1 2 3 2 4" xfId="17595" xr:uid="{1511FE61-85DF-40CA-909A-76A654240141}"/>
    <cellStyle name="20% - Accent1 2 3 2 5" xfId="9154" xr:uid="{DDD833CE-B86D-41E5-82B9-5D93D75C42F6}"/>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24371" xr:uid="{04B2FA90-3D8D-45C0-AFC7-921CFF886FC6}"/>
    <cellStyle name="20% - Accent1 2 3 3 2 2 3" xfId="15930" xr:uid="{50838B61-4976-4F22-8EE0-98E3DE0B7620}"/>
    <cellStyle name="20% - Accent1 2 3 3 2 3" xfId="20153" xr:uid="{7F3179D3-7E48-41FB-AFA5-887459768362}"/>
    <cellStyle name="20% - Accent1 2 3 3 2 4" xfId="11712" xr:uid="{7D282774-E86B-4FE0-A4C9-6F9D81A9DAC6}"/>
    <cellStyle name="20% - Accent1 2 3 3 3" xfId="5335" xr:uid="{00000000-0005-0000-0000-000033000000}"/>
    <cellStyle name="20% - Accent1 2 3 3 3 2" xfId="22226" xr:uid="{28E796F0-145C-44D5-8248-80A8EB3F8C03}"/>
    <cellStyle name="20% - Accent1 2 3 3 3 3" xfId="13785" xr:uid="{023EC13B-210F-43F5-AB2F-FCEE8ADDFA26}"/>
    <cellStyle name="20% - Accent1 2 3 3 4" xfId="18008" xr:uid="{816E9E3B-C3B6-4C0A-BB14-88B9DA97CF6C}"/>
    <cellStyle name="20% - Accent1 2 3 3 5" xfId="9567" xr:uid="{9351E379-1B29-40B6-B4A3-601FA8671EDC}"/>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24784" xr:uid="{F606FC6D-8E24-4B74-AC98-A4E904054393}"/>
    <cellStyle name="20% - Accent1 2 3 4 2 2 3" xfId="16343" xr:uid="{0CC1DEEC-97ED-4518-90E8-E858F2152730}"/>
    <cellStyle name="20% - Accent1 2 3 4 2 3" xfId="20566" xr:uid="{F582952A-5603-4DBC-A35F-0D3E94C11729}"/>
    <cellStyle name="20% - Accent1 2 3 4 2 4" xfId="12125" xr:uid="{474FFE94-5A59-4F16-881D-B3E5AF1391BF}"/>
    <cellStyle name="20% - Accent1 2 3 4 3" xfId="5748" xr:uid="{00000000-0005-0000-0000-000037000000}"/>
    <cellStyle name="20% - Accent1 2 3 4 3 2" xfId="22639" xr:uid="{6F686929-CFFA-4D76-BB0A-247C7C83CA43}"/>
    <cellStyle name="20% - Accent1 2 3 4 3 3" xfId="14198" xr:uid="{10927464-4E2F-4D86-A3FE-919A0FB638AE}"/>
    <cellStyle name="20% - Accent1 2 3 4 4" xfId="18421" xr:uid="{08B1576B-7349-4B1B-BABE-FDD0FE46BDE7}"/>
    <cellStyle name="20% - Accent1 2 3 4 5" xfId="9980" xr:uid="{D2C19336-8772-42BD-8162-A3C857BB93ED}"/>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25197" xr:uid="{EAE56C97-8DA7-46B5-9AC8-C0ACC4D07AB8}"/>
    <cellStyle name="20% - Accent1 2 3 5 2 2 3" xfId="16756" xr:uid="{CE5D9144-1161-41F2-BD04-9811FEE7F5E7}"/>
    <cellStyle name="20% - Accent1 2 3 5 2 3" xfId="20979" xr:uid="{5D0663E2-A833-49FF-A09D-CCBF455CE93A}"/>
    <cellStyle name="20% - Accent1 2 3 5 2 4" xfId="12538" xr:uid="{A83CB663-8EA6-4864-91A4-2B0C89808FDF}"/>
    <cellStyle name="20% - Accent1 2 3 5 3" xfId="6161" xr:uid="{00000000-0005-0000-0000-00003B000000}"/>
    <cellStyle name="20% - Accent1 2 3 5 3 2" xfId="23052" xr:uid="{3BED5B66-34CE-4200-844C-B212B529BE3E}"/>
    <cellStyle name="20% - Accent1 2 3 5 3 3" xfId="14611" xr:uid="{403E859F-E713-4CEB-8498-CB0AAEFC8995}"/>
    <cellStyle name="20% - Accent1 2 3 5 4" xfId="18834" xr:uid="{D391A5E2-DB47-467C-B4F6-4E5B8749C55D}"/>
    <cellStyle name="20% - Accent1 2 3 5 5" xfId="10393" xr:uid="{03D4588C-82A5-4BBE-8685-0AFCFDCA0F6E}"/>
    <cellStyle name="20% - Accent1 2 3 6" xfId="2268" xr:uid="{00000000-0005-0000-0000-00003C000000}"/>
    <cellStyle name="20% - Accent1 2 3 6 2" xfId="6574" xr:uid="{00000000-0005-0000-0000-00003D000000}"/>
    <cellStyle name="20% - Accent1 2 3 6 2 2" xfId="23465" xr:uid="{EE8204A5-C497-45AC-A78E-AEEB0C91B7C2}"/>
    <cellStyle name="20% - Accent1 2 3 6 2 3" xfId="15024" xr:uid="{51AC8759-ECBD-4D77-A423-7A2FAAFAD159}"/>
    <cellStyle name="20% - Accent1 2 3 6 3" xfId="19247" xr:uid="{5E4E9AF3-2F3F-421A-AE82-4124390F8029}"/>
    <cellStyle name="20% - Accent1 2 3 6 4" xfId="10806" xr:uid="{3C14B495-C787-45FB-B977-572456674FD2}"/>
    <cellStyle name="20% - Accent1 2 3 7" xfId="4508" xr:uid="{00000000-0005-0000-0000-00003E000000}"/>
    <cellStyle name="20% - Accent1 2 3 7 2" xfId="21399" xr:uid="{56A91A62-A829-4437-A079-1729E7869544}"/>
    <cellStyle name="20% - Accent1 2 3 7 3" xfId="12958" xr:uid="{E3DB8EB4-A666-4EC9-95DB-CED3A4322DCD}"/>
    <cellStyle name="20% - Accent1 2 3 8" xfId="17181" xr:uid="{356AD213-82E9-4A0C-A359-96A35BCE5E2E}"/>
    <cellStyle name="20% - Accent1 2 3 9" xfId="8740" xr:uid="{7434A3D9-A35A-4A4F-95FC-8C7041FD16E8}"/>
    <cellStyle name="20% - Accent1 2 4" xfId="571" xr:uid="{00000000-0005-0000-0000-00003F000000}"/>
    <cellStyle name="20% - Accent1 2 4 2" xfId="2842" xr:uid="{00000000-0005-0000-0000-000040000000}"/>
    <cellStyle name="20% - Accent1 2 4 2 2" xfId="7064" xr:uid="{00000000-0005-0000-0000-000041000000}"/>
    <cellStyle name="20% - Accent1 2 4 2 2 2" xfId="23955" xr:uid="{1ABF161E-D7C4-4B36-87C9-1579F72E5A7A}"/>
    <cellStyle name="20% - Accent1 2 4 2 2 3" xfId="15514" xr:uid="{0D25BFB3-C1EA-4837-B081-4DC4A802DF9E}"/>
    <cellStyle name="20% - Accent1 2 4 2 3" xfId="19737" xr:uid="{A38EC537-F062-473A-B5A4-1E719E00C6FF}"/>
    <cellStyle name="20% - Accent1 2 4 2 4" xfId="11296" xr:uid="{A3BADB2F-EAFD-40FB-8F68-C7FC23309DD1}"/>
    <cellStyle name="20% - Accent1 2 4 3" xfId="4919" xr:uid="{00000000-0005-0000-0000-000042000000}"/>
    <cellStyle name="20% - Accent1 2 4 3 2" xfId="21810" xr:uid="{2D237948-1F44-46A4-84BE-AA9FD622DE7D}"/>
    <cellStyle name="20% - Accent1 2 4 3 3" xfId="13369" xr:uid="{82CF8B21-B443-40FC-8C1E-EE59E1768F6E}"/>
    <cellStyle name="20% - Accent1 2 4 4" xfId="17592" xr:uid="{E30761D0-ECE4-478C-A814-41C7ACCE90E1}"/>
    <cellStyle name="20% - Accent1 2 4 5" xfId="9151" xr:uid="{61D8FB91-2AE3-49E1-BBA9-6DDF9FCBB367}"/>
    <cellStyle name="20% - Accent1 2 5" xfId="1024" xr:uid="{00000000-0005-0000-0000-000043000000}"/>
    <cellStyle name="20% - Accent1 2 5 2" xfId="3255" xr:uid="{00000000-0005-0000-0000-000044000000}"/>
    <cellStyle name="20% - Accent1 2 5 2 2" xfId="7477" xr:uid="{00000000-0005-0000-0000-000045000000}"/>
    <cellStyle name="20% - Accent1 2 5 2 2 2" xfId="24368" xr:uid="{0CCF4774-5F0B-4C6B-9877-10B5439A6B6A}"/>
    <cellStyle name="20% - Accent1 2 5 2 2 3" xfId="15927" xr:uid="{F15786B1-EB53-4385-A54B-B60E9DB33CBC}"/>
    <cellStyle name="20% - Accent1 2 5 2 3" xfId="20150" xr:uid="{D6EE4E7C-76D3-4FEB-8D13-283EE7FFE094}"/>
    <cellStyle name="20% - Accent1 2 5 2 4" xfId="11709" xr:uid="{2043A940-138D-4102-88A1-FC2D59AACA4C}"/>
    <cellStyle name="20% - Accent1 2 5 3" xfId="5332" xr:uid="{00000000-0005-0000-0000-000046000000}"/>
    <cellStyle name="20% - Accent1 2 5 3 2" xfId="22223" xr:uid="{1EAE568F-C163-4BDA-B8F7-C35DC780B720}"/>
    <cellStyle name="20% - Accent1 2 5 3 3" xfId="13782" xr:uid="{A55A7194-7DB9-4865-ACDB-B146812EC8F0}"/>
    <cellStyle name="20% - Accent1 2 5 4" xfId="18005" xr:uid="{5CBED3F3-974E-4424-8887-02A4AA11F698}"/>
    <cellStyle name="20% - Accent1 2 5 5" xfId="9564" xr:uid="{848401A1-1D40-4A48-9208-F3DBDC599679}"/>
    <cellStyle name="20% - Accent1 2 6" xfId="1438" xr:uid="{00000000-0005-0000-0000-000047000000}"/>
    <cellStyle name="20% - Accent1 2 6 2" xfId="3668" xr:uid="{00000000-0005-0000-0000-000048000000}"/>
    <cellStyle name="20% - Accent1 2 6 2 2" xfId="7890" xr:uid="{00000000-0005-0000-0000-000049000000}"/>
    <cellStyle name="20% - Accent1 2 6 2 2 2" xfId="24781" xr:uid="{4BD86F04-5C0C-4BAA-BBF6-6D43CC7C928C}"/>
    <cellStyle name="20% - Accent1 2 6 2 2 3" xfId="16340" xr:uid="{14386E9A-3333-44F1-BC16-AF1A106D04C7}"/>
    <cellStyle name="20% - Accent1 2 6 2 3" xfId="20563" xr:uid="{B70EE034-436D-47B7-A3A6-A7A9B29FC5EB}"/>
    <cellStyle name="20% - Accent1 2 6 2 4" xfId="12122" xr:uid="{F899AD1B-C031-4B6F-BBC4-368F25A2B8E7}"/>
    <cellStyle name="20% - Accent1 2 6 3" xfId="5745" xr:uid="{00000000-0005-0000-0000-00004A000000}"/>
    <cellStyle name="20% - Accent1 2 6 3 2" xfId="22636" xr:uid="{F920D708-23CF-47B4-B85A-A77D2B46DC1C}"/>
    <cellStyle name="20% - Accent1 2 6 3 3" xfId="14195" xr:uid="{9B44A172-085B-4B53-8123-C10E1C317804}"/>
    <cellStyle name="20% - Accent1 2 6 4" xfId="18418" xr:uid="{98D54195-3B08-47C4-84A3-9AC0D3DECFFE}"/>
    <cellStyle name="20% - Accent1 2 6 5" xfId="9977" xr:uid="{2E94ABF7-21E4-400A-8EF2-930C1A9F814F}"/>
    <cellStyle name="20% - Accent1 2 7" xfId="1852" xr:uid="{00000000-0005-0000-0000-00004B000000}"/>
    <cellStyle name="20% - Accent1 2 7 2" xfId="4081" xr:uid="{00000000-0005-0000-0000-00004C000000}"/>
    <cellStyle name="20% - Accent1 2 7 2 2" xfId="8303" xr:uid="{00000000-0005-0000-0000-00004D000000}"/>
    <cellStyle name="20% - Accent1 2 7 2 2 2" xfId="25194" xr:uid="{38703220-AD00-48D1-91AF-750A51BFF0A7}"/>
    <cellStyle name="20% - Accent1 2 7 2 2 3" xfId="16753" xr:uid="{55132A8A-C774-4C3D-AF90-A64155B90300}"/>
    <cellStyle name="20% - Accent1 2 7 2 3" xfId="20976" xr:uid="{DE6078A6-BFBB-402E-9EF4-7C6808B41131}"/>
    <cellStyle name="20% - Accent1 2 7 2 4" xfId="12535" xr:uid="{347947E1-A250-4F3F-9F4A-E6DC65588A00}"/>
    <cellStyle name="20% - Accent1 2 7 3" xfId="6158" xr:uid="{00000000-0005-0000-0000-00004E000000}"/>
    <cellStyle name="20% - Accent1 2 7 3 2" xfId="23049" xr:uid="{E053B524-6EEC-43E9-861D-CC0194D5D3D3}"/>
    <cellStyle name="20% - Accent1 2 7 3 3" xfId="14608" xr:uid="{73B0BDE3-F755-4B55-BED1-9D157C635199}"/>
    <cellStyle name="20% - Accent1 2 7 4" xfId="18831" xr:uid="{139F804C-DFFB-4BB5-8467-071312866439}"/>
    <cellStyle name="20% - Accent1 2 7 5" xfId="10390" xr:uid="{AFA93FF6-B994-4114-85BD-7658D5FCEC61}"/>
    <cellStyle name="20% - Accent1 2 8" xfId="2265" xr:uid="{00000000-0005-0000-0000-00004F000000}"/>
    <cellStyle name="20% - Accent1 2 8 2" xfId="6571" xr:uid="{00000000-0005-0000-0000-000050000000}"/>
    <cellStyle name="20% - Accent1 2 8 2 2" xfId="23462" xr:uid="{83BCE55C-A245-433A-BA19-27E9C30A60F8}"/>
    <cellStyle name="20% - Accent1 2 8 2 3" xfId="15021" xr:uid="{DB68741E-5BC4-4BC6-85F6-AF794A4936C5}"/>
    <cellStyle name="20% - Accent1 2 8 3" xfId="19244" xr:uid="{5858C546-6D7C-44BD-B9F1-07B0D62C4EE4}"/>
    <cellStyle name="20% - Accent1 2 8 4" xfId="10803" xr:uid="{22BF3EE1-925B-459B-BCAA-8DF2B53E01F2}"/>
    <cellStyle name="20% - Accent1 2 9" xfId="4505" xr:uid="{00000000-0005-0000-0000-000051000000}"/>
    <cellStyle name="20% - Accent1 2 9 2" xfId="21396" xr:uid="{C223A9D1-0360-4D94-9435-62CFF04E61FA}"/>
    <cellStyle name="20% - Accent1 2 9 3" xfId="12955" xr:uid="{29D4E0FB-87C8-4692-AA77-60AAFB758E46}"/>
    <cellStyle name="20% - Accent1 3" xfId="6" xr:uid="{00000000-0005-0000-0000-000052000000}"/>
    <cellStyle name="20% - Accent1 3 10" xfId="8741" xr:uid="{65E946C2-C4E8-43CE-9EAE-6172E2F4C721}"/>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23960" xr:uid="{F57DBC14-E4E0-4B79-9823-87C6538A9D0C}"/>
    <cellStyle name="20% - Accent1 3 2 2 2 2 3" xfId="15519" xr:uid="{4189C2CC-F9E6-41CE-BF26-46DD1D5259C0}"/>
    <cellStyle name="20% - Accent1 3 2 2 2 3" xfId="19742" xr:uid="{12CF7CE1-54EA-42AF-9E17-AF1DB3CA4E80}"/>
    <cellStyle name="20% - Accent1 3 2 2 2 4" xfId="11301" xr:uid="{256009BB-319A-43C5-AF52-896FC774669B}"/>
    <cellStyle name="20% - Accent1 3 2 2 3" xfId="4924" xr:uid="{00000000-0005-0000-0000-000057000000}"/>
    <cellStyle name="20% - Accent1 3 2 2 3 2" xfId="21815" xr:uid="{CD8FFAB9-207A-4DE1-8B5E-63D69D991B3C}"/>
    <cellStyle name="20% - Accent1 3 2 2 3 3" xfId="13374" xr:uid="{6B8ACFE7-FB9B-481F-A449-29942C3C5108}"/>
    <cellStyle name="20% - Accent1 3 2 2 4" xfId="17597" xr:uid="{DEA4FE30-A7C7-4360-ABB1-E4267735117D}"/>
    <cellStyle name="20% - Accent1 3 2 2 5" xfId="9156" xr:uid="{C31B9747-6708-49AA-96CA-5D2C2D604070}"/>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24373" xr:uid="{5CF05F84-BB23-4CF9-A4E8-9342DD678587}"/>
    <cellStyle name="20% - Accent1 3 2 3 2 2 3" xfId="15932" xr:uid="{1BF470AB-6B36-4D0B-934F-0E4BDF7E74D1}"/>
    <cellStyle name="20% - Accent1 3 2 3 2 3" xfId="20155" xr:uid="{7F774C44-B412-47B2-A58B-C5AF9A16EA89}"/>
    <cellStyle name="20% - Accent1 3 2 3 2 4" xfId="11714" xr:uid="{DF0E27A3-1240-404F-805A-31392C8E2717}"/>
    <cellStyle name="20% - Accent1 3 2 3 3" xfId="5337" xr:uid="{00000000-0005-0000-0000-00005B000000}"/>
    <cellStyle name="20% - Accent1 3 2 3 3 2" xfId="22228" xr:uid="{5A92403A-AA6E-4541-BE60-C7193FF0A77E}"/>
    <cellStyle name="20% - Accent1 3 2 3 3 3" xfId="13787" xr:uid="{78E399D4-A658-4140-983B-BA4E9930EA71}"/>
    <cellStyle name="20% - Accent1 3 2 3 4" xfId="18010" xr:uid="{D9052082-4276-41DF-AF38-9B802B7336B4}"/>
    <cellStyle name="20% - Accent1 3 2 3 5" xfId="9569" xr:uid="{D9303152-1F78-4AF1-A832-6C207A62EF77}"/>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24786" xr:uid="{D49EB283-BB44-4220-932E-D5832F7400FE}"/>
    <cellStyle name="20% - Accent1 3 2 4 2 2 3" xfId="16345" xr:uid="{9B196321-4A88-42DD-A26B-64BD13D54081}"/>
    <cellStyle name="20% - Accent1 3 2 4 2 3" xfId="20568" xr:uid="{93B00A15-3C5F-49EA-9D99-27409A29443A}"/>
    <cellStyle name="20% - Accent1 3 2 4 2 4" xfId="12127" xr:uid="{76C55873-9BC9-4611-8373-AE2A5CBDA8F5}"/>
    <cellStyle name="20% - Accent1 3 2 4 3" xfId="5750" xr:uid="{00000000-0005-0000-0000-00005F000000}"/>
    <cellStyle name="20% - Accent1 3 2 4 3 2" xfId="22641" xr:uid="{FF885A7E-428B-43F5-8EC6-D1B04297ED64}"/>
    <cellStyle name="20% - Accent1 3 2 4 3 3" xfId="14200" xr:uid="{E3895C8E-E16B-431E-B110-6E066755B37A}"/>
    <cellStyle name="20% - Accent1 3 2 4 4" xfId="18423" xr:uid="{745A1F4B-1B27-427E-8C8B-A16C513D8BA0}"/>
    <cellStyle name="20% - Accent1 3 2 4 5" xfId="9982" xr:uid="{64B5E3DD-E3A1-4ADF-B378-658A6469DA09}"/>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25199" xr:uid="{73102D50-410F-44EA-B5FA-DE2079EB87CB}"/>
    <cellStyle name="20% - Accent1 3 2 5 2 2 3" xfId="16758" xr:uid="{41E26547-3BC0-4A4B-A63A-24C96BB5E3E5}"/>
    <cellStyle name="20% - Accent1 3 2 5 2 3" xfId="20981" xr:uid="{FA6B8FE3-4D1E-48E4-985E-51CE3C93DE8A}"/>
    <cellStyle name="20% - Accent1 3 2 5 2 4" xfId="12540" xr:uid="{CBA48259-1D11-44DF-9BCB-6FC7FEDDC0D1}"/>
    <cellStyle name="20% - Accent1 3 2 5 3" xfId="6163" xr:uid="{00000000-0005-0000-0000-000063000000}"/>
    <cellStyle name="20% - Accent1 3 2 5 3 2" xfId="23054" xr:uid="{0BA29C59-F107-4739-84CD-41E893EBCE35}"/>
    <cellStyle name="20% - Accent1 3 2 5 3 3" xfId="14613" xr:uid="{E6473DDF-F399-46D6-88D6-49EBA5C17C9F}"/>
    <cellStyle name="20% - Accent1 3 2 5 4" xfId="18836" xr:uid="{09066DDF-A7E9-41F2-B5B2-C01B7F30FE86}"/>
    <cellStyle name="20% - Accent1 3 2 5 5" xfId="10395" xr:uid="{890DA9DF-253F-44AB-8157-238693267E41}"/>
    <cellStyle name="20% - Accent1 3 2 6" xfId="2270" xr:uid="{00000000-0005-0000-0000-000064000000}"/>
    <cellStyle name="20% - Accent1 3 2 6 2" xfId="6576" xr:uid="{00000000-0005-0000-0000-000065000000}"/>
    <cellStyle name="20% - Accent1 3 2 6 2 2" xfId="23467" xr:uid="{FF5A6592-F589-4C81-A009-A6B257455231}"/>
    <cellStyle name="20% - Accent1 3 2 6 2 3" xfId="15026" xr:uid="{72E8BD89-58C4-4F69-A373-57D3FFC6965D}"/>
    <cellStyle name="20% - Accent1 3 2 6 3" xfId="19249" xr:uid="{20626494-790F-491A-BEB0-122BBA4DE6CC}"/>
    <cellStyle name="20% - Accent1 3 2 6 4" xfId="10808" xr:uid="{45CB7920-F12C-4960-BFF5-9D17CCC751BC}"/>
    <cellStyle name="20% - Accent1 3 2 7" xfId="4510" xr:uid="{00000000-0005-0000-0000-000066000000}"/>
    <cellStyle name="20% - Accent1 3 2 7 2" xfId="21401" xr:uid="{A1CB0BE0-C9F7-48BD-A35D-1DFC038D7B10}"/>
    <cellStyle name="20% - Accent1 3 2 7 3" xfId="12960" xr:uid="{9074F506-1B8E-4214-9242-F78C34EB045F}"/>
    <cellStyle name="20% - Accent1 3 2 8" xfId="17183" xr:uid="{2858BAF1-848A-43A0-92A1-7BFBF3640D0A}"/>
    <cellStyle name="20% - Accent1 3 2 9" xfId="8742" xr:uid="{94395BDD-A97F-49B5-9155-56ABAD39B8B7}"/>
    <cellStyle name="20% - Accent1 3 3" xfId="575" xr:uid="{00000000-0005-0000-0000-000067000000}"/>
    <cellStyle name="20% - Accent1 3 3 2" xfId="2846" xr:uid="{00000000-0005-0000-0000-000068000000}"/>
    <cellStyle name="20% - Accent1 3 3 2 2" xfId="7068" xr:uid="{00000000-0005-0000-0000-000069000000}"/>
    <cellStyle name="20% - Accent1 3 3 2 2 2" xfId="23959" xr:uid="{9B4BFEAD-88E1-4EEB-B307-E9B5D6E9F9B6}"/>
    <cellStyle name="20% - Accent1 3 3 2 2 3" xfId="15518" xr:uid="{BAB8FEE5-0DD9-4005-8DA5-C9630873FC40}"/>
    <cellStyle name="20% - Accent1 3 3 2 3" xfId="19741" xr:uid="{91D3A074-F173-4810-B992-F9DDDB45DDBA}"/>
    <cellStyle name="20% - Accent1 3 3 2 4" xfId="11300" xr:uid="{9DEFFCD6-F2BC-4F82-8889-3BF1A96C659C}"/>
    <cellStyle name="20% - Accent1 3 3 3" xfId="4923" xr:uid="{00000000-0005-0000-0000-00006A000000}"/>
    <cellStyle name="20% - Accent1 3 3 3 2" xfId="21814" xr:uid="{ED3F11A8-21C9-4951-B630-F82A23298CBA}"/>
    <cellStyle name="20% - Accent1 3 3 3 3" xfId="13373" xr:uid="{1569F402-9AFA-43CD-953E-2F03B0C6082F}"/>
    <cellStyle name="20% - Accent1 3 3 4" xfId="17596" xr:uid="{F631C443-AB42-4108-AC02-CA962A653CD9}"/>
    <cellStyle name="20% - Accent1 3 3 5" xfId="9155" xr:uid="{E4AF48AF-64F6-4CBF-9940-62CB1FCB88C8}"/>
    <cellStyle name="20% - Accent1 3 4" xfId="1028" xr:uid="{00000000-0005-0000-0000-00006B000000}"/>
    <cellStyle name="20% - Accent1 3 4 2" xfId="3259" xr:uid="{00000000-0005-0000-0000-00006C000000}"/>
    <cellStyle name="20% - Accent1 3 4 2 2" xfId="7481" xr:uid="{00000000-0005-0000-0000-00006D000000}"/>
    <cellStyle name="20% - Accent1 3 4 2 2 2" xfId="24372" xr:uid="{3A9C961D-D926-44A7-891F-D5771D9C45D6}"/>
    <cellStyle name="20% - Accent1 3 4 2 2 3" xfId="15931" xr:uid="{74D16940-EB30-4A56-A7A6-1F16E2F0D629}"/>
    <cellStyle name="20% - Accent1 3 4 2 3" xfId="20154" xr:uid="{17E6DCEC-3DBF-4550-AADF-8D1FBB56328B}"/>
    <cellStyle name="20% - Accent1 3 4 2 4" xfId="11713" xr:uid="{3776CA3B-4602-4330-985B-FFDE26EA9D17}"/>
    <cellStyle name="20% - Accent1 3 4 3" xfId="5336" xr:uid="{00000000-0005-0000-0000-00006E000000}"/>
    <cellStyle name="20% - Accent1 3 4 3 2" xfId="22227" xr:uid="{44CEB693-5B33-4027-99B6-692685DA14ED}"/>
    <cellStyle name="20% - Accent1 3 4 3 3" xfId="13786" xr:uid="{393A414C-E982-4802-AC4F-19013B8D5956}"/>
    <cellStyle name="20% - Accent1 3 4 4" xfId="18009" xr:uid="{C9D82BE9-950B-4D4F-AB61-529FADB66A81}"/>
    <cellStyle name="20% - Accent1 3 4 5" xfId="9568" xr:uid="{B04C87B8-3BE2-4CDE-9138-8105A267E39D}"/>
    <cellStyle name="20% - Accent1 3 5" xfId="1442" xr:uid="{00000000-0005-0000-0000-00006F000000}"/>
    <cellStyle name="20% - Accent1 3 5 2" xfId="3672" xr:uid="{00000000-0005-0000-0000-000070000000}"/>
    <cellStyle name="20% - Accent1 3 5 2 2" xfId="7894" xr:uid="{00000000-0005-0000-0000-000071000000}"/>
    <cellStyle name="20% - Accent1 3 5 2 2 2" xfId="24785" xr:uid="{40BEBB6C-2FCE-47EB-94E6-BD1B7A51BD87}"/>
    <cellStyle name="20% - Accent1 3 5 2 2 3" xfId="16344" xr:uid="{4BAC111B-A4B5-47E8-82CC-BAB192E7D78D}"/>
    <cellStyle name="20% - Accent1 3 5 2 3" xfId="20567" xr:uid="{AAC1A310-8A35-4D16-9E1B-A7EDCDFC1034}"/>
    <cellStyle name="20% - Accent1 3 5 2 4" xfId="12126" xr:uid="{1D304C2A-E2AD-4DEA-AF70-DB9309BB5669}"/>
    <cellStyle name="20% - Accent1 3 5 3" xfId="5749" xr:uid="{00000000-0005-0000-0000-000072000000}"/>
    <cellStyle name="20% - Accent1 3 5 3 2" xfId="22640" xr:uid="{108A8F10-3181-4B7E-A93B-4FC48B3F70D1}"/>
    <cellStyle name="20% - Accent1 3 5 3 3" xfId="14199" xr:uid="{FB382A0B-55A2-41E4-AB4C-CC7687971C86}"/>
    <cellStyle name="20% - Accent1 3 5 4" xfId="18422" xr:uid="{79AA5A82-B60D-48B4-938E-F87871013B2D}"/>
    <cellStyle name="20% - Accent1 3 5 5" xfId="9981" xr:uid="{8ED7DB1C-C222-4372-8EB4-ADBA629A75D7}"/>
    <cellStyle name="20% - Accent1 3 6" xfId="1856" xr:uid="{00000000-0005-0000-0000-000073000000}"/>
    <cellStyle name="20% - Accent1 3 6 2" xfId="4085" xr:uid="{00000000-0005-0000-0000-000074000000}"/>
    <cellStyle name="20% - Accent1 3 6 2 2" xfId="8307" xr:uid="{00000000-0005-0000-0000-000075000000}"/>
    <cellStyle name="20% - Accent1 3 6 2 2 2" xfId="25198" xr:uid="{949D286B-6FE9-40C0-9858-FE0628375A6A}"/>
    <cellStyle name="20% - Accent1 3 6 2 2 3" xfId="16757" xr:uid="{443F8421-D1B7-4619-9BCD-6257488F2B8A}"/>
    <cellStyle name="20% - Accent1 3 6 2 3" xfId="20980" xr:uid="{8A8CC85B-AE5E-4A28-8BE2-9DF4F9AC4A4A}"/>
    <cellStyle name="20% - Accent1 3 6 2 4" xfId="12539" xr:uid="{2C047FFC-A6EA-4D47-B521-8C6AC6989E85}"/>
    <cellStyle name="20% - Accent1 3 6 3" xfId="6162" xr:uid="{00000000-0005-0000-0000-000076000000}"/>
    <cellStyle name="20% - Accent1 3 6 3 2" xfId="23053" xr:uid="{D949D179-FF56-4E63-BE47-A39C2DA8AEB1}"/>
    <cellStyle name="20% - Accent1 3 6 3 3" xfId="14612" xr:uid="{C16C8076-7AF8-4D96-9EF7-60CC3181B564}"/>
    <cellStyle name="20% - Accent1 3 6 4" xfId="18835" xr:uid="{C613D479-BF42-49C4-9996-5EF16C0CDA92}"/>
    <cellStyle name="20% - Accent1 3 6 5" xfId="10394" xr:uid="{9419BF8B-1071-470B-9ADA-035761066546}"/>
    <cellStyle name="20% - Accent1 3 7" xfId="2269" xr:uid="{00000000-0005-0000-0000-000077000000}"/>
    <cellStyle name="20% - Accent1 3 7 2" xfId="6575" xr:uid="{00000000-0005-0000-0000-000078000000}"/>
    <cellStyle name="20% - Accent1 3 7 2 2" xfId="23466" xr:uid="{B29B361E-A484-4F56-B7D5-406209E0E412}"/>
    <cellStyle name="20% - Accent1 3 7 2 3" xfId="15025" xr:uid="{0291ECE1-3BC9-4D66-814D-798D2585BB1C}"/>
    <cellStyle name="20% - Accent1 3 7 3" xfId="19248" xr:uid="{C4C03880-2DD3-4C69-B2D8-7FC31C830D5E}"/>
    <cellStyle name="20% - Accent1 3 7 4" xfId="10807" xr:uid="{FBB60D1A-3BE3-4C79-B59A-FEA5BEA20FD1}"/>
    <cellStyle name="20% - Accent1 3 8" xfId="4509" xr:uid="{00000000-0005-0000-0000-000079000000}"/>
    <cellStyle name="20% - Accent1 3 8 2" xfId="21400" xr:uid="{9AAD16B5-375E-4612-A84D-65583C15CA29}"/>
    <cellStyle name="20% - Accent1 3 8 3" xfId="12959" xr:uid="{D9D4F234-24F4-46FA-AED6-3ED5C8C8C963}"/>
    <cellStyle name="20% - Accent1 3 9" xfId="17182" xr:uid="{858B1BAE-AC9D-419C-AA2E-870308CFCDFA}"/>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2 2 2" xfId="23961" xr:uid="{36783CE1-D777-4BF3-A48D-84F9DFD7A44A}"/>
    <cellStyle name="20% - Accent1 4 2 2 2 3" xfId="15520" xr:uid="{37F5FC01-9EDD-4BFC-8D5B-F51406332EE6}"/>
    <cellStyle name="20% - Accent1 4 2 2 3" xfId="19743" xr:uid="{7FF19672-A82F-4E79-A845-48FDB5D622DA}"/>
    <cellStyle name="20% - Accent1 4 2 2 4" xfId="11302" xr:uid="{643EDBE5-FAC6-46F7-A18A-A2F819446120}"/>
    <cellStyle name="20% - Accent1 4 2 3" xfId="4925" xr:uid="{00000000-0005-0000-0000-00007E000000}"/>
    <cellStyle name="20% - Accent1 4 2 3 2" xfId="21816" xr:uid="{93249E73-BB55-4CE1-8C3F-B69E713666B2}"/>
    <cellStyle name="20% - Accent1 4 2 3 3" xfId="13375" xr:uid="{4075C3E3-F8DD-44F6-A498-13FEC5C87AEC}"/>
    <cellStyle name="20% - Accent1 4 2 4" xfId="17598" xr:uid="{621EF547-53B1-45A6-A033-F269422B2568}"/>
    <cellStyle name="20% - Accent1 4 2 5" xfId="9157" xr:uid="{20C1A886-9245-4941-A3E4-C80FC21ECC53}"/>
    <cellStyle name="20% - Accent1 4 3" xfId="1030" xr:uid="{00000000-0005-0000-0000-00007F000000}"/>
    <cellStyle name="20% - Accent1 4 3 2" xfId="3261" xr:uid="{00000000-0005-0000-0000-000080000000}"/>
    <cellStyle name="20% - Accent1 4 3 2 2" xfId="7483" xr:uid="{00000000-0005-0000-0000-000081000000}"/>
    <cellStyle name="20% - Accent1 4 3 2 2 2" xfId="24374" xr:uid="{D70B2A7D-3ABF-4037-BB6A-D2F9214AF398}"/>
    <cellStyle name="20% - Accent1 4 3 2 2 3" xfId="15933" xr:uid="{51A39BDD-8986-4CC4-B57B-B3B76D9CAC0A}"/>
    <cellStyle name="20% - Accent1 4 3 2 3" xfId="20156" xr:uid="{60FEA58F-A9D3-4F26-9AC1-83488247A322}"/>
    <cellStyle name="20% - Accent1 4 3 2 4" xfId="11715" xr:uid="{6229EDF9-9BDE-4B92-98F5-1DFAFC347F2A}"/>
    <cellStyle name="20% - Accent1 4 3 3" xfId="5338" xr:uid="{00000000-0005-0000-0000-000082000000}"/>
    <cellStyle name="20% - Accent1 4 3 3 2" xfId="22229" xr:uid="{D37E2D17-5FFD-41CF-A0FF-25903F2BD16D}"/>
    <cellStyle name="20% - Accent1 4 3 3 3" xfId="13788" xr:uid="{9003CB0D-5459-4A89-A1C4-A9DAF8527681}"/>
    <cellStyle name="20% - Accent1 4 3 4" xfId="18011" xr:uid="{06EA5463-1E34-445C-A66E-777F3BF84A98}"/>
    <cellStyle name="20% - Accent1 4 3 5" xfId="9570" xr:uid="{D37D23D7-B2BD-4533-8185-E0683AEA765E}"/>
    <cellStyle name="20% - Accent1 4 4" xfId="1444" xr:uid="{00000000-0005-0000-0000-000083000000}"/>
    <cellStyle name="20% - Accent1 4 4 2" xfId="3674" xr:uid="{00000000-0005-0000-0000-000084000000}"/>
    <cellStyle name="20% - Accent1 4 4 2 2" xfId="7896" xr:uid="{00000000-0005-0000-0000-000085000000}"/>
    <cellStyle name="20% - Accent1 4 4 2 2 2" xfId="24787" xr:uid="{43312F90-5833-49CB-A9C6-B49527DDD986}"/>
    <cellStyle name="20% - Accent1 4 4 2 2 3" xfId="16346" xr:uid="{90F3AA42-FAEA-45FA-8E67-3E33F218B4F7}"/>
    <cellStyle name="20% - Accent1 4 4 2 3" xfId="20569" xr:uid="{920626C9-D6FA-445E-B00C-0A67AEF9F802}"/>
    <cellStyle name="20% - Accent1 4 4 2 4" xfId="12128" xr:uid="{38CC45D0-CE02-4B18-A799-403D9A7F7E8F}"/>
    <cellStyle name="20% - Accent1 4 4 3" xfId="5751" xr:uid="{00000000-0005-0000-0000-000086000000}"/>
    <cellStyle name="20% - Accent1 4 4 3 2" xfId="22642" xr:uid="{38341307-E0AB-4555-B746-F45CB1650F03}"/>
    <cellStyle name="20% - Accent1 4 4 3 3" xfId="14201" xr:uid="{E1BF8FFB-61A5-47D7-A326-170BC179AD6F}"/>
    <cellStyle name="20% - Accent1 4 4 4" xfId="18424" xr:uid="{9EC143D2-D2CC-4D89-9712-A93C0A0B7592}"/>
    <cellStyle name="20% - Accent1 4 4 5" xfId="9983" xr:uid="{15644A03-28F8-4DB7-AF58-1652B15B58A2}"/>
    <cellStyle name="20% - Accent1 4 5" xfId="1858" xr:uid="{00000000-0005-0000-0000-000087000000}"/>
    <cellStyle name="20% - Accent1 4 5 2" xfId="4087" xr:uid="{00000000-0005-0000-0000-000088000000}"/>
    <cellStyle name="20% - Accent1 4 5 2 2" xfId="8309" xr:uid="{00000000-0005-0000-0000-000089000000}"/>
    <cellStyle name="20% - Accent1 4 5 2 2 2" xfId="25200" xr:uid="{29734376-97A7-438D-814A-EB3ADBBB43AA}"/>
    <cellStyle name="20% - Accent1 4 5 2 2 3" xfId="16759" xr:uid="{527D25E4-93D2-4630-9DB6-90FAF3C3E2C6}"/>
    <cellStyle name="20% - Accent1 4 5 2 3" xfId="20982" xr:uid="{4282EB63-6248-4222-A5F5-68DBD0AC63EA}"/>
    <cellStyle name="20% - Accent1 4 5 2 4" xfId="12541" xr:uid="{60B11701-C946-45E4-BB6A-8126F0FABF64}"/>
    <cellStyle name="20% - Accent1 4 5 3" xfId="6164" xr:uid="{00000000-0005-0000-0000-00008A000000}"/>
    <cellStyle name="20% - Accent1 4 5 3 2" xfId="23055" xr:uid="{12F4CBD9-E845-474F-B716-56CCD05837BC}"/>
    <cellStyle name="20% - Accent1 4 5 3 3" xfId="14614" xr:uid="{BF501EF4-A599-4A84-AE4B-572EF79634F0}"/>
    <cellStyle name="20% - Accent1 4 5 4" xfId="18837" xr:uid="{EC8C6715-43F1-4D5C-A183-3AB1DFCD7CFC}"/>
    <cellStyle name="20% - Accent1 4 5 5" xfId="10396" xr:uid="{4F6160DE-43DA-4244-A3CE-BAB7580CBCB5}"/>
    <cellStyle name="20% - Accent1 4 6" xfId="2271" xr:uid="{00000000-0005-0000-0000-00008B000000}"/>
    <cellStyle name="20% - Accent1 4 6 2" xfId="6577" xr:uid="{00000000-0005-0000-0000-00008C000000}"/>
    <cellStyle name="20% - Accent1 4 6 2 2" xfId="23468" xr:uid="{E0991DEC-95C8-4919-BEAB-C4F39D334BDF}"/>
    <cellStyle name="20% - Accent1 4 6 2 3" xfId="15027" xr:uid="{CAC17809-E55F-4B57-BE18-2DFA547AC6A3}"/>
    <cellStyle name="20% - Accent1 4 6 3" xfId="19250" xr:uid="{41D80064-AD1D-4D74-8B53-94C82425F9AC}"/>
    <cellStyle name="20% - Accent1 4 6 4" xfId="10809" xr:uid="{8F2D51AC-5165-4740-AA99-CB2878E42B8A}"/>
    <cellStyle name="20% - Accent1 4 7" xfId="4511" xr:uid="{00000000-0005-0000-0000-00008D000000}"/>
    <cellStyle name="20% - Accent1 4 7 2" xfId="21402" xr:uid="{81E32E45-682A-4D88-8ACD-4BC9100E4DF1}"/>
    <cellStyle name="20% - Accent1 4 7 3" xfId="12961" xr:uid="{4E03DF5A-6210-43D0-AAA8-FFAB1C410647}"/>
    <cellStyle name="20% - Accent1 4 8" xfId="17184" xr:uid="{0CAF4AD2-3323-4BFD-8153-39AA3898E97D}"/>
    <cellStyle name="20% - Accent1 4 9" xfId="8743" xr:uid="{E9BFD4D0-1E29-4ED0-B69D-6BC884C79BFD}"/>
    <cellStyle name="20% - Accent1 5" xfId="570" xr:uid="{00000000-0005-0000-0000-00008E000000}"/>
    <cellStyle name="20% - Accent1 5 2" xfId="2841" xr:uid="{00000000-0005-0000-0000-00008F000000}"/>
    <cellStyle name="20% - Accent1 5 2 2" xfId="7063" xr:uid="{00000000-0005-0000-0000-000090000000}"/>
    <cellStyle name="20% - Accent1 5 2 2 2" xfId="23954" xr:uid="{4E512ED7-878B-4E6E-A0E8-76F3360BB0CA}"/>
    <cellStyle name="20% - Accent1 5 2 2 3" xfId="15513" xr:uid="{8F59FA0F-AE3F-4DC1-B195-7B8A92D59725}"/>
    <cellStyle name="20% - Accent1 5 2 3" xfId="19736" xr:uid="{E819166B-B493-42CA-9082-1C223C299F26}"/>
    <cellStyle name="20% - Accent1 5 2 4" xfId="11295" xr:uid="{A62DBA7D-4832-4A95-A3A8-E41490CFDBE5}"/>
    <cellStyle name="20% - Accent1 5 3" xfId="4918" xr:uid="{00000000-0005-0000-0000-000091000000}"/>
    <cellStyle name="20% - Accent1 5 3 2" xfId="21809" xr:uid="{B1B284A4-4FD8-40F1-9F99-F45681D98C19}"/>
    <cellStyle name="20% - Accent1 5 3 3" xfId="13368" xr:uid="{099A10F6-0615-4366-B8DA-6D5D14FAF02E}"/>
    <cellStyle name="20% - Accent1 5 4" xfId="17591" xr:uid="{26156CC9-8EB1-42A2-9054-1A912CF9088A}"/>
    <cellStyle name="20% - Accent1 5 5" xfId="9150" xr:uid="{7A735AFB-493F-4593-9BD6-7B09214C4C22}"/>
    <cellStyle name="20% - Accent1 6" xfId="1023" xr:uid="{00000000-0005-0000-0000-000092000000}"/>
    <cellStyle name="20% - Accent1 6 2" xfId="3254" xr:uid="{00000000-0005-0000-0000-000093000000}"/>
    <cellStyle name="20% - Accent1 6 2 2" xfId="7476" xr:uid="{00000000-0005-0000-0000-000094000000}"/>
    <cellStyle name="20% - Accent1 6 2 2 2" xfId="24367" xr:uid="{DB13A7C9-92B0-4BE0-BBD3-A61E104C7CC1}"/>
    <cellStyle name="20% - Accent1 6 2 2 3" xfId="15926" xr:uid="{D53DFAEC-A937-4459-ABD4-E046F8EA3530}"/>
    <cellStyle name="20% - Accent1 6 2 3" xfId="20149" xr:uid="{531E9BF4-2B0A-470A-BCFC-38F97A7E550B}"/>
    <cellStyle name="20% - Accent1 6 2 4" xfId="11708" xr:uid="{4836EDCD-3D3A-45A2-AB08-D99A967B7A90}"/>
    <cellStyle name="20% - Accent1 6 3" xfId="5331" xr:uid="{00000000-0005-0000-0000-000095000000}"/>
    <cellStyle name="20% - Accent1 6 3 2" xfId="22222" xr:uid="{40645E16-139F-4BDE-9A3A-374D49958731}"/>
    <cellStyle name="20% - Accent1 6 3 3" xfId="13781" xr:uid="{49DDDB88-E7D7-44A2-8F79-13744D89B969}"/>
    <cellStyle name="20% - Accent1 6 4" xfId="18004" xr:uid="{B3C40BB2-881D-498F-A699-5ACE06ADDDF7}"/>
    <cellStyle name="20% - Accent1 6 5" xfId="9563" xr:uid="{2A1D7E9A-A817-487C-8F56-6B978EE0D157}"/>
    <cellStyle name="20% - Accent1 7" xfId="1437" xr:uid="{00000000-0005-0000-0000-000096000000}"/>
    <cellStyle name="20% - Accent1 7 2" xfId="3667" xr:uid="{00000000-0005-0000-0000-000097000000}"/>
    <cellStyle name="20% - Accent1 7 2 2" xfId="7889" xr:uid="{00000000-0005-0000-0000-000098000000}"/>
    <cellStyle name="20% - Accent1 7 2 2 2" xfId="24780" xr:uid="{0BDCC8C8-8121-46C7-96B3-DD56A337F880}"/>
    <cellStyle name="20% - Accent1 7 2 2 3" xfId="16339" xr:uid="{4D9E09E1-3900-4956-BB14-2AB66D01DBDF}"/>
    <cellStyle name="20% - Accent1 7 2 3" xfId="20562" xr:uid="{730CF5FA-DC7F-44CA-8653-66A20B38A738}"/>
    <cellStyle name="20% - Accent1 7 2 4" xfId="12121" xr:uid="{B67C6F1C-F536-4B6D-8842-CC915D70395D}"/>
    <cellStyle name="20% - Accent1 7 3" xfId="5744" xr:uid="{00000000-0005-0000-0000-000099000000}"/>
    <cellStyle name="20% - Accent1 7 3 2" xfId="22635" xr:uid="{2D273317-EEAB-436B-9FA6-DA7580729C20}"/>
    <cellStyle name="20% - Accent1 7 3 3" xfId="14194" xr:uid="{1C264FEA-4D18-4AB7-9D5A-77925D68C052}"/>
    <cellStyle name="20% - Accent1 7 4" xfId="18417" xr:uid="{C7029107-3596-47F6-98CD-0BF0F48564EF}"/>
    <cellStyle name="20% - Accent1 7 5" xfId="9976" xr:uid="{CA2ACE04-B479-4E58-8ED4-A5ABB4EE41BC}"/>
    <cellStyle name="20% - Accent1 8" xfId="1851" xr:uid="{00000000-0005-0000-0000-00009A000000}"/>
    <cellStyle name="20% - Accent1 8 2" xfId="4080" xr:uid="{00000000-0005-0000-0000-00009B000000}"/>
    <cellStyle name="20% - Accent1 8 2 2" xfId="8302" xr:uid="{00000000-0005-0000-0000-00009C000000}"/>
    <cellStyle name="20% - Accent1 8 2 2 2" xfId="25193" xr:uid="{0C0703E0-12E4-4DF5-AA5B-B819A5C33986}"/>
    <cellStyle name="20% - Accent1 8 2 2 3" xfId="16752" xr:uid="{4E52B607-36E7-4227-ACBC-C7863724903A}"/>
    <cellStyle name="20% - Accent1 8 2 3" xfId="20975" xr:uid="{68FC86C2-09E8-46A8-A2E3-5DBD3E622B79}"/>
    <cellStyle name="20% - Accent1 8 2 4" xfId="12534" xr:uid="{B91F738C-1103-4759-BD39-179CEC922679}"/>
    <cellStyle name="20% - Accent1 8 3" xfId="6157" xr:uid="{00000000-0005-0000-0000-00009D000000}"/>
    <cellStyle name="20% - Accent1 8 3 2" xfId="23048" xr:uid="{41F8D2F4-FBE1-459C-A84D-31A312EC31C3}"/>
    <cellStyle name="20% - Accent1 8 3 3" xfId="14607" xr:uid="{61092BBE-9673-428B-9579-FD68436CF04F}"/>
    <cellStyle name="20% - Accent1 8 4" xfId="18830" xr:uid="{EDF55461-1D0D-48F9-B1EE-FE1FDE8FD28C}"/>
    <cellStyle name="20% - Accent1 8 5" xfId="10389" xr:uid="{05E5CD51-2747-43F8-8D2A-DA6413F04B7D}"/>
    <cellStyle name="20% - Accent1 9" xfId="2264" xr:uid="{00000000-0005-0000-0000-00009E000000}"/>
    <cellStyle name="20% - Accent1 9 2" xfId="6570" xr:uid="{00000000-0005-0000-0000-00009F000000}"/>
    <cellStyle name="20% - Accent1 9 2 2" xfId="23461" xr:uid="{8D611648-256B-45CE-B9A5-9E98839476F8}"/>
    <cellStyle name="20% - Accent1 9 2 3" xfId="15020" xr:uid="{757BF6B9-C649-473C-8F03-96A16A5F81B3}"/>
    <cellStyle name="20% - Accent1 9 3" xfId="19243" xr:uid="{17095F32-2D67-4CF2-94BC-506B3F75FF04}"/>
    <cellStyle name="20% - Accent1 9 4" xfId="10802" xr:uid="{B85889DC-C19F-423F-BCB8-7C1B179041E0}"/>
    <cellStyle name="20% - Accent2" xfId="9" builtinId="34" customBuiltin="1"/>
    <cellStyle name="20% - Accent2 10" xfId="4512" xr:uid="{00000000-0005-0000-0000-0000A1000000}"/>
    <cellStyle name="20% - Accent2 10 2" xfId="21403" xr:uid="{ED3E8750-5501-40B6-B6E8-4AA18A7C42EA}"/>
    <cellStyle name="20% - Accent2 10 3" xfId="12962" xr:uid="{3E232C9A-A343-469E-8707-AEF429EEB6D9}"/>
    <cellStyle name="20% - Accent2 11" xfId="17185" xr:uid="{22727AF3-40D6-47E2-A7BC-8D8F4F3CFB6C}"/>
    <cellStyle name="20% - Accent2 12" xfId="8744" xr:uid="{2C6BAD74-63B7-4DA1-835A-94A739459999}"/>
    <cellStyle name="20% - Accent2 2" xfId="10" xr:uid="{00000000-0005-0000-0000-0000A2000000}"/>
    <cellStyle name="20% - Accent2 2 10" xfId="17186" xr:uid="{4540FB51-D065-42C9-B9CF-77B5CA11163C}"/>
    <cellStyle name="20% - Accent2 2 11" xfId="8745" xr:uid="{8958405F-6A58-4A3E-9936-10FDA896D9B1}"/>
    <cellStyle name="20% - Accent2 2 2" xfId="11" xr:uid="{00000000-0005-0000-0000-0000A3000000}"/>
    <cellStyle name="20% - Accent2 2 2 10" xfId="8746" xr:uid="{CA235B51-B72B-422F-94F4-F5672E88121C}"/>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23965" xr:uid="{18D342EE-E45A-407A-B340-71FC5455117D}"/>
    <cellStyle name="20% - Accent2 2 2 2 2 2 2 3" xfId="15524" xr:uid="{FB6E8EDF-3125-4039-A164-6C71BCD6F04F}"/>
    <cellStyle name="20% - Accent2 2 2 2 2 2 3" xfId="19747" xr:uid="{73C6540B-DBE5-4CB5-B2A1-A20DA7601197}"/>
    <cellStyle name="20% - Accent2 2 2 2 2 2 4" xfId="11306" xr:uid="{353C281A-4325-4183-9637-BFC1C5B14F6E}"/>
    <cellStyle name="20% - Accent2 2 2 2 2 3" xfId="4929" xr:uid="{00000000-0005-0000-0000-0000A8000000}"/>
    <cellStyle name="20% - Accent2 2 2 2 2 3 2" xfId="21820" xr:uid="{39268A65-CB17-4055-8A1A-F3F37AA6D601}"/>
    <cellStyle name="20% - Accent2 2 2 2 2 3 3" xfId="13379" xr:uid="{BFEC73C5-D582-4F84-83C2-39D101772CB3}"/>
    <cellStyle name="20% - Accent2 2 2 2 2 4" xfId="17602" xr:uid="{5EBF71EB-3479-419B-AFF9-F0D70595AC01}"/>
    <cellStyle name="20% - Accent2 2 2 2 2 5" xfId="9161" xr:uid="{C1ABAAEA-55D6-416A-AB73-359056399A7C}"/>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24378" xr:uid="{22D067A4-A9CC-4325-B5DA-495E02B6C4C6}"/>
    <cellStyle name="20% - Accent2 2 2 2 3 2 2 3" xfId="15937" xr:uid="{495C1DFF-EB0F-4E58-AB52-4198EB04E2DA}"/>
    <cellStyle name="20% - Accent2 2 2 2 3 2 3" xfId="20160" xr:uid="{D64FF999-DFA9-49AA-BF08-6AA214255ED7}"/>
    <cellStyle name="20% - Accent2 2 2 2 3 2 4" xfId="11719" xr:uid="{9BE941E2-36EF-447A-9E3E-B27D1512D6A4}"/>
    <cellStyle name="20% - Accent2 2 2 2 3 3" xfId="5342" xr:uid="{00000000-0005-0000-0000-0000AC000000}"/>
    <cellStyle name="20% - Accent2 2 2 2 3 3 2" xfId="22233" xr:uid="{354E8D93-786E-420D-9D75-7114CC007E1B}"/>
    <cellStyle name="20% - Accent2 2 2 2 3 3 3" xfId="13792" xr:uid="{F72742C1-3873-4695-BF98-B5A63422D6F8}"/>
    <cellStyle name="20% - Accent2 2 2 2 3 4" xfId="18015" xr:uid="{7A60C495-248E-4745-9878-9CD64E341BBF}"/>
    <cellStyle name="20% - Accent2 2 2 2 3 5" xfId="9574" xr:uid="{192F7CDF-0419-48FF-9930-1C67473E19EF}"/>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24791" xr:uid="{7955F3BB-F644-4F2A-87B7-BB5B5894D810}"/>
    <cellStyle name="20% - Accent2 2 2 2 4 2 2 3" xfId="16350" xr:uid="{60B6ED34-A98A-49A1-97AB-013AC37A43FD}"/>
    <cellStyle name="20% - Accent2 2 2 2 4 2 3" xfId="20573" xr:uid="{42B88D73-2223-4F72-86B4-C31064176D55}"/>
    <cellStyle name="20% - Accent2 2 2 2 4 2 4" xfId="12132" xr:uid="{141426BD-7DAC-49F7-848C-12200FD1D3FB}"/>
    <cellStyle name="20% - Accent2 2 2 2 4 3" xfId="5755" xr:uid="{00000000-0005-0000-0000-0000B0000000}"/>
    <cellStyle name="20% - Accent2 2 2 2 4 3 2" xfId="22646" xr:uid="{B7B9C72A-3222-4716-BBE6-E7009D939E55}"/>
    <cellStyle name="20% - Accent2 2 2 2 4 3 3" xfId="14205" xr:uid="{DE6AF1C9-9F02-4BE6-A158-47A124560830}"/>
    <cellStyle name="20% - Accent2 2 2 2 4 4" xfId="18428" xr:uid="{1EDFB051-4A8B-4B3D-A02D-B67F8ADCBB56}"/>
    <cellStyle name="20% - Accent2 2 2 2 4 5" xfId="9987" xr:uid="{926812EE-C294-40F7-A179-5471BEC09339}"/>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25204" xr:uid="{8EEFA974-5BA6-4142-8D5C-0230570528CF}"/>
    <cellStyle name="20% - Accent2 2 2 2 5 2 2 3" xfId="16763" xr:uid="{12F5A7AB-4B45-49AA-A2DD-A43A96A927D6}"/>
    <cellStyle name="20% - Accent2 2 2 2 5 2 3" xfId="20986" xr:uid="{23DE1570-CBE3-4599-9358-6029E3FE06A7}"/>
    <cellStyle name="20% - Accent2 2 2 2 5 2 4" xfId="12545" xr:uid="{28AA2C19-EF93-4BE4-A69A-71D50C4E7A2A}"/>
    <cellStyle name="20% - Accent2 2 2 2 5 3" xfId="6168" xr:uid="{00000000-0005-0000-0000-0000B4000000}"/>
    <cellStyle name="20% - Accent2 2 2 2 5 3 2" xfId="23059" xr:uid="{8E8AFC25-EC74-45D9-9EE4-058B2A063E71}"/>
    <cellStyle name="20% - Accent2 2 2 2 5 3 3" xfId="14618" xr:uid="{08F86A41-F8D6-46D7-ABF2-046402AE44C7}"/>
    <cellStyle name="20% - Accent2 2 2 2 5 4" xfId="18841" xr:uid="{B83C8760-4ED4-4947-A121-DF2EE6E85348}"/>
    <cellStyle name="20% - Accent2 2 2 2 5 5" xfId="10400" xr:uid="{6919A80D-F924-4A7A-BC79-0FBC2B1FDD90}"/>
    <cellStyle name="20% - Accent2 2 2 2 6" xfId="2275" xr:uid="{00000000-0005-0000-0000-0000B5000000}"/>
    <cellStyle name="20% - Accent2 2 2 2 6 2" xfId="6581" xr:uid="{00000000-0005-0000-0000-0000B6000000}"/>
    <cellStyle name="20% - Accent2 2 2 2 6 2 2" xfId="23472" xr:uid="{AC6F5F24-619A-463F-8C83-7E61A873AA86}"/>
    <cellStyle name="20% - Accent2 2 2 2 6 2 3" xfId="15031" xr:uid="{3006616A-AFAF-415D-B1E0-60A8497A5714}"/>
    <cellStyle name="20% - Accent2 2 2 2 6 3" xfId="19254" xr:uid="{C2DD22C6-364F-4D03-92CF-9E8194CD2B29}"/>
    <cellStyle name="20% - Accent2 2 2 2 6 4" xfId="10813" xr:uid="{04223943-C75F-41AC-AD5A-FCB762DD7252}"/>
    <cellStyle name="20% - Accent2 2 2 2 7" xfId="4515" xr:uid="{00000000-0005-0000-0000-0000B7000000}"/>
    <cellStyle name="20% - Accent2 2 2 2 7 2" xfId="21406" xr:uid="{2647A672-A46B-4F18-8CDB-E8510D1D9DFD}"/>
    <cellStyle name="20% - Accent2 2 2 2 7 3" xfId="12965" xr:uid="{7B2C9166-2FC8-4F06-A4C6-7E5B83C6A643}"/>
    <cellStyle name="20% - Accent2 2 2 2 8" xfId="17188" xr:uid="{AA1B08D1-5683-4EE5-948B-B19D9856E707}"/>
    <cellStyle name="20% - Accent2 2 2 2 9" xfId="8747" xr:uid="{92C7BBB5-2DD0-427F-985D-42AE834DE13C}"/>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23964" xr:uid="{EDEF326C-4699-4E1C-A371-130BFA813EB0}"/>
    <cellStyle name="20% - Accent2 2 2 3 2 2 3" xfId="15523" xr:uid="{1565E749-073F-4F4B-9B0C-1C1283FE6168}"/>
    <cellStyle name="20% - Accent2 2 2 3 2 3" xfId="19746" xr:uid="{F5D29B4F-EB9D-4A49-ADB7-2D2127577646}"/>
    <cellStyle name="20% - Accent2 2 2 3 2 4" xfId="11305" xr:uid="{0BCABB1F-6CD7-4E66-85B4-D10DEBDCB1B3}"/>
    <cellStyle name="20% - Accent2 2 2 3 3" xfId="4928" xr:uid="{00000000-0005-0000-0000-0000BB000000}"/>
    <cellStyle name="20% - Accent2 2 2 3 3 2" xfId="21819" xr:uid="{BD48078A-9258-4161-B733-CD26D3ED08BA}"/>
    <cellStyle name="20% - Accent2 2 2 3 3 3" xfId="13378" xr:uid="{0A178270-291C-4661-8EB8-ECB6C7C7E0E5}"/>
    <cellStyle name="20% - Accent2 2 2 3 4" xfId="17601" xr:uid="{BFE6B9F7-5E4E-4964-AF33-D72874715C7B}"/>
    <cellStyle name="20% - Accent2 2 2 3 5" xfId="9160" xr:uid="{7E74777E-E006-47BC-B87C-F720D2B9E63D}"/>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24377" xr:uid="{23890C5B-BED6-4E19-B89A-3FC41CB880A8}"/>
    <cellStyle name="20% - Accent2 2 2 4 2 2 3" xfId="15936" xr:uid="{7024BD9A-5EE7-4782-B538-8D448D3E9ADB}"/>
    <cellStyle name="20% - Accent2 2 2 4 2 3" xfId="20159" xr:uid="{7874513A-9631-4AF7-879F-F8051D9B8E4C}"/>
    <cellStyle name="20% - Accent2 2 2 4 2 4" xfId="11718" xr:uid="{504DF75C-EB3B-45B3-A87C-6BB3F34E54E5}"/>
    <cellStyle name="20% - Accent2 2 2 4 3" xfId="5341" xr:uid="{00000000-0005-0000-0000-0000BF000000}"/>
    <cellStyle name="20% - Accent2 2 2 4 3 2" xfId="22232" xr:uid="{C4210BD9-BE34-4661-803D-E53B498A7FDA}"/>
    <cellStyle name="20% - Accent2 2 2 4 3 3" xfId="13791" xr:uid="{9384EA06-D03F-42E7-AB9D-FEC6CB34FFB8}"/>
    <cellStyle name="20% - Accent2 2 2 4 4" xfId="18014" xr:uid="{1C46B4CE-6E3E-4F65-9BF4-DA33465EB85C}"/>
    <cellStyle name="20% - Accent2 2 2 4 5" xfId="9573" xr:uid="{6851FB44-904E-4D90-8165-8CF5184ADC5B}"/>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24790" xr:uid="{13EC37AD-3630-4F34-9DE5-15FCF20543B8}"/>
    <cellStyle name="20% - Accent2 2 2 5 2 2 3" xfId="16349" xr:uid="{FE1D6D24-8188-4978-82BE-45F0509E2AC2}"/>
    <cellStyle name="20% - Accent2 2 2 5 2 3" xfId="20572" xr:uid="{98EF4E3A-E033-4B6A-A6A4-2010CEA675E7}"/>
    <cellStyle name="20% - Accent2 2 2 5 2 4" xfId="12131" xr:uid="{50F6FB37-F3B9-4C1A-8F4C-CBD4C11F6708}"/>
    <cellStyle name="20% - Accent2 2 2 5 3" xfId="5754" xr:uid="{00000000-0005-0000-0000-0000C3000000}"/>
    <cellStyle name="20% - Accent2 2 2 5 3 2" xfId="22645" xr:uid="{D8F08405-0BF4-4F60-BFCF-2D35F7FA661F}"/>
    <cellStyle name="20% - Accent2 2 2 5 3 3" xfId="14204" xr:uid="{501E031A-F940-40FE-B2EE-81552BD57112}"/>
    <cellStyle name="20% - Accent2 2 2 5 4" xfId="18427" xr:uid="{1760EAC2-FAFB-45BF-8FA9-8F08CB3A36F8}"/>
    <cellStyle name="20% - Accent2 2 2 5 5" xfId="9986" xr:uid="{72E8A995-4271-46F6-8A0B-3840B2AE7DFC}"/>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25203" xr:uid="{07810358-6492-4D70-AEFD-539CCBEFE2B8}"/>
    <cellStyle name="20% - Accent2 2 2 6 2 2 3" xfId="16762" xr:uid="{F9A063B7-C593-4E4C-88F3-E334EEF145EA}"/>
    <cellStyle name="20% - Accent2 2 2 6 2 3" xfId="20985" xr:uid="{0EAEA802-EF72-4EDB-ABA2-D1285628678B}"/>
    <cellStyle name="20% - Accent2 2 2 6 2 4" xfId="12544" xr:uid="{E4ECE471-4891-4B13-A812-CA9B0EE9AAD1}"/>
    <cellStyle name="20% - Accent2 2 2 6 3" xfId="6167" xr:uid="{00000000-0005-0000-0000-0000C7000000}"/>
    <cellStyle name="20% - Accent2 2 2 6 3 2" xfId="23058" xr:uid="{8EE6BDCC-D47A-4F41-B281-01CFEB3B3D21}"/>
    <cellStyle name="20% - Accent2 2 2 6 3 3" xfId="14617" xr:uid="{B66CC179-789F-42A1-B8C9-753AA606F20C}"/>
    <cellStyle name="20% - Accent2 2 2 6 4" xfId="18840" xr:uid="{B9951565-3F53-463B-B272-EE217F38F6D2}"/>
    <cellStyle name="20% - Accent2 2 2 6 5" xfId="10399" xr:uid="{D8353082-9162-4C79-BD59-5892CDA86BEC}"/>
    <cellStyle name="20% - Accent2 2 2 7" xfId="2274" xr:uid="{00000000-0005-0000-0000-0000C8000000}"/>
    <cellStyle name="20% - Accent2 2 2 7 2" xfId="6580" xr:uid="{00000000-0005-0000-0000-0000C9000000}"/>
    <cellStyle name="20% - Accent2 2 2 7 2 2" xfId="23471" xr:uid="{8BF291A0-DEBF-4CE5-9018-67DF69F4BF73}"/>
    <cellStyle name="20% - Accent2 2 2 7 2 3" xfId="15030" xr:uid="{4463DE51-CE4F-4781-8872-32A87DB1D67E}"/>
    <cellStyle name="20% - Accent2 2 2 7 3" xfId="19253" xr:uid="{288AF8BC-C083-4F09-B5C8-C0F5562E073D}"/>
    <cellStyle name="20% - Accent2 2 2 7 4" xfId="10812" xr:uid="{A80C0FA7-BA99-4EA6-8836-BC47084F343D}"/>
    <cellStyle name="20% - Accent2 2 2 8" xfId="4514" xr:uid="{00000000-0005-0000-0000-0000CA000000}"/>
    <cellStyle name="20% - Accent2 2 2 8 2" xfId="21405" xr:uid="{2EF425A1-8117-4CC9-87EA-DAF485F426A2}"/>
    <cellStyle name="20% - Accent2 2 2 8 3" xfId="12964" xr:uid="{1839F026-AE73-4A42-821E-A9E256F500AC}"/>
    <cellStyle name="20% - Accent2 2 2 9" xfId="17187" xr:uid="{DD106CFF-778F-433B-8B82-FF5DC3795052}"/>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23966" xr:uid="{FEA30E00-6C84-423C-A9EE-DB75D45A1847}"/>
    <cellStyle name="20% - Accent2 2 3 2 2 2 3" xfId="15525" xr:uid="{AFD3B887-4814-402B-BC1C-06536103A3ED}"/>
    <cellStyle name="20% - Accent2 2 3 2 2 3" xfId="19748" xr:uid="{5D5ED603-64C8-49D9-B669-486285C92021}"/>
    <cellStyle name="20% - Accent2 2 3 2 2 4" xfId="11307" xr:uid="{7E3D6FBF-F081-46E8-A6B9-66484775EE25}"/>
    <cellStyle name="20% - Accent2 2 3 2 3" xfId="4930" xr:uid="{00000000-0005-0000-0000-0000CF000000}"/>
    <cellStyle name="20% - Accent2 2 3 2 3 2" xfId="21821" xr:uid="{3F120FB0-983B-4992-B80A-D5E8E05BA58F}"/>
    <cellStyle name="20% - Accent2 2 3 2 3 3" xfId="13380" xr:uid="{D7AEA2F6-4A8A-43A1-AFFC-B80F5C03CE41}"/>
    <cellStyle name="20% - Accent2 2 3 2 4" xfId="17603" xr:uid="{5289CBD3-FB3A-46DD-B235-1F3FA3EA776D}"/>
    <cellStyle name="20% - Accent2 2 3 2 5" xfId="9162" xr:uid="{C0665A24-DB8F-45FF-A2BD-873F8A59B38E}"/>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24379" xr:uid="{29928B15-7EF7-4BF1-B975-33EC81FE7C60}"/>
    <cellStyle name="20% - Accent2 2 3 3 2 2 3" xfId="15938" xr:uid="{748A02D6-996F-478A-A3C5-BE034BAF9FB5}"/>
    <cellStyle name="20% - Accent2 2 3 3 2 3" xfId="20161" xr:uid="{8DDB59AD-E24B-43E2-9FF1-57221E99BC19}"/>
    <cellStyle name="20% - Accent2 2 3 3 2 4" xfId="11720" xr:uid="{1F37A48E-B5B9-4D1B-92F2-1D41630F4EA4}"/>
    <cellStyle name="20% - Accent2 2 3 3 3" xfId="5343" xr:uid="{00000000-0005-0000-0000-0000D3000000}"/>
    <cellStyle name="20% - Accent2 2 3 3 3 2" xfId="22234" xr:uid="{ACF4F988-FFFC-4F6C-B6EE-B6859FBE4496}"/>
    <cellStyle name="20% - Accent2 2 3 3 3 3" xfId="13793" xr:uid="{C5F8F2D0-F4E7-46F8-B0BA-1064C2718132}"/>
    <cellStyle name="20% - Accent2 2 3 3 4" xfId="18016" xr:uid="{7A0F99F3-5082-4F84-B7D9-1B8FF58E22B4}"/>
    <cellStyle name="20% - Accent2 2 3 3 5" xfId="9575" xr:uid="{9F634E9F-E9FD-4112-8163-2DD92E5B1F54}"/>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24792" xr:uid="{50667D3B-A34E-48F5-A5E1-925A8CC6B208}"/>
    <cellStyle name="20% - Accent2 2 3 4 2 2 3" xfId="16351" xr:uid="{AB7C88D0-9525-4F08-B975-43BAA07C412F}"/>
    <cellStyle name="20% - Accent2 2 3 4 2 3" xfId="20574" xr:uid="{B841984D-F856-41E1-9FEA-48FBAEDF6369}"/>
    <cellStyle name="20% - Accent2 2 3 4 2 4" xfId="12133" xr:uid="{AECCD130-EE67-40B2-8F68-773341584856}"/>
    <cellStyle name="20% - Accent2 2 3 4 3" xfId="5756" xr:uid="{00000000-0005-0000-0000-0000D7000000}"/>
    <cellStyle name="20% - Accent2 2 3 4 3 2" xfId="22647" xr:uid="{CF9F021E-4D1C-4666-828E-F934D50B804A}"/>
    <cellStyle name="20% - Accent2 2 3 4 3 3" xfId="14206" xr:uid="{6B29B5F2-8CDE-49C8-ADB7-A6EC2D0C4417}"/>
    <cellStyle name="20% - Accent2 2 3 4 4" xfId="18429" xr:uid="{B2AC9276-8DB4-4412-8B72-341E4A9C159F}"/>
    <cellStyle name="20% - Accent2 2 3 4 5" xfId="9988" xr:uid="{13D5A3BB-14A7-4FDD-8C8F-CCCEF36C84DF}"/>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25205" xr:uid="{16B4318E-FDE5-4F43-ACE9-03989D099B15}"/>
    <cellStyle name="20% - Accent2 2 3 5 2 2 3" xfId="16764" xr:uid="{66D98F48-1A62-4AF9-AE3D-8B29606771C1}"/>
    <cellStyle name="20% - Accent2 2 3 5 2 3" xfId="20987" xr:uid="{BD6614A8-1B3B-4A7D-B461-7139D4BFD15C}"/>
    <cellStyle name="20% - Accent2 2 3 5 2 4" xfId="12546" xr:uid="{1FCB8E20-5B4A-4AA6-86FF-8E3E2853E13E}"/>
    <cellStyle name="20% - Accent2 2 3 5 3" xfId="6169" xr:uid="{00000000-0005-0000-0000-0000DB000000}"/>
    <cellStyle name="20% - Accent2 2 3 5 3 2" xfId="23060" xr:uid="{D4530869-A156-43A8-9F52-4251BD287B8E}"/>
    <cellStyle name="20% - Accent2 2 3 5 3 3" xfId="14619" xr:uid="{A968EE6C-F992-4198-A33F-ACF06A00C280}"/>
    <cellStyle name="20% - Accent2 2 3 5 4" xfId="18842" xr:uid="{B039DB3D-B303-460B-B9F6-717E42276E8F}"/>
    <cellStyle name="20% - Accent2 2 3 5 5" xfId="10401" xr:uid="{F1A40856-4B91-4BF7-8ECE-DD358C662894}"/>
    <cellStyle name="20% - Accent2 2 3 6" xfId="2276" xr:uid="{00000000-0005-0000-0000-0000DC000000}"/>
    <cellStyle name="20% - Accent2 2 3 6 2" xfId="6582" xr:uid="{00000000-0005-0000-0000-0000DD000000}"/>
    <cellStyle name="20% - Accent2 2 3 6 2 2" xfId="23473" xr:uid="{3EBD4626-C584-49C8-BC04-6A84F5E87BB7}"/>
    <cellStyle name="20% - Accent2 2 3 6 2 3" xfId="15032" xr:uid="{D0526596-2226-4E9A-891B-4A53E1FAF78A}"/>
    <cellStyle name="20% - Accent2 2 3 6 3" xfId="19255" xr:uid="{3EAE00C0-0E28-4B28-86A1-2BA45567B597}"/>
    <cellStyle name="20% - Accent2 2 3 6 4" xfId="10814" xr:uid="{0DA88E66-1EF8-4BEE-9978-F1DA0CCBB34F}"/>
    <cellStyle name="20% - Accent2 2 3 7" xfId="4516" xr:uid="{00000000-0005-0000-0000-0000DE000000}"/>
    <cellStyle name="20% - Accent2 2 3 7 2" xfId="21407" xr:uid="{433CEE6B-C98C-4B91-B688-F4D82818B2C6}"/>
    <cellStyle name="20% - Accent2 2 3 7 3" xfId="12966" xr:uid="{68E4CF03-6494-47FB-96D6-4AB5863D5572}"/>
    <cellStyle name="20% - Accent2 2 3 8" xfId="17189" xr:uid="{4A3C046A-591A-47E3-B150-C4453504D88B}"/>
    <cellStyle name="20% - Accent2 2 3 9" xfId="8748" xr:uid="{047D17A3-1BF2-4ED8-BD10-68834416299F}"/>
    <cellStyle name="20% - Accent2 2 4" xfId="579" xr:uid="{00000000-0005-0000-0000-0000DF000000}"/>
    <cellStyle name="20% - Accent2 2 4 2" xfId="2850" xr:uid="{00000000-0005-0000-0000-0000E0000000}"/>
    <cellStyle name="20% - Accent2 2 4 2 2" xfId="7072" xr:uid="{00000000-0005-0000-0000-0000E1000000}"/>
    <cellStyle name="20% - Accent2 2 4 2 2 2" xfId="23963" xr:uid="{28B15843-70C0-4B75-AA48-2BA35BF4C1E0}"/>
    <cellStyle name="20% - Accent2 2 4 2 2 3" xfId="15522" xr:uid="{D9B18C87-A8BD-4E2D-A763-5B7C5899069F}"/>
    <cellStyle name="20% - Accent2 2 4 2 3" xfId="19745" xr:uid="{B3CBDCAE-897F-4367-9ECF-56C4B72FB813}"/>
    <cellStyle name="20% - Accent2 2 4 2 4" xfId="11304" xr:uid="{52961391-1A5F-4B1C-95B8-DFF2652B4819}"/>
    <cellStyle name="20% - Accent2 2 4 3" xfId="4927" xr:uid="{00000000-0005-0000-0000-0000E2000000}"/>
    <cellStyle name="20% - Accent2 2 4 3 2" xfId="21818" xr:uid="{6D8D0CEA-FF6C-4A30-8040-31ADFBDFFA1F}"/>
    <cellStyle name="20% - Accent2 2 4 3 3" xfId="13377" xr:uid="{C7F45F0F-6711-4B1E-AF2A-12F488B57724}"/>
    <cellStyle name="20% - Accent2 2 4 4" xfId="17600" xr:uid="{4DE798D4-D6F2-4999-A36E-3631F396417C}"/>
    <cellStyle name="20% - Accent2 2 4 5" xfId="9159" xr:uid="{8872174A-E4DC-4BF5-BE8F-33A2BA1F8898}"/>
    <cellStyle name="20% - Accent2 2 5" xfId="1032" xr:uid="{00000000-0005-0000-0000-0000E3000000}"/>
    <cellStyle name="20% - Accent2 2 5 2" xfId="3263" xr:uid="{00000000-0005-0000-0000-0000E4000000}"/>
    <cellStyle name="20% - Accent2 2 5 2 2" xfId="7485" xr:uid="{00000000-0005-0000-0000-0000E5000000}"/>
    <cellStyle name="20% - Accent2 2 5 2 2 2" xfId="24376" xr:uid="{542CB952-CFDD-46DE-AF60-785E59CC75C2}"/>
    <cellStyle name="20% - Accent2 2 5 2 2 3" xfId="15935" xr:uid="{DEED0C69-6A4F-4CDD-80BB-933669B31795}"/>
    <cellStyle name="20% - Accent2 2 5 2 3" xfId="20158" xr:uid="{AFC327A5-21B2-48F9-841B-35AC8E29A175}"/>
    <cellStyle name="20% - Accent2 2 5 2 4" xfId="11717" xr:uid="{F42E80FF-CE0C-4CC9-9141-E4646EEF890C}"/>
    <cellStyle name="20% - Accent2 2 5 3" xfId="5340" xr:uid="{00000000-0005-0000-0000-0000E6000000}"/>
    <cellStyle name="20% - Accent2 2 5 3 2" xfId="22231" xr:uid="{FC05DDEB-FA75-4174-9E81-C3E8C6E2218B}"/>
    <cellStyle name="20% - Accent2 2 5 3 3" xfId="13790" xr:uid="{E9DF8B74-4A61-4350-9F88-59F6D21BEB87}"/>
    <cellStyle name="20% - Accent2 2 5 4" xfId="18013" xr:uid="{69962265-DE03-42A4-A59E-CDF2F037D1BA}"/>
    <cellStyle name="20% - Accent2 2 5 5" xfId="9572" xr:uid="{287C541B-0690-4433-9ED5-BD2E806117AD}"/>
    <cellStyle name="20% - Accent2 2 6" xfId="1446" xr:uid="{00000000-0005-0000-0000-0000E7000000}"/>
    <cellStyle name="20% - Accent2 2 6 2" xfId="3676" xr:uid="{00000000-0005-0000-0000-0000E8000000}"/>
    <cellStyle name="20% - Accent2 2 6 2 2" xfId="7898" xr:uid="{00000000-0005-0000-0000-0000E9000000}"/>
    <cellStyle name="20% - Accent2 2 6 2 2 2" xfId="24789" xr:uid="{DF5281A7-D045-4382-98EE-1520F3C0767C}"/>
    <cellStyle name="20% - Accent2 2 6 2 2 3" xfId="16348" xr:uid="{4315D187-E5CA-48D5-A16D-5CCD2B260400}"/>
    <cellStyle name="20% - Accent2 2 6 2 3" xfId="20571" xr:uid="{D7FBE3C0-A7FD-485D-AA0A-00A72B37E136}"/>
    <cellStyle name="20% - Accent2 2 6 2 4" xfId="12130" xr:uid="{63D5B930-C049-42F5-BA96-2015553C8505}"/>
    <cellStyle name="20% - Accent2 2 6 3" xfId="5753" xr:uid="{00000000-0005-0000-0000-0000EA000000}"/>
    <cellStyle name="20% - Accent2 2 6 3 2" xfId="22644" xr:uid="{44C09A99-D63D-4D8F-834F-AC416603A0FD}"/>
    <cellStyle name="20% - Accent2 2 6 3 3" xfId="14203" xr:uid="{BB35F6A2-40FB-44C4-A0BD-7142B165F067}"/>
    <cellStyle name="20% - Accent2 2 6 4" xfId="18426" xr:uid="{90B40C8C-4A87-428E-A1B1-9AE865208700}"/>
    <cellStyle name="20% - Accent2 2 6 5" xfId="9985" xr:uid="{D8F04E51-B0AE-4E44-9281-AC65EF447FDB}"/>
    <cellStyle name="20% - Accent2 2 7" xfId="1860" xr:uid="{00000000-0005-0000-0000-0000EB000000}"/>
    <cellStyle name="20% - Accent2 2 7 2" xfId="4089" xr:uid="{00000000-0005-0000-0000-0000EC000000}"/>
    <cellStyle name="20% - Accent2 2 7 2 2" xfId="8311" xr:uid="{00000000-0005-0000-0000-0000ED000000}"/>
    <cellStyle name="20% - Accent2 2 7 2 2 2" xfId="25202" xr:uid="{7CCB1435-30FF-4611-AF41-18BF38A96AEB}"/>
    <cellStyle name="20% - Accent2 2 7 2 2 3" xfId="16761" xr:uid="{219AE5D7-D420-4F35-BD6E-C7C3C2ACE0F1}"/>
    <cellStyle name="20% - Accent2 2 7 2 3" xfId="20984" xr:uid="{25E4FC97-55DE-4B01-B605-4D169DD247F8}"/>
    <cellStyle name="20% - Accent2 2 7 2 4" xfId="12543" xr:uid="{E7508834-F16A-4B35-B532-70F2C3C09B6D}"/>
    <cellStyle name="20% - Accent2 2 7 3" xfId="6166" xr:uid="{00000000-0005-0000-0000-0000EE000000}"/>
    <cellStyle name="20% - Accent2 2 7 3 2" xfId="23057" xr:uid="{62270CD8-7D4F-4E3A-A66F-7DB2813B06A0}"/>
    <cellStyle name="20% - Accent2 2 7 3 3" xfId="14616" xr:uid="{4447C78B-1E76-4CD7-82D7-F28BA7D4D527}"/>
    <cellStyle name="20% - Accent2 2 7 4" xfId="18839" xr:uid="{0DF6A24A-3BCC-46A7-A0EF-7B5CD22EFC2F}"/>
    <cellStyle name="20% - Accent2 2 7 5" xfId="10398" xr:uid="{DEADA388-0374-43D4-A809-3414D32BD47E}"/>
    <cellStyle name="20% - Accent2 2 8" xfId="2273" xr:uid="{00000000-0005-0000-0000-0000EF000000}"/>
    <cellStyle name="20% - Accent2 2 8 2" xfId="6579" xr:uid="{00000000-0005-0000-0000-0000F0000000}"/>
    <cellStyle name="20% - Accent2 2 8 2 2" xfId="23470" xr:uid="{0E140A2C-8EB0-49E0-8A94-B2599236E8A9}"/>
    <cellStyle name="20% - Accent2 2 8 2 3" xfId="15029" xr:uid="{B9253A24-BB45-4BBF-AABA-1FDB0518261B}"/>
    <cellStyle name="20% - Accent2 2 8 3" xfId="19252" xr:uid="{22BF6A7E-AAEB-4906-BAE3-C4429D03E70B}"/>
    <cellStyle name="20% - Accent2 2 8 4" xfId="10811" xr:uid="{234CFB6E-2097-479E-9C1D-8C643A8FEB3F}"/>
    <cellStyle name="20% - Accent2 2 9" xfId="4513" xr:uid="{00000000-0005-0000-0000-0000F1000000}"/>
    <cellStyle name="20% - Accent2 2 9 2" xfId="21404" xr:uid="{52896B74-6317-4728-8CFC-523D554FFDF1}"/>
    <cellStyle name="20% - Accent2 2 9 3" xfId="12963" xr:uid="{EEB7437F-BEA9-488E-B8EF-8C9B10F8E184}"/>
    <cellStyle name="20% - Accent2 3" xfId="14" xr:uid="{00000000-0005-0000-0000-0000F2000000}"/>
    <cellStyle name="20% - Accent2 3 10" xfId="8749" xr:uid="{F0676855-216E-42FD-AD38-1CE06DE43E38}"/>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23968" xr:uid="{6C9B7022-399B-4943-A53A-02BD98ECBF9D}"/>
    <cellStyle name="20% - Accent2 3 2 2 2 2 3" xfId="15527" xr:uid="{C81413A0-278F-42DB-A9D7-5BDD7D16F8F8}"/>
    <cellStyle name="20% - Accent2 3 2 2 2 3" xfId="19750" xr:uid="{8DC5C2BB-841C-474F-81E1-8FE3B90D95ED}"/>
    <cellStyle name="20% - Accent2 3 2 2 2 4" xfId="11309" xr:uid="{61D3B0E5-2656-4175-A2D7-6C1CEA37D113}"/>
    <cellStyle name="20% - Accent2 3 2 2 3" xfId="4932" xr:uid="{00000000-0005-0000-0000-0000F7000000}"/>
    <cellStyle name="20% - Accent2 3 2 2 3 2" xfId="21823" xr:uid="{A3139829-B5D5-42E4-A66E-3A22D308E3A8}"/>
    <cellStyle name="20% - Accent2 3 2 2 3 3" xfId="13382" xr:uid="{B99C546F-BFEC-406D-9D34-07E224D2F0CA}"/>
    <cellStyle name="20% - Accent2 3 2 2 4" xfId="17605" xr:uid="{46AAD51E-62CD-468E-94DC-B7F38A3D47CC}"/>
    <cellStyle name="20% - Accent2 3 2 2 5" xfId="9164" xr:uid="{CBCC4797-B78F-4679-8200-3258D7E58A8C}"/>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24381" xr:uid="{51B8FD97-F70C-47BE-85DB-23BCA5951F96}"/>
    <cellStyle name="20% - Accent2 3 2 3 2 2 3" xfId="15940" xr:uid="{17B8D893-814E-4F82-9A33-48F1F2CCC9DF}"/>
    <cellStyle name="20% - Accent2 3 2 3 2 3" xfId="20163" xr:uid="{19B40CA1-A4CE-4F0C-9CC5-808699652BCF}"/>
    <cellStyle name="20% - Accent2 3 2 3 2 4" xfId="11722" xr:uid="{39633019-A173-413F-9A95-01D8352FEB98}"/>
    <cellStyle name="20% - Accent2 3 2 3 3" xfId="5345" xr:uid="{00000000-0005-0000-0000-0000FB000000}"/>
    <cellStyle name="20% - Accent2 3 2 3 3 2" xfId="22236" xr:uid="{1D942FC6-7EAA-40F2-9D98-8EF0D07A420A}"/>
    <cellStyle name="20% - Accent2 3 2 3 3 3" xfId="13795" xr:uid="{4616C6CE-E8E3-41B6-9409-542F846BB4A0}"/>
    <cellStyle name="20% - Accent2 3 2 3 4" xfId="18018" xr:uid="{0E54E446-B3F6-4FD7-AE30-03669288479C}"/>
    <cellStyle name="20% - Accent2 3 2 3 5" xfId="9577" xr:uid="{397EAD67-08DE-4892-85F8-A2F3BDC02A95}"/>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24794" xr:uid="{06758016-EA71-48F8-813F-FCC92E583A2E}"/>
    <cellStyle name="20% - Accent2 3 2 4 2 2 3" xfId="16353" xr:uid="{02E02E91-BCBA-4A51-814C-8E8AA3306376}"/>
    <cellStyle name="20% - Accent2 3 2 4 2 3" xfId="20576" xr:uid="{FCC44145-F0FA-46DA-B086-55C32CAE4DF8}"/>
    <cellStyle name="20% - Accent2 3 2 4 2 4" xfId="12135" xr:uid="{25AF07EA-4836-4F64-A36E-98B144B412A0}"/>
    <cellStyle name="20% - Accent2 3 2 4 3" xfId="5758" xr:uid="{00000000-0005-0000-0000-0000FF000000}"/>
    <cellStyle name="20% - Accent2 3 2 4 3 2" xfId="22649" xr:uid="{372FDEE1-FB9F-4A83-8180-AD8C2E89459E}"/>
    <cellStyle name="20% - Accent2 3 2 4 3 3" xfId="14208" xr:uid="{7B020507-E1D5-42A9-978C-DC8466B52504}"/>
    <cellStyle name="20% - Accent2 3 2 4 4" xfId="18431" xr:uid="{0F48239C-E868-4FA7-BC4E-F328FEA719B1}"/>
    <cellStyle name="20% - Accent2 3 2 4 5" xfId="9990" xr:uid="{E1FE34B2-41E4-4265-9F7E-06201EA046DC}"/>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25207" xr:uid="{EDE50FAD-4C6C-4BB7-9AD8-726E35D38847}"/>
    <cellStyle name="20% - Accent2 3 2 5 2 2 3" xfId="16766" xr:uid="{A060C91C-B20C-46D0-92D9-8A31E2F4AFE6}"/>
    <cellStyle name="20% - Accent2 3 2 5 2 3" xfId="20989" xr:uid="{02696BAE-5255-44FD-8E7E-BA9E4680483D}"/>
    <cellStyle name="20% - Accent2 3 2 5 2 4" xfId="12548" xr:uid="{174563DC-053C-46B4-84EF-54BBAFD91485}"/>
    <cellStyle name="20% - Accent2 3 2 5 3" xfId="6171" xr:uid="{00000000-0005-0000-0000-000003010000}"/>
    <cellStyle name="20% - Accent2 3 2 5 3 2" xfId="23062" xr:uid="{67F0DC16-8E8C-4CEC-BB21-03CF97E5D883}"/>
    <cellStyle name="20% - Accent2 3 2 5 3 3" xfId="14621" xr:uid="{C4B523C5-4D2B-4D9C-9642-E9436D0724B0}"/>
    <cellStyle name="20% - Accent2 3 2 5 4" xfId="18844" xr:uid="{9A843474-AF1A-44DA-A20D-8E3D6093CFBF}"/>
    <cellStyle name="20% - Accent2 3 2 5 5" xfId="10403" xr:uid="{FF298A91-B9D5-418C-A649-56D8A9007D3F}"/>
    <cellStyle name="20% - Accent2 3 2 6" xfId="2278" xr:uid="{00000000-0005-0000-0000-000004010000}"/>
    <cellStyle name="20% - Accent2 3 2 6 2" xfId="6584" xr:uid="{00000000-0005-0000-0000-000005010000}"/>
    <cellStyle name="20% - Accent2 3 2 6 2 2" xfId="23475" xr:uid="{87C37642-76C8-403B-9E71-F436440ADADD}"/>
    <cellStyle name="20% - Accent2 3 2 6 2 3" xfId="15034" xr:uid="{45648FDC-671B-40DF-974D-1C41BC5836B9}"/>
    <cellStyle name="20% - Accent2 3 2 6 3" xfId="19257" xr:uid="{D5484CF6-B946-4FD7-9F5B-778ACAEC22E7}"/>
    <cellStyle name="20% - Accent2 3 2 6 4" xfId="10816" xr:uid="{DB67CE4F-2945-4963-A5F9-47E1EF1FD742}"/>
    <cellStyle name="20% - Accent2 3 2 7" xfId="4518" xr:uid="{00000000-0005-0000-0000-000006010000}"/>
    <cellStyle name="20% - Accent2 3 2 7 2" xfId="21409" xr:uid="{81213740-2A1D-4EAE-A47A-D122F5E0BF14}"/>
    <cellStyle name="20% - Accent2 3 2 7 3" xfId="12968" xr:uid="{937AD30E-0B43-44D6-A9EB-6F5BFB5E1F0E}"/>
    <cellStyle name="20% - Accent2 3 2 8" xfId="17191" xr:uid="{C83013DA-20A0-417B-9B95-B9256388FFD6}"/>
    <cellStyle name="20% - Accent2 3 2 9" xfId="8750" xr:uid="{A124F7CA-A494-4BE1-8CDB-B371B8DCA01E}"/>
    <cellStyle name="20% - Accent2 3 3" xfId="583" xr:uid="{00000000-0005-0000-0000-000007010000}"/>
    <cellStyle name="20% - Accent2 3 3 2" xfId="2854" xr:uid="{00000000-0005-0000-0000-000008010000}"/>
    <cellStyle name="20% - Accent2 3 3 2 2" xfId="7076" xr:uid="{00000000-0005-0000-0000-000009010000}"/>
    <cellStyle name="20% - Accent2 3 3 2 2 2" xfId="23967" xr:uid="{A509793A-735B-40EB-8393-804B3873A267}"/>
    <cellStyle name="20% - Accent2 3 3 2 2 3" xfId="15526" xr:uid="{DB98BE06-256F-4651-8F88-45A001833142}"/>
    <cellStyle name="20% - Accent2 3 3 2 3" xfId="19749" xr:uid="{8C07B4B7-008C-4B2F-A815-569AA0DC6D93}"/>
    <cellStyle name="20% - Accent2 3 3 2 4" xfId="11308" xr:uid="{BB86E07D-01AB-4FA4-B532-431CAD0DFE54}"/>
    <cellStyle name="20% - Accent2 3 3 3" xfId="4931" xr:uid="{00000000-0005-0000-0000-00000A010000}"/>
    <cellStyle name="20% - Accent2 3 3 3 2" xfId="21822" xr:uid="{638B129A-4D8E-43CB-B8A3-30C47431B348}"/>
    <cellStyle name="20% - Accent2 3 3 3 3" xfId="13381" xr:uid="{86F7A86D-00DB-48F6-87B3-0CE33F825AF0}"/>
    <cellStyle name="20% - Accent2 3 3 4" xfId="17604" xr:uid="{3EEFEDFA-F2FA-43C9-878C-A35C0CB1D0DD}"/>
    <cellStyle name="20% - Accent2 3 3 5" xfId="9163" xr:uid="{60FA18E1-4E85-4FC4-9C55-440721163E19}"/>
    <cellStyle name="20% - Accent2 3 4" xfId="1036" xr:uid="{00000000-0005-0000-0000-00000B010000}"/>
    <cellStyle name="20% - Accent2 3 4 2" xfId="3267" xr:uid="{00000000-0005-0000-0000-00000C010000}"/>
    <cellStyle name="20% - Accent2 3 4 2 2" xfId="7489" xr:uid="{00000000-0005-0000-0000-00000D010000}"/>
    <cellStyle name="20% - Accent2 3 4 2 2 2" xfId="24380" xr:uid="{86BA178E-2EF0-41CF-BDDF-1143A7032D0D}"/>
    <cellStyle name="20% - Accent2 3 4 2 2 3" xfId="15939" xr:uid="{E6630723-851D-44FA-8183-A9CA03D674B7}"/>
    <cellStyle name="20% - Accent2 3 4 2 3" xfId="20162" xr:uid="{4906689A-76A6-4EA5-A712-FD35E73BA0C8}"/>
    <cellStyle name="20% - Accent2 3 4 2 4" xfId="11721" xr:uid="{D3B67CDA-7DFB-4C14-B1C0-D67CCDA7E6C7}"/>
    <cellStyle name="20% - Accent2 3 4 3" xfId="5344" xr:uid="{00000000-0005-0000-0000-00000E010000}"/>
    <cellStyle name="20% - Accent2 3 4 3 2" xfId="22235" xr:uid="{7E46E62A-2AFE-4E64-9A55-4561671D4FA1}"/>
    <cellStyle name="20% - Accent2 3 4 3 3" xfId="13794" xr:uid="{5C12B7AA-361E-4C69-B67C-C0EA7946EFDF}"/>
    <cellStyle name="20% - Accent2 3 4 4" xfId="18017" xr:uid="{537B0A30-6275-4888-BE3D-56198187B92E}"/>
    <cellStyle name="20% - Accent2 3 4 5" xfId="9576" xr:uid="{DBA9037F-EFEE-4AC7-AA3C-2D40D5DFBAB0}"/>
    <cellStyle name="20% - Accent2 3 5" xfId="1450" xr:uid="{00000000-0005-0000-0000-00000F010000}"/>
    <cellStyle name="20% - Accent2 3 5 2" xfId="3680" xr:uid="{00000000-0005-0000-0000-000010010000}"/>
    <cellStyle name="20% - Accent2 3 5 2 2" xfId="7902" xr:uid="{00000000-0005-0000-0000-000011010000}"/>
    <cellStyle name="20% - Accent2 3 5 2 2 2" xfId="24793" xr:uid="{92D8B5CE-74C8-4521-A8E6-5235A68B7156}"/>
    <cellStyle name="20% - Accent2 3 5 2 2 3" xfId="16352" xr:uid="{4F4DCFC9-FBFF-4719-A1C0-E41F45D2A2A0}"/>
    <cellStyle name="20% - Accent2 3 5 2 3" xfId="20575" xr:uid="{3737C2E8-248F-488C-B846-0AF3C6161102}"/>
    <cellStyle name="20% - Accent2 3 5 2 4" xfId="12134" xr:uid="{E74E8B76-16EE-45C0-9435-76CCE3CBB650}"/>
    <cellStyle name="20% - Accent2 3 5 3" xfId="5757" xr:uid="{00000000-0005-0000-0000-000012010000}"/>
    <cellStyle name="20% - Accent2 3 5 3 2" xfId="22648" xr:uid="{E47C361E-A691-40DB-B6A2-389BB3D28F39}"/>
    <cellStyle name="20% - Accent2 3 5 3 3" xfId="14207" xr:uid="{8D18AC43-3849-45A0-A355-CCBCA9AE3995}"/>
    <cellStyle name="20% - Accent2 3 5 4" xfId="18430" xr:uid="{BC77654F-D476-437F-B127-1EA834449E2D}"/>
    <cellStyle name="20% - Accent2 3 5 5" xfId="9989" xr:uid="{A098A38C-584A-4B4A-91E7-4A31C75351F8}"/>
    <cellStyle name="20% - Accent2 3 6" xfId="1864" xr:uid="{00000000-0005-0000-0000-000013010000}"/>
    <cellStyle name="20% - Accent2 3 6 2" xfId="4093" xr:uid="{00000000-0005-0000-0000-000014010000}"/>
    <cellStyle name="20% - Accent2 3 6 2 2" xfId="8315" xr:uid="{00000000-0005-0000-0000-000015010000}"/>
    <cellStyle name="20% - Accent2 3 6 2 2 2" xfId="25206" xr:uid="{B3091738-AF37-4ACA-8A92-A39495CBDE42}"/>
    <cellStyle name="20% - Accent2 3 6 2 2 3" xfId="16765" xr:uid="{0CFFD9ED-3DBA-4B5F-887A-2FCCCD90FC26}"/>
    <cellStyle name="20% - Accent2 3 6 2 3" xfId="20988" xr:uid="{D906EAD5-40F6-440B-B39B-0A4199A927C6}"/>
    <cellStyle name="20% - Accent2 3 6 2 4" xfId="12547" xr:uid="{BB550C45-1E7B-4B1E-8F39-067C25E423AB}"/>
    <cellStyle name="20% - Accent2 3 6 3" xfId="6170" xr:uid="{00000000-0005-0000-0000-000016010000}"/>
    <cellStyle name="20% - Accent2 3 6 3 2" xfId="23061" xr:uid="{82C0C6C1-09A1-4F85-AC4C-D02E13AD5D74}"/>
    <cellStyle name="20% - Accent2 3 6 3 3" xfId="14620" xr:uid="{33101AEE-020C-4B8F-B047-8AF30B6B6022}"/>
    <cellStyle name="20% - Accent2 3 6 4" xfId="18843" xr:uid="{FAB786EB-C85F-4089-9D5D-86231ED8C005}"/>
    <cellStyle name="20% - Accent2 3 6 5" xfId="10402" xr:uid="{53E1C849-BD85-4E9C-BDFF-1B971554D023}"/>
    <cellStyle name="20% - Accent2 3 7" xfId="2277" xr:uid="{00000000-0005-0000-0000-000017010000}"/>
    <cellStyle name="20% - Accent2 3 7 2" xfId="6583" xr:uid="{00000000-0005-0000-0000-000018010000}"/>
    <cellStyle name="20% - Accent2 3 7 2 2" xfId="23474" xr:uid="{8F1FF5D1-B1C2-4CAB-91B8-D6FAA8CB7ACF}"/>
    <cellStyle name="20% - Accent2 3 7 2 3" xfId="15033" xr:uid="{83906B80-7842-4AA0-9444-44CE55790F56}"/>
    <cellStyle name="20% - Accent2 3 7 3" xfId="19256" xr:uid="{6D0285F1-724D-470F-9CA7-DDB35445E3D1}"/>
    <cellStyle name="20% - Accent2 3 7 4" xfId="10815" xr:uid="{A99D7C38-DF9C-425B-AFB1-8280D81476A5}"/>
    <cellStyle name="20% - Accent2 3 8" xfId="4517" xr:uid="{00000000-0005-0000-0000-000019010000}"/>
    <cellStyle name="20% - Accent2 3 8 2" xfId="21408" xr:uid="{EC3C27A4-726C-4641-BB4C-83FAFB930D9B}"/>
    <cellStyle name="20% - Accent2 3 8 3" xfId="12967" xr:uid="{7C615952-6E5D-4343-A5BB-6BB6B5DEE940}"/>
    <cellStyle name="20% - Accent2 3 9" xfId="17190" xr:uid="{59157830-D469-46B7-9013-77DE46300FBB}"/>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2 2 2" xfId="23969" xr:uid="{66B81A2A-180E-4991-9083-D3C605D05042}"/>
    <cellStyle name="20% - Accent2 4 2 2 2 3" xfId="15528" xr:uid="{BE6F88F8-BD88-4757-92AE-FE4713B1D969}"/>
    <cellStyle name="20% - Accent2 4 2 2 3" xfId="19751" xr:uid="{11FFEAD0-FF01-4600-9835-6794AE886D33}"/>
    <cellStyle name="20% - Accent2 4 2 2 4" xfId="11310" xr:uid="{C2323C44-1EA0-439C-B12F-BBCE20A85B0B}"/>
    <cellStyle name="20% - Accent2 4 2 3" xfId="4933" xr:uid="{00000000-0005-0000-0000-00001E010000}"/>
    <cellStyle name="20% - Accent2 4 2 3 2" xfId="21824" xr:uid="{4BC1193E-B09C-4432-8101-F3703DFC4CB1}"/>
    <cellStyle name="20% - Accent2 4 2 3 3" xfId="13383" xr:uid="{4E53EF48-5432-400B-A4D3-2F33B307BE17}"/>
    <cellStyle name="20% - Accent2 4 2 4" xfId="17606" xr:uid="{88B0127B-B193-4200-9F93-B298FA038E74}"/>
    <cellStyle name="20% - Accent2 4 2 5" xfId="9165" xr:uid="{381B5BF7-D5AF-43C7-BD42-E7AD17B46ECB}"/>
    <cellStyle name="20% - Accent2 4 3" xfId="1038" xr:uid="{00000000-0005-0000-0000-00001F010000}"/>
    <cellStyle name="20% - Accent2 4 3 2" xfId="3269" xr:uid="{00000000-0005-0000-0000-000020010000}"/>
    <cellStyle name="20% - Accent2 4 3 2 2" xfId="7491" xr:uid="{00000000-0005-0000-0000-000021010000}"/>
    <cellStyle name="20% - Accent2 4 3 2 2 2" xfId="24382" xr:uid="{55FB0722-50AC-4608-9FEE-B2EFF9C05266}"/>
    <cellStyle name="20% - Accent2 4 3 2 2 3" xfId="15941" xr:uid="{2740F7AD-165A-41A8-8B19-56999A36E79E}"/>
    <cellStyle name="20% - Accent2 4 3 2 3" xfId="20164" xr:uid="{7D7C1FAF-4EE7-44AA-A13A-10A7A3D7FBC7}"/>
    <cellStyle name="20% - Accent2 4 3 2 4" xfId="11723" xr:uid="{5A8B5DEF-BA63-4C01-8A34-2C6E8E44319D}"/>
    <cellStyle name="20% - Accent2 4 3 3" xfId="5346" xr:uid="{00000000-0005-0000-0000-000022010000}"/>
    <cellStyle name="20% - Accent2 4 3 3 2" xfId="22237" xr:uid="{893959EB-C4F2-41CE-BEC5-118E51BBEAB2}"/>
    <cellStyle name="20% - Accent2 4 3 3 3" xfId="13796" xr:uid="{CBF48A58-6A4A-4507-8940-678F84F91771}"/>
    <cellStyle name="20% - Accent2 4 3 4" xfId="18019" xr:uid="{463EDAC1-FB21-41B6-8FC9-1A3A0F3F6E74}"/>
    <cellStyle name="20% - Accent2 4 3 5" xfId="9578" xr:uid="{33659825-14B9-40E2-9A59-1C5A610FD2DC}"/>
    <cellStyle name="20% - Accent2 4 4" xfId="1452" xr:uid="{00000000-0005-0000-0000-000023010000}"/>
    <cellStyle name="20% - Accent2 4 4 2" xfId="3682" xr:uid="{00000000-0005-0000-0000-000024010000}"/>
    <cellStyle name="20% - Accent2 4 4 2 2" xfId="7904" xr:uid="{00000000-0005-0000-0000-000025010000}"/>
    <cellStyle name="20% - Accent2 4 4 2 2 2" xfId="24795" xr:uid="{491C461A-2A25-420E-9704-16B21A3360CF}"/>
    <cellStyle name="20% - Accent2 4 4 2 2 3" xfId="16354" xr:uid="{91357F84-7551-4121-AA29-58B9DCF0D3BA}"/>
    <cellStyle name="20% - Accent2 4 4 2 3" xfId="20577" xr:uid="{700CA430-32A1-4054-A506-2CB8CD3ABBE7}"/>
    <cellStyle name="20% - Accent2 4 4 2 4" xfId="12136" xr:uid="{B6071391-A3E5-4058-9F85-AC46002B4BD5}"/>
    <cellStyle name="20% - Accent2 4 4 3" xfId="5759" xr:uid="{00000000-0005-0000-0000-000026010000}"/>
    <cellStyle name="20% - Accent2 4 4 3 2" xfId="22650" xr:uid="{876B251E-D2EF-4F92-8157-7815FFAF95C5}"/>
    <cellStyle name="20% - Accent2 4 4 3 3" xfId="14209" xr:uid="{DFBA0522-2356-4E8B-BD67-1D997E601E89}"/>
    <cellStyle name="20% - Accent2 4 4 4" xfId="18432" xr:uid="{326D953B-6BD7-40DC-9F3F-FBE8435A977B}"/>
    <cellStyle name="20% - Accent2 4 4 5" xfId="9991" xr:uid="{D63EA54B-56CD-436E-AD32-94D6235126E9}"/>
    <cellStyle name="20% - Accent2 4 5" xfId="1866" xr:uid="{00000000-0005-0000-0000-000027010000}"/>
    <cellStyle name="20% - Accent2 4 5 2" xfId="4095" xr:uid="{00000000-0005-0000-0000-000028010000}"/>
    <cellStyle name="20% - Accent2 4 5 2 2" xfId="8317" xr:uid="{00000000-0005-0000-0000-000029010000}"/>
    <cellStyle name="20% - Accent2 4 5 2 2 2" xfId="25208" xr:uid="{CBBA6E1B-636C-4C04-806B-E93D621F594B}"/>
    <cellStyle name="20% - Accent2 4 5 2 2 3" xfId="16767" xr:uid="{71978B88-307F-4D70-83F1-5136579D1DAC}"/>
    <cellStyle name="20% - Accent2 4 5 2 3" xfId="20990" xr:uid="{286D93E5-48F4-476F-941E-3420AACE24E2}"/>
    <cellStyle name="20% - Accent2 4 5 2 4" xfId="12549" xr:uid="{9FAC7CC9-DA96-4559-B113-DD3CDDEB79FC}"/>
    <cellStyle name="20% - Accent2 4 5 3" xfId="6172" xr:uid="{00000000-0005-0000-0000-00002A010000}"/>
    <cellStyle name="20% - Accent2 4 5 3 2" xfId="23063" xr:uid="{9EF909A4-1644-434A-8C5A-0288D67A2F74}"/>
    <cellStyle name="20% - Accent2 4 5 3 3" xfId="14622" xr:uid="{6C96DD00-CEB0-4EDF-9889-7B0E69F0D74B}"/>
    <cellStyle name="20% - Accent2 4 5 4" xfId="18845" xr:uid="{06A810A4-91C5-45AA-8486-945F625435DB}"/>
    <cellStyle name="20% - Accent2 4 5 5" xfId="10404" xr:uid="{DE443846-B136-4EDF-9A42-65C9D0A493DC}"/>
    <cellStyle name="20% - Accent2 4 6" xfId="2279" xr:uid="{00000000-0005-0000-0000-00002B010000}"/>
    <cellStyle name="20% - Accent2 4 6 2" xfId="6585" xr:uid="{00000000-0005-0000-0000-00002C010000}"/>
    <cellStyle name="20% - Accent2 4 6 2 2" xfId="23476" xr:uid="{D8BF350A-1E02-4D5E-BF28-7757D6BD02E5}"/>
    <cellStyle name="20% - Accent2 4 6 2 3" xfId="15035" xr:uid="{D401CF98-F4F6-4DF3-8D5B-BF6FC98454AF}"/>
    <cellStyle name="20% - Accent2 4 6 3" xfId="19258" xr:uid="{D6BCDF73-CE62-48CE-B226-CD3535DDA8D1}"/>
    <cellStyle name="20% - Accent2 4 6 4" xfId="10817" xr:uid="{94E0865C-6279-482F-AA63-B584D6535226}"/>
    <cellStyle name="20% - Accent2 4 7" xfId="4519" xr:uid="{00000000-0005-0000-0000-00002D010000}"/>
    <cellStyle name="20% - Accent2 4 7 2" xfId="21410" xr:uid="{B9F0E3C3-B485-4335-A568-AE6D7B0D49E8}"/>
    <cellStyle name="20% - Accent2 4 7 3" xfId="12969" xr:uid="{31078447-DE52-403C-AAE9-978EC2CABCCC}"/>
    <cellStyle name="20% - Accent2 4 8" xfId="17192" xr:uid="{9A6F335D-1FEC-4B60-8C22-69537D179F11}"/>
    <cellStyle name="20% - Accent2 4 9" xfId="8751" xr:uid="{D8D0538E-4641-4724-84B6-520C7A2227D5}"/>
    <cellStyle name="20% - Accent2 5" xfId="578" xr:uid="{00000000-0005-0000-0000-00002E010000}"/>
    <cellStyle name="20% - Accent2 5 2" xfId="2849" xr:uid="{00000000-0005-0000-0000-00002F010000}"/>
    <cellStyle name="20% - Accent2 5 2 2" xfId="7071" xr:uid="{00000000-0005-0000-0000-000030010000}"/>
    <cellStyle name="20% - Accent2 5 2 2 2" xfId="23962" xr:uid="{C020CA8C-0464-466A-B348-B7E1750FB2C2}"/>
    <cellStyle name="20% - Accent2 5 2 2 3" xfId="15521" xr:uid="{CA128105-7B33-4184-A167-7625FD568AA2}"/>
    <cellStyle name="20% - Accent2 5 2 3" xfId="19744" xr:uid="{700C0F2A-14B6-4870-A22D-0DEA33CBE0BE}"/>
    <cellStyle name="20% - Accent2 5 2 4" xfId="11303" xr:uid="{469148B7-E39F-4DAC-9973-FE53D2EF15C2}"/>
    <cellStyle name="20% - Accent2 5 3" xfId="4926" xr:uid="{00000000-0005-0000-0000-000031010000}"/>
    <cellStyle name="20% - Accent2 5 3 2" xfId="21817" xr:uid="{3EDF956E-1FA1-4A0C-9FE9-9F2FCD8801B6}"/>
    <cellStyle name="20% - Accent2 5 3 3" xfId="13376" xr:uid="{5160159B-DC6D-4147-A596-28A5F3AA0C88}"/>
    <cellStyle name="20% - Accent2 5 4" xfId="17599" xr:uid="{64B7B096-363E-4063-B2B1-E258E3E7CC03}"/>
    <cellStyle name="20% - Accent2 5 5" xfId="9158" xr:uid="{7A929DB7-5BD5-4C76-A132-54A8A00CED5D}"/>
    <cellStyle name="20% - Accent2 6" xfId="1031" xr:uid="{00000000-0005-0000-0000-000032010000}"/>
    <cellStyle name="20% - Accent2 6 2" xfId="3262" xr:uid="{00000000-0005-0000-0000-000033010000}"/>
    <cellStyle name="20% - Accent2 6 2 2" xfId="7484" xr:uid="{00000000-0005-0000-0000-000034010000}"/>
    <cellStyle name="20% - Accent2 6 2 2 2" xfId="24375" xr:uid="{B24A72BB-7662-403D-B18C-A7B217738E34}"/>
    <cellStyle name="20% - Accent2 6 2 2 3" xfId="15934" xr:uid="{A94E8C75-CDBF-4359-9995-724830F7326F}"/>
    <cellStyle name="20% - Accent2 6 2 3" xfId="20157" xr:uid="{A60C9B7C-7A4A-4F0E-8D44-D57E3EBBB0C4}"/>
    <cellStyle name="20% - Accent2 6 2 4" xfId="11716" xr:uid="{C8CC06D8-E4A6-4570-B244-16107CF13C4B}"/>
    <cellStyle name="20% - Accent2 6 3" xfId="5339" xr:uid="{00000000-0005-0000-0000-000035010000}"/>
    <cellStyle name="20% - Accent2 6 3 2" xfId="22230" xr:uid="{54DCF6F1-02C6-486E-958F-587AC7FB9D3F}"/>
    <cellStyle name="20% - Accent2 6 3 3" xfId="13789" xr:uid="{E8FD659D-146A-45E2-9D33-CEBD3558FC14}"/>
    <cellStyle name="20% - Accent2 6 4" xfId="18012" xr:uid="{8093F695-0E4D-4B88-8FB1-BA01C33DD455}"/>
    <cellStyle name="20% - Accent2 6 5" xfId="9571" xr:uid="{A7A0CC24-089E-44D5-A076-6DD55EEB9214}"/>
    <cellStyle name="20% - Accent2 7" xfId="1445" xr:uid="{00000000-0005-0000-0000-000036010000}"/>
    <cellStyle name="20% - Accent2 7 2" xfId="3675" xr:uid="{00000000-0005-0000-0000-000037010000}"/>
    <cellStyle name="20% - Accent2 7 2 2" xfId="7897" xr:uid="{00000000-0005-0000-0000-000038010000}"/>
    <cellStyle name="20% - Accent2 7 2 2 2" xfId="24788" xr:uid="{54360BB6-33A2-472C-B295-4A07B4D866FB}"/>
    <cellStyle name="20% - Accent2 7 2 2 3" xfId="16347" xr:uid="{49829DB2-A4CE-4625-9963-18932A647D36}"/>
    <cellStyle name="20% - Accent2 7 2 3" xfId="20570" xr:uid="{0C7070F1-FB37-4082-8CE0-4E3EF7E1C991}"/>
    <cellStyle name="20% - Accent2 7 2 4" xfId="12129" xr:uid="{62E9ED87-D05E-46F1-9602-DC80884E9499}"/>
    <cellStyle name="20% - Accent2 7 3" xfId="5752" xr:uid="{00000000-0005-0000-0000-000039010000}"/>
    <cellStyle name="20% - Accent2 7 3 2" xfId="22643" xr:uid="{62AB27B1-885E-4490-9654-051C15B804D4}"/>
    <cellStyle name="20% - Accent2 7 3 3" xfId="14202" xr:uid="{57D2D21E-9FD4-46E4-8CE0-B20AF9FA669F}"/>
    <cellStyle name="20% - Accent2 7 4" xfId="18425" xr:uid="{AAB8774B-4233-4078-83DB-5DF1DFFAF32B}"/>
    <cellStyle name="20% - Accent2 7 5" xfId="9984" xr:uid="{6398F2B7-E3DE-49A2-8F89-A2D998101596}"/>
    <cellStyle name="20% - Accent2 8" xfId="1859" xr:uid="{00000000-0005-0000-0000-00003A010000}"/>
    <cellStyle name="20% - Accent2 8 2" xfId="4088" xr:uid="{00000000-0005-0000-0000-00003B010000}"/>
    <cellStyle name="20% - Accent2 8 2 2" xfId="8310" xr:uid="{00000000-0005-0000-0000-00003C010000}"/>
    <cellStyle name="20% - Accent2 8 2 2 2" xfId="25201" xr:uid="{79BBE99D-7001-41B0-97AD-264F577FE6EE}"/>
    <cellStyle name="20% - Accent2 8 2 2 3" xfId="16760" xr:uid="{15217D99-BB0A-4E34-A717-58BA47B19CBE}"/>
    <cellStyle name="20% - Accent2 8 2 3" xfId="20983" xr:uid="{1136044E-0A69-471F-99F5-8960C3410C98}"/>
    <cellStyle name="20% - Accent2 8 2 4" xfId="12542" xr:uid="{4769E60C-0105-4A08-972E-48F342AFCD47}"/>
    <cellStyle name="20% - Accent2 8 3" xfId="6165" xr:uid="{00000000-0005-0000-0000-00003D010000}"/>
    <cellStyle name="20% - Accent2 8 3 2" xfId="23056" xr:uid="{E7125CC8-870E-4187-86DB-FECFECB2D074}"/>
    <cellStyle name="20% - Accent2 8 3 3" xfId="14615" xr:uid="{A01F44A0-0A26-411F-BE6D-72649E2A9EEC}"/>
    <cellStyle name="20% - Accent2 8 4" xfId="18838" xr:uid="{ECB4760D-AA0C-473C-9C15-F45A9880C9FE}"/>
    <cellStyle name="20% - Accent2 8 5" xfId="10397" xr:uid="{6C2604BD-09DD-42B6-B771-8AEDB6F9BB5A}"/>
    <cellStyle name="20% - Accent2 9" xfId="2272" xr:uid="{00000000-0005-0000-0000-00003E010000}"/>
    <cellStyle name="20% - Accent2 9 2" xfId="6578" xr:uid="{00000000-0005-0000-0000-00003F010000}"/>
    <cellStyle name="20% - Accent2 9 2 2" xfId="23469" xr:uid="{76091BB1-A47D-4F36-802E-DA83187C5C29}"/>
    <cellStyle name="20% - Accent2 9 2 3" xfId="15028" xr:uid="{6DA64DD4-DF3A-498F-905D-F7906D339AC6}"/>
    <cellStyle name="20% - Accent2 9 3" xfId="19251" xr:uid="{FA3ABA13-F8AD-42EF-B1B3-B1976292B98E}"/>
    <cellStyle name="20% - Accent2 9 4" xfId="10810" xr:uid="{ABFE0EE4-B971-4333-BDB9-FAD9A4DFDEFE}"/>
    <cellStyle name="20% - Accent3" xfId="17" builtinId="38" customBuiltin="1"/>
    <cellStyle name="20% - Accent3 10" xfId="4520" xr:uid="{00000000-0005-0000-0000-000041010000}"/>
    <cellStyle name="20% - Accent3 10 2" xfId="21411" xr:uid="{635AFC9E-F986-4C4C-8950-9EBBFE87ABAA}"/>
    <cellStyle name="20% - Accent3 10 3" xfId="12970" xr:uid="{0B15AD80-122C-4BE9-B441-3CB748F08838}"/>
    <cellStyle name="20% - Accent3 11" xfId="17193" xr:uid="{03754C7F-C859-43A9-897C-DC3285B1499F}"/>
    <cellStyle name="20% - Accent3 12" xfId="8752" xr:uid="{AE7B87A5-BB87-4AD3-95D8-834BDE8975C2}"/>
    <cellStyle name="20% - Accent3 2" xfId="18" xr:uid="{00000000-0005-0000-0000-000042010000}"/>
    <cellStyle name="20% - Accent3 2 10" xfId="17194" xr:uid="{30460F99-B62C-411F-AAF4-419390B10E4E}"/>
    <cellStyle name="20% - Accent3 2 11" xfId="8753" xr:uid="{1808C5CD-4396-4DEE-9590-D28619260F10}"/>
    <cellStyle name="20% - Accent3 2 2" xfId="19" xr:uid="{00000000-0005-0000-0000-000043010000}"/>
    <cellStyle name="20% - Accent3 2 2 10" xfId="8754" xr:uid="{D6F986D6-5A7F-435F-A9DE-274522AC63E7}"/>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23973" xr:uid="{A28F2F90-7524-43AB-AB46-8FD784603B8B}"/>
    <cellStyle name="20% - Accent3 2 2 2 2 2 2 3" xfId="15532" xr:uid="{BB62D43E-2643-4079-96F9-BBB42C19EB18}"/>
    <cellStyle name="20% - Accent3 2 2 2 2 2 3" xfId="19755" xr:uid="{AB165B6D-4F30-428B-9C10-1748C215B509}"/>
    <cellStyle name="20% - Accent3 2 2 2 2 2 4" xfId="11314" xr:uid="{3D193608-B3AE-46E0-993C-34A896DF37F9}"/>
    <cellStyle name="20% - Accent3 2 2 2 2 3" xfId="4937" xr:uid="{00000000-0005-0000-0000-000048010000}"/>
    <cellStyle name="20% - Accent3 2 2 2 2 3 2" xfId="21828" xr:uid="{BE398902-4D8D-4502-9111-213135DD19E4}"/>
    <cellStyle name="20% - Accent3 2 2 2 2 3 3" xfId="13387" xr:uid="{B163204C-FEE1-45E6-B65B-6015A435802A}"/>
    <cellStyle name="20% - Accent3 2 2 2 2 4" xfId="17610" xr:uid="{06A992CD-6CF6-483F-B82C-7B96E4A2B7F6}"/>
    <cellStyle name="20% - Accent3 2 2 2 2 5" xfId="9169" xr:uid="{0935B24E-C212-4E58-94DD-3C7E72173F39}"/>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24386" xr:uid="{AF580382-EF11-43D4-80BD-1B05ACD23C39}"/>
    <cellStyle name="20% - Accent3 2 2 2 3 2 2 3" xfId="15945" xr:uid="{3A3DF098-5C9D-481A-B34F-986B4856DC85}"/>
    <cellStyle name="20% - Accent3 2 2 2 3 2 3" xfId="20168" xr:uid="{B0A783AB-E1E7-4D0C-AA05-71C216F52164}"/>
    <cellStyle name="20% - Accent3 2 2 2 3 2 4" xfId="11727" xr:uid="{C7C5A4D3-43BA-4448-B9CC-32EC8216A532}"/>
    <cellStyle name="20% - Accent3 2 2 2 3 3" xfId="5350" xr:uid="{00000000-0005-0000-0000-00004C010000}"/>
    <cellStyle name="20% - Accent3 2 2 2 3 3 2" xfId="22241" xr:uid="{5FE1BAAA-B1FC-4347-B1B0-5595A9DB8DD0}"/>
    <cellStyle name="20% - Accent3 2 2 2 3 3 3" xfId="13800" xr:uid="{453F559B-574D-46F2-BDB8-24AFD54108EE}"/>
    <cellStyle name="20% - Accent3 2 2 2 3 4" xfId="18023" xr:uid="{5EA04192-AFB4-405D-B07D-3342D9FCF663}"/>
    <cellStyle name="20% - Accent3 2 2 2 3 5" xfId="9582" xr:uid="{626568C9-346F-4697-BABC-713A702EC0B2}"/>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24799" xr:uid="{D3BE19F2-EE79-4E4E-81C4-31CA3F537D37}"/>
    <cellStyle name="20% - Accent3 2 2 2 4 2 2 3" xfId="16358" xr:uid="{0890B09D-402D-4DCD-BD46-6D79BEBD8257}"/>
    <cellStyle name="20% - Accent3 2 2 2 4 2 3" xfId="20581" xr:uid="{9BED55D3-FA7A-4284-975E-EBCE7B7A9429}"/>
    <cellStyle name="20% - Accent3 2 2 2 4 2 4" xfId="12140" xr:uid="{ECB0EA86-5741-471C-AA8C-3D0B52070D30}"/>
    <cellStyle name="20% - Accent3 2 2 2 4 3" xfId="5763" xr:uid="{00000000-0005-0000-0000-000050010000}"/>
    <cellStyle name="20% - Accent3 2 2 2 4 3 2" xfId="22654" xr:uid="{D9CB5F80-0B67-4C33-9114-C5B6CB0DBDE7}"/>
    <cellStyle name="20% - Accent3 2 2 2 4 3 3" xfId="14213" xr:uid="{C5FAE8B4-8770-41AC-9095-77DBE641A0C4}"/>
    <cellStyle name="20% - Accent3 2 2 2 4 4" xfId="18436" xr:uid="{4D1DB56F-0CF4-4903-8799-DCA0F0EB742E}"/>
    <cellStyle name="20% - Accent3 2 2 2 4 5" xfId="9995" xr:uid="{09114915-DA80-43B1-A895-A4E559E8B559}"/>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25212" xr:uid="{CDAD8486-DBA8-4233-86D9-E1E32932ABB2}"/>
    <cellStyle name="20% - Accent3 2 2 2 5 2 2 3" xfId="16771" xr:uid="{F548D719-521F-403B-A479-F78212F0A8A9}"/>
    <cellStyle name="20% - Accent3 2 2 2 5 2 3" xfId="20994" xr:uid="{F6BF6E93-8734-4818-9336-268AFFC538B3}"/>
    <cellStyle name="20% - Accent3 2 2 2 5 2 4" xfId="12553" xr:uid="{9124F9F1-5573-422F-89E3-8DEB4F73DFF0}"/>
    <cellStyle name="20% - Accent3 2 2 2 5 3" xfId="6176" xr:uid="{00000000-0005-0000-0000-000054010000}"/>
    <cellStyle name="20% - Accent3 2 2 2 5 3 2" xfId="23067" xr:uid="{1CE6421B-9E98-4A49-BDE6-0E4B260DFAF8}"/>
    <cellStyle name="20% - Accent3 2 2 2 5 3 3" xfId="14626" xr:uid="{5CC62011-084F-461E-B597-B01C756C4E33}"/>
    <cellStyle name="20% - Accent3 2 2 2 5 4" xfId="18849" xr:uid="{CD954A0F-66AB-4248-8092-A63F00C76C38}"/>
    <cellStyle name="20% - Accent3 2 2 2 5 5" xfId="10408" xr:uid="{59890338-C867-4975-B118-3DCD6D7144C8}"/>
    <cellStyle name="20% - Accent3 2 2 2 6" xfId="2283" xr:uid="{00000000-0005-0000-0000-000055010000}"/>
    <cellStyle name="20% - Accent3 2 2 2 6 2" xfId="6589" xr:uid="{00000000-0005-0000-0000-000056010000}"/>
    <cellStyle name="20% - Accent3 2 2 2 6 2 2" xfId="23480" xr:uid="{A7975D3D-F333-4996-9487-1947F11E3A10}"/>
    <cellStyle name="20% - Accent3 2 2 2 6 2 3" xfId="15039" xr:uid="{3B7149E7-3E45-4B6F-B162-D1C50E4DEBD6}"/>
    <cellStyle name="20% - Accent3 2 2 2 6 3" xfId="19262" xr:uid="{120EC51A-E613-4E17-8B9E-207A0263FA40}"/>
    <cellStyle name="20% - Accent3 2 2 2 6 4" xfId="10821" xr:uid="{F4B9423B-E024-4ADB-B6B0-09A8EB6D2C7D}"/>
    <cellStyle name="20% - Accent3 2 2 2 7" xfId="4523" xr:uid="{00000000-0005-0000-0000-000057010000}"/>
    <cellStyle name="20% - Accent3 2 2 2 7 2" xfId="21414" xr:uid="{A598794B-F2EB-4CC4-A5F8-8E1F222A77B3}"/>
    <cellStyle name="20% - Accent3 2 2 2 7 3" xfId="12973" xr:uid="{02B87918-2EDA-41F4-8213-BBEB4FD054B1}"/>
    <cellStyle name="20% - Accent3 2 2 2 8" xfId="17196" xr:uid="{617DAB40-80FD-47E5-83A2-45381EB30E06}"/>
    <cellStyle name="20% - Accent3 2 2 2 9" xfId="8755" xr:uid="{137EFAE6-CE28-4924-A16E-9D5EBB67A028}"/>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23972" xr:uid="{A524282F-3DB2-4985-B3A0-D209CA77A3D0}"/>
    <cellStyle name="20% - Accent3 2 2 3 2 2 3" xfId="15531" xr:uid="{66CD96FB-0544-448D-A399-AED31F3C0571}"/>
    <cellStyle name="20% - Accent3 2 2 3 2 3" xfId="19754" xr:uid="{CAE9B228-F48F-42EA-8300-3AE983191D1F}"/>
    <cellStyle name="20% - Accent3 2 2 3 2 4" xfId="11313" xr:uid="{83AD4301-E376-4FC4-93D9-53002D053BFA}"/>
    <cellStyle name="20% - Accent3 2 2 3 3" xfId="4936" xr:uid="{00000000-0005-0000-0000-00005B010000}"/>
    <cellStyle name="20% - Accent3 2 2 3 3 2" xfId="21827" xr:uid="{D9E8F02E-AD6C-46ED-A6EA-F18A2A61308E}"/>
    <cellStyle name="20% - Accent3 2 2 3 3 3" xfId="13386" xr:uid="{FE7045F4-578C-46BD-AEBF-6E0F067460B2}"/>
    <cellStyle name="20% - Accent3 2 2 3 4" xfId="17609" xr:uid="{2E45DC04-317A-4D2D-82F3-423F11945C24}"/>
    <cellStyle name="20% - Accent3 2 2 3 5" xfId="9168" xr:uid="{730C9E76-64B0-4696-B277-983ACC9A9B4D}"/>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24385" xr:uid="{D20FB6A0-62DE-4632-AB37-534645418EBA}"/>
    <cellStyle name="20% - Accent3 2 2 4 2 2 3" xfId="15944" xr:uid="{0F349D24-FE55-440C-9ED4-DE4D1D979EC7}"/>
    <cellStyle name="20% - Accent3 2 2 4 2 3" xfId="20167" xr:uid="{0604D680-A2C4-4100-9D21-DD0C815CB9CB}"/>
    <cellStyle name="20% - Accent3 2 2 4 2 4" xfId="11726" xr:uid="{0F0DCCE1-7195-411D-9937-CB878195FE8F}"/>
    <cellStyle name="20% - Accent3 2 2 4 3" xfId="5349" xr:uid="{00000000-0005-0000-0000-00005F010000}"/>
    <cellStyle name="20% - Accent3 2 2 4 3 2" xfId="22240" xr:uid="{66309C7C-2B04-4CD8-BDCB-D30985F1C6B9}"/>
    <cellStyle name="20% - Accent3 2 2 4 3 3" xfId="13799" xr:uid="{C99F9BD9-8ED9-4C1A-B9C3-658C2BEE8EBF}"/>
    <cellStyle name="20% - Accent3 2 2 4 4" xfId="18022" xr:uid="{16C4F6B8-1C80-4DEB-8EBF-19C6BEB07034}"/>
    <cellStyle name="20% - Accent3 2 2 4 5" xfId="9581" xr:uid="{8A5A80FC-E7BF-4308-8F29-4F8E5EA86F06}"/>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24798" xr:uid="{0342F70F-44B6-4689-84B6-1A7EEE348373}"/>
    <cellStyle name="20% - Accent3 2 2 5 2 2 3" xfId="16357" xr:uid="{8CE782C6-E1F0-4A75-89B0-774D536CD5E7}"/>
    <cellStyle name="20% - Accent3 2 2 5 2 3" xfId="20580" xr:uid="{803CA6CD-F1B4-4441-A61A-010721BC872F}"/>
    <cellStyle name="20% - Accent3 2 2 5 2 4" xfId="12139" xr:uid="{B9A4F988-D397-4892-B906-F23CE7884D8F}"/>
    <cellStyle name="20% - Accent3 2 2 5 3" xfId="5762" xr:uid="{00000000-0005-0000-0000-000063010000}"/>
    <cellStyle name="20% - Accent3 2 2 5 3 2" xfId="22653" xr:uid="{49447788-9273-485E-A6C0-AF8170B706EA}"/>
    <cellStyle name="20% - Accent3 2 2 5 3 3" xfId="14212" xr:uid="{78FFF3AA-96B5-4FDF-ADA8-1B1AB3CD8D29}"/>
    <cellStyle name="20% - Accent3 2 2 5 4" xfId="18435" xr:uid="{8E6DC6EF-2868-4B32-A397-708F707AE651}"/>
    <cellStyle name="20% - Accent3 2 2 5 5" xfId="9994" xr:uid="{08DFB723-4E15-49F4-BA97-0990A0A59020}"/>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25211" xr:uid="{23E85994-F6BA-469B-94A3-35311A798961}"/>
    <cellStyle name="20% - Accent3 2 2 6 2 2 3" xfId="16770" xr:uid="{34FC0F84-DB83-4488-B17B-E5A881F4B7AF}"/>
    <cellStyle name="20% - Accent3 2 2 6 2 3" xfId="20993" xr:uid="{2CF4E0C4-7B7E-441C-87A1-3B01C3D2F4B7}"/>
    <cellStyle name="20% - Accent3 2 2 6 2 4" xfId="12552" xr:uid="{AD6A1AA3-A6E8-489A-B8AA-FDA02A83F72B}"/>
    <cellStyle name="20% - Accent3 2 2 6 3" xfId="6175" xr:uid="{00000000-0005-0000-0000-000067010000}"/>
    <cellStyle name="20% - Accent3 2 2 6 3 2" xfId="23066" xr:uid="{F2C18318-406C-435F-B47B-99793E63BCD5}"/>
    <cellStyle name="20% - Accent3 2 2 6 3 3" xfId="14625" xr:uid="{C4191201-E157-4993-90EE-DCEEF38C8D3C}"/>
    <cellStyle name="20% - Accent3 2 2 6 4" xfId="18848" xr:uid="{C1647C3E-C68C-4F03-B5CB-14E45EF86D8B}"/>
    <cellStyle name="20% - Accent3 2 2 6 5" xfId="10407" xr:uid="{B8270E2B-791C-4178-9C06-646CADD55E85}"/>
    <cellStyle name="20% - Accent3 2 2 7" xfId="2282" xr:uid="{00000000-0005-0000-0000-000068010000}"/>
    <cellStyle name="20% - Accent3 2 2 7 2" xfId="6588" xr:uid="{00000000-0005-0000-0000-000069010000}"/>
    <cellStyle name="20% - Accent3 2 2 7 2 2" xfId="23479" xr:uid="{B855497F-BFA5-4FA3-88E5-779DD7EF7043}"/>
    <cellStyle name="20% - Accent3 2 2 7 2 3" xfId="15038" xr:uid="{ABE57A2D-2ECC-4DD8-B0AC-FA88E0D086D0}"/>
    <cellStyle name="20% - Accent3 2 2 7 3" xfId="19261" xr:uid="{3C7591A6-3FA3-40F6-823A-587660BF8A91}"/>
    <cellStyle name="20% - Accent3 2 2 7 4" xfId="10820" xr:uid="{F17C1685-EA2F-4403-93DA-806E418BE7F2}"/>
    <cellStyle name="20% - Accent3 2 2 8" xfId="4522" xr:uid="{00000000-0005-0000-0000-00006A010000}"/>
    <cellStyle name="20% - Accent3 2 2 8 2" xfId="21413" xr:uid="{2CC19668-C466-4A18-9D2F-EDE424EF71C5}"/>
    <cellStyle name="20% - Accent3 2 2 8 3" xfId="12972" xr:uid="{97E137F4-ED14-4325-BE0A-B38B1E5A7EDF}"/>
    <cellStyle name="20% - Accent3 2 2 9" xfId="17195" xr:uid="{52686851-3E99-407E-9F80-5E20A0FCF1C5}"/>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23974" xr:uid="{03E00BCA-CCF2-4623-9299-FF944AF9EC32}"/>
    <cellStyle name="20% - Accent3 2 3 2 2 2 3" xfId="15533" xr:uid="{87200C7D-CFFD-4FBF-854E-48CED37299BA}"/>
    <cellStyle name="20% - Accent3 2 3 2 2 3" xfId="19756" xr:uid="{8F6E355C-1229-41AA-9961-B0CCFD3A9FE6}"/>
    <cellStyle name="20% - Accent3 2 3 2 2 4" xfId="11315" xr:uid="{B2CC03EE-B130-40BE-AD16-0300DBA24E95}"/>
    <cellStyle name="20% - Accent3 2 3 2 3" xfId="4938" xr:uid="{00000000-0005-0000-0000-00006F010000}"/>
    <cellStyle name="20% - Accent3 2 3 2 3 2" xfId="21829" xr:uid="{5A4E654C-4B96-4425-8DBD-5EDC22E16D85}"/>
    <cellStyle name="20% - Accent3 2 3 2 3 3" xfId="13388" xr:uid="{111B7747-1E80-469A-8914-C3738B0302D6}"/>
    <cellStyle name="20% - Accent3 2 3 2 4" xfId="17611" xr:uid="{ED0603C4-DEBD-4F88-9F82-1A2838681200}"/>
    <cellStyle name="20% - Accent3 2 3 2 5" xfId="9170" xr:uid="{AF294825-E134-4522-93C0-5597C034AA5D}"/>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24387" xr:uid="{FE28B4C1-D649-439D-ABEA-B70AD2B7C0B5}"/>
    <cellStyle name="20% - Accent3 2 3 3 2 2 3" xfId="15946" xr:uid="{993A41BB-E52C-4A28-AEB3-53A0C3C80B04}"/>
    <cellStyle name="20% - Accent3 2 3 3 2 3" xfId="20169" xr:uid="{ACF3D84E-8832-4B35-B25C-A34001AEE1FC}"/>
    <cellStyle name="20% - Accent3 2 3 3 2 4" xfId="11728" xr:uid="{70086B7B-21AF-4C3E-8A4E-2CDDD266FE5F}"/>
    <cellStyle name="20% - Accent3 2 3 3 3" xfId="5351" xr:uid="{00000000-0005-0000-0000-000073010000}"/>
    <cellStyle name="20% - Accent3 2 3 3 3 2" xfId="22242" xr:uid="{66C6CA6C-B2FB-4135-8885-BC5865485CC8}"/>
    <cellStyle name="20% - Accent3 2 3 3 3 3" xfId="13801" xr:uid="{F6C03B6D-97A4-4311-BAC7-CE19632C9D71}"/>
    <cellStyle name="20% - Accent3 2 3 3 4" xfId="18024" xr:uid="{F50E34AD-68F2-4E30-9268-2CBCDEA11C5C}"/>
    <cellStyle name="20% - Accent3 2 3 3 5" xfId="9583" xr:uid="{D9654EA2-FDA5-46FA-A4D1-32C69FA6CDC5}"/>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24800" xr:uid="{28C32D51-28BD-4C2E-A624-DCD9AB653266}"/>
    <cellStyle name="20% - Accent3 2 3 4 2 2 3" xfId="16359" xr:uid="{1E2F8206-77F6-4666-AFE3-7AE540D4FC72}"/>
    <cellStyle name="20% - Accent3 2 3 4 2 3" xfId="20582" xr:uid="{81FAF2D1-CA06-4A66-B672-814253B28464}"/>
    <cellStyle name="20% - Accent3 2 3 4 2 4" xfId="12141" xr:uid="{D699D191-5A72-48A6-A4EE-49A62FFEC286}"/>
    <cellStyle name="20% - Accent3 2 3 4 3" xfId="5764" xr:uid="{00000000-0005-0000-0000-000077010000}"/>
    <cellStyle name="20% - Accent3 2 3 4 3 2" xfId="22655" xr:uid="{5A9529AB-E81A-4EFD-917F-7DFCE2BCAB75}"/>
    <cellStyle name="20% - Accent3 2 3 4 3 3" xfId="14214" xr:uid="{057E0B5F-8C70-485B-B65C-C5560BAF1C30}"/>
    <cellStyle name="20% - Accent3 2 3 4 4" xfId="18437" xr:uid="{29182776-F959-49B4-9931-B2FDDCE20DBC}"/>
    <cellStyle name="20% - Accent3 2 3 4 5" xfId="9996" xr:uid="{75A89523-1D76-41E0-B024-24BFB84578BD}"/>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25213" xr:uid="{DA27A88F-E5A7-4843-976E-723A5709C73D}"/>
    <cellStyle name="20% - Accent3 2 3 5 2 2 3" xfId="16772" xr:uid="{6CB9000E-B94A-4C3C-9485-DC085D7F07D8}"/>
    <cellStyle name="20% - Accent3 2 3 5 2 3" xfId="20995" xr:uid="{1902FDC7-0D06-41F7-8074-729D39B515FE}"/>
    <cellStyle name="20% - Accent3 2 3 5 2 4" xfId="12554" xr:uid="{582C1322-39C9-4BCB-A38D-14F6C854A127}"/>
    <cellStyle name="20% - Accent3 2 3 5 3" xfId="6177" xr:uid="{00000000-0005-0000-0000-00007B010000}"/>
    <cellStyle name="20% - Accent3 2 3 5 3 2" xfId="23068" xr:uid="{B3711CE2-7F00-4EEE-877B-FDEE6C5AA771}"/>
    <cellStyle name="20% - Accent3 2 3 5 3 3" xfId="14627" xr:uid="{11B365F8-2D5C-4027-B398-5A9E4F3EFAAF}"/>
    <cellStyle name="20% - Accent3 2 3 5 4" xfId="18850" xr:uid="{A7D5D618-7007-4AE2-9AFC-5759D425CBD7}"/>
    <cellStyle name="20% - Accent3 2 3 5 5" xfId="10409" xr:uid="{82D8CD35-38BB-4A70-824B-7B7EFD788831}"/>
    <cellStyle name="20% - Accent3 2 3 6" xfId="2284" xr:uid="{00000000-0005-0000-0000-00007C010000}"/>
    <cellStyle name="20% - Accent3 2 3 6 2" xfId="6590" xr:uid="{00000000-0005-0000-0000-00007D010000}"/>
    <cellStyle name="20% - Accent3 2 3 6 2 2" xfId="23481" xr:uid="{7541F90B-75E6-4E83-9450-62A2176170C3}"/>
    <cellStyle name="20% - Accent3 2 3 6 2 3" xfId="15040" xr:uid="{8F656B1B-F45A-4B9A-9BBB-712DA29CE488}"/>
    <cellStyle name="20% - Accent3 2 3 6 3" xfId="19263" xr:uid="{7AB5F2C3-7374-430F-AB76-5EF0154C464E}"/>
    <cellStyle name="20% - Accent3 2 3 6 4" xfId="10822" xr:uid="{DE6C2064-25E6-41B6-A4DC-EC4774572F03}"/>
    <cellStyle name="20% - Accent3 2 3 7" xfId="4524" xr:uid="{00000000-0005-0000-0000-00007E010000}"/>
    <cellStyle name="20% - Accent3 2 3 7 2" xfId="21415" xr:uid="{CA2AD378-AAA4-4EC5-950C-6CE66B357CB9}"/>
    <cellStyle name="20% - Accent3 2 3 7 3" xfId="12974" xr:uid="{3ECCB71C-DB63-4E8D-A541-99E607120569}"/>
    <cellStyle name="20% - Accent3 2 3 8" xfId="17197" xr:uid="{D23F2366-85DC-4510-9562-D666C53A2954}"/>
    <cellStyle name="20% - Accent3 2 3 9" xfId="8756" xr:uid="{7D7BB08E-ED17-490C-9727-57F8FC0F3C55}"/>
    <cellStyle name="20% - Accent3 2 4" xfId="587" xr:uid="{00000000-0005-0000-0000-00007F010000}"/>
    <cellStyle name="20% - Accent3 2 4 2" xfId="2858" xr:uid="{00000000-0005-0000-0000-000080010000}"/>
    <cellStyle name="20% - Accent3 2 4 2 2" xfId="7080" xr:uid="{00000000-0005-0000-0000-000081010000}"/>
    <cellStyle name="20% - Accent3 2 4 2 2 2" xfId="23971" xr:uid="{0B996787-F25B-4152-BC91-AF67559D0AA6}"/>
    <cellStyle name="20% - Accent3 2 4 2 2 3" xfId="15530" xr:uid="{7207987D-7825-425E-AAC6-F67EC5A975EA}"/>
    <cellStyle name="20% - Accent3 2 4 2 3" xfId="19753" xr:uid="{1FE1DFF4-A699-4BD0-B6F7-D7F82FCB5D71}"/>
    <cellStyle name="20% - Accent3 2 4 2 4" xfId="11312" xr:uid="{4D75D4D1-1E05-4AEB-969D-4663F6659BA1}"/>
    <cellStyle name="20% - Accent3 2 4 3" xfId="4935" xr:uid="{00000000-0005-0000-0000-000082010000}"/>
    <cellStyle name="20% - Accent3 2 4 3 2" xfId="21826" xr:uid="{C34DB53C-C7DC-40B0-AF23-5751B4A5AE26}"/>
    <cellStyle name="20% - Accent3 2 4 3 3" xfId="13385" xr:uid="{F2C70C54-D9FA-4730-BBEF-D366627FD346}"/>
    <cellStyle name="20% - Accent3 2 4 4" xfId="17608" xr:uid="{E7D9F191-F957-454F-9355-DDAE587AC4CB}"/>
    <cellStyle name="20% - Accent3 2 4 5" xfId="9167" xr:uid="{FAEDF5D0-106B-447E-ACD1-177A01109B9C}"/>
    <cellStyle name="20% - Accent3 2 5" xfId="1040" xr:uid="{00000000-0005-0000-0000-000083010000}"/>
    <cellStyle name="20% - Accent3 2 5 2" xfId="3271" xr:uid="{00000000-0005-0000-0000-000084010000}"/>
    <cellStyle name="20% - Accent3 2 5 2 2" xfId="7493" xr:uid="{00000000-0005-0000-0000-000085010000}"/>
    <cellStyle name="20% - Accent3 2 5 2 2 2" xfId="24384" xr:uid="{D04089D2-D2D5-48B9-BF4C-BFB695251C51}"/>
    <cellStyle name="20% - Accent3 2 5 2 2 3" xfId="15943" xr:uid="{D84330EB-067B-4F8A-A3CE-CF0EDA12B646}"/>
    <cellStyle name="20% - Accent3 2 5 2 3" xfId="20166" xr:uid="{94887D8A-1E54-4234-8FB8-6828D35A5DAC}"/>
    <cellStyle name="20% - Accent3 2 5 2 4" xfId="11725" xr:uid="{C2E9314E-0404-43FE-BCEB-688A8EAE7B85}"/>
    <cellStyle name="20% - Accent3 2 5 3" xfId="5348" xr:uid="{00000000-0005-0000-0000-000086010000}"/>
    <cellStyle name="20% - Accent3 2 5 3 2" xfId="22239" xr:uid="{5C31DF2E-451B-4DEF-B929-D368115C1A4A}"/>
    <cellStyle name="20% - Accent3 2 5 3 3" xfId="13798" xr:uid="{3432B501-13E6-4D0F-A24A-ED5C7FE7E8D2}"/>
    <cellStyle name="20% - Accent3 2 5 4" xfId="18021" xr:uid="{80A64C6E-1603-4E49-B532-05F33C7DAA74}"/>
    <cellStyle name="20% - Accent3 2 5 5" xfId="9580" xr:uid="{6F1E87F3-8C7A-4710-9987-D27526DDCE8A}"/>
    <cellStyle name="20% - Accent3 2 6" xfId="1454" xr:uid="{00000000-0005-0000-0000-000087010000}"/>
    <cellStyle name="20% - Accent3 2 6 2" xfId="3684" xr:uid="{00000000-0005-0000-0000-000088010000}"/>
    <cellStyle name="20% - Accent3 2 6 2 2" xfId="7906" xr:uid="{00000000-0005-0000-0000-000089010000}"/>
    <cellStyle name="20% - Accent3 2 6 2 2 2" xfId="24797" xr:uid="{F1DE769D-1824-4E2C-A98F-C81D7AEB835B}"/>
    <cellStyle name="20% - Accent3 2 6 2 2 3" xfId="16356" xr:uid="{2E4B373F-365D-4710-9920-D7D998F11F56}"/>
    <cellStyle name="20% - Accent3 2 6 2 3" xfId="20579" xr:uid="{71436882-829C-4E2C-9C9D-36763DA771F5}"/>
    <cellStyle name="20% - Accent3 2 6 2 4" xfId="12138" xr:uid="{8DAA6949-80F6-4D07-A12F-04B34144848E}"/>
    <cellStyle name="20% - Accent3 2 6 3" xfId="5761" xr:uid="{00000000-0005-0000-0000-00008A010000}"/>
    <cellStyle name="20% - Accent3 2 6 3 2" xfId="22652" xr:uid="{74596B92-B00A-47F8-BA10-A37E39CF4195}"/>
    <cellStyle name="20% - Accent3 2 6 3 3" xfId="14211" xr:uid="{898FC79D-C1B5-477D-8603-B60166FF534B}"/>
    <cellStyle name="20% - Accent3 2 6 4" xfId="18434" xr:uid="{C4FC704C-3B7E-4D2B-9461-C247E2FF6AAC}"/>
    <cellStyle name="20% - Accent3 2 6 5" xfId="9993" xr:uid="{89134232-10E4-4CE9-B99F-26AA6B06B54B}"/>
    <cellStyle name="20% - Accent3 2 7" xfId="1868" xr:uid="{00000000-0005-0000-0000-00008B010000}"/>
    <cellStyle name="20% - Accent3 2 7 2" xfId="4097" xr:uid="{00000000-0005-0000-0000-00008C010000}"/>
    <cellStyle name="20% - Accent3 2 7 2 2" xfId="8319" xr:uid="{00000000-0005-0000-0000-00008D010000}"/>
    <cellStyle name="20% - Accent3 2 7 2 2 2" xfId="25210" xr:uid="{A363AB75-CA0F-4B9A-8F4C-55201C5E6DFD}"/>
    <cellStyle name="20% - Accent3 2 7 2 2 3" xfId="16769" xr:uid="{A42E50F9-15E2-4190-8295-FB0CF15CC56D}"/>
    <cellStyle name="20% - Accent3 2 7 2 3" xfId="20992" xr:uid="{B481AF7C-D48C-40C9-B000-F9E51DD805FB}"/>
    <cellStyle name="20% - Accent3 2 7 2 4" xfId="12551" xr:uid="{3B03D2E1-7F92-42A4-A978-9A43B0152D4D}"/>
    <cellStyle name="20% - Accent3 2 7 3" xfId="6174" xr:uid="{00000000-0005-0000-0000-00008E010000}"/>
    <cellStyle name="20% - Accent3 2 7 3 2" xfId="23065" xr:uid="{D34BE078-4B24-4A4D-B068-7F012BBDC661}"/>
    <cellStyle name="20% - Accent3 2 7 3 3" xfId="14624" xr:uid="{6F303C28-1436-4CC0-8C92-E567B7F12DE0}"/>
    <cellStyle name="20% - Accent3 2 7 4" xfId="18847" xr:uid="{1A75F40B-8BFE-4ED3-991B-18729A549AC3}"/>
    <cellStyle name="20% - Accent3 2 7 5" xfId="10406" xr:uid="{EB1F7497-0551-4289-8EA2-AC669D77C132}"/>
    <cellStyle name="20% - Accent3 2 8" xfId="2281" xr:uid="{00000000-0005-0000-0000-00008F010000}"/>
    <cellStyle name="20% - Accent3 2 8 2" xfId="6587" xr:uid="{00000000-0005-0000-0000-000090010000}"/>
    <cellStyle name="20% - Accent3 2 8 2 2" xfId="23478" xr:uid="{05BAA11E-DE74-4668-90C6-00E3998757CC}"/>
    <cellStyle name="20% - Accent3 2 8 2 3" xfId="15037" xr:uid="{E17778E9-800F-418A-9BBA-C982D9284B17}"/>
    <cellStyle name="20% - Accent3 2 8 3" xfId="19260" xr:uid="{202874CF-B97D-4D63-82E3-1EB4701A1219}"/>
    <cellStyle name="20% - Accent3 2 8 4" xfId="10819" xr:uid="{223D606A-8B85-4CC0-83E2-3A539F6298A1}"/>
    <cellStyle name="20% - Accent3 2 9" xfId="4521" xr:uid="{00000000-0005-0000-0000-000091010000}"/>
    <cellStyle name="20% - Accent3 2 9 2" xfId="21412" xr:uid="{02062758-F0FE-463F-9213-3535CC6AB371}"/>
    <cellStyle name="20% - Accent3 2 9 3" xfId="12971" xr:uid="{328D33A2-CE5E-47A0-8EDE-866C180CAFF1}"/>
    <cellStyle name="20% - Accent3 3" xfId="22" xr:uid="{00000000-0005-0000-0000-000092010000}"/>
    <cellStyle name="20% - Accent3 3 10" xfId="8757" xr:uid="{B8DBD8E4-7983-48AC-85AD-B4A7E2153F14}"/>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23976" xr:uid="{2F658E91-EC20-4D0C-9F95-FBF76D3C4A5E}"/>
    <cellStyle name="20% - Accent3 3 2 2 2 2 3" xfId="15535" xr:uid="{62C7EBCF-6BD6-4505-86CA-FF296E301F74}"/>
    <cellStyle name="20% - Accent3 3 2 2 2 3" xfId="19758" xr:uid="{B8719496-37EA-4F8D-9550-970824533F52}"/>
    <cellStyle name="20% - Accent3 3 2 2 2 4" xfId="11317" xr:uid="{11F29FA6-C6FC-4793-83C9-5ACCFA195B0A}"/>
    <cellStyle name="20% - Accent3 3 2 2 3" xfId="4940" xr:uid="{00000000-0005-0000-0000-000097010000}"/>
    <cellStyle name="20% - Accent3 3 2 2 3 2" xfId="21831" xr:uid="{E219C16F-9917-40AA-9199-D197D6A502B4}"/>
    <cellStyle name="20% - Accent3 3 2 2 3 3" xfId="13390" xr:uid="{9FC030FD-806D-42F1-9962-E5C909C7CA47}"/>
    <cellStyle name="20% - Accent3 3 2 2 4" xfId="17613" xr:uid="{1A733B96-8B5A-4A0F-8959-54C860B28817}"/>
    <cellStyle name="20% - Accent3 3 2 2 5" xfId="9172" xr:uid="{B054DD77-F896-4F37-AE93-24F6D6582EE8}"/>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24389" xr:uid="{5969888D-04F5-4660-8A1D-4866878082EC}"/>
    <cellStyle name="20% - Accent3 3 2 3 2 2 3" xfId="15948" xr:uid="{9C409799-83F4-4D37-870F-5B5F125D1F46}"/>
    <cellStyle name="20% - Accent3 3 2 3 2 3" xfId="20171" xr:uid="{1F249A7B-073D-457B-BB95-BDEFAD64E9F8}"/>
    <cellStyle name="20% - Accent3 3 2 3 2 4" xfId="11730" xr:uid="{B3284F45-E649-41CB-B952-C4D8C37C2D7A}"/>
    <cellStyle name="20% - Accent3 3 2 3 3" xfId="5353" xr:uid="{00000000-0005-0000-0000-00009B010000}"/>
    <cellStyle name="20% - Accent3 3 2 3 3 2" xfId="22244" xr:uid="{E528DD9D-1FC8-4D74-9F98-4F3DF574CB99}"/>
    <cellStyle name="20% - Accent3 3 2 3 3 3" xfId="13803" xr:uid="{CFC571F4-F02A-40EB-A8FB-B44776AD8611}"/>
    <cellStyle name="20% - Accent3 3 2 3 4" xfId="18026" xr:uid="{2A8BBB09-DE3E-43E4-BBBF-CC0BB34D1949}"/>
    <cellStyle name="20% - Accent3 3 2 3 5" xfId="9585" xr:uid="{B63F81DE-987F-4D38-9521-C91BC86F1DC9}"/>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24802" xr:uid="{F9F11210-5CE0-493A-9F26-7C7CC20397D7}"/>
    <cellStyle name="20% - Accent3 3 2 4 2 2 3" xfId="16361" xr:uid="{2E1A2374-1DD2-48AA-AB83-AA3832938D53}"/>
    <cellStyle name="20% - Accent3 3 2 4 2 3" xfId="20584" xr:uid="{21EEBFA8-D1BC-4B74-A209-7E869FCEABC8}"/>
    <cellStyle name="20% - Accent3 3 2 4 2 4" xfId="12143" xr:uid="{2B518FB0-73BC-48E7-922F-98FBDDBD6895}"/>
    <cellStyle name="20% - Accent3 3 2 4 3" xfId="5766" xr:uid="{00000000-0005-0000-0000-00009F010000}"/>
    <cellStyle name="20% - Accent3 3 2 4 3 2" xfId="22657" xr:uid="{32AF3E60-FF91-4CA7-BC9A-E43482DF644F}"/>
    <cellStyle name="20% - Accent3 3 2 4 3 3" xfId="14216" xr:uid="{CBDEE47D-D655-4CB5-B9C2-6E0DA23A051F}"/>
    <cellStyle name="20% - Accent3 3 2 4 4" xfId="18439" xr:uid="{31C2C83A-2F5D-4B57-9330-EBA59AD4A306}"/>
    <cellStyle name="20% - Accent3 3 2 4 5" xfId="9998" xr:uid="{EF57C6DD-4569-49E7-9A9E-FA5A94D8D986}"/>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25215" xr:uid="{46435551-D1D8-4889-91BD-AEA1741FB2AC}"/>
    <cellStyle name="20% - Accent3 3 2 5 2 2 3" xfId="16774" xr:uid="{BACC89FA-5F45-4EC9-B837-2030CB209BD2}"/>
    <cellStyle name="20% - Accent3 3 2 5 2 3" xfId="20997" xr:uid="{EBFAF30F-556B-45FC-9797-E3F5D77BF393}"/>
    <cellStyle name="20% - Accent3 3 2 5 2 4" xfId="12556" xr:uid="{70700E88-5F76-485A-BDB3-FED5C00216EB}"/>
    <cellStyle name="20% - Accent3 3 2 5 3" xfId="6179" xr:uid="{00000000-0005-0000-0000-0000A3010000}"/>
    <cellStyle name="20% - Accent3 3 2 5 3 2" xfId="23070" xr:uid="{640915C3-B234-4614-8390-0069EC148E11}"/>
    <cellStyle name="20% - Accent3 3 2 5 3 3" xfId="14629" xr:uid="{79025230-7505-4E21-A5EE-3327E8C01E0E}"/>
    <cellStyle name="20% - Accent3 3 2 5 4" xfId="18852" xr:uid="{FE5D92F4-1617-4D8F-B31E-EB57E44AFC45}"/>
    <cellStyle name="20% - Accent3 3 2 5 5" xfId="10411" xr:uid="{C2078058-95A2-4D68-B875-4CED2D11A691}"/>
    <cellStyle name="20% - Accent3 3 2 6" xfId="2286" xr:uid="{00000000-0005-0000-0000-0000A4010000}"/>
    <cellStyle name="20% - Accent3 3 2 6 2" xfId="6592" xr:uid="{00000000-0005-0000-0000-0000A5010000}"/>
    <cellStyle name="20% - Accent3 3 2 6 2 2" xfId="23483" xr:uid="{CDDE7008-53A9-4325-AA98-25014F9C463D}"/>
    <cellStyle name="20% - Accent3 3 2 6 2 3" xfId="15042" xr:uid="{1E46BD48-D37F-410B-B872-41DFAF83849F}"/>
    <cellStyle name="20% - Accent3 3 2 6 3" xfId="19265" xr:uid="{2E7FA731-027A-469B-B995-75BE7D178A9B}"/>
    <cellStyle name="20% - Accent3 3 2 6 4" xfId="10824" xr:uid="{9F3AFF71-8754-4529-9823-195B03359FF0}"/>
    <cellStyle name="20% - Accent3 3 2 7" xfId="4526" xr:uid="{00000000-0005-0000-0000-0000A6010000}"/>
    <cellStyle name="20% - Accent3 3 2 7 2" xfId="21417" xr:uid="{EDCBE92F-BAE2-4F03-A043-1D3FAC5DB8AB}"/>
    <cellStyle name="20% - Accent3 3 2 7 3" xfId="12976" xr:uid="{5E8C19D7-E6E0-4DE6-A8CE-F662221475EB}"/>
    <cellStyle name="20% - Accent3 3 2 8" xfId="17199" xr:uid="{BB140D60-9F9D-4203-B5F2-18C72B536329}"/>
    <cellStyle name="20% - Accent3 3 2 9" xfId="8758" xr:uid="{EB05B95B-1876-49C8-893B-F481AC39A2B3}"/>
    <cellStyle name="20% - Accent3 3 3" xfId="591" xr:uid="{00000000-0005-0000-0000-0000A7010000}"/>
    <cellStyle name="20% - Accent3 3 3 2" xfId="2862" xr:uid="{00000000-0005-0000-0000-0000A8010000}"/>
    <cellStyle name="20% - Accent3 3 3 2 2" xfId="7084" xr:uid="{00000000-0005-0000-0000-0000A9010000}"/>
    <cellStyle name="20% - Accent3 3 3 2 2 2" xfId="23975" xr:uid="{FA01089D-458C-4D87-802B-714B7570BCF8}"/>
    <cellStyle name="20% - Accent3 3 3 2 2 3" xfId="15534" xr:uid="{9EC18CE0-1B5D-4697-B8D8-29FE06D06A1C}"/>
    <cellStyle name="20% - Accent3 3 3 2 3" xfId="19757" xr:uid="{9CEA8921-2B7C-4C0C-830D-744912854E81}"/>
    <cellStyle name="20% - Accent3 3 3 2 4" xfId="11316" xr:uid="{A4A5055B-EB65-4771-9C64-D0F433037C17}"/>
    <cellStyle name="20% - Accent3 3 3 3" xfId="4939" xr:uid="{00000000-0005-0000-0000-0000AA010000}"/>
    <cellStyle name="20% - Accent3 3 3 3 2" xfId="21830" xr:uid="{7751FFEF-E300-4D79-88E8-FD637E1F4BDB}"/>
    <cellStyle name="20% - Accent3 3 3 3 3" xfId="13389" xr:uid="{A489DA02-E96A-4719-BA03-B68F3B2E2C52}"/>
    <cellStyle name="20% - Accent3 3 3 4" xfId="17612" xr:uid="{FFA318F5-9DA4-46ED-B6FB-189E2B11DE41}"/>
    <cellStyle name="20% - Accent3 3 3 5" xfId="9171" xr:uid="{DB933755-9851-4455-9564-49F2525A93BE}"/>
    <cellStyle name="20% - Accent3 3 4" xfId="1044" xr:uid="{00000000-0005-0000-0000-0000AB010000}"/>
    <cellStyle name="20% - Accent3 3 4 2" xfId="3275" xr:uid="{00000000-0005-0000-0000-0000AC010000}"/>
    <cellStyle name="20% - Accent3 3 4 2 2" xfId="7497" xr:uid="{00000000-0005-0000-0000-0000AD010000}"/>
    <cellStyle name="20% - Accent3 3 4 2 2 2" xfId="24388" xr:uid="{A19B662F-E4EB-4227-B115-8AA1288286E3}"/>
    <cellStyle name="20% - Accent3 3 4 2 2 3" xfId="15947" xr:uid="{658E62CA-7300-4004-AD5D-3CAD6E7E2330}"/>
    <cellStyle name="20% - Accent3 3 4 2 3" xfId="20170" xr:uid="{49901A96-D682-4D9A-82A2-3BC9F138EFEE}"/>
    <cellStyle name="20% - Accent3 3 4 2 4" xfId="11729" xr:uid="{532289A6-5167-45E2-A742-C7E82B981049}"/>
    <cellStyle name="20% - Accent3 3 4 3" xfId="5352" xr:uid="{00000000-0005-0000-0000-0000AE010000}"/>
    <cellStyle name="20% - Accent3 3 4 3 2" xfId="22243" xr:uid="{3C21BD10-C314-4B02-A730-F255B63DA68F}"/>
    <cellStyle name="20% - Accent3 3 4 3 3" xfId="13802" xr:uid="{F11794BC-53C4-4C93-87FA-E220FDC258A6}"/>
    <cellStyle name="20% - Accent3 3 4 4" xfId="18025" xr:uid="{3FA7615A-5E88-4B1B-837F-A55D0D62E98D}"/>
    <cellStyle name="20% - Accent3 3 4 5" xfId="9584" xr:uid="{26DCB9C5-99B4-4FEC-A2C6-FBBECB9ED3FA}"/>
    <cellStyle name="20% - Accent3 3 5" xfId="1458" xr:uid="{00000000-0005-0000-0000-0000AF010000}"/>
    <cellStyle name="20% - Accent3 3 5 2" xfId="3688" xr:uid="{00000000-0005-0000-0000-0000B0010000}"/>
    <cellStyle name="20% - Accent3 3 5 2 2" xfId="7910" xr:uid="{00000000-0005-0000-0000-0000B1010000}"/>
    <cellStyle name="20% - Accent3 3 5 2 2 2" xfId="24801" xr:uid="{6FD0C2BC-A1A9-41D6-847C-9004BBEC33B4}"/>
    <cellStyle name="20% - Accent3 3 5 2 2 3" xfId="16360" xr:uid="{45DA4F33-7FA3-4AAB-94D5-C2173CA2F2AF}"/>
    <cellStyle name="20% - Accent3 3 5 2 3" xfId="20583" xr:uid="{CC25B851-585D-4E97-ADE7-D18EB6AE1A4B}"/>
    <cellStyle name="20% - Accent3 3 5 2 4" xfId="12142" xr:uid="{3AD83B56-8C31-46F6-AB95-DEE1118A63FA}"/>
    <cellStyle name="20% - Accent3 3 5 3" xfId="5765" xr:uid="{00000000-0005-0000-0000-0000B2010000}"/>
    <cellStyle name="20% - Accent3 3 5 3 2" xfId="22656" xr:uid="{4ED99A05-8C9D-43B9-9F66-D390ABB3F6D7}"/>
    <cellStyle name="20% - Accent3 3 5 3 3" xfId="14215" xr:uid="{A79B6B9C-CB01-4830-9CF4-656157643424}"/>
    <cellStyle name="20% - Accent3 3 5 4" xfId="18438" xr:uid="{D307A602-1817-4A1B-B0B2-915D829E8EE3}"/>
    <cellStyle name="20% - Accent3 3 5 5" xfId="9997" xr:uid="{E4AD5F2C-6465-47C0-96F1-1C08B49727BA}"/>
    <cellStyle name="20% - Accent3 3 6" xfId="1872" xr:uid="{00000000-0005-0000-0000-0000B3010000}"/>
    <cellStyle name="20% - Accent3 3 6 2" xfId="4101" xr:uid="{00000000-0005-0000-0000-0000B4010000}"/>
    <cellStyle name="20% - Accent3 3 6 2 2" xfId="8323" xr:uid="{00000000-0005-0000-0000-0000B5010000}"/>
    <cellStyle name="20% - Accent3 3 6 2 2 2" xfId="25214" xr:uid="{7BBDFF16-0AC6-4E5F-AF2E-8576C89D6D71}"/>
    <cellStyle name="20% - Accent3 3 6 2 2 3" xfId="16773" xr:uid="{14FD4E9A-5E81-49D7-B6E9-3970E883BA98}"/>
    <cellStyle name="20% - Accent3 3 6 2 3" xfId="20996" xr:uid="{C35B14DD-E6AC-404E-A813-D32938342540}"/>
    <cellStyle name="20% - Accent3 3 6 2 4" xfId="12555" xr:uid="{4A83DCEC-09CD-44BB-8AE8-B9B8EA573AC5}"/>
    <cellStyle name="20% - Accent3 3 6 3" xfId="6178" xr:uid="{00000000-0005-0000-0000-0000B6010000}"/>
    <cellStyle name="20% - Accent3 3 6 3 2" xfId="23069" xr:uid="{1284475A-3E87-4387-890C-7501EBF3F12E}"/>
    <cellStyle name="20% - Accent3 3 6 3 3" xfId="14628" xr:uid="{D5FDC93D-4431-4C63-9698-9773740D3A13}"/>
    <cellStyle name="20% - Accent3 3 6 4" xfId="18851" xr:uid="{C7674794-E4C2-4143-9202-FE4823EC326C}"/>
    <cellStyle name="20% - Accent3 3 6 5" xfId="10410" xr:uid="{323265C1-9D8C-4CE7-B501-7093A1A6961B}"/>
    <cellStyle name="20% - Accent3 3 7" xfId="2285" xr:uid="{00000000-0005-0000-0000-0000B7010000}"/>
    <cellStyle name="20% - Accent3 3 7 2" xfId="6591" xr:uid="{00000000-0005-0000-0000-0000B8010000}"/>
    <cellStyle name="20% - Accent3 3 7 2 2" xfId="23482" xr:uid="{C509DFD6-037C-4A0A-A004-F1D71F1BF270}"/>
    <cellStyle name="20% - Accent3 3 7 2 3" xfId="15041" xr:uid="{B0093A17-500F-499B-9974-94A32B660F27}"/>
    <cellStyle name="20% - Accent3 3 7 3" xfId="19264" xr:uid="{72D457DA-509A-4A48-848C-C1C46ACDBC56}"/>
    <cellStyle name="20% - Accent3 3 7 4" xfId="10823" xr:uid="{90CC7879-134B-4F92-A20A-8F230557932F}"/>
    <cellStyle name="20% - Accent3 3 8" xfId="4525" xr:uid="{00000000-0005-0000-0000-0000B9010000}"/>
    <cellStyle name="20% - Accent3 3 8 2" xfId="21416" xr:uid="{8E4CFBCA-22E5-464C-AB3A-208FCF07CBDA}"/>
    <cellStyle name="20% - Accent3 3 8 3" xfId="12975" xr:uid="{244E0F6C-71A5-4581-AAAC-8441B144458E}"/>
    <cellStyle name="20% - Accent3 3 9" xfId="17198" xr:uid="{3F6E0311-94BB-4186-B092-D9B90997B0D9}"/>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2 2 2" xfId="23977" xr:uid="{8C8623BE-8846-485B-8BCA-710120E3745F}"/>
    <cellStyle name="20% - Accent3 4 2 2 2 3" xfId="15536" xr:uid="{9B2AC519-83D4-4266-9C42-E5798F3E30EA}"/>
    <cellStyle name="20% - Accent3 4 2 2 3" xfId="19759" xr:uid="{DD2E459E-0273-4E20-86B8-9F846591F1B9}"/>
    <cellStyle name="20% - Accent3 4 2 2 4" xfId="11318" xr:uid="{D203A137-DA23-4354-A16D-63B3B1A436CB}"/>
    <cellStyle name="20% - Accent3 4 2 3" xfId="4941" xr:uid="{00000000-0005-0000-0000-0000BE010000}"/>
    <cellStyle name="20% - Accent3 4 2 3 2" xfId="21832" xr:uid="{9ABA2A09-A4A7-4F28-85F2-AEE25D419A6F}"/>
    <cellStyle name="20% - Accent3 4 2 3 3" xfId="13391" xr:uid="{6FCD556D-6438-44E9-9D84-AC46EB979F08}"/>
    <cellStyle name="20% - Accent3 4 2 4" xfId="17614" xr:uid="{6E3D24B8-B92F-448E-94CB-A609B8C53B0B}"/>
    <cellStyle name="20% - Accent3 4 2 5" xfId="9173" xr:uid="{8900499E-8212-41A7-ABF2-45EEB89E9FB4}"/>
    <cellStyle name="20% - Accent3 4 3" xfId="1046" xr:uid="{00000000-0005-0000-0000-0000BF010000}"/>
    <cellStyle name="20% - Accent3 4 3 2" xfId="3277" xr:uid="{00000000-0005-0000-0000-0000C0010000}"/>
    <cellStyle name="20% - Accent3 4 3 2 2" xfId="7499" xr:uid="{00000000-0005-0000-0000-0000C1010000}"/>
    <cellStyle name="20% - Accent3 4 3 2 2 2" xfId="24390" xr:uid="{A9F5DBF0-F22F-459A-9391-89E4197F0C62}"/>
    <cellStyle name="20% - Accent3 4 3 2 2 3" xfId="15949" xr:uid="{8E610828-6170-4A1E-B27A-3DDF530A4339}"/>
    <cellStyle name="20% - Accent3 4 3 2 3" xfId="20172" xr:uid="{1AF571BC-619F-421D-988D-249C67FF4484}"/>
    <cellStyle name="20% - Accent3 4 3 2 4" xfId="11731" xr:uid="{1255E31E-69B8-482E-82E7-A7467A1BFB74}"/>
    <cellStyle name="20% - Accent3 4 3 3" xfId="5354" xr:uid="{00000000-0005-0000-0000-0000C2010000}"/>
    <cellStyle name="20% - Accent3 4 3 3 2" xfId="22245" xr:uid="{0CE901F4-B431-4819-81A4-FA8E55A545FC}"/>
    <cellStyle name="20% - Accent3 4 3 3 3" xfId="13804" xr:uid="{8239E286-A520-45E7-B479-65B22C2739E8}"/>
    <cellStyle name="20% - Accent3 4 3 4" xfId="18027" xr:uid="{5900BFEF-A8ED-4C9E-93F4-116E137CE671}"/>
    <cellStyle name="20% - Accent3 4 3 5" xfId="9586" xr:uid="{C9C3E568-937C-4A20-BBB6-43648A2FCE5A}"/>
    <cellStyle name="20% - Accent3 4 4" xfId="1460" xr:uid="{00000000-0005-0000-0000-0000C3010000}"/>
    <cellStyle name="20% - Accent3 4 4 2" xfId="3690" xr:uid="{00000000-0005-0000-0000-0000C4010000}"/>
    <cellStyle name="20% - Accent3 4 4 2 2" xfId="7912" xr:uid="{00000000-0005-0000-0000-0000C5010000}"/>
    <cellStyle name="20% - Accent3 4 4 2 2 2" xfId="24803" xr:uid="{6B0CB705-A3A9-44ED-A47F-44890CDBC05B}"/>
    <cellStyle name="20% - Accent3 4 4 2 2 3" xfId="16362" xr:uid="{51E3523B-12BA-4CF2-A849-A0427FC42D7E}"/>
    <cellStyle name="20% - Accent3 4 4 2 3" xfId="20585" xr:uid="{7FD19684-7CCD-4ED9-BFC9-A316E7BFF1BD}"/>
    <cellStyle name="20% - Accent3 4 4 2 4" xfId="12144" xr:uid="{3A24CCD9-4C08-465F-9BD1-9DDD44C671B5}"/>
    <cellStyle name="20% - Accent3 4 4 3" xfId="5767" xr:uid="{00000000-0005-0000-0000-0000C6010000}"/>
    <cellStyle name="20% - Accent3 4 4 3 2" xfId="22658" xr:uid="{76971C71-66CF-4D3F-B011-23FB9D91FD49}"/>
    <cellStyle name="20% - Accent3 4 4 3 3" xfId="14217" xr:uid="{4220A991-93C5-4399-BD06-8BF46D8CD712}"/>
    <cellStyle name="20% - Accent3 4 4 4" xfId="18440" xr:uid="{C6E10E61-F7FF-495E-B97B-F9907078EF93}"/>
    <cellStyle name="20% - Accent3 4 4 5" xfId="9999" xr:uid="{FE1EA270-73A5-4ABA-B091-C98FFE0A14CD}"/>
    <cellStyle name="20% - Accent3 4 5" xfId="1874" xr:uid="{00000000-0005-0000-0000-0000C7010000}"/>
    <cellStyle name="20% - Accent3 4 5 2" xfId="4103" xr:uid="{00000000-0005-0000-0000-0000C8010000}"/>
    <cellStyle name="20% - Accent3 4 5 2 2" xfId="8325" xr:uid="{00000000-0005-0000-0000-0000C9010000}"/>
    <cellStyle name="20% - Accent3 4 5 2 2 2" xfId="25216" xr:uid="{D92EA90D-83F4-48A3-B77C-9C2F6F2099A4}"/>
    <cellStyle name="20% - Accent3 4 5 2 2 3" xfId="16775" xr:uid="{4E6F9EDA-EF5D-4987-AA77-F8E3C3AA61BC}"/>
    <cellStyle name="20% - Accent3 4 5 2 3" xfId="20998" xr:uid="{BA8FE936-5824-401F-9E0D-6B4599A18380}"/>
    <cellStyle name="20% - Accent3 4 5 2 4" xfId="12557" xr:uid="{6C58AD8F-C507-4FF0-A595-0B71152A8434}"/>
    <cellStyle name="20% - Accent3 4 5 3" xfId="6180" xr:uid="{00000000-0005-0000-0000-0000CA010000}"/>
    <cellStyle name="20% - Accent3 4 5 3 2" xfId="23071" xr:uid="{72317479-D265-4300-ACCA-76E23E29AABF}"/>
    <cellStyle name="20% - Accent3 4 5 3 3" xfId="14630" xr:uid="{93DDE5D1-2600-4569-A46A-CE4376D26329}"/>
    <cellStyle name="20% - Accent3 4 5 4" xfId="18853" xr:uid="{0C0198A9-F9FB-47A1-9C15-2860E65C254C}"/>
    <cellStyle name="20% - Accent3 4 5 5" xfId="10412" xr:uid="{9D29B70B-8C0A-4C11-8F55-71F1998F5A0B}"/>
    <cellStyle name="20% - Accent3 4 6" xfId="2287" xr:uid="{00000000-0005-0000-0000-0000CB010000}"/>
    <cellStyle name="20% - Accent3 4 6 2" xfId="6593" xr:uid="{00000000-0005-0000-0000-0000CC010000}"/>
    <cellStyle name="20% - Accent3 4 6 2 2" xfId="23484" xr:uid="{679EDE80-733D-4FDD-BE2D-D82492BC8082}"/>
    <cellStyle name="20% - Accent3 4 6 2 3" xfId="15043" xr:uid="{120B7867-39B8-4423-9F54-29D5DBC83189}"/>
    <cellStyle name="20% - Accent3 4 6 3" xfId="19266" xr:uid="{9BFEA74E-CDDB-4D31-93BF-6EFD4BEABAFC}"/>
    <cellStyle name="20% - Accent3 4 6 4" xfId="10825" xr:uid="{6FD12ACB-F9B8-43E2-90E5-C01C4DCF889B}"/>
    <cellStyle name="20% - Accent3 4 7" xfId="4527" xr:uid="{00000000-0005-0000-0000-0000CD010000}"/>
    <cellStyle name="20% - Accent3 4 7 2" xfId="21418" xr:uid="{FD3CB633-E876-40DF-9FCD-2951C6F53413}"/>
    <cellStyle name="20% - Accent3 4 7 3" xfId="12977" xr:uid="{8825B8A1-FAB8-4444-8D79-2C35F2DEC8EB}"/>
    <cellStyle name="20% - Accent3 4 8" xfId="17200" xr:uid="{9AE47E57-44FD-4978-8A68-965B77B1CF59}"/>
    <cellStyle name="20% - Accent3 4 9" xfId="8759" xr:uid="{881A565C-0BC9-4152-AB06-D2B50F06DF38}"/>
    <cellStyle name="20% - Accent3 5" xfId="586" xr:uid="{00000000-0005-0000-0000-0000CE010000}"/>
    <cellStyle name="20% - Accent3 5 2" xfId="2857" xr:uid="{00000000-0005-0000-0000-0000CF010000}"/>
    <cellStyle name="20% - Accent3 5 2 2" xfId="7079" xr:uid="{00000000-0005-0000-0000-0000D0010000}"/>
    <cellStyle name="20% - Accent3 5 2 2 2" xfId="23970" xr:uid="{3FA8BB5A-B7A5-403C-8BDD-51FCF00A5D9C}"/>
    <cellStyle name="20% - Accent3 5 2 2 3" xfId="15529" xr:uid="{5EDD9660-3F03-4251-AB56-11032FD64925}"/>
    <cellStyle name="20% - Accent3 5 2 3" xfId="19752" xr:uid="{2F8CF508-38C5-460E-BDA3-C19483BB5558}"/>
    <cellStyle name="20% - Accent3 5 2 4" xfId="11311" xr:uid="{36D7E8D4-F045-423A-9A55-80723FE67096}"/>
    <cellStyle name="20% - Accent3 5 3" xfId="4934" xr:uid="{00000000-0005-0000-0000-0000D1010000}"/>
    <cellStyle name="20% - Accent3 5 3 2" xfId="21825" xr:uid="{98C8420B-0758-4BA0-AB72-F08A08B5A9CA}"/>
    <cellStyle name="20% - Accent3 5 3 3" xfId="13384" xr:uid="{AD6AED6D-227D-4E30-ADA9-FBC2E59C7836}"/>
    <cellStyle name="20% - Accent3 5 4" xfId="17607" xr:uid="{7FF91FEA-70F4-4814-9DA4-3B26A56086D4}"/>
    <cellStyle name="20% - Accent3 5 5" xfId="9166" xr:uid="{D66EB26F-6764-4291-B283-497BFC12C997}"/>
    <cellStyle name="20% - Accent3 6" xfId="1039" xr:uid="{00000000-0005-0000-0000-0000D2010000}"/>
    <cellStyle name="20% - Accent3 6 2" xfId="3270" xr:uid="{00000000-0005-0000-0000-0000D3010000}"/>
    <cellStyle name="20% - Accent3 6 2 2" xfId="7492" xr:uid="{00000000-0005-0000-0000-0000D4010000}"/>
    <cellStyle name="20% - Accent3 6 2 2 2" xfId="24383" xr:uid="{36F715F7-2F52-427A-9759-6E538D1BB2B7}"/>
    <cellStyle name="20% - Accent3 6 2 2 3" xfId="15942" xr:uid="{C72CF426-C4EE-4462-9B24-53FFCA6D7466}"/>
    <cellStyle name="20% - Accent3 6 2 3" xfId="20165" xr:uid="{3027211C-1E3C-4136-92D7-BCD613804E0E}"/>
    <cellStyle name="20% - Accent3 6 2 4" xfId="11724" xr:uid="{062396C6-840A-410D-868D-7935E5CDDE98}"/>
    <cellStyle name="20% - Accent3 6 3" xfId="5347" xr:uid="{00000000-0005-0000-0000-0000D5010000}"/>
    <cellStyle name="20% - Accent3 6 3 2" xfId="22238" xr:uid="{81BE3E6E-9D17-4B0A-BF6E-19BACC8E4CA5}"/>
    <cellStyle name="20% - Accent3 6 3 3" xfId="13797" xr:uid="{F0813DE0-0AC8-4B2A-A8A9-835C77FD94D0}"/>
    <cellStyle name="20% - Accent3 6 4" xfId="18020" xr:uid="{B7667116-4DA6-4D36-AA97-3C444596CAB7}"/>
    <cellStyle name="20% - Accent3 6 5" xfId="9579" xr:uid="{2AF269F4-4D29-4981-AB92-DF3383E31710}"/>
    <cellStyle name="20% - Accent3 7" xfId="1453" xr:uid="{00000000-0005-0000-0000-0000D6010000}"/>
    <cellStyle name="20% - Accent3 7 2" xfId="3683" xr:uid="{00000000-0005-0000-0000-0000D7010000}"/>
    <cellStyle name="20% - Accent3 7 2 2" xfId="7905" xr:uid="{00000000-0005-0000-0000-0000D8010000}"/>
    <cellStyle name="20% - Accent3 7 2 2 2" xfId="24796" xr:uid="{293C71AF-7760-4D83-BEB1-0AA3E245478B}"/>
    <cellStyle name="20% - Accent3 7 2 2 3" xfId="16355" xr:uid="{5BCDA157-A392-49A4-AB9F-B8685877FEF4}"/>
    <cellStyle name="20% - Accent3 7 2 3" xfId="20578" xr:uid="{838D0B5C-9EE9-4923-B310-D1D46FFC7451}"/>
    <cellStyle name="20% - Accent3 7 2 4" xfId="12137" xr:uid="{CDA86F80-8BB7-445F-A447-DBA674C22EF9}"/>
    <cellStyle name="20% - Accent3 7 3" xfId="5760" xr:uid="{00000000-0005-0000-0000-0000D9010000}"/>
    <cellStyle name="20% - Accent3 7 3 2" xfId="22651" xr:uid="{E69E2912-D682-462A-9D71-7832A221E3E0}"/>
    <cellStyle name="20% - Accent3 7 3 3" xfId="14210" xr:uid="{1A7A0F2C-D405-4D5E-AABD-5B0CBE2D97EF}"/>
    <cellStyle name="20% - Accent3 7 4" xfId="18433" xr:uid="{E7843285-BB6D-4844-BEE9-FD76DF5C7CF6}"/>
    <cellStyle name="20% - Accent3 7 5" xfId="9992" xr:uid="{B3A17E72-578A-481F-BAA2-1A0647792CE7}"/>
    <cellStyle name="20% - Accent3 8" xfId="1867" xr:uid="{00000000-0005-0000-0000-0000DA010000}"/>
    <cellStyle name="20% - Accent3 8 2" xfId="4096" xr:uid="{00000000-0005-0000-0000-0000DB010000}"/>
    <cellStyle name="20% - Accent3 8 2 2" xfId="8318" xr:uid="{00000000-0005-0000-0000-0000DC010000}"/>
    <cellStyle name="20% - Accent3 8 2 2 2" xfId="25209" xr:uid="{72970ADA-2276-4710-9BBC-9461F19D5EEB}"/>
    <cellStyle name="20% - Accent3 8 2 2 3" xfId="16768" xr:uid="{3B800FD7-BCB7-4997-9553-022C7A4F9E5B}"/>
    <cellStyle name="20% - Accent3 8 2 3" xfId="20991" xr:uid="{749F1276-F018-4788-AD32-45DF9D0A7590}"/>
    <cellStyle name="20% - Accent3 8 2 4" xfId="12550" xr:uid="{49F04A36-F6BD-40D3-82E8-A030AD75AE74}"/>
    <cellStyle name="20% - Accent3 8 3" xfId="6173" xr:uid="{00000000-0005-0000-0000-0000DD010000}"/>
    <cellStyle name="20% - Accent3 8 3 2" xfId="23064" xr:uid="{13351F7F-4E75-411D-BF8D-F789121A21FC}"/>
    <cellStyle name="20% - Accent3 8 3 3" xfId="14623" xr:uid="{D1245718-2217-43B6-BD62-D00AF514C894}"/>
    <cellStyle name="20% - Accent3 8 4" xfId="18846" xr:uid="{4CB211AC-086E-4585-AD49-D8F9055B9789}"/>
    <cellStyle name="20% - Accent3 8 5" xfId="10405" xr:uid="{5EB04D29-09E2-423C-A6DD-09F6C6BA71A4}"/>
    <cellStyle name="20% - Accent3 9" xfId="2280" xr:uid="{00000000-0005-0000-0000-0000DE010000}"/>
    <cellStyle name="20% - Accent3 9 2" xfId="6586" xr:uid="{00000000-0005-0000-0000-0000DF010000}"/>
    <cellStyle name="20% - Accent3 9 2 2" xfId="23477" xr:uid="{BBB848B2-341B-40E1-9E12-8E5FC9309AF6}"/>
    <cellStyle name="20% - Accent3 9 2 3" xfId="15036" xr:uid="{7F1B0E33-1CFD-49E8-AE03-50E642EAB483}"/>
    <cellStyle name="20% - Accent3 9 3" xfId="19259" xr:uid="{89271ADB-42A5-4885-A850-1B0EAC239C72}"/>
    <cellStyle name="20% - Accent3 9 4" xfId="10818" xr:uid="{E1DAE32E-D5D2-4C70-9356-301996B9E683}"/>
    <cellStyle name="20% - Accent4" xfId="25" builtinId="42" customBuiltin="1"/>
    <cellStyle name="20% - Accent4 10" xfId="4528" xr:uid="{00000000-0005-0000-0000-0000E1010000}"/>
    <cellStyle name="20% - Accent4 10 2" xfId="21419" xr:uid="{0C10C09E-EC88-47F2-80CD-5B7B2CE81F2A}"/>
    <cellStyle name="20% - Accent4 10 3" xfId="12978" xr:uid="{CF40516D-1CED-401F-B376-74C6A695DF5B}"/>
    <cellStyle name="20% - Accent4 11" xfId="17201" xr:uid="{06F9851E-8FF7-4531-98B8-945D679FE6F1}"/>
    <cellStyle name="20% - Accent4 12" xfId="8760" xr:uid="{2B8F5013-C580-4EB4-B8A7-9C6134AD61D3}"/>
    <cellStyle name="20% - Accent4 2" xfId="26" xr:uid="{00000000-0005-0000-0000-0000E2010000}"/>
    <cellStyle name="20% - Accent4 2 10" xfId="17202" xr:uid="{1C74DE62-FDD1-43ED-A119-017BBF5F14D1}"/>
    <cellStyle name="20% - Accent4 2 11" xfId="8761" xr:uid="{25E9EC8D-9D22-4279-8CA6-ECA4ACBC0ABF}"/>
    <cellStyle name="20% - Accent4 2 2" xfId="27" xr:uid="{00000000-0005-0000-0000-0000E3010000}"/>
    <cellStyle name="20% - Accent4 2 2 10" xfId="8762" xr:uid="{77570968-CEB3-4CD9-AF49-0655FD3F8EBE}"/>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23981" xr:uid="{BEDCB704-487F-413E-84F9-F96093FC91C0}"/>
    <cellStyle name="20% - Accent4 2 2 2 2 2 2 3" xfId="15540" xr:uid="{EDC5F6C5-4C83-4385-B56B-9B79267B6C26}"/>
    <cellStyle name="20% - Accent4 2 2 2 2 2 3" xfId="19763" xr:uid="{2CDB3009-0F72-4ED5-A7C0-C79928D24AC9}"/>
    <cellStyle name="20% - Accent4 2 2 2 2 2 4" xfId="11322" xr:uid="{398B57AC-E510-4D4F-AC68-1AFEEF092633}"/>
    <cellStyle name="20% - Accent4 2 2 2 2 3" xfId="4945" xr:uid="{00000000-0005-0000-0000-0000E8010000}"/>
    <cellStyle name="20% - Accent4 2 2 2 2 3 2" xfId="21836" xr:uid="{5EF49F27-BF69-49F1-983A-0BC3923CEC79}"/>
    <cellStyle name="20% - Accent4 2 2 2 2 3 3" xfId="13395" xr:uid="{DA9B9A14-A434-4299-B098-F56BB050CA66}"/>
    <cellStyle name="20% - Accent4 2 2 2 2 4" xfId="17618" xr:uid="{4AEB2D69-3CCD-43BB-B9E5-D8AE154DEDA2}"/>
    <cellStyle name="20% - Accent4 2 2 2 2 5" xfId="9177" xr:uid="{DC72D5C8-638B-407F-9075-91D4175CAE53}"/>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24394" xr:uid="{5B4CFE67-57A8-40EA-9089-CE8D25D7F15D}"/>
    <cellStyle name="20% - Accent4 2 2 2 3 2 2 3" xfId="15953" xr:uid="{DBFA5DB4-C1A4-41A6-8691-A1111D603D18}"/>
    <cellStyle name="20% - Accent4 2 2 2 3 2 3" xfId="20176" xr:uid="{22940CF9-EC94-4850-B817-E0D23D320D11}"/>
    <cellStyle name="20% - Accent4 2 2 2 3 2 4" xfId="11735" xr:uid="{73CC4D90-A5F3-4468-9CCA-E20A46300DD2}"/>
    <cellStyle name="20% - Accent4 2 2 2 3 3" xfId="5358" xr:uid="{00000000-0005-0000-0000-0000EC010000}"/>
    <cellStyle name="20% - Accent4 2 2 2 3 3 2" xfId="22249" xr:uid="{FA5285E8-0CD2-4A20-94FA-D6828089B3DC}"/>
    <cellStyle name="20% - Accent4 2 2 2 3 3 3" xfId="13808" xr:uid="{5397D6A4-07B6-4147-AB50-81F1BF483AFA}"/>
    <cellStyle name="20% - Accent4 2 2 2 3 4" xfId="18031" xr:uid="{761DDCF8-E87C-4DAE-8243-F4DF1ED30B40}"/>
    <cellStyle name="20% - Accent4 2 2 2 3 5" xfId="9590" xr:uid="{007C7469-2D8D-421A-B90F-678F7BD5C1FA}"/>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24807" xr:uid="{8CDCCEBB-B926-48FB-A1A4-413C96646257}"/>
    <cellStyle name="20% - Accent4 2 2 2 4 2 2 3" xfId="16366" xr:uid="{EC8C7078-316D-4060-A46B-B04D574CA517}"/>
    <cellStyle name="20% - Accent4 2 2 2 4 2 3" xfId="20589" xr:uid="{81FF595F-505D-4B84-8388-78098E4C6D11}"/>
    <cellStyle name="20% - Accent4 2 2 2 4 2 4" xfId="12148" xr:uid="{5A8EEEE4-A6D6-46D7-8459-6B7BB7EF9735}"/>
    <cellStyle name="20% - Accent4 2 2 2 4 3" xfId="5771" xr:uid="{00000000-0005-0000-0000-0000F0010000}"/>
    <cellStyle name="20% - Accent4 2 2 2 4 3 2" xfId="22662" xr:uid="{89E6AEF2-258E-412C-8186-6035EC2564D5}"/>
    <cellStyle name="20% - Accent4 2 2 2 4 3 3" xfId="14221" xr:uid="{EAF1CC6D-4547-4AB1-9C08-2C37C1AB7AD4}"/>
    <cellStyle name="20% - Accent4 2 2 2 4 4" xfId="18444" xr:uid="{55A4B65E-60EE-4D21-93A6-F377ADDE4093}"/>
    <cellStyle name="20% - Accent4 2 2 2 4 5" xfId="10003" xr:uid="{BA051F23-C605-4B58-82F1-7978ABDA9BF9}"/>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25220" xr:uid="{2F6F83BE-3C5D-4710-B0DF-D70929A561AA}"/>
    <cellStyle name="20% - Accent4 2 2 2 5 2 2 3" xfId="16779" xr:uid="{86CCC6EA-8862-45C6-B21B-3AF38DFA8B81}"/>
    <cellStyle name="20% - Accent4 2 2 2 5 2 3" xfId="21002" xr:uid="{17925C88-D892-447E-8092-BE44843768F8}"/>
    <cellStyle name="20% - Accent4 2 2 2 5 2 4" xfId="12561" xr:uid="{8AF5EBC8-6840-467A-B643-5A778E3DC462}"/>
    <cellStyle name="20% - Accent4 2 2 2 5 3" xfId="6184" xr:uid="{00000000-0005-0000-0000-0000F4010000}"/>
    <cellStyle name="20% - Accent4 2 2 2 5 3 2" xfId="23075" xr:uid="{F6AB896D-E7F9-4B95-A90E-59407A8A8253}"/>
    <cellStyle name="20% - Accent4 2 2 2 5 3 3" xfId="14634" xr:uid="{C0133CBA-926C-4DBF-9303-A2ACA9BB8E97}"/>
    <cellStyle name="20% - Accent4 2 2 2 5 4" xfId="18857" xr:uid="{9F7E9CC8-A0DC-400F-A927-AFBDC67F014C}"/>
    <cellStyle name="20% - Accent4 2 2 2 5 5" xfId="10416" xr:uid="{E4D33359-3809-4E71-BF4F-D95F4439E664}"/>
    <cellStyle name="20% - Accent4 2 2 2 6" xfId="2291" xr:uid="{00000000-0005-0000-0000-0000F5010000}"/>
    <cellStyle name="20% - Accent4 2 2 2 6 2" xfId="6597" xr:uid="{00000000-0005-0000-0000-0000F6010000}"/>
    <cellStyle name="20% - Accent4 2 2 2 6 2 2" xfId="23488" xr:uid="{CF485C91-88A4-46E0-839B-09B047716CC6}"/>
    <cellStyle name="20% - Accent4 2 2 2 6 2 3" xfId="15047" xr:uid="{8B7A7C42-9D38-482A-92A3-B3797FB64B6A}"/>
    <cellStyle name="20% - Accent4 2 2 2 6 3" xfId="19270" xr:uid="{6BCDDA60-60F5-4F4E-84F4-2EAEC2949628}"/>
    <cellStyle name="20% - Accent4 2 2 2 6 4" xfId="10829" xr:uid="{EB96371E-000D-404D-AC93-58423F5D25FB}"/>
    <cellStyle name="20% - Accent4 2 2 2 7" xfId="4531" xr:uid="{00000000-0005-0000-0000-0000F7010000}"/>
    <cellStyle name="20% - Accent4 2 2 2 7 2" xfId="21422" xr:uid="{688A0B25-8CF1-4945-9E11-207EFFA7E3FB}"/>
    <cellStyle name="20% - Accent4 2 2 2 7 3" xfId="12981" xr:uid="{01BB0A39-6321-4019-8C25-BFEABB23D833}"/>
    <cellStyle name="20% - Accent4 2 2 2 8" xfId="17204" xr:uid="{5F531122-5D6B-4C05-BDB5-4751CEB56813}"/>
    <cellStyle name="20% - Accent4 2 2 2 9" xfId="8763" xr:uid="{C15D5790-1BD4-4A4D-B96B-01576EDCDCE9}"/>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23980" xr:uid="{FA30570E-824E-460D-904B-F4F40DC923B4}"/>
    <cellStyle name="20% - Accent4 2 2 3 2 2 3" xfId="15539" xr:uid="{340B2AEA-906E-4ADA-8EB0-986898C35C06}"/>
    <cellStyle name="20% - Accent4 2 2 3 2 3" xfId="19762" xr:uid="{52A91EE8-80F9-4B53-8338-DA6D037C836E}"/>
    <cellStyle name="20% - Accent4 2 2 3 2 4" xfId="11321" xr:uid="{8F6A4DC1-61F4-45B3-9242-EC83A5198659}"/>
    <cellStyle name="20% - Accent4 2 2 3 3" xfId="4944" xr:uid="{00000000-0005-0000-0000-0000FB010000}"/>
    <cellStyle name="20% - Accent4 2 2 3 3 2" xfId="21835" xr:uid="{170F09BC-C334-4F0E-B5BF-D49CB083DA35}"/>
    <cellStyle name="20% - Accent4 2 2 3 3 3" xfId="13394" xr:uid="{CFEAF384-03BD-428A-94FC-B79F7C94900A}"/>
    <cellStyle name="20% - Accent4 2 2 3 4" xfId="17617" xr:uid="{C9132BDD-8A4A-4222-9C5A-0FD943D90CB8}"/>
    <cellStyle name="20% - Accent4 2 2 3 5" xfId="9176" xr:uid="{D9C8DFBE-64FD-4A39-87E8-3BB76AD91B4F}"/>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24393" xr:uid="{6A50A107-09E3-49AD-B34B-7D51A16762E6}"/>
    <cellStyle name="20% - Accent4 2 2 4 2 2 3" xfId="15952" xr:uid="{E56D839A-E61D-4201-A087-F264CC1CD51B}"/>
    <cellStyle name="20% - Accent4 2 2 4 2 3" xfId="20175" xr:uid="{09FF718A-8EF6-4453-B6F3-0E9E09B630F4}"/>
    <cellStyle name="20% - Accent4 2 2 4 2 4" xfId="11734" xr:uid="{05505D26-3E5C-4E48-B33E-1305B4A2C61A}"/>
    <cellStyle name="20% - Accent4 2 2 4 3" xfId="5357" xr:uid="{00000000-0005-0000-0000-0000FF010000}"/>
    <cellStyle name="20% - Accent4 2 2 4 3 2" xfId="22248" xr:uid="{12E65CF4-584A-4EAB-8F61-73F7AD79F3F6}"/>
    <cellStyle name="20% - Accent4 2 2 4 3 3" xfId="13807" xr:uid="{5CAFD27F-568C-4939-B8A3-A1720693B489}"/>
    <cellStyle name="20% - Accent4 2 2 4 4" xfId="18030" xr:uid="{907A6A91-660A-49EE-B88B-3AC844F6981B}"/>
    <cellStyle name="20% - Accent4 2 2 4 5" xfId="9589" xr:uid="{D57A5D43-641D-4B61-98FC-42DA8484B5D0}"/>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24806" xr:uid="{8D059B0B-5613-4F29-AAD7-3BDC798F9494}"/>
    <cellStyle name="20% - Accent4 2 2 5 2 2 3" xfId="16365" xr:uid="{437AA099-E8FB-449D-9626-6A2FEBEB6770}"/>
    <cellStyle name="20% - Accent4 2 2 5 2 3" xfId="20588" xr:uid="{7DA0CFED-93B0-4680-B335-4D1C3781132C}"/>
    <cellStyle name="20% - Accent4 2 2 5 2 4" xfId="12147" xr:uid="{34A871EE-C21C-4EFF-8922-7A3E7B06BC59}"/>
    <cellStyle name="20% - Accent4 2 2 5 3" xfId="5770" xr:uid="{00000000-0005-0000-0000-000003020000}"/>
    <cellStyle name="20% - Accent4 2 2 5 3 2" xfId="22661" xr:uid="{3037158F-C7EE-40BB-84BD-D3A3E87B4127}"/>
    <cellStyle name="20% - Accent4 2 2 5 3 3" xfId="14220" xr:uid="{90C46F68-CCC6-400B-A67B-F03FA31B09C9}"/>
    <cellStyle name="20% - Accent4 2 2 5 4" xfId="18443" xr:uid="{EE95B685-5C71-411F-BEF9-249274E1F56C}"/>
    <cellStyle name="20% - Accent4 2 2 5 5" xfId="10002" xr:uid="{C4E27B26-45C2-4E71-A952-5877B24AB080}"/>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25219" xr:uid="{AF12BC97-541C-490B-AB3B-28D031E6EBBC}"/>
    <cellStyle name="20% - Accent4 2 2 6 2 2 3" xfId="16778" xr:uid="{706A759C-BD5F-4161-9338-AC0E78B980FC}"/>
    <cellStyle name="20% - Accent4 2 2 6 2 3" xfId="21001" xr:uid="{C32C7B1E-1771-4390-BC07-820500F3D20F}"/>
    <cellStyle name="20% - Accent4 2 2 6 2 4" xfId="12560" xr:uid="{B5813B6F-9259-4D18-BC29-1086C86CE39C}"/>
    <cellStyle name="20% - Accent4 2 2 6 3" xfId="6183" xr:uid="{00000000-0005-0000-0000-000007020000}"/>
    <cellStyle name="20% - Accent4 2 2 6 3 2" xfId="23074" xr:uid="{24E144D7-4097-480F-86B5-C704CAEDE95C}"/>
    <cellStyle name="20% - Accent4 2 2 6 3 3" xfId="14633" xr:uid="{7538789C-CACE-40A5-BADA-B9A9EF1624FD}"/>
    <cellStyle name="20% - Accent4 2 2 6 4" xfId="18856" xr:uid="{09180F05-0770-4AE2-B051-376945741046}"/>
    <cellStyle name="20% - Accent4 2 2 6 5" xfId="10415" xr:uid="{240D19F9-23DE-4957-82FB-389730631A85}"/>
    <cellStyle name="20% - Accent4 2 2 7" xfId="2290" xr:uid="{00000000-0005-0000-0000-000008020000}"/>
    <cellStyle name="20% - Accent4 2 2 7 2" xfId="6596" xr:uid="{00000000-0005-0000-0000-000009020000}"/>
    <cellStyle name="20% - Accent4 2 2 7 2 2" xfId="23487" xr:uid="{3CD03C1D-5AF4-4A5A-9B68-85B9E9BB8CBB}"/>
    <cellStyle name="20% - Accent4 2 2 7 2 3" xfId="15046" xr:uid="{0902317A-70A9-4C6D-A9B8-A39852E5FA82}"/>
    <cellStyle name="20% - Accent4 2 2 7 3" xfId="19269" xr:uid="{8E9F71F1-CEC6-49CE-B1D3-1F6F930BD45A}"/>
    <cellStyle name="20% - Accent4 2 2 7 4" xfId="10828" xr:uid="{F4304ED4-B708-48F3-BEF7-0E5A1D6FE70B}"/>
    <cellStyle name="20% - Accent4 2 2 8" xfId="4530" xr:uid="{00000000-0005-0000-0000-00000A020000}"/>
    <cellStyle name="20% - Accent4 2 2 8 2" xfId="21421" xr:uid="{4483ED2D-FDB7-405A-BCBE-23CF7AA5AB42}"/>
    <cellStyle name="20% - Accent4 2 2 8 3" xfId="12980" xr:uid="{25FC00CD-529D-4E0F-8771-FC7D805F70E6}"/>
    <cellStyle name="20% - Accent4 2 2 9" xfId="17203" xr:uid="{78D93C2E-AFFC-43D2-A45B-608CA09DCB38}"/>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23982" xr:uid="{9454C98A-AAC3-49AD-81A5-8B8EA9516156}"/>
    <cellStyle name="20% - Accent4 2 3 2 2 2 3" xfId="15541" xr:uid="{2654746C-0E3C-43C4-81B0-37F1B91757D9}"/>
    <cellStyle name="20% - Accent4 2 3 2 2 3" xfId="19764" xr:uid="{7E745EA4-0233-4A13-921B-325C775B219A}"/>
    <cellStyle name="20% - Accent4 2 3 2 2 4" xfId="11323" xr:uid="{67AE0BAE-5475-481D-99C5-8D5FB635DE95}"/>
    <cellStyle name="20% - Accent4 2 3 2 3" xfId="4946" xr:uid="{00000000-0005-0000-0000-00000F020000}"/>
    <cellStyle name="20% - Accent4 2 3 2 3 2" xfId="21837" xr:uid="{5B50C695-0ECA-402E-A2BF-0FA89A4273AB}"/>
    <cellStyle name="20% - Accent4 2 3 2 3 3" xfId="13396" xr:uid="{D108CE4B-F393-4EF9-BF4C-D147A1D1DBA5}"/>
    <cellStyle name="20% - Accent4 2 3 2 4" xfId="17619" xr:uid="{7D332DE1-3843-4E78-B058-B5B23A561A4A}"/>
    <cellStyle name="20% - Accent4 2 3 2 5" xfId="9178" xr:uid="{91905C1E-AEAB-4194-B2EB-1501D09FB8D5}"/>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24395" xr:uid="{3B73915E-37DA-4BEC-A93C-5C3B3CF2CC82}"/>
    <cellStyle name="20% - Accent4 2 3 3 2 2 3" xfId="15954" xr:uid="{CD0EBD86-EB12-419E-B81F-F16CD4D9DBC2}"/>
    <cellStyle name="20% - Accent4 2 3 3 2 3" xfId="20177" xr:uid="{449E7689-EBDA-40F3-B91C-45E72A4C43C0}"/>
    <cellStyle name="20% - Accent4 2 3 3 2 4" xfId="11736" xr:uid="{FDD9C1BC-836E-4419-84E0-439A97F5B051}"/>
    <cellStyle name="20% - Accent4 2 3 3 3" xfId="5359" xr:uid="{00000000-0005-0000-0000-000013020000}"/>
    <cellStyle name="20% - Accent4 2 3 3 3 2" xfId="22250" xr:uid="{BED1D9F4-705F-431B-B1EF-9D6864DDF3DE}"/>
    <cellStyle name="20% - Accent4 2 3 3 3 3" xfId="13809" xr:uid="{EC8B5275-21A3-4F00-B56D-A71DC87D4F9B}"/>
    <cellStyle name="20% - Accent4 2 3 3 4" xfId="18032" xr:uid="{0809E5A1-39C4-47AC-AD62-C81239071454}"/>
    <cellStyle name="20% - Accent4 2 3 3 5" xfId="9591" xr:uid="{BD6243A0-E6FA-4AAB-AEE4-0E40FD2844C8}"/>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24808" xr:uid="{DC36894F-EF77-46A5-B14F-F778CCE95A05}"/>
    <cellStyle name="20% - Accent4 2 3 4 2 2 3" xfId="16367" xr:uid="{70F2C6DB-EBE0-48F3-BD43-482EF7666DF5}"/>
    <cellStyle name="20% - Accent4 2 3 4 2 3" xfId="20590" xr:uid="{4FE8CEFF-9115-4660-B61E-B77B73F86041}"/>
    <cellStyle name="20% - Accent4 2 3 4 2 4" xfId="12149" xr:uid="{4E28362B-A8A0-4CC1-809C-0842C31B3300}"/>
    <cellStyle name="20% - Accent4 2 3 4 3" xfId="5772" xr:uid="{00000000-0005-0000-0000-000017020000}"/>
    <cellStyle name="20% - Accent4 2 3 4 3 2" xfId="22663" xr:uid="{11BAACC1-12FA-4FB3-8559-DF614285EC90}"/>
    <cellStyle name="20% - Accent4 2 3 4 3 3" xfId="14222" xr:uid="{A4D3299F-F2C1-4085-A2CB-8317AAD60DD0}"/>
    <cellStyle name="20% - Accent4 2 3 4 4" xfId="18445" xr:uid="{EB4F6F81-C123-4690-9E70-EF84EDEF1C1A}"/>
    <cellStyle name="20% - Accent4 2 3 4 5" xfId="10004" xr:uid="{895A7934-A8F2-4E85-949B-DF7D74489561}"/>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25221" xr:uid="{040B8556-CB01-4398-BD6B-614CFCD71C98}"/>
    <cellStyle name="20% - Accent4 2 3 5 2 2 3" xfId="16780" xr:uid="{04ABD061-0BFB-4300-B603-04FD4B2118CD}"/>
    <cellStyle name="20% - Accent4 2 3 5 2 3" xfId="21003" xr:uid="{BEA0456F-EA30-4E99-B700-4B29D925EE58}"/>
    <cellStyle name="20% - Accent4 2 3 5 2 4" xfId="12562" xr:uid="{500EB66F-DEE5-4BDA-97E0-8F3C70608AC4}"/>
    <cellStyle name="20% - Accent4 2 3 5 3" xfId="6185" xr:uid="{00000000-0005-0000-0000-00001B020000}"/>
    <cellStyle name="20% - Accent4 2 3 5 3 2" xfId="23076" xr:uid="{6E9BE733-123B-42ED-B75D-3B58B75A6906}"/>
    <cellStyle name="20% - Accent4 2 3 5 3 3" xfId="14635" xr:uid="{E1677611-554A-4B98-92FD-D2964E23A44F}"/>
    <cellStyle name="20% - Accent4 2 3 5 4" xfId="18858" xr:uid="{96DD82A6-C1DA-46E0-B5F2-4E223761026D}"/>
    <cellStyle name="20% - Accent4 2 3 5 5" xfId="10417" xr:uid="{520AA396-F56D-4DE0-8540-ABC499383FCD}"/>
    <cellStyle name="20% - Accent4 2 3 6" xfId="2292" xr:uid="{00000000-0005-0000-0000-00001C020000}"/>
    <cellStyle name="20% - Accent4 2 3 6 2" xfId="6598" xr:uid="{00000000-0005-0000-0000-00001D020000}"/>
    <cellStyle name="20% - Accent4 2 3 6 2 2" xfId="23489" xr:uid="{E09054BE-4617-44C5-B1E7-AE35806B26C6}"/>
    <cellStyle name="20% - Accent4 2 3 6 2 3" xfId="15048" xr:uid="{66733102-81FC-4FC1-913B-2FBE7CBC7CCF}"/>
    <cellStyle name="20% - Accent4 2 3 6 3" xfId="19271" xr:uid="{72B0CA07-7081-46F7-9729-CA54A121F524}"/>
    <cellStyle name="20% - Accent4 2 3 6 4" xfId="10830" xr:uid="{A469F768-9D35-474D-A0AE-5B4C6F5DD271}"/>
    <cellStyle name="20% - Accent4 2 3 7" xfId="4532" xr:uid="{00000000-0005-0000-0000-00001E020000}"/>
    <cellStyle name="20% - Accent4 2 3 7 2" xfId="21423" xr:uid="{7C5E7437-543E-49B4-93DE-1EF077FA0651}"/>
    <cellStyle name="20% - Accent4 2 3 7 3" xfId="12982" xr:uid="{14DB7E5B-99FB-4CD9-8B86-CDD23EB5A0C1}"/>
    <cellStyle name="20% - Accent4 2 3 8" xfId="17205" xr:uid="{9C3576D3-94FB-4D48-BF43-2BFC9EEBD0AC}"/>
    <cellStyle name="20% - Accent4 2 3 9" xfId="8764" xr:uid="{7D479CBB-88F0-48E4-ACEA-B7414F6CE4D9}"/>
    <cellStyle name="20% - Accent4 2 4" xfId="595" xr:uid="{00000000-0005-0000-0000-00001F020000}"/>
    <cellStyle name="20% - Accent4 2 4 2" xfId="2866" xr:uid="{00000000-0005-0000-0000-000020020000}"/>
    <cellStyle name="20% - Accent4 2 4 2 2" xfId="7088" xr:uid="{00000000-0005-0000-0000-000021020000}"/>
    <cellStyle name="20% - Accent4 2 4 2 2 2" xfId="23979" xr:uid="{EF84B3D6-BCAD-40AD-B3E0-DB42E5F5EDEF}"/>
    <cellStyle name="20% - Accent4 2 4 2 2 3" xfId="15538" xr:uid="{B16AC970-5290-46EE-9941-2343570F5D24}"/>
    <cellStyle name="20% - Accent4 2 4 2 3" xfId="19761" xr:uid="{D67F93A5-97B8-499E-A101-DED41D2A1EF0}"/>
    <cellStyle name="20% - Accent4 2 4 2 4" xfId="11320" xr:uid="{242677E8-445B-47B5-9DBC-FEC5F4FD8DEB}"/>
    <cellStyle name="20% - Accent4 2 4 3" xfId="4943" xr:uid="{00000000-0005-0000-0000-000022020000}"/>
    <cellStyle name="20% - Accent4 2 4 3 2" xfId="21834" xr:uid="{6809DEB3-8C34-4D04-B91D-ACDC37CDA243}"/>
    <cellStyle name="20% - Accent4 2 4 3 3" xfId="13393" xr:uid="{79D508BA-5EA4-481A-B564-5393CF71D20A}"/>
    <cellStyle name="20% - Accent4 2 4 4" xfId="17616" xr:uid="{58ADEBA9-2311-4CD0-98D1-38B44C24E501}"/>
    <cellStyle name="20% - Accent4 2 4 5" xfId="9175" xr:uid="{9FCED34E-D9BB-4C33-9C7E-A25567DD6D0D}"/>
    <cellStyle name="20% - Accent4 2 5" xfId="1048" xr:uid="{00000000-0005-0000-0000-000023020000}"/>
    <cellStyle name="20% - Accent4 2 5 2" xfId="3279" xr:uid="{00000000-0005-0000-0000-000024020000}"/>
    <cellStyle name="20% - Accent4 2 5 2 2" xfId="7501" xr:uid="{00000000-0005-0000-0000-000025020000}"/>
    <cellStyle name="20% - Accent4 2 5 2 2 2" xfId="24392" xr:uid="{CB420716-32EA-4054-945D-FD95EB111732}"/>
    <cellStyle name="20% - Accent4 2 5 2 2 3" xfId="15951" xr:uid="{D74F3F5B-202E-4E84-B2C1-4C4AD2426DDD}"/>
    <cellStyle name="20% - Accent4 2 5 2 3" xfId="20174" xr:uid="{FD072664-EDEF-4784-A422-E582ABC94858}"/>
    <cellStyle name="20% - Accent4 2 5 2 4" xfId="11733" xr:uid="{88C5FF36-C14C-4D70-85A9-0C50B1732739}"/>
    <cellStyle name="20% - Accent4 2 5 3" xfId="5356" xr:uid="{00000000-0005-0000-0000-000026020000}"/>
    <cellStyle name="20% - Accent4 2 5 3 2" xfId="22247" xr:uid="{B4E5AD41-39FE-48D8-A29B-CBD62F17633E}"/>
    <cellStyle name="20% - Accent4 2 5 3 3" xfId="13806" xr:uid="{E5C68DD7-A997-4EEC-A940-2584A227E765}"/>
    <cellStyle name="20% - Accent4 2 5 4" xfId="18029" xr:uid="{67C94E19-7F7D-46EA-B699-C88A9B66D055}"/>
    <cellStyle name="20% - Accent4 2 5 5" xfId="9588" xr:uid="{8D53F9F1-E8AF-4E6F-9857-3D76840278D4}"/>
    <cellStyle name="20% - Accent4 2 6" xfId="1462" xr:uid="{00000000-0005-0000-0000-000027020000}"/>
    <cellStyle name="20% - Accent4 2 6 2" xfId="3692" xr:uid="{00000000-0005-0000-0000-000028020000}"/>
    <cellStyle name="20% - Accent4 2 6 2 2" xfId="7914" xr:uid="{00000000-0005-0000-0000-000029020000}"/>
    <cellStyle name="20% - Accent4 2 6 2 2 2" xfId="24805" xr:uid="{00FA007C-2E72-4C67-A103-5E52389DE258}"/>
    <cellStyle name="20% - Accent4 2 6 2 2 3" xfId="16364" xr:uid="{92857A07-8783-422D-8E34-FD044236B2BA}"/>
    <cellStyle name="20% - Accent4 2 6 2 3" xfId="20587" xr:uid="{33CD1EBF-41F6-4842-8ACC-12118B1158D2}"/>
    <cellStyle name="20% - Accent4 2 6 2 4" xfId="12146" xr:uid="{202887BD-09BF-4E18-A6C2-6E4E90A97657}"/>
    <cellStyle name="20% - Accent4 2 6 3" xfId="5769" xr:uid="{00000000-0005-0000-0000-00002A020000}"/>
    <cellStyle name="20% - Accent4 2 6 3 2" xfId="22660" xr:uid="{C9FF46E7-C6B1-4151-A262-7DE09CE5D39B}"/>
    <cellStyle name="20% - Accent4 2 6 3 3" xfId="14219" xr:uid="{C87BDDA8-0E63-44D2-9376-6C52F33B5678}"/>
    <cellStyle name="20% - Accent4 2 6 4" xfId="18442" xr:uid="{BF33C563-2F20-49D6-B1E8-A81C0045BCFE}"/>
    <cellStyle name="20% - Accent4 2 6 5" xfId="10001" xr:uid="{B57111A1-1E49-4A0C-A2F8-08E588679A69}"/>
    <cellStyle name="20% - Accent4 2 7" xfId="1876" xr:uid="{00000000-0005-0000-0000-00002B020000}"/>
    <cellStyle name="20% - Accent4 2 7 2" xfId="4105" xr:uid="{00000000-0005-0000-0000-00002C020000}"/>
    <cellStyle name="20% - Accent4 2 7 2 2" xfId="8327" xr:uid="{00000000-0005-0000-0000-00002D020000}"/>
    <cellStyle name="20% - Accent4 2 7 2 2 2" xfId="25218" xr:uid="{3991EAA6-267D-435A-8DF9-7FF324C7A261}"/>
    <cellStyle name="20% - Accent4 2 7 2 2 3" xfId="16777" xr:uid="{209A78AC-5395-46F0-84E7-C4DE8FEF0323}"/>
    <cellStyle name="20% - Accent4 2 7 2 3" xfId="21000" xr:uid="{B4B5ABD4-4FD2-45CD-AB1C-C019A2B58AF7}"/>
    <cellStyle name="20% - Accent4 2 7 2 4" xfId="12559" xr:uid="{B80BA6D8-E6ED-4FD1-8A1B-6038E29DD9F0}"/>
    <cellStyle name="20% - Accent4 2 7 3" xfId="6182" xr:uid="{00000000-0005-0000-0000-00002E020000}"/>
    <cellStyle name="20% - Accent4 2 7 3 2" xfId="23073" xr:uid="{6EC6187F-56FB-4BEB-BA63-C7D8EF5BE5FC}"/>
    <cellStyle name="20% - Accent4 2 7 3 3" xfId="14632" xr:uid="{4D033015-9629-4D29-AED0-88C2308E49A2}"/>
    <cellStyle name="20% - Accent4 2 7 4" xfId="18855" xr:uid="{50D6B32A-3AF6-49A1-B998-E8C6E0795B20}"/>
    <cellStyle name="20% - Accent4 2 7 5" xfId="10414" xr:uid="{1CABAF64-F341-4697-AD2F-63EE24B8E4FB}"/>
    <cellStyle name="20% - Accent4 2 8" xfId="2289" xr:uid="{00000000-0005-0000-0000-00002F020000}"/>
    <cellStyle name="20% - Accent4 2 8 2" xfId="6595" xr:uid="{00000000-0005-0000-0000-000030020000}"/>
    <cellStyle name="20% - Accent4 2 8 2 2" xfId="23486" xr:uid="{D24B0ABA-32F7-48F3-96B1-BE0289F6D9DF}"/>
    <cellStyle name="20% - Accent4 2 8 2 3" xfId="15045" xr:uid="{D1C3313E-06D1-4A51-BD37-F8F7091DA7A2}"/>
    <cellStyle name="20% - Accent4 2 8 3" xfId="19268" xr:uid="{3981E352-3CFE-4DAE-9702-D83111CE75EA}"/>
    <cellStyle name="20% - Accent4 2 8 4" xfId="10827" xr:uid="{B5E9308D-7DC2-4791-9D88-229B0AE67333}"/>
    <cellStyle name="20% - Accent4 2 9" xfId="4529" xr:uid="{00000000-0005-0000-0000-000031020000}"/>
    <cellStyle name="20% - Accent4 2 9 2" xfId="21420" xr:uid="{CF015BC5-2B39-432F-AC09-E388747B6CAA}"/>
    <cellStyle name="20% - Accent4 2 9 3" xfId="12979" xr:uid="{EE87088C-8C52-402E-91A3-5B7AD5F73538}"/>
    <cellStyle name="20% - Accent4 3" xfId="30" xr:uid="{00000000-0005-0000-0000-000032020000}"/>
    <cellStyle name="20% - Accent4 3 10" xfId="8765" xr:uid="{29368CF2-69F6-4FE7-933B-B8FD92E48355}"/>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23984" xr:uid="{F9FD9FF0-D1E1-4CF2-BA0E-19B2BDF9287F}"/>
    <cellStyle name="20% - Accent4 3 2 2 2 2 3" xfId="15543" xr:uid="{B9A0B19E-A398-43FE-A339-9EB181B58245}"/>
    <cellStyle name="20% - Accent4 3 2 2 2 3" xfId="19766" xr:uid="{300EFB33-1978-4995-9A1F-5B71580E1079}"/>
    <cellStyle name="20% - Accent4 3 2 2 2 4" xfId="11325" xr:uid="{556E4B70-0262-4DB2-9651-E8D4EE2DE7CA}"/>
    <cellStyle name="20% - Accent4 3 2 2 3" xfId="4948" xr:uid="{00000000-0005-0000-0000-000037020000}"/>
    <cellStyle name="20% - Accent4 3 2 2 3 2" xfId="21839" xr:uid="{FE00EDA3-7F1B-42E6-8917-427604A0E848}"/>
    <cellStyle name="20% - Accent4 3 2 2 3 3" xfId="13398" xr:uid="{449CF897-6AEF-4CB4-BA4D-1A611CA73041}"/>
    <cellStyle name="20% - Accent4 3 2 2 4" xfId="17621" xr:uid="{BB783008-9D0E-4DC3-8C15-B440D40DF942}"/>
    <cellStyle name="20% - Accent4 3 2 2 5" xfId="9180" xr:uid="{2784CEFA-61B1-4DA0-A6D3-30C11BE7623C}"/>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24397" xr:uid="{83EDEE54-5D9D-40E8-8DA5-95CD4ECBEE3B}"/>
    <cellStyle name="20% - Accent4 3 2 3 2 2 3" xfId="15956" xr:uid="{1FF23095-66BA-48F5-819A-70F7B590DB70}"/>
    <cellStyle name="20% - Accent4 3 2 3 2 3" xfId="20179" xr:uid="{EBFBC402-AD73-4EC9-B705-89F8558CB03D}"/>
    <cellStyle name="20% - Accent4 3 2 3 2 4" xfId="11738" xr:uid="{BF38E7BA-182C-49D3-A8A5-56E621AE3ECC}"/>
    <cellStyle name="20% - Accent4 3 2 3 3" xfId="5361" xr:uid="{00000000-0005-0000-0000-00003B020000}"/>
    <cellStyle name="20% - Accent4 3 2 3 3 2" xfId="22252" xr:uid="{B6961896-11D4-42C1-B754-79FE29DCA8EF}"/>
    <cellStyle name="20% - Accent4 3 2 3 3 3" xfId="13811" xr:uid="{8FE22C5A-9DF4-4260-BD2F-28549C0C82AB}"/>
    <cellStyle name="20% - Accent4 3 2 3 4" xfId="18034" xr:uid="{82FDCBE9-AE15-4BC8-8116-6E73CD11DB23}"/>
    <cellStyle name="20% - Accent4 3 2 3 5" xfId="9593" xr:uid="{2FEAFE2C-AD0C-42A9-9C89-455574C947C9}"/>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24810" xr:uid="{076996AD-F706-4A30-A54C-168F6E4E5FE2}"/>
    <cellStyle name="20% - Accent4 3 2 4 2 2 3" xfId="16369" xr:uid="{3C277125-DC85-481A-AB4D-9C0461D6FF32}"/>
    <cellStyle name="20% - Accent4 3 2 4 2 3" xfId="20592" xr:uid="{FF4CC4E0-6790-4669-B850-170CCE8E795C}"/>
    <cellStyle name="20% - Accent4 3 2 4 2 4" xfId="12151" xr:uid="{412235E2-A2DB-43A6-BB81-130E405CF2F9}"/>
    <cellStyle name="20% - Accent4 3 2 4 3" xfId="5774" xr:uid="{00000000-0005-0000-0000-00003F020000}"/>
    <cellStyle name="20% - Accent4 3 2 4 3 2" xfId="22665" xr:uid="{EEF81AAC-A3A0-41D8-A139-64FD2B249145}"/>
    <cellStyle name="20% - Accent4 3 2 4 3 3" xfId="14224" xr:uid="{D08E36A3-FF51-491F-A242-F3D753B66B9D}"/>
    <cellStyle name="20% - Accent4 3 2 4 4" xfId="18447" xr:uid="{1BC1EA1C-5750-49F3-85E9-52C6DF0AB072}"/>
    <cellStyle name="20% - Accent4 3 2 4 5" xfId="10006" xr:uid="{6FCAD3D7-BA2C-47A6-A641-15B4D63E8193}"/>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25223" xr:uid="{26DB2383-7C1A-4257-B65F-9C3CDAE92EFE}"/>
    <cellStyle name="20% - Accent4 3 2 5 2 2 3" xfId="16782" xr:uid="{F9064281-1568-4212-A435-62F34E131CE2}"/>
    <cellStyle name="20% - Accent4 3 2 5 2 3" xfId="21005" xr:uid="{FB85C1C0-F15F-451B-9ABF-674C14F6BBA5}"/>
    <cellStyle name="20% - Accent4 3 2 5 2 4" xfId="12564" xr:uid="{FF0A7137-0A87-4EAC-9510-DFBA21DADA1A}"/>
    <cellStyle name="20% - Accent4 3 2 5 3" xfId="6187" xr:uid="{00000000-0005-0000-0000-000043020000}"/>
    <cellStyle name="20% - Accent4 3 2 5 3 2" xfId="23078" xr:uid="{394E7067-3EE0-42A8-B03C-C3373C2E4E17}"/>
    <cellStyle name="20% - Accent4 3 2 5 3 3" xfId="14637" xr:uid="{549FDB01-F99D-4786-9202-115744CFB559}"/>
    <cellStyle name="20% - Accent4 3 2 5 4" xfId="18860" xr:uid="{57914ECB-BCAD-4200-85BB-E1C90C120D83}"/>
    <cellStyle name="20% - Accent4 3 2 5 5" xfId="10419" xr:uid="{C582BF21-83FA-488A-B1CE-50CB3D70113B}"/>
    <cellStyle name="20% - Accent4 3 2 6" xfId="2294" xr:uid="{00000000-0005-0000-0000-000044020000}"/>
    <cellStyle name="20% - Accent4 3 2 6 2" xfId="6600" xr:uid="{00000000-0005-0000-0000-000045020000}"/>
    <cellStyle name="20% - Accent4 3 2 6 2 2" xfId="23491" xr:uid="{05F4FE08-12F5-4304-9198-A18934A4ADD6}"/>
    <cellStyle name="20% - Accent4 3 2 6 2 3" xfId="15050" xr:uid="{59B75E4E-AC80-4FA0-B7C7-3440D73E728A}"/>
    <cellStyle name="20% - Accent4 3 2 6 3" xfId="19273" xr:uid="{EC23016D-B9D4-4EB7-B325-AECC0E2BFF99}"/>
    <cellStyle name="20% - Accent4 3 2 6 4" xfId="10832" xr:uid="{7C547DBC-CF9C-4012-A6A0-C56063605D56}"/>
    <cellStyle name="20% - Accent4 3 2 7" xfId="4534" xr:uid="{00000000-0005-0000-0000-000046020000}"/>
    <cellStyle name="20% - Accent4 3 2 7 2" xfId="21425" xr:uid="{47B38E9B-BB63-4C1C-B479-CD9067FF3B24}"/>
    <cellStyle name="20% - Accent4 3 2 7 3" xfId="12984" xr:uid="{DF14692A-D9E1-49BD-97B9-D6F8965AC297}"/>
    <cellStyle name="20% - Accent4 3 2 8" xfId="17207" xr:uid="{C2619009-9006-4C74-8771-8102CCCF3104}"/>
    <cellStyle name="20% - Accent4 3 2 9" xfId="8766" xr:uid="{E4026EC2-5D6E-499B-8388-276754F914C2}"/>
    <cellStyle name="20% - Accent4 3 3" xfId="599" xr:uid="{00000000-0005-0000-0000-000047020000}"/>
    <cellStyle name="20% - Accent4 3 3 2" xfId="2870" xr:uid="{00000000-0005-0000-0000-000048020000}"/>
    <cellStyle name="20% - Accent4 3 3 2 2" xfId="7092" xr:uid="{00000000-0005-0000-0000-000049020000}"/>
    <cellStyle name="20% - Accent4 3 3 2 2 2" xfId="23983" xr:uid="{7DA7EBAD-F01C-4CC7-83FA-A9D7BB769D81}"/>
    <cellStyle name="20% - Accent4 3 3 2 2 3" xfId="15542" xr:uid="{FEEDEC9B-F90F-4AEB-96BD-3ECFF5A306DD}"/>
    <cellStyle name="20% - Accent4 3 3 2 3" xfId="19765" xr:uid="{11C1AFD4-797C-4A3F-9C6E-F21938E697E3}"/>
    <cellStyle name="20% - Accent4 3 3 2 4" xfId="11324" xr:uid="{1E1F107A-440D-4596-8E3B-7B15DFBEB175}"/>
    <cellStyle name="20% - Accent4 3 3 3" xfId="4947" xr:uid="{00000000-0005-0000-0000-00004A020000}"/>
    <cellStyle name="20% - Accent4 3 3 3 2" xfId="21838" xr:uid="{081099F3-5094-44A3-B42E-7F6BCCA026DD}"/>
    <cellStyle name="20% - Accent4 3 3 3 3" xfId="13397" xr:uid="{35637E73-D6FB-47EA-A9C7-FD7E38EEE8F1}"/>
    <cellStyle name="20% - Accent4 3 3 4" xfId="17620" xr:uid="{F972396C-E6CB-4160-9399-2722922B17AF}"/>
    <cellStyle name="20% - Accent4 3 3 5" xfId="9179" xr:uid="{82AB2064-3714-4614-98D1-C1E0F1CF3270}"/>
    <cellStyle name="20% - Accent4 3 4" xfId="1052" xr:uid="{00000000-0005-0000-0000-00004B020000}"/>
    <cellStyle name="20% - Accent4 3 4 2" xfId="3283" xr:uid="{00000000-0005-0000-0000-00004C020000}"/>
    <cellStyle name="20% - Accent4 3 4 2 2" xfId="7505" xr:uid="{00000000-0005-0000-0000-00004D020000}"/>
    <cellStyle name="20% - Accent4 3 4 2 2 2" xfId="24396" xr:uid="{06096C0D-1A7E-4E6A-87B1-1E1421E9AFBE}"/>
    <cellStyle name="20% - Accent4 3 4 2 2 3" xfId="15955" xr:uid="{36805CD3-155F-46E8-965F-C68810B9D059}"/>
    <cellStyle name="20% - Accent4 3 4 2 3" xfId="20178" xr:uid="{8803ED4C-FD93-493A-B63B-4E5083D29ACC}"/>
    <cellStyle name="20% - Accent4 3 4 2 4" xfId="11737" xr:uid="{09A14174-0B1D-47F9-87AE-172592089E9B}"/>
    <cellStyle name="20% - Accent4 3 4 3" xfId="5360" xr:uid="{00000000-0005-0000-0000-00004E020000}"/>
    <cellStyle name="20% - Accent4 3 4 3 2" xfId="22251" xr:uid="{3F6AE468-4CEF-478F-B0F4-F9F75101EB66}"/>
    <cellStyle name="20% - Accent4 3 4 3 3" xfId="13810" xr:uid="{F61D53B5-B5BB-4AB7-AA91-00C99DED0773}"/>
    <cellStyle name="20% - Accent4 3 4 4" xfId="18033" xr:uid="{1D329BD1-7773-4BD4-898B-2F43C29A2792}"/>
    <cellStyle name="20% - Accent4 3 4 5" xfId="9592" xr:uid="{12785753-5012-4965-B6C7-D63EE4A7F0B6}"/>
    <cellStyle name="20% - Accent4 3 5" xfId="1466" xr:uid="{00000000-0005-0000-0000-00004F020000}"/>
    <cellStyle name="20% - Accent4 3 5 2" xfId="3696" xr:uid="{00000000-0005-0000-0000-000050020000}"/>
    <cellStyle name="20% - Accent4 3 5 2 2" xfId="7918" xr:uid="{00000000-0005-0000-0000-000051020000}"/>
    <cellStyle name="20% - Accent4 3 5 2 2 2" xfId="24809" xr:uid="{97CC160D-0771-43AD-90F5-4293D19FB3A7}"/>
    <cellStyle name="20% - Accent4 3 5 2 2 3" xfId="16368" xr:uid="{8328676E-49FF-4B06-93BA-81910FECF525}"/>
    <cellStyle name="20% - Accent4 3 5 2 3" xfId="20591" xr:uid="{AA6C9628-4CEC-4BFB-9524-65F6554F2E9B}"/>
    <cellStyle name="20% - Accent4 3 5 2 4" xfId="12150" xr:uid="{BEAC5BAE-BC08-46E5-A5DF-F89AE6726637}"/>
    <cellStyle name="20% - Accent4 3 5 3" xfId="5773" xr:uid="{00000000-0005-0000-0000-000052020000}"/>
    <cellStyle name="20% - Accent4 3 5 3 2" xfId="22664" xr:uid="{D6EC3A75-6093-4C79-89DD-D19FA2C9BA96}"/>
    <cellStyle name="20% - Accent4 3 5 3 3" xfId="14223" xr:uid="{776D1E2B-B413-4383-BC8E-CB9822DAAD6C}"/>
    <cellStyle name="20% - Accent4 3 5 4" xfId="18446" xr:uid="{C073049E-4C7E-403C-BDDE-F7C49FE1E24D}"/>
    <cellStyle name="20% - Accent4 3 5 5" xfId="10005" xr:uid="{FA06FD92-DFCB-4FC6-B3A5-A7173B7A58EF}"/>
    <cellStyle name="20% - Accent4 3 6" xfId="1880" xr:uid="{00000000-0005-0000-0000-000053020000}"/>
    <cellStyle name="20% - Accent4 3 6 2" xfId="4109" xr:uid="{00000000-0005-0000-0000-000054020000}"/>
    <cellStyle name="20% - Accent4 3 6 2 2" xfId="8331" xr:uid="{00000000-0005-0000-0000-000055020000}"/>
    <cellStyle name="20% - Accent4 3 6 2 2 2" xfId="25222" xr:uid="{370FC518-11AD-4274-AE20-1597C581321A}"/>
    <cellStyle name="20% - Accent4 3 6 2 2 3" xfId="16781" xr:uid="{BB953404-7531-47A1-9344-1FA78B9BE953}"/>
    <cellStyle name="20% - Accent4 3 6 2 3" xfId="21004" xr:uid="{F4504D38-EFCF-4E27-A171-A55AB3280AFC}"/>
    <cellStyle name="20% - Accent4 3 6 2 4" xfId="12563" xr:uid="{20013E5A-2E12-403F-B719-966701C9156E}"/>
    <cellStyle name="20% - Accent4 3 6 3" xfId="6186" xr:uid="{00000000-0005-0000-0000-000056020000}"/>
    <cellStyle name="20% - Accent4 3 6 3 2" xfId="23077" xr:uid="{5F44032A-3CA0-4EE0-BA91-22EAA163044B}"/>
    <cellStyle name="20% - Accent4 3 6 3 3" xfId="14636" xr:uid="{30EDA372-7E41-4D2E-9FAB-CF5804A4DC33}"/>
    <cellStyle name="20% - Accent4 3 6 4" xfId="18859" xr:uid="{A3216664-3058-4231-8466-4379458B0615}"/>
    <cellStyle name="20% - Accent4 3 6 5" xfId="10418" xr:uid="{E361CF47-3F59-4A04-A7E6-806CFBD72F96}"/>
    <cellStyle name="20% - Accent4 3 7" xfId="2293" xr:uid="{00000000-0005-0000-0000-000057020000}"/>
    <cellStyle name="20% - Accent4 3 7 2" xfId="6599" xr:uid="{00000000-0005-0000-0000-000058020000}"/>
    <cellStyle name="20% - Accent4 3 7 2 2" xfId="23490" xr:uid="{7621D7AC-F904-4971-A483-D85860AB4403}"/>
    <cellStyle name="20% - Accent4 3 7 2 3" xfId="15049" xr:uid="{BF71DF07-1A67-4F49-959A-FC1A27528E26}"/>
    <cellStyle name="20% - Accent4 3 7 3" xfId="19272" xr:uid="{3884DF74-6D4B-452E-976B-90003820CDC9}"/>
    <cellStyle name="20% - Accent4 3 7 4" xfId="10831" xr:uid="{4F353733-365D-4E6D-BAAC-0E4DBE29EDE8}"/>
    <cellStyle name="20% - Accent4 3 8" xfId="4533" xr:uid="{00000000-0005-0000-0000-000059020000}"/>
    <cellStyle name="20% - Accent4 3 8 2" xfId="21424" xr:uid="{F3D86F4E-6FF0-4C32-94EA-9C199F9B5AAF}"/>
    <cellStyle name="20% - Accent4 3 8 3" xfId="12983" xr:uid="{2E5B8602-6AA5-4498-A40F-81C098A47F0D}"/>
    <cellStyle name="20% - Accent4 3 9" xfId="17206" xr:uid="{BED2E238-6554-4FD0-AA1F-2CA1E406C05D}"/>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2 2 2" xfId="23985" xr:uid="{25CEC812-D622-4FA0-B026-8E7DA839605F}"/>
    <cellStyle name="20% - Accent4 4 2 2 2 3" xfId="15544" xr:uid="{C110A089-86D8-40E2-BF1D-4FDD2AA35A20}"/>
    <cellStyle name="20% - Accent4 4 2 2 3" xfId="19767" xr:uid="{A945E048-BEF5-44C7-88F6-E4419A278021}"/>
    <cellStyle name="20% - Accent4 4 2 2 4" xfId="11326" xr:uid="{3D11E85E-5D7C-49E2-8D59-FDC1F3FD4674}"/>
    <cellStyle name="20% - Accent4 4 2 3" xfId="4949" xr:uid="{00000000-0005-0000-0000-00005E020000}"/>
    <cellStyle name="20% - Accent4 4 2 3 2" xfId="21840" xr:uid="{4B647FD9-E338-4922-9034-BE9272C0810F}"/>
    <cellStyle name="20% - Accent4 4 2 3 3" xfId="13399" xr:uid="{E83472AC-FC54-4CD0-8B98-5304C6C1661B}"/>
    <cellStyle name="20% - Accent4 4 2 4" xfId="17622" xr:uid="{F7A1DC60-55B7-4E49-B8A3-DFB63A34F9A0}"/>
    <cellStyle name="20% - Accent4 4 2 5" xfId="9181" xr:uid="{3D7882D4-D794-4CE5-9E0D-AC1C21CD6455}"/>
    <cellStyle name="20% - Accent4 4 3" xfId="1054" xr:uid="{00000000-0005-0000-0000-00005F020000}"/>
    <cellStyle name="20% - Accent4 4 3 2" xfId="3285" xr:uid="{00000000-0005-0000-0000-000060020000}"/>
    <cellStyle name="20% - Accent4 4 3 2 2" xfId="7507" xr:uid="{00000000-0005-0000-0000-000061020000}"/>
    <cellStyle name="20% - Accent4 4 3 2 2 2" xfId="24398" xr:uid="{0F67F187-7C2B-4425-9EAE-1DC6D369E64F}"/>
    <cellStyle name="20% - Accent4 4 3 2 2 3" xfId="15957" xr:uid="{E2C13CA0-A240-445A-9EAC-4F89D4B9A70B}"/>
    <cellStyle name="20% - Accent4 4 3 2 3" xfId="20180" xr:uid="{48A8D65B-490D-4584-B9AD-D1BA7FA03519}"/>
    <cellStyle name="20% - Accent4 4 3 2 4" xfId="11739" xr:uid="{9DA54734-D931-45FA-A038-D00ED32766C1}"/>
    <cellStyle name="20% - Accent4 4 3 3" xfId="5362" xr:uid="{00000000-0005-0000-0000-000062020000}"/>
    <cellStyle name="20% - Accent4 4 3 3 2" xfId="22253" xr:uid="{2916C262-84F5-4234-9AB7-82FB474A74DA}"/>
    <cellStyle name="20% - Accent4 4 3 3 3" xfId="13812" xr:uid="{AF938E1E-B845-4EBE-B097-5ADF038CA608}"/>
    <cellStyle name="20% - Accent4 4 3 4" xfId="18035" xr:uid="{44E5BE7F-B718-4503-A9CB-EA50FCC5E501}"/>
    <cellStyle name="20% - Accent4 4 3 5" xfId="9594" xr:uid="{2E10FF4F-B3C1-49F0-A54D-57A594CB7F50}"/>
    <cellStyle name="20% - Accent4 4 4" xfId="1468" xr:uid="{00000000-0005-0000-0000-000063020000}"/>
    <cellStyle name="20% - Accent4 4 4 2" xfId="3698" xr:uid="{00000000-0005-0000-0000-000064020000}"/>
    <cellStyle name="20% - Accent4 4 4 2 2" xfId="7920" xr:uid="{00000000-0005-0000-0000-000065020000}"/>
    <cellStyle name="20% - Accent4 4 4 2 2 2" xfId="24811" xr:uid="{3C21457C-5247-4FC8-999C-9448F24EA043}"/>
    <cellStyle name="20% - Accent4 4 4 2 2 3" xfId="16370" xr:uid="{6EF9E913-A8B8-4531-BBA6-FB4B77642E45}"/>
    <cellStyle name="20% - Accent4 4 4 2 3" xfId="20593" xr:uid="{C13B4C72-241F-4548-8521-FD32FC06B176}"/>
    <cellStyle name="20% - Accent4 4 4 2 4" xfId="12152" xr:uid="{E84087E9-BF6A-40E5-AFFC-89E136C3BCB7}"/>
    <cellStyle name="20% - Accent4 4 4 3" xfId="5775" xr:uid="{00000000-0005-0000-0000-000066020000}"/>
    <cellStyle name="20% - Accent4 4 4 3 2" xfId="22666" xr:uid="{F182D9E7-5CEA-44BB-8D12-89A6BCC458C6}"/>
    <cellStyle name="20% - Accent4 4 4 3 3" xfId="14225" xr:uid="{8B2F69DA-6D00-4AD5-AE09-C15A54860830}"/>
    <cellStyle name="20% - Accent4 4 4 4" xfId="18448" xr:uid="{77A79938-2BB1-4ACC-A478-7C8CA043EFA7}"/>
    <cellStyle name="20% - Accent4 4 4 5" xfId="10007" xr:uid="{1FC866CC-5D6E-4A06-9B8A-EAB8208D2DDB}"/>
    <cellStyle name="20% - Accent4 4 5" xfId="1882" xr:uid="{00000000-0005-0000-0000-000067020000}"/>
    <cellStyle name="20% - Accent4 4 5 2" xfId="4111" xr:uid="{00000000-0005-0000-0000-000068020000}"/>
    <cellStyle name="20% - Accent4 4 5 2 2" xfId="8333" xr:uid="{00000000-0005-0000-0000-000069020000}"/>
    <cellStyle name="20% - Accent4 4 5 2 2 2" xfId="25224" xr:uid="{B6C2B821-6A10-4D13-8389-6E7571E49237}"/>
    <cellStyle name="20% - Accent4 4 5 2 2 3" xfId="16783" xr:uid="{9EF49F08-EDB2-41E5-9531-FE4A868001C4}"/>
    <cellStyle name="20% - Accent4 4 5 2 3" xfId="21006" xr:uid="{8EBD4D3E-F2E4-43BF-A23D-19A1F4649CDB}"/>
    <cellStyle name="20% - Accent4 4 5 2 4" xfId="12565" xr:uid="{B1FA80AF-E362-4DB4-B9AB-C79CEED43CD6}"/>
    <cellStyle name="20% - Accent4 4 5 3" xfId="6188" xr:uid="{00000000-0005-0000-0000-00006A020000}"/>
    <cellStyle name="20% - Accent4 4 5 3 2" xfId="23079" xr:uid="{F96A8021-7D7B-430B-8008-9AF7A0F11667}"/>
    <cellStyle name="20% - Accent4 4 5 3 3" xfId="14638" xr:uid="{76BB7CA1-04EC-4423-AEA1-EBFE6B633DBD}"/>
    <cellStyle name="20% - Accent4 4 5 4" xfId="18861" xr:uid="{EB6C8C3D-62CD-4ACA-AB64-90FD48E57865}"/>
    <cellStyle name="20% - Accent4 4 5 5" xfId="10420" xr:uid="{99D7F66B-C852-4788-B497-574E54072FE2}"/>
    <cellStyle name="20% - Accent4 4 6" xfId="2295" xr:uid="{00000000-0005-0000-0000-00006B020000}"/>
    <cellStyle name="20% - Accent4 4 6 2" xfId="6601" xr:uid="{00000000-0005-0000-0000-00006C020000}"/>
    <cellStyle name="20% - Accent4 4 6 2 2" xfId="23492" xr:uid="{FB435F5C-9429-4FA5-82E1-7901783207A9}"/>
    <cellStyle name="20% - Accent4 4 6 2 3" xfId="15051" xr:uid="{272DAB6D-8295-444E-B52E-0D3A89F6310D}"/>
    <cellStyle name="20% - Accent4 4 6 3" xfId="19274" xr:uid="{D24C0102-5D07-4BE5-AF2A-C5C1B1AEA144}"/>
    <cellStyle name="20% - Accent4 4 6 4" xfId="10833" xr:uid="{D981ACF6-338B-4F9E-BB3C-5673B10671DF}"/>
    <cellStyle name="20% - Accent4 4 7" xfId="4535" xr:uid="{00000000-0005-0000-0000-00006D020000}"/>
    <cellStyle name="20% - Accent4 4 7 2" xfId="21426" xr:uid="{82CF9978-A285-4445-BFE1-CF1EC8A43C42}"/>
    <cellStyle name="20% - Accent4 4 7 3" xfId="12985" xr:uid="{17D99505-217A-4BBE-BE44-CD2ABA28B9DC}"/>
    <cellStyle name="20% - Accent4 4 8" xfId="17208" xr:uid="{0B459D80-A48C-47CB-8DC4-B1DD6721FBFB}"/>
    <cellStyle name="20% - Accent4 4 9" xfId="8767" xr:uid="{5965DC05-81C3-4758-AC8D-C5EC7AF3B989}"/>
    <cellStyle name="20% - Accent4 5" xfId="594" xr:uid="{00000000-0005-0000-0000-00006E020000}"/>
    <cellStyle name="20% - Accent4 5 2" xfId="2865" xr:uid="{00000000-0005-0000-0000-00006F020000}"/>
    <cellStyle name="20% - Accent4 5 2 2" xfId="7087" xr:uid="{00000000-0005-0000-0000-000070020000}"/>
    <cellStyle name="20% - Accent4 5 2 2 2" xfId="23978" xr:uid="{FCA2F2AA-3E36-4E54-9B0B-052E3AE1968E}"/>
    <cellStyle name="20% - Accent4 5 2 2 3" xfId="15537" xr:uid="{7613E3A9-1C00-4120-A551-FB99F13F0C12}"/>
    <cellStyle name="20% - Accent4 5 2 3" xfId="19760" xr:uid="{502D69F2-382C-49DD-B71B-0ED92E8DF4A9}"/>
    <cellStyle name="20% - Accent4 5 2 4" xfId="11319" xr:uid="{16036623-A717-44A1-8BAE-CDDC1DA9D203}"/>
    <cellStyle name="20% - Accent4 5 3" xfId="4942" xr:uid="{00000000-0005-0000-0000-000071020000}"/>
    <cellStyle name="20% - Accent4 5 3 2" xfId="21833" xr:uid="{0DD42002-215A-4DF3-AEEA-2B5E8B8B2900}"/>
    <cellStyle name="20% - Accent4 5 3 3" xfId="13392" xr:uid="{B9B025AA-BCEC-46F3-9EDB-5ED96F28CC45}"/>
    <cellStyle name="20% - Accent4 5 4" xfId="17615" xr:uid="{93FC71FA-1710-449B-A03C-CF0A2852EE2B}"/>
    <cellStyle name="20% - Accent4 5 5" xfId="9174" xr:uid="{FAF32988-330B-40BF-AA82-9194CDED4CD7}"/>
    <cellStyle name="20% - Accent4 6" xfId="1047" xr:uid="{00000000-0005-0000-0000-000072020000}"/>
    <cellStyle name="20% - Accent4 6 2" xfId="3278" xr:uid="{00000000-0005-0000-0000-000073020000}"/>
    <cellStyle name="20% - Accent4 6 2 2" xfId="7500" xr:uid="{00000000-0005-0000-0000-000074020000}"/>
    <cellStyle name="20% - Accent4 6 2 2 2" xfId="24391" xr:uid="{FD407E06-8A23-4AAD-BB28-1CE6E15975CB}"/>
    <cellStyle name="20% - Accent4 6 2 2 3" xfId="15950" xr:uid="{C56B6F0F-98A2-4B2E-A275-CA7FA9195079}"/>
    <cellStyle name="20% - Accent4 6 2 3" xfId="20173" xr:uid="{1D51B057-9ADF-4527-A499-CCC69A4C882E}"/>
    <cellStyle name="20% - Accent4 6 2 4" xfId="11732" xr:uid="{5E9C29D1-4188-40AD-9613-6C5061F87EE9}"/>
    <cellStyle name="20% - Accent4 6 3" xfId="5355" xr:uid="{00000000-0005-0000-0000-000075020000}"/>
    <cellStyle name="20% - Accent4 6 3 2" xfId="22246" xr:uid="{59A3F909-36CC-481C-BEB5-B9DCC89A05D3}"/>
    <cellStyle name="20% - Accent4 6 3 3" xfId="13805" xr:uid="{66D75204-8EF6-4A16-AD42-4837D3078FEB}"/>
    <cellStyle name="20% - Accent4 6 4" xfId="18028" xr:uid="{AFFF6981-0246-41F1-B5EE-EEC1DC3D594D}"/>
    <cellStyle name="20% - Accent4 6 5" xfId="9587" xr:uid="{B4B6AFF1-C25B-424C-B331-9002FAFBEC2C}"/>
    <cellStyle name="20% - Accent4 7" xfId="1461" xr:uid="{00000000-0005-0000-0000-000076020000}"/>
    <cellStyle name="20% - Accent4 7 2" xfId="3691" xr:uid="{00000000-0005-0000-0000-000077020000}"/>
    <cellStyle name="20% - Accent4 7 2 2" xfId="7913" xr:uid="{00000000-0005-0000-0000-000078020000}"/>
    <cellStyle name="20% - Accent4 7 2 2 2" xfId="24804" xr:uid="{2AAC516B-54F1-4784-AB65-D6BC7CB752C8}"/>
    <cellStyle name="20% - Accent4 7 2 2 3" xfId="16363" xr:uid="{CA3D4CC4-3194-4DE5-A499-407388A2DF8A}"/>
    <cellStyle name="20% - Accent4 7 2 3" xfId="20586" xr:uid="{D6224BC2-62E8-45BC-9AF1-85978ED1709C}"/>
    <cellStyle name="20% - Accent4 7 2 4" xfId="12145" xr:uid="{6959FAA1-93E6-43F3-9024-B741F96F74B0}"/>
    <cellStyle name="20% - Accent4 7 3" xfId="5768" xr:uid="{00000000-0005-0000-0000-000079020000}"/>
    <cellStyle name="20% - Accent4 7 3 2" xfId="22659" xr:uid="{37149C3F-A330-49B3-A438-B67BC0604FEB}"/>
    <cellStyle name="20% - Accent4 7 3 3" xfId="14218" xr:uid="{DD0CFAA1-5F7F-4AE8-BE40-0FF750678645}"/>
    <cellStyle name="20% - Accent4 7 4" xfId="18441" xr:uid="{85C3E244-E554-45AB-9A89-97C993368B56}"/>
    <cellStyle name="20% - Accent4 7 5" xfId="10000" xr:uid="{8FCEB4B8-5207-4DA7-B485-6007F30F94E2}"/>
    <cellStyle name="20% - Accent4 8" xfId="1875" xr:uid="{00000000-0005-0000-0000-00007A020000}"/>
    <cellStyle name="20% - Accent4 8 2" xfId="4104" xr:uid="{00000000-0005-0000-0000-00007B020000}"/>
    <cellStyle name="20% - Accent4 8 2 2" xfId="8326" xr:uid="{00000000-0005-0000-0000-00007C020000}"/>
    <cellStyle name="20% - Accent4 8 2 2 2" xfId="25217" xr:uid="{12DB60E3-999B-4B27-B717-09F7C7D79259}"/>
    <cellStyle name="20% - Accent4 8 2 2 3" xfId="16776" xr:uid="{2FD706C4-60F5-4A03-A0C8-ACBA0D01F7B6}"/>
    <cellStyle name="20% - Accent4 8 2 3" xfId="20999" xr:uid="{54B0756D-1CF9-484A-BE5D-BB2483D1C0B4}"/>
    <cellStyle name="20% - Accent4 8 2 4" xfId="12558" xr:uid="{28F0C123-A433-423F-A5F5-D4706A5A825A}"/>
    <cellStyle name="20% - Accent4 8 3" xfId="6181" xr:uid="{00000000-0005-0000-0000-00007D020000}"/>
    <cellStyle name="20% - Accent4 8 3 2" xfId="23072" xr:uid="{EE580B78-AED6-4E86-9A6E-C18600FC26B0}"/>
    <cellStyle name="20% - Accent4 8 3 3" xfId="14631" xr:uid="{111C032E-A898-4B2B-8412-3637FA5B2F7B}"/>
    <cellStyle name="20% - Accent4 8 4" xfId="18854" xr:uid="{4A5C4AC2-CB9B-4FE8-A85D-E01BD1B685C3}"/>
    <cellStyle name="20% - Accent4 8 5" xfId="10413" xr:uid="{A6744BBF-9959-45D6-9E3A-F7C99693E209}"/>
    <cellStyle name="20% - Accent4 9" xfId="2288" xr:uid="{00000000-0005-0000-0000-00007E020000}"/>
    <cellStyle name="20% - Accent4 9 2" xfId="6594" xr:uid="{00000000-0005-0000-0000-00007F020000}"/>
    <cellStyle name="20% - Accent4 9 2 2" xfId="23485" xr:uid="{0096C86C-B3ED-4C5B-A106-CEFCD282C45B}"/>
    <cellStyle name="20% - Accent4 9 2 3" xfId="15044" xr:uid="{7EA2A610-E43B-4DCA-A920-E7E44B011F60}"/>
    <cellStyle name="20% - Accent4 9 3" xfId="19267" xr:uid="{ED0B53A0-F963-4905-B7CB-5C4000F6EEDB}"/>
    <cellStyle name="20% - Accent4 9 4" xfId="10826" xr:uid="{0D1DF0A4-018A-4575-9B58-DD30CEBA4EAF}"/>
    <cellStyle name="20% - Accent5" xfId="33" builtinId="46" customBuiltin="1"/>
    <cellStyle name="20% - Accent5 10" xfId="4536" xr:uid="{00000000-0005-0000-0000-000081020000}"/>
    <cellStyle name="20% - Accent5 10 2" xfId="21427" xr:uid="{4F2E1C43-C998-4AC3-A7AA-B277820F30B0}"/>
    <cellStyle name="20% - Accent5 10 3" xfId="12986" xr:uid="{BE2DA453-10C8-4A73-A5A8-417B74FF729B}"/>
    <cellStyle name="20% - Accent5 11" xfId="17209" xr:uid="{5B06116F-4957-41DA-94EC-7747D7E35684}"/>
    <cellStyle name="20% - Accent5 12" xfId="8768" xr:uid="{2492795F-4608-4D65-871D-73FE1A665C00}"/>
    <cellStyle name="20% - Accent5 2" xfId="34" xr:uid="{00000000-0005-0000-0000-000082020000}"/>
    <cellStyle name="20% - Accent5 2 10" xfId="17210" xr:uid="{8B59E57D-FEF5-4554-83B1-278EAAFB4D98}"/>
    <cellStyle name="20% - Accent5 2 11" xfId="8769" xr:uid="{B1986200-C152-45D5-9699-A27B2FAB0FAB}"/>
    <cellStyle name="20% - Accent5 2 2" xfId="35" xr:uid="{00000000-0005-0000-0000-000083020000}"/>
    <cellStyle name="20% - Accent5 2 2 10" xfId="8770" xr:uid="{D065D5FC-F17F-4745-9AB4-0C3386EA5206}"/>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23989" xr:uid="{E6C6F240-B81B-4FD1-9F6A-DCA7801A324C}"/>
    <cellStyle name="20% - Accent5 2 2 2 2 2 2 3" xfId="15548" xr:uid="{4FA6EBF0-7E40-4666-AC82-77B5D321A81E}"/>
    <cellStyle name="20% - Accent5 2 2 2 2 2 3" xfId="19771" xr:uid="{9873CA30-7F13-4353-8247-F514F1B5B363}"/>
    <cellStyle name="20% - Accent5 2 2 2 2 2 4" xfId="11330" xr:uid="{909263DE-6A9A-45AF-872C-442292ABBD4B}"/>
    <cellStyle name="20% - Accent5 2 2 2 2 3" xfId="4953" xr:uid="{00000000-0005-0000-0000-000088020000}"/>
    <cellStyle name="20% - Accent5 2 2 2 2 3 2" xfId="21844" xr:uid="{1A2248AF-C71F-402D-9313-D20159BE3795}"/>
    <cellStyle name="20% - Accent5 2 2 2 2 3 3" xfId="13403" xr:uid="{52FCCDE4-689E-4C72-B578-06AA5EA56DB0}"/>
    <cellStyle name="20% - Accent5 2 2 2 2 4" xfId="17626" xr:uid="{FEF2605F-F72F-4E55-BFE1-52605E092288}"/>
    <cellStyle name="20% - Accent5 2 2 2 2 5" xfId="9185" xr:uid="{6AC40E39-2DA1-48EC-AD11-048CBA7753E4}"/>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24402" xr:uid="{892BC4C1-A630-4B5A-BF48-EEC6741D0579}"/>
    <cellStyle name="20% - Accent5 2 2 2 3 2 2 3" xfId="15961" xr:uid="{2918C0E4-3929-49CB-8DEA-1ADB2697B6C5}"/>
    <cellStyle name="20% - Accent5 2 2 2 3 2 3" xfId="20184" xr:uid="{0F94A535-366A-41A4-823D-3B09833D6B75}"/>
    <cellStyle name="20% - Accent5 2 2 2 3 2 4" xfId="11743" xr:uid="{ED1A6A19-18CA-4EDF-9F75-4ABA02A9D99E}"/>
    <cellStyle name="20% - Accent5 2 2 2 3 3" xfId="5366" xr:uid="{00000000-0005-0000-0000-00008C020000}"/>
    <cellStyle name="20% - Accent5 2 2 2 3 3 2" xfId="22257" xr:uid="{5BBA6C55-D3EA-40A5-AB16-600470819F2B}"/>
    <cellStyle name="20% - Accent5 2 2 2 3 3 3" xfId="13816" xr:uid="{81569457-2BC9-4111-9698-7047AAFC8FBD}"/>
    <cellStyle name="20% - Accent5 2 2 2 3 4" xfId="18039" xr:uid="{5D29AA7D-F776-42B8-AC0D-47B97CFB5199}"/>
    <cellStyle name="20% - Accent5 2 2 2 3 5" xfId="9598" xr:uid="{E1F9A7FD-F612-457C-9CF8-C6DC55377793}"/>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24815" xr:uid="{CB4C977C-049C-4171-8972-60E5112B9F91}"/>
    <cellStyle name="20% - Accent5 2 2 2 4 2 2 3" xfId="16374" xr:uid="{AAFE4795-933B-4474-94A6-CB877E5DEE33}"/>
    <cellStyle name="20% - Accent5 2 2 2 4 2 3" xfId="20597" xr:uid="{E9D67B10-E081-4DC5-9A36-6AFB3F78E8B8}"/>
    <cellStyle name="20% - Accent5 2 2 2 4 2 4" xfId="12156" xr:uid="{06A18B20-D844-475C-8DB5-A3E0F1862F58}"/>
    <cellStyle name="20% - Accent5 2 2 2 4 3" xfId="5779" xr:uid="{00000000-0005-0000-0000-000090020000}"/>
    <cellStyle name="20% - Accent5 2 2 2 4 3 2" xfId="22670" xr:uid="{9F3A8B5C-AF25-4718-AB4E-CF5249F74B29}"/>
    <cellStyle name="20% - Accent5 2 2 2 4 3 3" xfId="14229" xr:uid="{E5ED41C0-BA60-4ECB-B4B1-2A98CF6A6CA4}"/>
    <cellStyle name="20% - Accent5 2 2 2 4 4" xfId="18452" xr:uid="{32BE5030-BF74-45A7-B0E8-7EAA513D9123}"/>
    <cellStyle name="20% - Accent5 2 2 2 4 5" xfId="10011" xr:uid="{787C7626-A385-4A5A-9ECA-4904D94BAD1A}"/>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25228" xr:uid="{A52DDD49-CFBC-4812-9E95-1B4899B79CFF}"/>
    <cellStyle name="20% - Accent5 2 2 2 5 2 2 3" xfId="16787" xr:uid="{6F91ABE6-5D96-4C81-8371-B72616CB1912}"/>
    <cellStyle name="20% - Accent5 2 2 2 5 2 3" xfId="21010" xr:uid="{16671FA3-B1C5-4E89-B190-224A041EEB6D}"/>
    <cellStyle name="20% - Accent5 2 2 2 5 2 4" xfId="12569" xr:uid="{1CF46519-CBBE-4002-A11B-CD81E37C84E7}"/>
    <cellStyle name="20% - Accent5 2 2 2 5 3" xfId="6192" xr:uid="{00000000-0005-0000-0000-000094020000}"/>
    <cellStyle name="20% - Accent5 2 2 2 5 3 2" xfId="23083" xr:uid="{9E5EBD7C-FE5C-40B8-9E02-6C17E8A5A59A}"/>
    <cellStyle name="20% - Accent5 2 2 2 5 3 3" xfId="14642" xr:uid="{F8923987-B6B6-4EC0-BCD2-85BD3B67F5EA}"/>
    <cellStyle name="20% - Accent5 2 2 2 5 4" xfId="18865" xr:uid="{D53B91FE-9C80-4315-A965-F27AB810A9E4}"/>
    <cellStyle name="20% - Accent5 2 2 2 5 5" xfId="10424" xr:uid="{A33A971F-C38A-4956-BE52-0AC7BB503EB0}"/>
    <cellStyle name="20% - Accent5 2 2 2 6" xfId="2299" xr:uid="{00000000-0005-0000-0000-000095020000}"/>
    <cellStyle name="20% - Accent5 2 2 2 6 2" xfId="6605" xr:uid="{00000000-0005-0000-0000-000096020000}"/>
    <cellStyle name="20% - Accent5 2 2 2 6 2 2" xfId="23496" xr:uid="{B1ACA7B1-D846-4337-8442-2FB9EC353402}"/>
    <cellStyle name="20% - Accent5 2 2 2 6 2 3" xfId="15055" xr:uid="{9636DFCB-4910-4898-B077-29DA2BBB0FAA}"/>
    <cellStyle name="20% - Accent5 2 2 2 6 3" xfId="19278" xr:uid="{C78FD943-BDBF-4364-AC71-9739095745C6}"/>
    <cellStyle name="20% - Accent5 2 2 2 6 4" xfId="10837" xr:uid="{CA050CE9-B4E0-459D-9BA5-AF07ECB55729}"/>
    <cellStyle name="20% - Accent5 2 2 2 7" xfId="4539" xr:uid="{00000000-0005-0000-0000-000097020000}"/>
    <cellStyle name="20% - Accent5 2 2 2 7 2" xfId="21430" xr:uid="{65E12BB5-CA1C-404C-AE32-C57567175221}"/>
    <cellStyle name="20% - Accent5 2 2 2 7 3" xfId="12989" xr:uid="{A7BA3423-74E6-4846-A3AD-E1B417D7E610}"/>
    <cellStyle name="20% - Accent5 2 2 2 8" xfId="17212" xr:uid="{B0B63D81-2AFE-4C8F-A957-6F0B80201712}"/>
    <cellStyle name="20% - Accent5 2 2 2 9" xfId="8771" xr:uid="{B5DD77F2-AC15-4CFC-BCD7-F82970CF9C2C}"/>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23988" xr:uid="{6B7FED36-57BB-4D12-AB74-82C551A7107D}"/>
    <cellStyle name="20% - Accent5 2 2 3 2 2 3" xfId="15547" xr:uid="{E64FD0ED-CF81-4FF3-98FD-DEE9ADB0ADCD}"/>
    <cellStyle name="20% - Accent5 2 2 3 2 3" xfId="19770" xr:uid="{1292B480-57C2-4061-BD8D-D80D428BF8FF}"/>
    <cellStyle name="20% - Accent5 2 2 3 2 4" xfId="11329" xr:uid="{3A342A4C-CFC4-4E73-A33E-49A10957182C}"/>
    <cellStyle name="20% - Accent5 2 2 3 3" xfId="4952" xr:uid="{00000000-0005-0000-0000-00009B020000}"/>
    <cellStyle name="20% - Accent5 2 2 3 3 2" xfId="21843" xr:uid="{64062EA3-578C-4650-9A88-D7755204A55E}"/>
    <cellStyle name="20% - Accent5 2 2 3 3 3" xfId="13402" xr:uid="{AB5122D6-21FD-419F-B8EC-EA463D6E9057}"/>
    <cellStyle name="20% - Accent5 2 2 3 4" xfId="17625" xr:uid="{38E6EF06-CF54-4DE7-A56E-E417E3C85131}"/>
    <cellStyle name="20% - Accent5 2 2 3 5" xfId="9184" xr:uid="{69DF67CD-DAA1-4DFC-A255-095A4691DF57}"/>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24401" xr:uid="{F78541CF-2607-4F02-B39C-25F0921FF31F}"/>
    <cellStyle name="20% - Accent5 2 2 4 2 2 3" xfId="15960" xr:uid="{4D5B0466-0E9C-4332-8CB8-D1FC79F668D3}"/>
    <cellStyle name="20% - Accent5 2 2 4 2 3" xfId="20183" xr:uid="{26E5EA47-BD85-4BD8-81DF-D8F9144FE058}"/>
    <cellStyle name="20% - Accent5 2 2 4 2 4" xfId="11742" xr:uid="{38120974-D471-4012-8FB7-56B7B018FB33}"/>
    <cellStyle name="20% - Accent5 2 2 4 3" xfId="5365" xr:uid="{00000000-0005-0000-0000-00009F020000}"/>
    <cellStyle name="20% - Accent5 2 2 4 3 2" xfId="22256" xr:uid="{AA58DF01-FD6D-474C-8097-26CCA02299E4}"/>
    <cellStyle name="20% - Accent5 2 2 4 3 3" xfId="13815" xr:uid="{5BB356AE-BDA8-459D-AB8D-620F3578031C}"/>
    <cellStyle name="20% - Accent5 2 2 4 4" xfId="18038" xr:uid="{9CD15ED1-C72B-4748-A8D3-F95A62EDFF0E}"/>
    <cellStyle name="20% - Accent5 2 2 4 5" xfId="9597" xr:uid="{EF100C78-0C7A-4EAB-AC52-619049C904B2}"/>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24814" xr:uid="{5875FEFC-4E04-41BA-969D-3C5E85082D9B}"/>
    <cellStyle name="20% - Accent5 2 2 5 2 2 3" xfId="16373" xr:uid="{CFAC46B5-600C-4F47-8AE0-04774C42445A}"/>
    <cellStyle name="20% - Accent5 2 2 5 2 3" xfId="20596" xr:uid="{E331542B-FAFE-4143-BEFF-4F37143F1B38}"/>
    <cellStyle name="20% - Accent5 2 2 5 2 4" xfId="12155" xr:uid="{9D2BC4F2-D448-4CA2-BE0F-BC0087AC4BCA}"/>
    <cellStyle name="20% - Accent5 2 2 5 3" xfId="5778" xr:uid="{00000000-0005-0000-0000-0000A3020000}"/>
    <cellStyle name="20% - Accent5 2 2 5 3 2" xfId="22669" xr:uid="{78945BF3-BFD3-49D8-BED5-2488B6D90DC3}"/>
    <cellStyle name="20% - Accent5 2 2 5 3 3" xfId="14228" xr:uid="{E02BB38D-D3B4-4AE8-966B-292F2A278A6C}"/>
    <cellStyle name="20% - Accent5 2 2 5 4" xfId="18451" xr:uid="{0BE82DBE-A00D-4D1E-BF7D-117122459102}"/>
    <cellStyle name="20% - Accent5 2 2 5 5" xfId="10010" xr:uid="{1D5D0E95-CA38-4711-B589-B5BFDC8AF313}"/>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25227" xr:uid="{B96252DB-3DAC-4A8C-9F2A-C98C66652C29}"/>
    <cellStyle name="20% - Accent5 2 2 6 2 2 3" xfId="16786" xr:uid="{9E286A41-6EF0-41FB-A86D-1E1E59306F0D}"/>
    <cellStyle name="20% - Accent5 2 2 6 2 3" xfId="21009" xr:uid="{C53D09E2-81C6-429C-8F8F-9E068B7C87A3}"/>
    <cellStyle name="20% - Accent5 2 2 6 2 4" xfId="12568" xr:uid="{642F8B06-42A0-469E-9753-8942BC7F9970}"/>
    <cellStyle name="20% - Accent5 2 2 6 3" xfId="6191" xr:uid="{00000000-0005-0000-0000-0000A7020000}"/>
    <cellStyle name="20% - Accent5 2 2 6 3 2" xfId="23082" xr:uid="{3733BFA6-6C3A-463D-82E7-C0BF282F0237}"/>
    <cellStyle name="20% - Accent5 2 2 6 3 3" xfId="14641" xr:uid="{75EF9D0F-2202-46DE-BE23-7C5E7ED27591}"/>
    <cellStyle name="20% - Accent5 2 2 6 4" xfId="18864" xr:uid="{8A680D3A-E4C4-4541-973C-83C25F4287CF}"/>
    <cellStyle name="20% - Accent5 2 2 6 5" xfId="10423" xr:uid="{D9B5563E-BFED-4F9E-89F1-5C86E43A93F5}"/>
    <cellStyle name="20% - Accent5 2 2 7" xfId="2298" xr:uid="{00000000-0005-0000-0000-0000A8020000}"/>
    <cellStyle name="20% - Accent5 2 2 7 2" xfId="6604" xr:uid="{00000000-0005-0000-0000-0000A9020000}"/>
    <cellStyle name="20% - Accent5 2 2 7 2 2" xfId="23495" xr:uid="{EF156256-CE74-489E-ABCC-8C56D03F9386}"/>
    <cellStyle name="20% - Accent5 2 2 7 2 3" xfId="15054" xr:uid="{6E4B8FFD-33CB-4E6E-983A-6C2999ABDE05}"/>
    <cellStyle name="20% - Accent5 2 2 7 3" xfId="19277" xr:uid="{F3DDF73C-2304-47A0-8A93-DE6E75E775A3}"/>
    <cellStyle name="20% - Accent5 2 2 7 4" xfId="10836" xr:uid="{AC0FEBB6-5CB2-4A81-9AA2-1642939C422B}"/>
    <cellStyle name="20% - Accent5 2 2 8" xfId="4538" xr:uid="{00000000-0005-0000-0000-0000AA020000}"/>
    <cellStyle name="20% - Accent5 2 2 8 2" xfId="21429" xr:uid="{9B753E04-8AA1-4A71-BE07-A014CE54A35A}"/>
    <cellStyle name="20% - Accent5 2 2 8 3" xfId="12988" xr:uid="{1FE61AF8-9835-4B81-956D-26C02263F96A}"/>
    <cellStyle name="20% - Accent5 2 2 9" xfId="17211" xr:uid="{8A5A03A0-BDE0-467D-BC14-FB0B6A2814DA}"/>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23990" xr:uid="{A1B46D40-A588-4D25-BAE8-851BDF9946B8}"/>
    <cellStyle name="20% - Accent5 2 3 2 2 2 3" xfId="15549" xr:uid="{7B940F7E-7684-4791-94C2-9317D19B231D}"/>
    <cellStyle name="20% - Accent5 2 3 2 2 3" xfId="19772" xr:uid="{3B6360A9-AFDA-4FAD-ABAB-C61EE75264D7}"/>
    <cellStyle name="20% - Accent5 2 3 2 2 4" xfId="11331" xr:uid="{027C7CCE-B567-4B09-8BC6-A20B7532FD95}"/>
    <cellStyle name="20% - Accent5 2 3 2 3" xfId="4954" xr:uid="{00000000-0005-0000-0000-0000AF020000}"/>
    <cellStyle name="20% - Accent5 2 3 2 3 2" xfId="21845" xr:uid="{BD705C34-73E1-45A1-8645-81B461EF3349}"/>
    <cellStyle name="20% - Accent5 2 3 2 3 3" xfId="13404" xr:uid="{FC05362B-C063-446A-B03B-336D260F1BFF}"/>
    <cellStyle name="20% - Accent5 2 3 2 4" xfId="17627" xr:uid="{1A89CE40-F2EB-4827-A7BD-7509C5864E33}"/>
    <cellStyle name="20% - Accent5 2 3 2 5" xfId="9186" xr:uid="{FD2A8973-7AD1-4A7D-9C2C-9A7A96D9F5DC}"/>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24403" xr:uid="{7CCD0D11-4F14-4B7A-BBC7-B65C48AF4AA2}"/>
    <cellStyle name="20% - Accent5 2 3 3 2 2 3" xfId="15962" xr:uid="{5D95357B-AE4D-462B-BD5C-EA47ABFCDCB8}"/>
    <cellStyle name="20% - Accent5 2 3 3 2 3" xfId="20185" xr:uid="{5BFA9C4C-7790-412C-A68E-8801F1B4D011}"/>
    <cellStyle name="20% - Accent5 2 3 3 2 4" xfId="11744" xr:uid="{C1E661CB-07E5-4FF9-BCC5-7AC6195F78BC}"/>
    <cellStyle name="20% - Accent5 2 3 3 3" xfId="5367" xr:uid="{00000000-0005-0000-0000-0000B3020000}"/>
    <cellStyle name="20% - Accent5 2 3 3 3 2" xfId="22258" xr:uid="{D0706CFB-B95E-493F-9C5F-A07A58454592}"/>
    <cellStyle name="20% - Accent5 2 3 3 3 3" xfId="13817" xr:uid="{1ABE3B89-D445-4716-B7DC-6372E196D83D}"/>
    <cellStyle name="20% - Accent5 2 3 3 4" xfId="18040" xr:uid="{16AEF63A-B24E-4E82-8759-D1FEEFC1C700}"/>
    <cellStyle name="20% - Accent5 2 3 3 5" xfId="9599" xr:uid="{B2158F10-042E-4338-AFE3-0DD18374F033}"/>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24816" xr:uid="{6322A5F1-261D-4E49-A31B-C158F531413B}"/>
    <cellStyle name="20% - Accent5 2 3 4 2 2 3" xfId="16375" xr:uid="{BEF28DA1-38E9-4EE1-ACC2-50CBC49C2C68}"/>
    <cellStyle name="20% - Accent5 2 3 4 2 3" xfId="20598" xr:uid="{E750C456-5ACA-4644-99DE-DF5B85246CF1}"/>
    <cellStyle name="20% - Accent5 2 3 4 2 4" xfId="12157" xr:uid="{68E0B268-D35C-434F-B012-5D5E0B8E8087}"/>
    <cellStyle name="20% - Accent5 2 3 4 3" xfId="5780" xr:uid="{00000000-0005-0000-0000-0000B7020000}"/>
    <cellStyle name="20% - Accent5 2 3 4 3 2" xfId="22671" xr:uid="{19216C8B-281D-4125-9030-8815DEEFB54C}"/>
    <cellStyle name="20% - Accent5 2 3 4 3 3" xfId="14230" xr:uid="{506138DD-32DC-48B4-83BB-6A45E3CABD9A}"/>
    <cellStyle name="20% - Accent5 2 3 4 4" xfId="18453" xr:uid="{A9E291BE-CE18-4526-8780-99D5FF64DF1E}"/>
    <cellStyle name="20% - Accent5 2 3 4 5" xfId="10012" xr:uid="{6D23F60C-7606-4DC1-BF35-79A48BE20DE0}"/>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25229" xr:uid="{36B939E8-4734-4579-B261-7ED7A8D822DB}"/>
    <cellStyle name="20% - Accent5 2 3 5 2 2 3" xfId="16788" xr:uid="{0E4E432A-67FA-411C-A806-47C31D1A07CA}"/>
    <cellStyle name="20% - Accent5 2 3 5 2 3" xfId="21011" xr:uid="{FD45C7D0-BC8C-4398-A853-79061B86BF8E}"/>
    <cellStyle name="20% - Accent5 2 3 5 2 4" xfId="12570" xr:uid="{A426B9B5-B06A-4590-93AB-C24B7A464CDD}"/>
    <cellStyle name="20% - Accent5 2 3 5 3" xfId="6193" xr:uid="{00000000-0005-0000-0000-0000BB020000}"/>
    <cellStyle name="20% - Accent5 2 3 5 3 2" xfId="23084" xr:uid="{7EFFAADB-8609-4060-9052-517BB9A42A8D}"/>
    <cellStyle name="20% - Accent5 2 3 5 3 3" xfId="14643" xr:uid="{50C062AE-D439-402E-AFA6-D2CEE5832D8D}"/>
    <cellStyle name="20% - Accent5 2 3 5 4" xfId="18866" xr:uid="{533AA33A-59EC-4D5B-A48D-FC4761C19756}"/>
    <cellStyle name="20% - Accent5 2 3 5 5" xfId="10425" xr:uid="{2BE9C554-8FF4-485F-A583-6C30254944C1}"/>
    <cellStyle name="20% - Accent5 2 3 6" xfId="2300" xr:uid="{00000000-0005-0000-0000-0000BC020000}"/>
    <cellStyle name="20% - Accent5 2 3 6 2" xfId="6606" xr:uid="{00000000-0005-0000-0000-0000BD020000}"/>
    <cellStyle name="20% - Accent5 2 3 6 2 2" xfId="23497" xr:uid="{6A4A196A-E67A-4620-924B-13FE99AD0E55}"/>
    <cellStyle name="20% - Accent5 2 3 6 2 3" xfId="15056" xr:uid="{1E2B3E0C-D53A-4B3F-9008-B3FC96F1E502}"/>
    <cellStyle name="20% - Accent5 2 3 6 3" xfId="19279" xr:uid="{11877918-D3BD-4C9D-A216-FB30E354AE61}"/>
    <cellStyle name="20% - Accent5 2 3 6 4" xfId="10838" xr:uid="{10CEB9B1-AF4E-4160-A7D9-7C1B2D9D7357}"/>
    <cellStyle name="20% - Accent5 2 3 7" xfId="4540" xr:uid="{00000000-0005-0000-0000-0000BE020000}"/>
    <cellStyle name="20% - Accent5 2 3 7 2" xfId="21431" xr:uid="{5FD01AD4-DD15-493B-929A-821F5FDB805F}"/>
    <cellStyle name="20% - Accent5 2 3 7 3" xfId="12990" xr:uid="{0328F035-7826-4D1F-AC07-B097D410F817}"/>
    <cellStyle name="20% - Accent5 2 3 8" xfId="17213" xr:uid="{94324075-65B1-488E-8CC2-0C201757D7F5}"/>
    <cellStyle name="20% - Accent5 2 3 9" xfId="8772" xr:uid="{41FF18A4-AA0E-4CF2-A57C-EEC6EA963931}"/>
    <cellStyle name="20% - Accent5 2 4" xfId="603" xr:uid="{00000000-0005-0000-0000-0000BF020000}"/>
    <cellStyle name="20% - Accent5 2 4 2" xfId="2874" xr:uid="{00000000-0005-0000-0000-0000C0020000}"/>
    <cellStyle name="20% - Accent5 2 4 2 2" xfId="7096" xr:uid="{00000000-0005-0000-0000-0000C1020000}"/>
    <cellStyle name="20% - Accent5 2 4 2 2 2" xfId="23987" xr:uid="{CCCE81C0-CB1E-444E-93E7-49F424FB5D8D}"/>
    <cellStyle name="20% - Accent5 2 4 2 2 3" xfId="15546" xr:uid="{196499AD-5EF3-462D-BF05-C7821AE31FF0}"/>
    <cellStyle name="20% - Accent5 2 4 2 3" xfId="19769" xr:uid="{36C666DD-D90E-4601-B83D-19B9994632D4}"/>
    <cellStyle name="20% - Accent5 2 4 2 4" xfId="11328" xr:uid="{F4F7AD6E-1C9C-45A3-BFB3-942963C3DC97}"/>
    <cellStyle name="20% - Accent5 2 4 3" xfId="4951" xr:uid="{00000000-0005-0000-0000-0000C2020000}"/>
    <cellStyle name="20% - Accent5 2 4 3 2" xfId="21842" xr:uid="{D34B7275-1185-4A98-A7FF-6DF90402060F}"/>
    <cellStyle name="20% - Accent5 2 4 3 3" xfId="13401" xr:uid="{DE2EF480-A5AE-443A-B9CD-E4D35A85E944}"/>
    <cellStyle name="20% - Accent5 2 4 4" xfId="17624" xr:uid="{165AFB03-8FC6-417C-B544-61D7FBBFFA9C}"/>
    <cellStyle name="20% - Accent5 2 4 5" xfId="9183" xr:uid="{8A8136D2-9C06-4FA5-BFAF-FF6048784431}"/>
    <cellStyle name="20% - Accent5 2 5" xfId="1056" xr:uid="{00000000-0005-0000-0000-0000C3020000}"/>
    <cellStyle name="20% - Accent5 2 5 2" xfId="3287" xr:uid="{00000000-0005-0000-0000-0000C4020000}"/>
    <cellStyle name="20% - Accent5 2 5 2 2" xfId="7509" xr:uid="{00000000-0005-0000-0000-0000C5020000}"/>
    <cellStyle name="20% - Accent5 2 5 2 2 2" xfId="24400" xr:uid="{846494B8-440C-4DBB-869C-904CD4424D43}"/>
    <cellStyle name="20% - Accent5 2 5 2 2 3" xfId="15959" xr:uid="{8E96AC92-F64E-449F-8963-6883D6DE0AA7}"/>
    <cellStyle name="20% - Accent5 2 5 2 3" xfId="20182" xr:uid="{F4D0E5AD-86F8-4370-A2DF-A3C8506D6E87}"/>
    <cellStyle name="20% - Accent5 2 5 2 4" xfId="11741" xr:uid="{133997EB-F1A2-48BE-A114-ACAA06CE95AB}"/>
    <cellStyle name="20% - Accent5 2 5 3" xfId="5364" xr:uid="{00000000-0005-0000-0000-0000C6020000}"/>
    <cellStyle name="20% - Accent5 2 5 3 2" xfId="22255" xr:uid="{157A759A-6F19-4BE2-AE5E-8E0FA10733AC}"/>
    <cellStyle name="20% - Accent5 2 5 3 3" xfId="13814" xr:uid="{1CFA701F-5ECD-46DD-AF5D-CE76249E673D}"/>
    <cellStyle name="20% - Accent5 2 5 4" xfId="18037" xr:uid="{AE7B0F1B-7A9D-492A-ADB7-1BD89EFA6617}"/>
    <cellStyle name="20% - Accent5 2 5 5" xfId="9596" xr:uid="{08CF8FFA-769A-419F-AF87-E89346C4F861}"/>
    <cellStyle name="20% - Accent5 2 6" xfId="1470" xr:uid="{00000000-0005-0000-0000-0000C7020000}"/>
    <cellStyle name="20% - Accent5 2 6 2" xfId="3700" xr:uid="{00000000-0005-0000-0000-0000C8020000}"/>
    <cellStyle name="20% - Accent5 2 6 2 2" xfId="7922" xr:uid="{00000000-0005-0000-0000-0000C9020000}"/>
    <cellStyle name="20% - Accent5 2 6 2 2 2" xfId="24813" xr:uid="{BFEA6C09-9DAF-42EA-ABFE-D55D895B7EEC}"/>
    <cellStyle name="20% - Accent5 2 6 2 2 3" xfId="16372" xr:uid="{DA711FBB-3F5A-43C2-9846-D1609D184B49}"/>
    <cellStyle name="20% - Accent5 2 6 2 3" xfId="20595" xr:uid="{4464B6CD-616B-46DD-84CD-1A3645284761}"/>
    <cellStyle name="20% - Accent5 2 6 2 4" xfId="12154" xr:uid="{55BD37A8-4262-48E7-B378-C7C84A0AE3A4}"/>
    <cellStyle name="20% - Accent5 2 6 3" xfId="5777" xr:uid="{00000000-0005-0000-0000-0000CA020000}"/>
    <cellStyle name="20% - Accent5 2 6 3 2" xfId="22668" xr:uid="{C95FF9BC-5B41-4915-85C3-C9CEA9B87FE4}"/>
    <cellStyle name="20% - Accent5 2 6 3 3" xfId="14227" xr:uid="{BD616297-D120-4432-8C75-B4F8B643C307}"/>
    <cellStyle name="20% - Accent5 2 6 4" xfId="18450" xr:uid="{1C037965-DE67-4278-B3F6-71E12D6FDE7F}"/>
    <cellStyle name="20% - Accent5 2 6 5" xfId="10009" xr:uid="{30B49FE4-28B4-4599-9A1A-DC9EA4711DBC}"/>
    <cellStyle name="20% - Accent5 2 7" xfId="1884" xr:uid="{00000000-0005-0000-0000-0000CB020000}"/>
    <cellStyle name="20% - Accent5 2 7 2" xfId="4113" xr:uid="{00000000-0005-0000-0000-0000CC020000}"/>
    <cellStyle name="20% - Accent5 2 7 2 2" xfId="8335" xr:uid="{00000000-0005-0000-0000-0000CD020000}"/>
    <cellStyle name="20% - Accent5 2 7 2 2 2" xfId="25226" xr:uid="{CF9EBC45-6AD5-471D-B534-DDAEAFCC57EB}"/>
    <cellStyle name="20% - Accent5 2 7 2 2 3" xfId="16785" xr:uid="{7CFC446D-5336-4852-B43E-D1215864AE78}"/>
    <cellStyle name="20% - Accent5 2 7 2 3" xfId="21008" xr:uid="{569E79BF-E416-4D89-82C2-74CA065A5BA9}"/>
    <cellStyle name="20% - Accent5 2 7 2 4" xfId="12567" xr:uid="{CF9F64C3-C075-442A-B051-31D24C7FC976}"/>
    <cellStyle name="20% - Accent5 2 7 3" xfId="6190" xr:uid="{00000000-0005-0000-0000-0000CE020000}"/>
    <cellStyle name="20% - Accent5 2 7 3 2" xfId="23081" xr:uid="{EA50C01D-50C6-4CCC-9FD9-587F76E4658D}"/>
    <cellStyle name="20% - Accent5 2 7 3 3" xfId="14640" xr:uid="{C9BD52FA-7EE2-469E-9547-A767A0FF39B7}"/>
    <cellStyle name="20% - Accent5 2 7 4" xfId="18863" xr:uid="{F8364A0B-A243-4F00-A214-63554C56704F}"/>
    <cellStyle name="20% - Accent5 2 7 5" xfId="10422" xr:uid="{6F202846-EBEA-4CD1-A4BA-67C48574AF2A}"/>
    <cellStyle name="20% - Accent5 2 8" xfId="2297" xr:uid="{00000000-0005-0000-0000-0000CF020000}"/>
    <cellStyle name="20% - Accent5 2 8 2" xfId="6603" xr:uid="{00000000-0005-0000-0000-0000D0020000}"/>
    <cellStyle name="20% - Accent5 2 8 2 2" xfId="23494" xr:uid="{E6B23EBD-C8E2-41F8-87B4-2B08FFB30F50}"/>
    <cellStyle name="20% - Accent5 2 8 2 3" xfId="15053" xr:uid="{783D8BD8-D664-49D7-9694-E2DB7B7A0F1D}"/>
    <cellStyle name="20% - Accent5 2 8 3" xfId="19276" xr:uid="{954D5BA7-9B22-4F5E-88BE-8927EFCBEDE5}"/>
    <cellStyle name="20% - Accent5 2 8 4" xfId="10835" xr:uid="{41F7E83D-A36D-4BF9-9265-90E5B60BA40A}"/>
    <cellStyle name="20% - Accent5 2 9" xfId="4537" xr:uid="{00000000-0005-0000-0000-0000D1020000}"/>
    <cellStyle name="20% - Accent5 2 9 2" xfId="21428" xr:uid="{1A47F2CF-B6BA-4150-8BCD-035A06D93931}"/>
    <cellStyle name="20% - Accent5 2 9 3" xfId="12987" xr:uid="{F052CFEB-8984-434D-B6E9-6A16BFDA2547}"/>
    <cellStyle name="20% - Accent5 3" xfId="38" xr:uid="{00000000-0005-0000-0000-0000D2020000}"/>
    <cellStyle name="20% - Accent5 3 10" xfId="8773" xr:uid="{54FCD24D-6424-4738-AC7E-EF3EE237D708}"/>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23992" xr:uid="{4EC42BAD-1B58-4C82-9880-890DB5F18869}"/>
    <cellStyle name="20% - Accent5 3 2 2 2 2 3" xfId="15551" xr:uid="{FA1906F7-CD31-4CBB-9503-9AE3A13A3E1C}"/>
    <cellStyle name="20% - Accent5 3 2 2 2 3" xfId="19774" xr:uid="{568E4794-52EE-4306-A9D0-04B8D2C267F4}"/>
    <cellStyle name="20% - Accent5 3 2 2 2 4" xfId="11333" xr:uid="{B77C2787-3EBD-4D2E-B37D-55318C231564}"/>
    <cellStyle name="20% - Accent5 3 2 2 3" xfId="4956" xr:uid="{00000000-0005-0000-0000-0000D7020000}"/>
    <cellStyle name="20% - Accent5 3 2 2 3 2" xfId="21847" xr:uid="{85C9FB32-7C89-4F22-B387-746B704B4406}"/>
    <cellStyle name="20% - Accent5 3 2 2 3 3" xfId="13406" xr:uid="{E40A2B3D-D77A-43D3-A475-596D2C7570CF}"/>
    <cellStyle name="20% - Accent5 3 2 2 4" xfId="17629" xr:uid="{3182E848-70D1-4F4C-8727-182F83B722CF}"/>
    <cellStyle name="20% - Accent5 3 2 2 5" xfId="9188" xr:uid="{028B932D-85C5-41B3-A9A7-975E2DA32627}"/>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24405" xr:uid="{F58E90C0-3A72-42B0-B4F4-82F29118293A}"/>
    <cellStyle name="20% - Accent5 3 2 3 2 2 3" xfId="15964" xr:uid="{430E6433-030A-483D-97C3-FF1068F9D60D}"/>
    <cellStyle name="20% - Accent5 3 2 3 2 3" xfId="20187" xr:uid="{F9D3CA67-525B-44B2-A501-34E440B04D38}"/>
    <cellStyle name="20% - Accent5 3 2 3 2 4" xfId="11746" xr:uid="{DDBE2600-56A5-4E8C-8BD7-464963885218}"/>
    <cellStyle name="20% - Accent5 3 2 3 3" xfId="5369" xr:uid="{00000000-0005-0000-0000-0000DB020000}"/>
    <cellStyle name="20% - Accent5 3 2 3 3 2" xfId="22260" xr:uid="{332A308B-0251-4896-9037-FF1F9AD16C62}"/>
    <cellStyle name="20% - Accent5 3 2 3 3 3" xfId="13819" xr:uid="{F5A1692C-A70E-4413-B49F-454D8966021F}"/>
    <cellStyle name="20% - Accent5 3 2 3 4" xfId="18042" xr:uid="{EBE35045-AB2D-461B-92BE-DBCEE4DDC01D}"/>
    <cellStyle name="20% - Accent5 3 2 3 5" xfId="9601" xr:uid="{34E317C6-9FAC-4DE1-8B2A-BDF4BE4D789A}"/>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24818" xr:uid="{F8277884-1CF5-4B8C-81C8-CEB883D22913}"/>
    <cellStyle name="20% - Accent5 3 2 4 2 2 3" xfId="16377" xr:uid="{0C6442D7-A102-4AB0-ACB5-3BD547AD00AF}"/>
    <cellStyle name="20% - Accent5 3 2 4 2 3" xfId="20600" xr:uid="{3479D2C9-F55F-40D2-9BBC-5F4DC949A86A}"/>
    <cellStyle name="20% - Accent5 3 2 4 2 4" xfId="12159" xr:uid="{7E455C77-DA9B-4936-A91B-370AC32388F2}"/>
    <cellStyle name="20% - Accent5 3 2 4 3" xfId="5782" xr:uid="{00000000-0005-0000-0000-0000DF020000}"/>
    <cellStyle name="20% - Accent5 3 2 4 3 2" xfId="22673" xr:uid="{5275A3B7-2A45-4CC8-9C55-49A40B22B47E}"/>
    <cellStyle name="20% - Accent5 3 2 4 3 3" xfId="14232" xr:uid="{4803A867-6D02-4A1D-AD00-E2381B36744B}"/>
    <cellStyle name="20% - Accent5 3 2 4 4" xfId="18455" xr:uid="{A21B3747-94C2-49A0-B1B2-CA077B0D49FB}"/>
    <cellStyle name="20% - Accent5 3 2 4 5" xfId="10014" xr:uid="{09D20625-464C-45FF-AC28-42CDBFE2F312}"/>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25231" xr:uid="{A5DEE1D1-48B2-4053-920B-41B9EFE3B4AB}"/>
    <cellStyle name="20% - Accent5 3 2 5 2 2 3" xfId="16790" xr:uid="{86980C77-D67A-42D5-801D-28085783592F}"/>
    <cellStyle name="20% - Accent5 3 2 5 2 3" xfId="21013" xr:uid="{7667A594-B646-4545-8CA2-0BE90AA38BB4}"/>
    <cellStyle name="20% - Accent5 3 2 5 2 4" xfId="12572" xr:uid="{45349BF6-7380-4B81-9470-F3172379E6E7}"/>
    <cellStyle name="20% - Accent5 3 2 5 3" xfId="6195" xr:uid="{00000000-0005-0000-0000-0000E3020000}"/>
    <cellStyle name="20% - Accent5 3 2 5 3 2" xfId="23086" xr:uid="{AA1FB8F0-E7AB-4D78-8C72-0C064CB1DBB1}"/>
    <cellStyle name="20% - Accent5 3 2 5 3 3" xfId="14645" xr:uid="{E4DF518A-798F-4F97-A974-8D04D3D3154F}"/>
    <cellStyle name="20% - Accent5 3 2 5 4" xfId="18868" xr:uid="{044C1DA3-B5DE-4436-8728-AEB5347C4CBC}"/>
    <cellStyle name="20% - Accent5 3 2 5 5" xfId="10427" xr:uid="{8D3865E5-7F4B-44DC-BD45-97D1C651B060}"/>
    <cellStyle name="20% - Accent5 3 2 6" xfId="2302" xr:uid="{00000000-0005-0000-0000-0000E4020000}"/>
    <cellStyle name="20% - Accent5 3 2 6 2" xfId="6608" xr:uid="{00000000-0005-0000-0000-0000E5020000}"/>
    <cellStyle name="20% - Accent5 3 2 6 2 2" xfId="23499" xr:uid="{E8095B17-2017-4FB6-8BAA-8F247B361E9C}"/>
    <cellStyle name="20% - Accent5 3 2 6 2 3" xfId="15058" xr:uid="{51CC8143-4D3B-4BDA-954A-6A30EA5EA329}"/>
    <cellStyle name="20% - Accent5 3 2 6 3" xfId="19281" xr:uid="{EBB87771-3ADB-43C2-AA31-5820D41CCEA1}"/>
    <cellStyle name="20% - Accent5 3 2 6 4" xfId="10840" xr:uid="{097F114E-1355-40B4-B6C0-0E4C234AF089}"/>
    <cellStyle name="20% - Accent5 3 2 7" xfId="4542" xr:uid="{00000000-0005-0000-0000-0000E6020000}"/>
    <cellStyle name="20% - Accent5 3 2 7 2" xfId="21433" xr:uid="{79D28E59-E09A-4A39-9F08-1ED60B95F725}"/>
    <cellStyle name="20% - Accent5 3 2 7 3" xfId="12992" xr:uid="{5B106ABB-1DE5-4E89-972A-E10B83DDE1A3}"/>
    <cellStyle name="20% - Accent5 3 2 8" xfId="17215" xr:uid="{081E594A-BB5B-4BC5-BF79-44885B0AB2A2}"/>
    <cellStyle name="20% - Accent5 3 2 9" xfId="8774" xr:uid="{F07F26E6-3630-4D8D-9DA6-FB67B438AC3D}"/>
    <cellStyle name="20% - Accent5 3 3" xfId="607" xr:uid="{00000000-0005-0000-0000-0000E7020000}"/>
    <cellStyle name="20% - Accent5 3 3 2" xfId="2878" xr:uid="{00000000-0005-0000-0000-0000E8020000}"/>
    <cellStyle name="20% - Accent5 3 3 2 2" xfId="7100" xr:uid="{00000000-0005-0000-0000-0000E9020000}"/>
    <cellStyle name="20% - Accent5 3 3 2 2 2" xfId="23991" xr:uid="{DA1D5F3D-2A63-4A44-BF18-737D311A3643}"/>
    <cellStyle name="20% - Accent5 3 3 2 2 3" xfId="15550" xr:uid="{E982693C-5311-4F6F-A2C5-7FD57E0DF4FC}"/>
    <cellStyle name="20% - Accent5 3 3 2 3" xfId="19773" xr:uid="{39B89B01-D3F1-4930-9A14-3C3165297FC8}"/>
    <cellStyle name="20% - Accent5 3 3 2 4" xfId="11332" xr:uid="{0BC9723B-E238-48BD-8B4A-8C97C8C1B022}"/>
    <cellStyle name="20% - Accent5 3 3 3" xfId="4955" xr:uid="{00000000-0005-0000-0000-0000EA020000}"/>
    <cellStyle name="20% - Accent5 3 3 3 2" xfId="21846" xr:uid="{0E0BB0C1-D1DB-4456-BF12-005C7007B540}"/>
    <cellStyle name="20% - Accent5 3 3 3 3" xfId="13405" xr:uid="{4B19D94F-F1EB-4F6A-8446-9F657AC4AA72}"/>
    <cellStyle name="20% - Accent5 3 3 4" xfId="17628" xr:uid="{A6DD7D37-510E-4AA3-B737-5871C1C6DBDD}"/>
    <cellStyle name="20% - Accent5 3 3 5" xfId="9187" xr:uid="{5F5863E1-C1E5-440D-83C4-1262FF8EEE5F}"/>
    <cellStyle name="20% - Accent5 3 4" xfId="1060" xr:uid="{00000000-0005-0000-0000-0000EB020000}"/>
    <cellStyle name="20% - Accent5 3 4 2" xfId="3291" xr:uid="{00000000-0005-0000-0000-0000EC020000}"/>
    <cellStyle name="20% - Accent5 3 4 2 2" xfId="7513" xr:uid="{00000000-0005-0000-0000-0000ED020000}"/>
    <cellStyle name="20% - Accent5 3 4 2 2 2" xfId="24404" xr:uid="{1A2D9EB3-233F-47ED-ADAF-0AB637539A66}"/>
    <cellStyle name="20% - Accent5 3 4 2 2 3" xfId="15963" xr:uid="{B9BEEA39-F857-4742-8DB5-FB21ABC2C05F}"/>
    <cellStyle name="20% - Accent5 3 4 2 3" xfId="20186" xr:uid="{9C3610D2-3F55-4AA3-B1BF-C1D6A323696F}"/>
    <cellStyle name="20% - Accent5 3 4 2 4" xfId="11745" xr:uid="{C2252EE5-24FA-477D-8F62-3CDC30B4AB7E}"/>
    <cellStyle name="20% - Accent5 3 4 3" xfId="5368" xr:uid="{00000000-0005-0000-0000-0000EE020000}"/>
    <cellStyle name="20% - Accent5 3 4 3 2" xfId="22259" xr:uid="{D7ED0A78-827A-492E-AC81-3E3F947F4AB2}"/>
    <cellStyle name="20% - Accent5 3 4 3 3" xfId="13818" xr:uid="{9DB5A994-AD48-4EC2-AC18-1292B0CAA008}"/>
    <cellStyle name="20% - Accent5 3 4 4" xfId="18041" xr:uid="{0275178C-37D3-426C-A24E-FBB1EFB64968}"/>
    <cellStyle name="20% - Accent5 3 4 5" xfId="9600" xr:uid="{70857CE6-2E7C-407A-BFC2-01FF4704E193}"/>
    <cellStyle name="20% - Accent5 3 5" xfId="1474" xr:uid="{00000000-0005-0000-0000-0000EF020000}"/>
    <cellStyle name="20% - Accent5 3 5 2" xfId="3704" xr:uid="{00000000-0005-0000-0000-0000F0020000}"/>
    <cellStyle name="20% - Accent5 3 5 2 2" xfId="7926" xr:uid="{00000000-0005-0000-0000-0000F1020000}"/>
    <cellStyle name="20% - Accent5 3 5 2 2 2" xfId="24817" xr:uid="{4A8EA45A-24A9-4D25-8BC2-02E51E85DBCE}"/>
    <cellStyle name="20% - Accent5 3 5 2 2 3" xfId="16376" xr:uid="{FD152B9D-03AC-4F12-A45C-93FF7A1890D6}"/>
    <cellStyle name="20% - Accent5 3 5 2 3" xfId="20599" xr:uid="{76183ABA-1972-44DE-A7E1-AF2C8AAA6B94}"/>
    <cellStyle name="20% - Accent5 3 5 2 4" xfId="12158" xr:uid="{FC3F8099-1889-4F3F-BA72-E23AF4195C8F}"/>
    <cellStyle name="20% - Accent5 3 5 3" xfId="5781" xr:uid="{00000000-0005-0000-0000-0000F2020000}"/>
    <cellStyle name="20% - Accent5 3 5 3 2" xfId="22672" xr:uid="{64D9314B-F222-4A18-8CAF-D5AEED900AF9}"/>
    <cellStyle name="20% - Accent5 3 5 3 3" xfId="14231" xr:uid="{144F01D5-9638-43EA-924B-0F5473BAC3D1}"/>
    <cellStyle name="20% - Accent5 3 5 4" xfId="18454" xr:uid="{1550CC6D-1D22-4C61-9F0C-DF280B630E70}"/>
    <cellStyle name="20% - Accent5 3 5 5" xfId="10013" xr:uid="{4DECD660-D697-4685-8D0F-4A3985F9B6CD}"/>
    <cellStyle name="20% - Accent5 3 6" xfId="1888" xr:uid="{00000000-0005-0000-0000-0000F3020000}"/>
    <cellStyle name="20% - Accent5 3 6 2" xfId="4117" xr:uid="{00000000-0005-0000-0000-0000F4020000}"/>
    <cellStyle name="20% - Accent5 3 6 2 2" xfId="8339" xr:uid="{00000000-0005-0000-0000-0000F5020000}"/>
    <cellStyle name="20% - Accent5 3 6 2 2 2" xfId="25230" xr:uid="{C56B28D3-09C4-47A9-A4B1-179A9CA401F4}"/>
    <cellStyle name="20% - Accent5 3 6 2 2 3" xfId="16789" xr:uid="{199BB9A4-3EE1-46C5-BFBE-CE684E37FCB8}"/>
    <cellStyle name="20% - Accent5 3 6 2 3" xfId="21012" xr:uid="{C821E556-B2E6-4384-BB62-08DD70025FC3}"/>
    <cellStyle name="20% - Accent5 3 6 2 4" xfId="12571" xr:uid="{C272AB00-1A0D-4F21-B6D5-360AF7A2AAE8}"/>
    <cellStyle name="20% - Accent5 3 6 3" xfId="6194" xr:uid="{00000000-0005-0000-0000-0000F6020000}"/>
    <cellStyle name="20% - Accent5 3 6 3 2" xfId="23085" xr:uid="{720DBB89-F65B-4E92-8A79-188F7286443F}"/>
    <cellStyle name="20% - Accent5 3 6 3 3" xfId="14644" xr:uid="{C0DAC24A-C36F-49DD-AE2E-F78703921966}"/>
    <cellStyle name="20% - Accent5 3 6 4" xfId="18867" xr:uid="{71BC19FF-07C9-45CE-AF2A-92680746E8F2}"/>
    <cellStyle name="20% - Accent5 3 6 5" xfId="10426" xr:uid="{912BE838-EB73-4143-9091-02C0C9E01FCC}"/>
    <cellStyle name="20% - Accent5 3 7" xfId="2301" xr:uid="{00000000-0005-0000-0000-0000F7020000}"/>
    <cellStyle name="20% - Accent5 3 7 2" xfId="6607" xr:uid="{00000000-0005-0000-0000-0000F8020000}"/>
    <cellStyle name="20% - Accent5 3 7 2 2" xfId="23498" xr:uid="{8F8EC974-6A40-4915-8127-3F403ED20AE3}"/>
    <cellStyle name="20% - Accent5 3 7 2 3" xfId="15057" xr:uid="{27CF9C8D-BCD6-4A1A-8C4D-BC1DBF624276}"/>
    <cellStyle name="20% - Accent5 3 7 3" xfId="19280" xr:uid="{6CC15C8F-EB49-457E-AF89-17243055C939}"/>
    <cellStyle name="20% - Accent5 3 7 4" xfId="10839" xr:uid="{512BBB48-A179-47AA-96A0-9DCDB99FE3B1}"/>
    <cellStyle name="20% - Accent5 3 8" xfId="4541" xr:uid="{00000000-0005-0000-0000-0000F9020000}"/>
    <cellStyle name="20% - Accent5 3 8 2" xfId="21432" xr:uid="{1AA8756B-7F1A-4889-9224-6D33E7B07AF5}"/>
    <cellStyle name="20% - Accent5 3 8 3" xfId="12991" xr:uid="{B56CBC4B-B603-4950-A658-1DAA7772F58A}"/>
    <cellStyle name="20% - Accent5 3 9" xfId="17214" xr:uid="{2DE6B891-2EF3-47B5-9D5C-F9C0C427ECCC}"/>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2 2 2" xfId="23993" xr:uid="{AFC6ADFD-04E0-478F-8E46-87CA112E76EE}"/>
    <cellStyle name="20% - Accent5 4 2 2 2 3" xfId="15552" xr:uid="{44D17298-F9A5-4E9D-A7E7-570A9E36DFEA}"/>
    <cellStyle name="20% - Accent5 4 2 2 3" xfId="19775" xr:uid="{DA399998-239B-4BD3-92FC-BD4B73B7751D}"/>
    <cellStyle name="20% - Accent5 4 2 2 4" xfId="11334" xr:uid="{D72EF9B4-5AF9-4A32-94D6-16906B025AC4}"/>
    <cellStyle name="20% - Accent5 4 2 3" xfId="4957" xr:uid="{00000000-0005-0000-0000-0000FE020000}"/>
    <cellStyle name="20% - Accent5 4 2 3 2" xfId="21848" xr:uid="{F4D891FA-84D9-4F92-AD12-6F09E0784391}"/>
    <cellStyle name="20% - Accent5 4 2 3 3" xfId="13407" xr:uid="{9E108847-952D-445E-922F-A491CAD00F62}"/>
    <cellStyle name="20% - Accent5 4 2 4" xfId="17630" xr:uid="{257E8907-1E12-4C76-BB07-80C874379B82}"/>
    <cellStyle name="20% - Accent5 4 2 5" xfId="9189" xr:uid="{B4671262-C601-474C-B7EF-8418C23E7482}"/>
    <cellStyle name="20% - Accent5 4 3" xfId="1062" xr:uid="{00000000-0005-0000-0000-0000FF020000}"/>
    <cellStyle name="20% - Accent5 4 3 2" xfId="3293" xr:uid="{00000000-0005-0000-0000-000000030000}"/>
    <cellStyle name="20% - Accent5 4 3 2 2" xfId="7515" xr:uid="{00000000-0005-0000-0000-000001030000}"/>
    <cellStyle name="20% - Accent5 4 3 2 2 2" xfId="24406" xr:uid="{21D773E2-6F47-4D5A-8897-83C9D9333DC7}"/>
    <cellStyle name="20% - Accent5 4 3 2 2 3" xfId="15965" xr:uid="{746245AD-0342-4080-AC6C-9CB4E803552A}"/>
    <cellStyle name="20% - Accent5 4 3 2 3" xfId="20188" xr:uid="{4F27894C-C650-4FDD-8EB3-848F4B928018}"/>
    <cellStyle name="20% - Accent5 4 3 2 4" xfId="11747" xr:uid="{C6E865F0-7F21-4977-868A-51615423F133}"/>
    <cellStyle name="20% - Accent5 4 3 3" xfId="5370" xr:uid="{00000000-0005-0000-0000-000002030000}"/>
    <cellStyle name="20% - Accent5 4 3 3 2" xfId="22261" xr:uid="{945FC359-2CBE-462F-81B2-57D099969088}"/>
    <cellStyle name="20% - Accent5 4 3 3 3" xfId="13820" xr:uid="{CDDC35BF-98B3-46BA-904D-43B3772EE65D}"/>
    <cellStyle name="20% - Accent5 4 3 4" xfId="18043" xr:uid="{14663654-3AF9-478F-80FA-EB15454BDA61}"/>
    <cellStyle name="20% - Accent5 4 3 5" xfId="9602" xr:uid="{CEA6F9AC-7E2D-4158-9524-C8444E6EC2CE}"/>
    <cellStyle name="20% - Accent5 4 4" xfId="1476" xr:uid="{00000000-0005-0000-0000-000003030000}"/>
    <cellStyle name="20% - Accent5 4 4 2" xfId="3706" xr:uid="{00000000-0005-0000-0000-000004030000}"/>
    <cellStyle name="20% - Accent5 4 4 2 2" xfId="7928" xr:uid="{00000000-0005-0000-0000-000005030000}"/>
    <cellStyle name="20% - Accent5 4 4 2 2 2" xfId="24819" xr:uid="{FA2968DC-A8D2-48EC-B23A-0827673741F6}"/>
    <cellStyle name="20% - Accent5 4 4 2 2 3" xfId="16378" xr:uid="{3E750CA8-A421-4673-82EE-BFC6F16FA344}"/>
    <cellStyle name="20% - Accent5 4 4 2 3" xfId="20601" xr:uid="{C9264947-FD2D-48CA-B0E1-3821995EC484}"/>
    <cellStyle name="20% - Accent5 4 4 2 4" xfId="12160" xr:uid="{83FCF0E2-4795-4EA2-AAB8-D6C740F01DBA}"/>
    <cellStyle name="20% - Accent5 4 4 3" xfId="5783" xr:uid="{00000000-0005-0000-0000-000006030000}"/>
    <cellStyle name="20% - Accent5 4 4 3 2" xfId="22674" xr:uid="{B0BE205D-DB14-48AF-86AC-DCBE8436DF1F}"/>
    <cellStyle name="20% - Accent5 4 4 3 3" xfId="14233" xr:uid="{6A7F438B-CC0B-436D-8DEA-9660FBF11D35}"/>
    <cellStyle name="20% - Accent5 4 4 4" xfId="18456" xr:uid="{837C0F54-9ACF-4E24-83D6-CB3EC9905082}"/>
    <cellStyle name="20% - Accent5 4 4 5" xfId="10015" xr:uid="{C85252C9-4824-4B1D-9FD9-F633BAEABA02}"/>
    <cellStyle name="20% - Accent5 4 5" xfId="1890" xr:uid="{00000000-0005-0000-0000-000007030000}"/>
    <cellStyle name="20% - Accent5 4 5 2" xfId="4119" xr:uid="{00000000-0005-0000-0000-000008030000}"/>
    <cellStyle name="20% - Accent5 4 5 2 2" xfId="8341" xr:uid="{00000000-0005-0000-0000-000009030000}"/>
    <cellStyle name="20% - Accent5 4 5 2 2 2" xfId="25232" xr:uid="{B7A7901B-F81C-4FC7-84F4-B1CF6420E3AE}"/>
    <cellStyle name="20% - Accent5 4 5 2 2 3" xfId="16791" xr:uid="{F4BB8C0E-6838-422F-AED5-6E8B9C96CE98}"/>
    <cellStyle name="20% - Accent5 4 5 2 3" xfId="21014" xr:uid="{6C762406-66C2-432F-A11F-1C3283382F46}"/>
    <cellStyle name="20% - Accent5 4 5 2 4" xfId="12573" xr:uid="{A88DF50D-3538-4F6D-984D-4CE8A21A88A3}"/>
    <cellStyle name="20% - Accent5 4 5 3" xfId="6196" xr:uid="{00000000-0005-0000-0000-00000A030000}"/>
    <cellStyle name="20% - Accent5 4 5 3 2" xfId="23087" xr:uid="{6ADC6DAB-096A-43AC-91FC-66066C710F1D}"/>
    <cellStyle name="20% - Accent5 4 5 3 3" xfId="14646" xr:uid="{8AD52BF0-81D5-4369-B9D5-D698B269AF9D}"/>
    <cellStyle name="20% - Accent5 4 5 4" xfId="18869" xr:uid="{DEE29908-7992-4F6D-AC3B-FA73E05B19E4}"/>
    <cellStyle name="20% - Accent5 4 5 5" xfId="10428" xr:uid="{E7252571-6F80-4CD1-B3AA-7B55AC85B4B9}"/>
    <cellStyle name="20% - Accent5 4 6" xfId="2303" xr:uid="{00000000-0005-0000-0000-00000B030000}"/>
    <cellStyle name="20% - Accent5 4 6 2" xfId="6609" xr:uid="{00000000-0005-0000-0000-00000C030000}"/>
    <cellStyle name="20% - Accent5 4 6 2 2" xfId="23500" xr:uid="{744FA334-BB11-4995-A47A-C14D025F05F9}"/>
    <cellStyle name="20% - Accent5 4 6 2 3" xfId="15059" xr:uid="{ABAACCCE-1787-410A-8B4C-992BA767670C}"/>
    <cellStyle name="20% - Accent5 4 6 3" xfId="19282" xr:uid="{95987DB4-4B4F-433A-BE1A-51CD36A5F884}"/>
    <cellStyle name="20% - Accent5 4 6 4" xfId="10841" xr:uid="{0B0DA5BC-3433-4582-A99F-2E564A4807AF}"/>
    <cellStyle name="20% - Accent5 4 7" xfId="4543" xr:uid="{00000000-0005-0000-0000-00000D030000}"/>
    <cellStyle name="20% - Accent5 4 7 2" xfId="21434" xr:uid="{847AF39D-9700-4140-BC4A-8AF9C5C09548}"/>
    <cellStyle name="20% - Accent5 4 7 3" xfId="12993" xr:uid="{A2BFB4E8-9849-4620-B1A4-DFE88378DE5C}"/>
    <cellStyle name="20% - Accent5 4 8" xfId="17216" xr:uid="{C210191D-5C3B-46E6-B38F-F251E3252A30}"/>
    <cellStyle name="20% - Accent5 4 9" xfId="8775" xr:uid="{409BDFC0-5090-4CD8-91F7-0DA8F9761980}"/>
    <cellStyle name="20% - Accent5 5" xfId="602" xr:uid="{00000000-0005-0000-0000-00000E030000}"/>
    <cellStyle name="20% - Accent5 5 2" xfId="2873" xr:uid="{00000000-0005-0000-0000-00000F030000}"/>
    <cellStyle name="20% - Accent5 5 2 2" xfId="7095" xr:uid="{00000000-0005-0000-0000-000010030000}"/>
    <cellStyle name="20% - Accent5 5 2 2 2" xfId="23986" xr:uid="{8CB0C8B1-BA92-49E3-B016-C161D222E461}"/>
    <cellStyle name="20% - Accent5 5 2 2 3" xfId="15545" xr:uid="{23DCD121-1FBA-4DDF-9EB7-35D17D0BE455}"/>
    <cellStyle name="20% - Accent5 5 2 3" xfId="19768" xr:uid="{54EE0B5C-DB23-42E2-835A-F115C5252142}"/>
    <cellStyle name="20% - Accent5 5 2 4" xfId="11327" xr:uid="{E1BCF0E9-595F-42D5-B30F-D858463235BD}"/>
    <cellStyle name="20% - Accent5 5 3" xfId="4950" xr:uid="{00000000-0005-0000-0000-000011030000}"/>
    <cellStyle name="20% - Accent5 5 3 2" xfId="21841" xr:uid="{3D05EA07-8415-419A-B1EB-E4A896F8DE1E}"/>
    <cellStyle name="20% - Accent5 5 3 3" xfId="13400" xr:uid="{86F05D87-F19E-4569-B657-5F2C0F28D2FB}"/>
    <cellStyle name="20% - Accent5 5 4" xfId="17623" xr:uid="{4A439E68-ECB0-4009-B38F-93A3C6796851}"/>
    <cellStyle name="20% - Accent5 5 5" xfId="9182" xr:uid="{2727ECA7-E1BE-4D87-93E7-479CE56940CF}"/>
    <cellStyle name="20% - Accent5 6" xfId="1055" xr:uid="{00000000-0005-0000-0000-000012030000}"/>
    <cellStyle name="20% - Accent5 6 2" xfId="3286" xr:uid="{00000000-0005-0000-0000-000013030000}"/>
    <cellStyle name="20% - Accent5 6 2 2" xfId="7508" xr:uid="{00000000-0005-0000-0000-000014030000}"/>
    <cellStyle name="20% - Accent5 6 2 2 2" xfId="24399" xr:uid="{BC423317-CF7C-4F02-9FE1-3B8DDF1210A9}"/>
    <cellStyle name="20% - Accent5 6 2 2 3" xfId="15958" xr:uid="{10C4FB1F-F3B6-4473-A75B-D32F546B6754}"/>
    <cellStyle name="20% - Accent5 6 2 3" xfId="20181" xr:uid="{84478285-D275-4913-AD19-C4B74DAB2FBC}"/>
    <cellStyle name="20% - Accent5 6 2 4" xfId="11740" xr:uid="{1C521F71-1C6A-4A60-B83F-97037B3552F4}"/>
    <cellStyle name="20% - Accent5 6 3" xfId="5363" xr:uid="{00000000-0005-0000-0000-000015030000}"/>
    <cellStyle name="20% - Accent5 6 3 2" xfId="22254" xr:uid="{40DB2238-D064-4C8F-8D64-B7FAA8D1EA8D}"/>
    <cellStyle name="20% - Accent5 6 3 3" xfId="13813" xr:uid="{B60C0CEC-446B-4261-9B52-0D11D9AD34EA}"/>
    <cellStyle name="20% - Accent5 6 4" xfId="18036" xr:uid="{7E97A3FF-C453-4885-80A5-1673780A43C9}"/>
    <cellStyle name="20% - Accent5 6 5" xfId="9595" xr:uid="{3AFBBDD7-4622-4640-9A9B-7DC859BABC0B}"/>
    <cellStyle name="20% - Accent5 7" xfId="1469" xr:uid="{00000000-0005-0000-0000-000016030000}"/>
    <cellStyle name="20% - Accent5 7 2" xfId="3699" xr:uid="{00000000-0005-0000-0000-000017030000}"/>
    <cellStyle name="20% - Accent5 7 2 2" xfId="7921" xr:uid="{00000000-0005-0000-0000-000018030000}"/>
    <cellStyle name="20% - Accent5 7 2 2 2" xfId="24812" xr:uid="{6A919FBA-F135-4D7F-9AC6-349ED4465615}"/>
    <cellStyle name="20% - Accent5 7 2 2 3" xfId="16371" xr:uid="{CAE65E2A-B637-4910-9399-89C9A96D24CE}"/>
    <cellStyle name="20% - Accent5 7 2 3" xfId="20594" xr:uid="{3534A24D-9AEF-46DD-AF79-53BFC9E47A6B}"/>
    <cellStyle name="20% - Accent5 7 2 4" xfId="12153" xr:uid="{65CE287E-7518-400A-ADF5-DD60492F7F37}"/>
    <cellStyle name="20% - Accent5 7 3" xfId="5776" xr:uid="{00000000-0005-0000-0000-000019030000}"/>
    <cellStyle name="20% - Accent5 7 3 2" xfId="22667" xr:uid="{38D5B097-BC73-4F6C-9CB1-23B001D74EA9}"/>
    <cellStyle name="20% - Accent5 7 3 3" xfId="14226" xr:uid="{3B89D338-47FA-463C-ACC7-0FCCCC484EC3}"/>
    <cellStyle name="20% - Accent5 7 4" xfId="18449" xr:uid="{639FEF01-EE3E-4719-88D4-8155B4A78CA1}"/>
    <cellStyle name="20% - Accent5 7 5" xfId="10008" xr:uid="{25F11930-30ED-43BB-A16C-E426280989DB}"/>
    <cellStyle name="20% - Accent5 8" xfId="1883" xr:uid="{00000000-0005-0000-0000-00001A030000}"/>
    <cellStyle name="20% - Accent5 8 2" xfId="4112" xr:uid="{00000000-0005-0000-0000-00001B030000}"/>
    <cellStyle name="20% - Accent5 8 2 2" xfId="8334" xr:uid="{00000000-0005-0000-0000-00001C030000}"/>
    <cellStyle name="20% - Accent5 8 2 2 2" xfId="25225" xr:uid="{E5A9512D-DC13-4C41-BB39-480CDFE82533}"/>
    <cellStyle name="20% - Accent5 8 2 2 3" xfId="16784" xr:uid="{ED583030-F732-4CE7-9DD5-9128A0600FAC}"/>
    <cellStyle name="20% - Accent5 8 2 3" xfId="21007" xr:uid="{E59146F8-3A02-4095-A43E-CBA133DB3261}"/>
    <cellStyle name="20% - Accent5 8 2 4" xfId="12566" xr:uid="{BE0619E6-F1A4-4059-BB11-FF26E208C232}"/>
    <cellStyle name="20% - Accent5 8 3" xfId="6189" xr:uid="{00000000-0005-0000-0000-00001D030000}"/>
    <cellStyle name="20% - Accent5 8 3 2" xfId="23080" xr:uid="{B25EDF12-5FE1-4900-9442-D8F9E77C19F6}"/>
    <cellStyle name="20% - Accent5 8 3 3" xfId="14639" xr:uid="{AE9D5751-2D55-46C5-A017-D4009D88D1DA}"/>
    <cellStyle name="20% - Accent5 8 4" xfId="18862" xr:uid="{A5DAE6FE-A92C-4944-A51B-2936BECADA29}"/>
    <cellStyle name="20% - Accent5 8 5" xfId="10421" xr:uid="{957697A5-1727-46FF-89F9-CFD6A9EB7479}"/>
    <cellStyle name="20% - Accent5 9" xfId="2296" xr:uid="{00000000-0005-0000-0000-00001E030000}"/>
    <cellStyle name="20% - Accent5 9 2" xfId="6602" xr:uid="{00000000-0005-0000-0000-00001F030000}"/>
    <cellStyle name="20% - Accent5 9 2 2" xfId="23493" xr:uid="{F8B8F187-1274-4BEB-A8A0-E1B9530CAA94}"/>
    <cellStyle name="20% - Accent5 9 2 3" xfId="15052" xr:uid="{9C7E3465-558A-4B08-803A-966A7757DF91}"/>
    <cellStyle name="20% - Accent5 9 3" xfId="19275" xr:uid="{6AB06C88-C34C-4068-BF9E-0F77107E224E}"/>
    <cellStyle name="20% - Accent5 9 4" xfId="10834" xr:uid="{9ADA19BE-AEBB-4B26-B832-1968C7AA6525}"/>
    <cellStyle name="20% - Accent6" xfId="41" builtinId="50" customBuiltin="1"/>
    <cellStyle name="20% - Accent6 10" xfId="4544" xr:uid="{00000000-0005-0000-0000-000021030000}"/>
    <cellStyle name="20% - Accent6 10 2" xfId="21435" xr:uid="{A35B1202-65B8-492D-8C2A-A15948691F04}"/>
    <cellStyle name="20% - Accent6 10 3" xfId="12994" xr:uid="{C5EA916D-DD82-4F9D-9A71-0FB3CED0CAE4}"/>
    <cellStyle name="20% - Accent6 11" xfId="17217" xr:uid="{FC288256-8ECA-4779-8192-99C93F98C03B}"/>
    <cellStyle name="20% - Accent6 12" xfId="8776" xr:uid="{0432AE14-0022-4365-89A6-4AEB58792192}"/>
    <cellStyle name="20% - Accent6 2" xfId="42" xr:uid="{00000000-0005-0000-0000-000022030000}"/>
    <cellStyle name="20% - Accent6 2 10" xfId="17218" xr:uid="{179CD051-0D72-4A47-8466-6E5E6B90F024}"/>
    <cellStyle name="20% - Accent6 2 11" xfId="8777" xr:uid="{42FD1FAC-89B3-4A29-BA21-0E7F94D0F31B}"/>
    <cellStyle name="20% - Accent6 2 2" xfId="43" xr:uid="{00000000-0005-0000-0000-000023030000}"/>
    <cellStyle name="20% - Accent6 2 2 10" xfId="8778" xr:uid="{8B8742C7-A09A-4CC2-BF6F-FC8119AFA8F8}"/>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23997" xr:uid="{1CFA9D17-7BF2-4F97-BFBE-F8604938DE58}"/>
    <cellStyle name="20% - Accent6 2 2 2 2 2 2 3" xfId="15556" xr:uid="{74BFD877-8762-4B28-AC97-CCE5CB2C06A4}"/>
    <cellStyle name="20% - Accent6 2 2 2 2 2 3" xfId="19779" xr:uid="{F42BBDA8-16F3-415B-9763-6FC28142783B}"/>
    <cellStyle name="20% - Accent6 2 2 2 2 2 4" xfId="11338" xr:uid="{D26BA431-EC7F-4CE6-9E1F-9CE009BF8B60}"/>
    <cellStyle name="20% - Accent6 2 2 2 2 3" xfId="4961" xr:uid="{00000000-0005-0000-0000-000028030000}"/>
    <cellStyle name="20% - Accent6 2 2 2 2 3 2" xfId="21852" xr:uid="{704A0067-EB28-4041-9E68-503BCF58ACD3}"/>
    <cellStyle name="20% - Accent6 2 2 2 2 3 3" xfId="13411" xr:uid="{C0611883-277B-4A10-A412-561EAD3163E9}"/>
    <cellStyle name="20% - Accent6 2 2 2 2 4" xfId="17634" xr:uid="{DCD7D131-D756-4865-95AB-F60943B45949}"/>
    <cellStyle name="20% - Accent6 2 2 2 2 5" xfId="9193" xr:uid="{5B4B3E28-CCC9-4F9C-963E-D06440E5EF6D}"/>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24410" xr:uid="{30492F86-5DB9-4603-BC5D-76DE19926693}"/>
    <cellStyle name="20% - Accent6 2 2 2 3 2 2 3" xfId="15969" xr:uid="{F5C838A4-2469-40D7-886A-E5491A644137}"/>
    <cellStyle name="20% - Accent6 2 2 2 3 2 3" xfId="20192" xr:uid="{F15F7435-82F0-421D-AE15-97620FDA2288}"/>
    <cellStyle name="20% - Accent6 2 2 2 3 2 4" xfId="11751" xr:uid="{0E1C75B9-C774-4F52-88DE-1A115F8B1060}"/>
    <cellStyle name="20% - Accent6 2 2 2 3 3" xfId="5374" xr:uid="{00000000-0005-0000-0000-00002C030000}"/>
    <cellStyle name="20% - Accent6 2 2 2 3 3 2" xfId="22265" xr:uid="{3895B4BE-6BF1-4DBB-9490-AF986AE5B998}"/>
    <cellStyle name="20% - Accent6 2 2 2 3 3 3" xfId="13824" xr:uid="{686771D1-4A4C-4F94-B415-DD8F4B556829}"/>
    <cellStyle name="20% - Accent6 2 2 2 3 4" xfId="18047" xr:uid="{CCDE6F8C-D30A-474D-96C5-4C524FCA5F01}"/>
    <cellStyle name="20% - Accent6 2 2 2 3 5" xfId="9606" xr:uid="{6FE4BF2B-CBCE-4E60-8C1B-0A0B09DDA07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24823" xr:uid="{CB5A5D7A-AD68-4452-B3A2-1286C9A01004}"/>
    <cellStyle name="20% - Accent6 2 2 2 4 2 2 3" xfId="16382" xr:uid="{1E52E907-FDC9-4C53-91B9-6E40B690C5C1}"/>
    <cellStyle name="20% - Accent6 2 2 2 4 2 3" xfId="20605" xr:uid="{28D9DFAE-D9AA-420E-908C-46262B026E42}"/>
    <cellStyle name="20% - Accent6 2 2 2 4 2 4" xfId="12164" xr:uid="{F255092C-01DA-4644-84C9-EBB6C94C6D3D}"/>
    <cellStyle name="20% - Accent6 2 2 2 4 3" xfId="5787" xr:uid="{00000000-0005-0000-0000-000030030000}"/>
    <cellStyle name="20% - Accent6 2 2 2 4 3 2" xfId="22678" xr:uid="{8283A1F8-E278-42F0-B2E5-0BC045218690}"/>
    <cellStyle name="20% - Accent6 2 2 2 4 3 3" xfId="14237" xr:uid="{3B70F03C-88C2-4AF5-8552-AF854E18B889}"/>
    <cellStyle name="20% - Accent6 2 2 2 4 4" xfId="18460" xr:uid="{B707C3EA-C775-46A0-8F68-16B81377E193}"/>
    <cellStyle name="20% - Accent6 2 2 2 4 5" xfId="10019" xr:uid="{F3D09692-3450-4AEB-A8A5-F2B9871030E7}"/>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25236" xr:uid="{16F1E88A-44E2-4770-97D9-3189D3E5A9F2}"/>
    <cellStyle name="20% - Accent6 2 2 2 5 2 2 3" xfId="16795" xr:uid="{56C108AA-103D-487C-9EAE-70168A8F6512}"/>
    <cellStyle name="20% - Accent6 2 2 2 5 2 3" xfId="21018" xr:uid="{7ED3A16B-3C95-4247-BE11-7702902EFC76}"/>
    <cellStyle name="20% - Accent6 2 2 2 5 2 4" xfId="12577" xr:uid="{E143CC43-D169-47C4-984E-89BAAAA5CD01}"/>
    <cellStyle name="20% - Accent6 2 2 2 5 3" xfId="6200" xr:uid="{00000000-0005-0000-0000-000034030000}"/>
    <cellStyle name="20% - Accent6 2 2 2 5 3 2" xfId="23091" xr:uid="{F08709E5-7E70-461E-844C-84CDA2005D98}"/>
    <cellStyle name="20% - Accent6 2 2 2 5 3 3" xfId="14650" xr:uid="{5D1E5D03-CA35-471F-A9F1-83D09E328AE3}"/>
    <cellStyle name="20% - Accent6 2 2 2 5 4" xfId="18873" xr:uid="{D2F87B49-C1F8-4632-866C-FE143763B5C3}"/>
    <cellStyle name="20% - Accent6 2 2 2 5 5" xfId="10432" xr:uid="{A2718F3E-EFCF-448B-B353-9FC466F029DB}"/>
    <cellStyle name="20% - Accent6 2 2 2 6" xfId="2307" xr:uid="{00000000-0005-0000-0000-000035030000}"/>
    <cellStyle name="20% - Accent6 2 2 2 6 2" xfId="6613" xr:uid="{00000000-0005-0000-0000-000036030000}"/>
    <cellStyle name="20% - Accent6 2 2 2 6 2 2" xfId="23504" xr:uid="{A040EC6F-1BBF-4C33-BDE5-4E81BA518B9B}"/>
    <cellStyle name="20% - Accent6 2 2 2 6 2 3" xfId="15063" xr:uid="{93F5E880-21BB-427F-BCCF-EEDAFD4870DD}"/>
    <cellStyle name="20% - Accent6 2 2 2 6 3" xfId="19286" xr:uid="{E3646B05-0004-40FA-9281-E5FD86CB9D92}"/>
    <cellStyle name="20% - Accent6 2 2 2 6 4" xfId="10845" xr:uid="{FCE6F397-F30B-4A56-BCCE-F59DF9212FB9}"/>
    <cellStyle name="20% - Accent6 2 2 2 7" xfId="4547" xr:uid="{00000000-0005-0000-0000-000037030000}"/>
    <cellStyle name="20% - Accent6 2 2 2 7 2" xfId="21438" xr:uid="{1370A8AC-D93B-48D2-9C74-6CC4D94FFD6C}"/>
    <cellStyle name="20% - Accent6 2 2 2 7 3" xfId="12997" xr:uid="{C8CAE85B-B83F-4E23-B392-9968872E5905}"/>
    <cellStyle name="20% - Accent6 2 2 2 8" xfId="17220" xr:uid="{AEE04653-AD04-4DC5-B0DA-50F2B567A87B}"/>
    <cellStyle name="20% - Accent6 2 2 2 9" xfId="8779" xr:uid="{B835AF92-FC76-4334-9F9A-3E91E09C0DCF}"/>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23996" xr:uid="{E9E7B363-6703-4787-B4EA-B4CB8D2CF863}"/>
    <cellStyle name="20% - Accent6 2 2 3 2 2 3" xfId="15555" xr:uid="{17F01DC1-6198-452B-A420-D7304FDFABA3}"/>
    <cellStyle name="20% - Accent6 2 2 3 2 3" xfId="19778" xr:uid="{085700F5-FEF0-46FA-BD29-5F6E02400991}"/>
    <cellStyle name="20% - Accent6 2 2 3 2 4" xfId="11337" xr:uid="{625BEB7C-864E-4246-8123-0EE485D549F5}"/>
    <cellStyle name="20% - Accent6 2 2 3 3" xfId="4960" xr:uid="{00000000-0005-0000-0000-00003B030000}"/>
    <cellStyle name="20% - Accent6 2 2 3 3 2" xfId="21851" xr:uid="{EB305895-B48B-40B1-9569-1C31A8755878}"/>
    <cellStyle name="20% - Accent6 2 2 3 3 3" xfId="13410" xr:uid="{9A8737FA-9388-4129-B0EE-B03E326600DA}"/>
    <cellStyle name="20% - Accent6 2 2 3 4" xfId="17633" xr:uid="{686589F6-D3D3-41FB-B7DF-BDF09FF00092}"/>
    <cellStyle name="20% - Accent6 2 2 3 5" xfId="9192" xr:uid="{A461BB19-E2BF-4813-954D-04EA104D387A}"/>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24409" xr:uid="{1185AA66-ACC6-478B-9E62-7835C0F09AA7}"/>
    <cellStyle name="20% - Accent6 2 2 4 2 2 3" xfId="15968" xr:uid="{E88E93A3-CCAA-4235-8C04-5B63EE5A8D8C}"/>
    <cellStyle name="20% - Accent6 2 2 4 2 3" xfId="20191" xr:uid="{93A96AD0-9346-49EF-A3DA-7988747965E7}"/>
    <cellStyle name="20% - Accent6 2 2 4 2 4" xfId="11750" xr:uid="{5A721801-326B-491A-8CD1-66A22D1FCC47}"/>
    <cellStyle name="20% - Accent6 2 2 4 3" xfId="5373" xr:uid="{00000000-0005-0000-0000-00003F030000}"/>
    <cellStyle name="20% - Accent6 2 2 4 3 2" xfId="22264" xr:uid="{D8144E38-5142-48F9-AF17-B9B6EFABB606}"/>
    <cellStyle name="20% - Accent6 2 2 4 3 3" xfId="13823" xr:uid="{B1865591-E823-4A11-8CFC-1FCA180BB660}"/>
    <cellStyle name="20% - Accent6 2 2 4 4" xfId="18046" xr:uid="{5B6D9B97-80C3-4EDC-A882-11E09106C7A3}"/>
    <cellStyle name="20% - Accent6 2 2 4 5" xfId="9605" xr:uid="{03929AEB-C55C-4369-A0A6-AEBFFBCDBE75}"/>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24822" xr:uid="{6AA39C9F-1747-4E78-A9BD-3F7F80FF21E4}"/>
    <cellStyle name="20% - Accent6 2 2 5 2 2 3" xfId="16381" xr:uid="{AA056258-B76A-471E-BCD4-B1E36E30B6DD}"/>
    <cellStyle name="20% - Accent6 2 2 5 2 3" xfId="20604" xr:uid="{4C2EE246-5E4B-46BB-BDA3-00C85862FE51}"/>
    <cellStyle name="20% - Accent6 2 2 5 2 4" xfId="12163" xr:uid="{80541D93-39A4-426D-9C49-54E3B3258694}"/>
    <cellStyle name="20% - Accent6 2 2 5 3" xfId="5786" xr:uid="{00000000-0005-0000-0000-000043030000}"/>
    <cellStyle name="20% - Accent6 2 2 5 3 2" xfId="22677" xr:uid="{E209913A-A7CA-44CB-A6E2-1DADD55D9E12}"/>
    <cellStyle name="20% - Accent6 2 2 5 3 3" xfId="14236" xr:uid="{594F8B71-D0DC-46C0-8628-7543CF2D2E0C}"/>
    <cellStyle name="20% - Accent6 2 2 5 4" xfId="18459" xr:uid="{ECC74F94-882C-4EBD-8CA5-6D286BA40AC2}"/>
    <cellStyle name="20% - Accent6 2 2 5 5" xfId="10018" xr:uid="{8811D586-BCFD-43D9-8900-3FA5D51FB7AB}"/>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25235" xr:uid="{57C3440B-03D3-4B4A-B465-F11254EBD9FB}"/>
    <cellStyle name="20% - Accent6 2 2 6 2 2 3" xfId="16794" xr:uid="{E86B8DFE-396F-421A-943F-B8A2754DA59A}"/>
    <cellStyle name="20% - Accent6 2 2 6 2 3" xfId="21017" xr:uid="{A2C1BAFD-0E7F-4829-B087-004213BF614E}"/>
    <cellStyle name="20% - Accent6 2 2 6 2 4" xfId="12576" xr:uid="{70EC877C-E302-47CD-9880-7E41F4C31384}"/>
    <cellStyle name="20% - Accent6 2 2 6 3" xfId="6199" xr:uid="{00000000-0005-0000-0000-000047030000}"/>
    <cellStyle name="20% - Accent6 2 2 6 3 2" xfId="23090" xr:uid="{FBCF8E96-012F-4CA5-8FEC-0F003E2C5FB7}"/>
    <cellStyle name="20% - Accent6 2 2 6 3 3" xfId="14649" xr:uid="{486C03C1-0559-4D9F-BE70-12216BC8A25E}"/>
    <cellStyle name="20% - Accent6 2 2 6 4" xfId="18872" xr:uid="{67141A22-58E0-4C84-9E53-B008B355DC5E}"/>
    <cellStyle name="20% - Accent6 2 2 6 5" xfId="10431" xr:uid="{E22EF87C-5EF9-43AF-A332-E0A680538AF2}"/>
    <cellStyle name="20% - Accent6 2 2 7" xfId="2306" xr:uid="{00000000-0005-0000-0000-000048030000}"/>
    <cellStyle name="20% - Accent6 2 2 7 2" xfId="6612" xr:uid="{00000000-0005-0000-0000-000049030000}"/>
    <cellStyle name="20% - Accent6 2 2 7 2 2" xfId="23503" xr:uid="{09CEE535-774C-4AD1-8C6F-D84460827310}"/>
    <cellStyle name="20% - Accent6 2 2 7 2 3" xfId="15062" xr:uid="{E4C12DDC-D231-4D4E-AD4C-A8E001BB9823}"/>
    <cellStyle name="20% - Accent6 2 2 7 3" xfId="19285" xr:uid="{C7728240-1693-4726-896E-150AE51337A2}"/>
    <cellStyle name="20% - Accent6 2 2 7 4" xfId="10844" xr:uid="{FDD55E5F-A715-4B9C-AE91-A665C56BD443}"/>
    <cellStyle name="20% - Accent6 2 2 8" xfId="4546" xr:uid="{00000000-0005-0000-0000-00004A030000}"/>
    <cellStyle name="20% - Accent6 2 2 8 2" xfId="21437" xr:uid="{23F8583A-7062-4548-98ED-A982AABA321E}"/>
    <cellStyle name="20% - Accent6 2 2 8 3" xfId="12996" xr:uid="{4B4E8D79-E9FE-43DB-95B2-0E0CCA83E409}"/>
    <cellStyle name="20% - Accent6 2 2 9" xfId="17219" xr:uid="{2CFC2562-654A-4597-A829-A1AAC42A690B}"/>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23998" xr:uid="{F5D5D4D7-4B41-40A1-B9C6-9F7049BD0636}"/>
    <cellStyle name="20% - Accent6 2 3 2 2 2 3" xfId="15557" xr:uid="{7E571F7E-CB18-4719-94D5-7F1C567BD0F6}"/>
    <cellStyle name="20% - Accent6 2 3 2 2 3" xfId="19780" xr:uid="{FF0D067C-7EBB-4F8E-BAE2-28FD1728BF82}"/>
    <cellStyle name="20% - Accent6 2 3 2 2 4" xfId="11339" xr:uid="{2F9E0181-8F7B-433A-B344-8EA436EAE650}"/>
    <cellStyle name="20% - Accent6 2 3 2 3" xfId="4962" xr:uid="{00000000-0005-0000-0000-00004F030000}"/>
    <cellStyle name="20% - Accent6 2 3 2 3 2" xfId="21853" xr:uid="{CC6EBDF1-E94F-4923-B08A-A7AF53A95F23}"/>
    <cellStyle name="20% - Accent6 2 3 2 3 3" xfId="13412" xr:uid="{4368C8D1-1C3D-4964-A7C9-22AC80AC9B1A}"/>
    <cellStyle name="20% - Accent6 2 3 2 4" xfId="17635" xr:uid="{08E0C340-1427-458C-A99A-369C5903443A}"/>
    <cellStyle name="20% - Accent6 2 3 2 5" xfId="9194" xr:uid="{CB7EA9E8-891D-4BAE-8366-2D2424889F67}"/>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24411" xr:uid="{861E5B9F-3980-4D9F-B63A-46B020F25845}"/>
    <cellStyle name="20% - Accent6 2 3 3 2 2 3" xfId="15970" xr:uid="{1BAE582C-D532-47D8-B8C8-692C4BFD7C1A}"/>
    <cellStyle name="20% - Accent6 2 3 3 2 3" xfId="20193" xr:uid="{AC04B472-4DD1-4B2E-A94F-A2814283BF31}"/>
    <cellStyle name="20% - Accent6 2 3 3 2 4" xfId="11752" xr:uid="{3A50D75A-048E-49B9-8631-3AEF88BFD87D}"/>
    <cellStyle name="20% - Accent6 2 3 3 3" xfId="5375" xr:uid="{00000000-0005-0000-0000-000053030000}"/>
    <cellStyle name="20% - Accent6 2 3 3 3 2" xfId="22266" xr:uid="{1B9F99D6-D40A-4B67-BBEB-A9B80A565089}"/>
    <cellStyle name="20% - Accent6 2 3 3 3 3" xfId="13825" xr:uid="{D3A26E39-B0DB-4508-A903-64BA63E157B0}"/>
    <cellStyle name="20% - Accent6 2 3 3 4" xfId="18048" xr:uid="{BDF6253B-68F4-4E04-AD27-04F373C2088F}"/>
    <cellStyle name="20% - Accent6 2 3 3 5" xfId="9607" xr:uid="{B248BF81-F9AC-4BF8-8968-9541E152A0AA}"/>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24824" xr:uid="{D3C335BC-D997-4DD4-9E06-2B07582A9DE0}"/>
    <cellStyle name="20% - Accent6 2 3 4 2 2 3" xfId="16383" xr:uid="{6C8CDB8A-096D-4B71-AE6E-0A62129273A3}"/>
    <cellStyle name="20% - Accent6 2 3 4 2 3" xfId="20606" xr:uid="{635997AA-58CB-4BB4-BDF7-FD97A4597E10}"/>
    <cellStyle name="20% - Accent6 2 3 4 2 4" xfId="12165" xr:uid="{97F92823-7289-4551-907B-77321751A5A9}"/>
    <cellStyle name="20% - Accent6 2 3 4 3" xfId="5788" xr:uid="{00000000-0005-0000-0000-000057030000}"/>
    <cellStyle name="20% - Accent6 2 3 4 3 2" xfId="22679" xr:uid="{F61ECAD8-E8CB-43A5-AC7B-49F0B08E83A0}"/>
    <cellStyle name="20% - Accent6 2 3 4 3 3" xfId="14238" xr:uid="{F28D4CA6-8B86-42BC-B7E0-8DE23766A0FD}"/>
    <cellStyle name="20% - Accent6 2 3 4 4" xfId="18461" xr:uid="{1B5167F4-D489-4FD9-861A-79F73B790E90}"/>
    <cellStyle name="20% - Accent6 2 3 4 5" xfId="10020" xr:uid="{AB42DC03-8975-4DBB-A56E-34D1C3EC52FD}"/>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25237" xr:uid="{54465447-9784-4910-AFD3-79A3EECDF9E8}"/>
    <cellStyle name="20% - Accent6 2 3 5 2 2 3" xfId="16796" xr:uid="{D9E84CF9-0A78-4FEC-812B-4342E850D498}"/>
    <cellStyle name="20% - Accent6 2 3 5 2 3" xfId="21019" xr:uid="{733315CA-0D5E-41FC-A9ED-C32CA7015F86}"/>
    <cellStyle name="20% - Accent6 2 3 5 2 4" xfId="12578" xr:uid="{8B069D66-382A-4F49-B9EA-FE18E3D17D87}"/>
    <cellStyle name="20% - Accent6 2 3 5 3" xfId="6201" xr:uid="{00000000-0005-0000-0000-00005B030000}"/>
    <cellStyle name="20% - Accent6 2 3 5 3 2" xfId="23092" xr:uid="{5A9DA607-2054-4383-9452-529E29EA7440}"/>
    <cellStyle name="20% - Accent6 2 3 5 3 3" xfId="14651" xr:uid="{8D8A1909-2E19-4A02-B6C5-5E50CE8C7F98}"/>
    <cellStyle name="20% - Accent6 2 3 5 4" xfId="18874" xr:uid="{98C11F2D-A71A-4405-8D94-F0E1A7BA49D1}"/>
    <cellStyle name="20% - Accent6 2 3 5 5" xfId="10433" xr:uid="{28A79551-62BB-4684-9D19-8BE541085C54}"/>
    <cellStyle name="20% - Accent6 2 3 6" xfId="2308" xr:uid="{00000000-0005-0000-0000-00005C030000}"/>
    <cellStyle name="20% - Accent6 2 3 6 2" xfId="6614" xr:uid="{00000000-0005-0000-0000-00005D030000}"/>
    <cellStyle name="20% - Accent6 2 3 6 2 2" xfId="23505" xr:uid="{3DABDB00-7B88-4AAF-AD25-897FD376A8C4}"/>
    <cellStyle name="20% - Accent6 2 3 6 2 3" xfId="15064" xr:uid="{71D50EFF-950C-4E93-B774-725F44131583}"/>
    <cellStyle name="20% - Accent6 2 3 6 3" xfId="19287" xr:uid="{D7D8C2BB-4657-401B-BFE5-1DE068275B2B}"/>
    <cellStyle name="20% - Accent6 2 3 6 4" xfId="10846" xr:uid="{F909B0F9-4770-4533-91A5-CC6646BE1E27}"/>
    <cellStyle name="20% - Accent6 2 3 7" xfId="4548" xr:uid="{00000000-0005-0000-0000-00005E030000}"/>
    <cellStyle name="20% - Accent6 2 3 7 2" xfId="21439" xr:uid="{03CF6435-4FB4-4157-BAAC-E63145473DC4}"/>
    <cellStyle name="20% - Accent6 2 3 7 3" xfId="12998" xr:uid="{945F0D38-0864-41D1-8EB1-B6158B70C99A}"/>
    <cellStyle name="20% - Accent6 2 3 8" xfId="17221" xr:uid="{916AD253-104B-42AD-AB6A-785F3EC65533}"/>
    <cellStyle name="20% - Accent6 2 3 9" xfId="8780" xr:uid="{B56E3C69-2D61-4B13-8598-10C548947ED4}"/>
    <cellStyle name="20% - Accent6 2 4" xfId="611" xr:uid="{00000000-0005-0000-0000-00005F030000}"/>
    <cellStyle name="20% - Accent6 2 4 2" xfId="2882" xr:uid="{00000000-0005-0000-0000-000060030000}"/>
    <cellStyle name="20% - Accent6 2 4 2 2" xfId="7104" xr:uid="{00000000-0005-0000-0000-000061030000}"/>
    <cellStyle name="20% - Accent6 2 4 2 2 2" xfId="23995" xr:uid="{7C08732F-B130-4B98-BAF2-26CC69CD0A08}"/>
    <cellStyle name="20% - Accent6 2 4 2 2 3" xfId="15554" xr:uid="{50266C37-AE8A-42D6-A5A8-DDC7495E96FE}"/>
    <cellStyle name="20% - Accent6 2 4 2 3" xfId="19777" xr:uid="{46392E40-E52B-423B-8498-85695F1FDA15}"/>
    <cellStyle name="20% - Accent6 2 4 2 4" xfId="11336" xr:uid="{8B3351E2-489F-45CF-A8A1-28AA77E8919A}"/>
    <cellStyle name="20% - Accent6 2 4 3" xfId="4959" xr:uid="{00000000-0005-0000-0000-000062030000}"/>
    <cellStyle name="20% - Accent6 2 4 3 2" xfId="21850" xr:uid="{143E245D-03F7-4F1F-A237-84462961406B}"/>
    <cellStyle name="20% - Accent6 2 4 3 3" xfId="13409" xr:uid="{88E19AEB-F88B-42CD-BA7E-FF3957BE7B4D}"/>
    <cellStyle name="20% - Accent6 2 4 4" xfId="17632" xr:uid="{9A363B3C-8CD3-4B14-BEBF-1924419F0FB3}"/>
    <cellStyle name="20% - Accent6 2 4 5" xfId="9191" xr:uid="{413F91AD-0314-4605-A3C8-47575200C818}"/>
    <cellStyle name="20% - Accent6 2 5" xfId="1064" xr:uid="{00000000-0005-0000-0000-000063030000}"/>
    <cellStyle name="20% - Accent6 2 5 2" xfId="3295" xr:uid="{00000000-0005-0000-0000-000064030000}"/>
    <cellStyle name="20% - Accent6 2 5 2 2" xfId="7517" xr:uid="{00000000-0005-0000-0000-000065030000}"/>
    <cellStyle name="20% - Accent6 2 5 2 2 2" xfId="24408" xr:uid="{345C2134-24DC-4EE5-9470-CA31D96A8C46}"/>
    <cellStyle name="20% - Accent6 2 5 2 2 3" xfId="15967" xr:uid="{EEE8C113-EFC8-494C-BBF8-7D4E619E828A}"/>
    <cellStyle name="20% - Accent6 2 5 2 3" xfId="20190" xr:uid="{28A92F70-BA02-4307-BE9D-222479C63EB6}"/>
    <cellStyle name="20% - Accent6 2 5 2 4" xfId="11749" xr:uid="{EFDAA6AF-89C1-4D8C-B8A8-DBE7BBBA8F80}"/>
    <cellStyle name="20% - Accent6 2 5 3" xfId="5372" xr:uid="{00000000-0005-0000-0000-000066030000}"/>
    <cellStyle name="20% - Accent6 2 5 3 2" xfId="22263" xr:uid="{A15F633C-C249-47DB-B718-24345D5FDF8E}"/>
    <cellStyle name="20% - Accent6 2 5 3 3" xfId="13822" xr:uid="{E41D9C4B-373D-42F9-9959-E45D5DAFD672}"/>
    <cellStyle name="20% - Accent6 2 5 4" xfId="18045" xr:uid="{CCEB96F7-152F-48C6-BD71-ACB73EDF11A9}"/>
    <cellStyle name="20% - Accent6 2 5 5" xfId="9604" xr:uid="{1265239A-77DB-48F8-B902-0CB1395AEC20}"/>
    <cellStyle name="20% - Accent6 2 6" xfId="1478" xr:uid="{00000000-0005-0000-0000-000067030000}"/>
    <cellStyle name="20% - Accent6 2 6 2" xfId="3708" xr:uid="{00000000-0005-0000-0000-000068030000}"/>
    <cellStyle name="20% - Accent6 2 6 2 2" xfId="7930" xr:uid="{00000000-0005-0000-0000-000069030000}"/>
    <cellStyle name="20% - Accent6 2 6 2 2 2" xfId="24821" xr:uid="{2AB75452-7937-4829-95FB-81318F752634}"/>
    <cellStyle name="20% - Accent6 2 6 2 2 3" xfId="16380" xr:uid="{45D051DE-8766-4672-9A26-1EC15D7D240E}"/>
    <cellStyle name="20% - Accent6 2 6 2 3" xfId="20603" xr:uid="{FCDA18F3-2586-4B31-B246-1113CAFA2943}"/>
    <cellStyle name="20% - Accent6 2 6 2 4" xfId="12162" xr:uid="{01ACF5C5-A92D-4143-A289-777DE30ADEAE}"/>
    <cellStyle name="20% - Accent6 2 6 3" xfId="5785" xr:uid="{00000000-0005-0000-0000-00006A030000}"/>
    <cellStyle name="20% - Accent6 2 6 3 2" xfId="22676" xr:uid="{CF6AD419-E39D-4598-9BFA-539B8A454310}"/>
    <cellStyle name="20% - Accent6 2 6 3 3" xfId="14235" xr:uid="{35B9C2F6-C32E-4362-9F5B-253256EE5B94}"/>
    <cellStyle name="20% - Accent6 2 6 4" xfId="18458" xr:uid="{3635741D-67A4-44C7-90C8-EF89D2F19400}"/>
    <cellStyle name="20% - Accent6 2 6 5" xfId="10017" xr:uid="{12DE6C6F-65E4-4647-8307-6150EB98D20D}"/>
    <cellStyle name="20% - Accent6 2 7" xfId="1892" xr:uid="{00000000-0005-0000-0000-00006B030000}"/>
    <cellStyle name="20% - Accent6 2 7 2" xfId="4121" xr:uid="{00000000-0005-0000-0000-00006C030000}"/>
    <cellStyle name="20% - Accent6 2 7 2 2" xfId="8343" xr:uid="{00000000-0005-0000-0000-00006D030000}"/>
    <cellStyle name="20% - Accent6 2 7 2 2 2" xfId="25234" xr:uid="{AFEEB34B-F986-4131-85B2-68B014B64B2E}"/>
    <cellStyle name="20% - Accent6 2 7 2 2 3" xfId="16793" xr:uid="{AC905884-47B1-4D4B-B013-05F6895D9F55}"/>
    <cellStyle name="20% - Accent6 2 7 2 3" xfId="21016" xr:uid="{550DD28F-E891-45AD-91C3-9AB7A5E52AA8}"/>
    <cellStyle name="20% - Accent6 2 7 2 4" xfId="12575" xr:uid="{F356BC0B-489B-492E-8057-7B5CA005A5D2}"/>
    <cellStyle name="20% - Accent6 2 7 3" xfId="6198" xr:uid="{00000000-0005-0000-0000-00006E030000}"/>
    <cellStyle name="20% - Accent6 2 7 3 2" xfId="23089" xr:uid="{721FCEF1-E359-4625-BD7E-82E8AD2EF358}"/>
    <cellStyle name="20% - Accent6 2 7 3 3" xfId="14648" xr:uid="{254FFD88-5578-4D1E-A646-4E713D255CB0}"/>
    <cellStyle name="20% - Accent6 2 7 4" xfId="18871" xr:uid="{0069231E-2DF2-4347-90A3-6CAACEA891EA}"/>
    <cellStyle name="20% - Accent6 2 7 5" xfId="10430" xr:uid="{C623CF25-5238-49FA-818A-0CA3D27A82BA}"/>
    <cellStyle name="20% - Accent6 2 8" xfId="2305" xr:uid="{00000000-0005-0000-0000-00006F030000}"/>
    <cellStyle name="20% - Accent6 2 8 2" xfId="6611" xr:uid="{00000000-0005-0000-0000-000070030000}"/>
    <cellStyle name="20% - Accent6 2 8 2 2" xfId="23502" xr:uid="{4274DB19-2828-4EA5-93C3-0EB37DE45A09}"/>
    <cellStyle name="20% - Accent6 2 8 2 3" xfId="15061" xr:uid="{6AA1CAAA-46E8-46B1-9A22-317A8BEFCEEA}"/>
    <cellStyle name="20% - Accent6 2 8 3" xfId="19284" xr:uid="{F4CCAC82-D52F-4E6F-A83E-52FC88264373}"/>
    <cellStyle name="20% - Accent6 2 8 4" xfId="10843" xr:uid="{4EF3E3F7-EDD8-4BA1-BF36-C071FD61BD23}"/>
    <cellStyle name="20% - Accent6 2 9" xfId="4545" xr:uid="{00000000-0005-0000-0000-000071030000}"/>
    <cellStyle name="20% - Accent6 2 9 2" xfId="21436" xr:uid="{0C1D2E6F-0271-4453-830A-0D6E76B7CF38}"/>
    <cellStyle name="20% - Accent6 2 9 3" xfId="12995" xr:uid="{331550F9-8893-4628-B9DC-D139A7442915}"/>
    <cellStyle name="20% - Accent6 3" xfId="46" xr:uid="{00000000-0005-0000-0000-000072030000}"/>
    <cellStyle name="20% - Accent6 3 10" xfId="8781" xr:uid="{84E5049C-6B25-4EDA-9D1A-3D6FADEFE746}"/>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24000" xr:uid="{A48046B6-9797-4AE0-8183-2A257897F529}"/>
    <cellStyle name="20% - Accent6 3 2 2 2 2 3" xfId="15559" xr:uid="{2947D6B2-A7AF-4AE4-8B1A-2F27298A9838}"/>
    <cellStyle name="20% - Accent6 3 2 2 2 3" xfId="19782" xr:uid="{AB8F2B7A-6431-4D8C-8766-BC34C03A7DC1}"/>
    <cellStyle name="20% - Accent6 3 2 2 2 4" xfId="11341" xr:uid="{9501D696-599F-40F8-85C9-0E17AF4D84F0}"/>
    <cellStyle name="20% - Accent6 3 2 2 3" xfId="4964" xr:uid="{00000000-0005-0000-0000-000077030000}"/>
    <cellStyle name="20% - Accent6 3 2 2 3 2" xfId="21855" xr:uid="{88E51E9F-F612-46AA-80AB-8C05A13BD665}"/>
    <cellStyle name="20% - Accent6 3 2 2 3 3" xfId="13414" xr:uid="{DFF5A24D-8DEE-45E8-856F-3168B62ED75A}"/>
    <cellStyle name="20% - Accent6 3 2 2 4" xfId="17637" xr:uid="{621E38AF-E2F2-4C0E-BFF9-F4BEB71A5DB0}"/>
    <cellStyle name="20% - Accent6 3 2 2 5" xfId="9196" xr:uid="{22D36AD0-49EF-40E5-B137-C1A0E0CAACD7}"/>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24413" xr:uid="{B872B425-C6DD-4A10-BB44-D17BE1ED8727}"/>
    <cellStyle name="20% - Accent6 3 2 3 2 2 3" xfId="15972" xr:uid="{499F38F7-1322-4384-83E2-5E9137C4D013}"/>
    <cellStyle name="20% - Accent6 3 2 3 2 3" xfId="20195" xr:uid="{B9F1063B-D6F9-40E2-B2A5-566F9ABCE5AD}"/>
    <cellStyle name="20% - Accent6 3 2 3 2 4" xfId="11754" xr:uid="{7A4B1702-4906-4C4D-A7D2-28520F94BF84}"/>
    <cellStyle name="20% - Accent6 3 2 3 3" xfId="5377" xr:uid="{00000000-0005-0000-0000-00007B030000}"/>
    <cellStyle name="20% - Accent6 3 2 3 3 2" xfId="22268" xr:uid="{42958901-E833-4AEC-97EC-4C0C53B52924}"/>
    <cellStyle name="20% - Accent6 3 2 3 3 3" xfId="13827" xr:uid="{3667DD7D-7800-4E49-A728-C12BCE6E01E6}"/>
    <cellStyle name="20% - Accent6 3 2 3 4" xfId="18050" xr:uid="{13A7964B-0BE7-41AA-B262-FD8E4C69BE14}"/>
    <cellStyle name="20% - Accent6 3 2 3 5" xfId="9609" xr:uid="{6041A152-B6D4-422B-B98C-7F4D9478457F}"/>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24826" xr:uid="{8AA89F32-B43F-4266-B8B6-A47D6021AA7F}"/>
    <cellStyle name="20% - Accent6 3 2 4 2 2 3" xfId="16385" xr:uid="{40818996-FFE7-4D12-82F4-5BC332F4179D}"/>
    <cellStyle name="20% - Accent6 3 2 4 2 3" xfId="20608" xr:uid="{210DE01B-4E80-4C75-AA8C-B9D2FB61B696}"/>
    <cellStyle name="20% - Accent6 3 2 4 2 4" xfId="12167" xr:uid="{D6DEDEC1-8EFA-4C3A-9F6E-C3BD7FB7BD75}"/>
    <cellStyle name="20% - Accent6 3 2 4 3" xfId="5790" xr:uid="{00000000-0005-0000-0000-00007F030000}"/>
    <cellStyle name="20% - Accent6 3 2 4 3 2" xfId="22681" xr:uid="{CC7A7BBE-E6A7-4B8B-BF59-FC68A2819C0D}"/>
    <cellStyle name="20% - Accent6 3 2 4 3 3" xfId="14240" xr:uid="{625AE282-5EED-4BE6-9B70-4BC9F99F29C1}"/>
    <cellStyle name="20% - Accent6 3 2 4 4" xfId="18463" xr:uid="{DBCD41E6-3AEB-4A00-BF31-AE2471EE0651}"/>
    <cellStyle name="20% - Accent6 3 2 4 5" xfId="10022" xr:uid="{995DBF6B-5988-4324-A9C2-AC2A7172D292}"/>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25239" xr:uid="{025520BB-A904-43C0-A746-66129A58FD30}"/>
    <cellStyle name="20% - Accent6 3 2 5 2 2 3" xfId="16798" xr:uid="{53886EF3-B7D9-4C39-8A50-041DA5F8E313}"/>
    <cellStyle name="20% - Accent6 3 2 5 2 3" xfId="21021" xr:uid="{E9ED470C-AC92-40F9-AEA3-1BB1F4300835}"/>
    <cellStyle name="20% - Accent6 3 2 5 2 4" xfId="12580" xr:uid="{5BAD6FD0-A019-4093-BB66-0CAE1F02A44E}"/>
    <cellStyle name="20% - Accent6 3 2 5 3" xfId="6203" xr:uid="{00000000-0005-0000-0000-000083030000}"/>
    <cellStyle name="20% - Accent6 3 2 5 3 2" xfId="23094" xr:uid="{E7CAD6F4-4975-4961-9944-E21C23458677}"/>
    <cellStyle name="20% - Accent6 3 2 5 3 3" xfId="14653" xr:uid="{5DB7F4A1-FA9E-4363-90DD-A1B677B244FA}"/>
    <cellStyle name="20% - Accent6 3 2 5 4" xfId="18876" xr:uid="{61446F37-A601-4497-9392-A9E2DE2B78E8}"/>
    <cellStyle name="20% - Accent6 3 2 5 5" xfId="10435" xr:uid="{CE755F13-A4D3-452F-8B04-D83E5ACEE402}"/>
    <cellStyle name="20% - Accent6 3 2 6" xfId="2310" xr:uid="{00000000-0005-0000-0000-000084030000}"/>
    <cellStyle name="20% - Accent6 3 2 6 2" xfId="6616" xr:uid="{00000000-0005-0000-0000-000085030000}"/>
    <cellStyle name="20% - Accent6 3 2 6 2 2" xfId="23507" xr:uid="{20DDD11C-D40D-451B-8484-C861CE663757}"/>
    <cellStyle name="20% - Accent6 3 2 6 2 3" xfId="15066" xr:uid="{3281711A-68CD-45AE-B4D5-6BF3C8B928A5}"/>
    <cellStyle name="20% - Accent6 3 2 6 3" xfId="19289" xr:uid="{CEC26DF8-85EB-40BE-907E-FAFD549EC74F}"/>
    <cellStyle name="20% - Accent6 3 2 6 4" xfId="10848" xr:uid="{C17BCC11-88EE-4C84-91E1-54DB04C8F48F}"/>
    <cellStyle name="20% - Accent6 3 2 7" xfId="4550" xr:uid="{00000000-0005-0000-0000-000086030000}"/>
    <cellStyle name="20% - Accent6 3 2 7 2" xfId="21441" xr:uid="{C2848538-044B-46DF-8F3E-C1F2A5A080D7}"/>
    <cellStyle name="20% - Accent6 3 2 7 3" xfId="13000" xr:uid="{994AF7CC-86A9-4A87-BA5C-C8DC08EE7F61}"/>
    <cellStyle name="20% - Accent6 3 2 8" xfId="17223" xr:uid="{30C85FFA-A536-42F3-8839-95347993106B}"/>
    <cellStyle name="20% - Accent6 3 2 9" xfId="8782" xr:uid="{84B63F9F-19EE-4D41-B965-BE7CE8EE8790}"/>
    <cellStyle name="20% - Accent6 3 3" xfId="615" xr:uid="{00000000-0005-0000-0000-000087030000}"/>
    <cellStyle name="20% - Accent6 3 3 2" xfId="2886" xr:uid="{00000000-0005-0000-0000-000088030000}"/>
    <cellStyle name="20% - Accent6 3 3 2 2" xfId="7108" xr:uid="{00000000-0005-0000-0000-000089030000}"/>
    <cellStyle name="20% - Accent6 3 3 2 2 2" xfId="23999" xr:uid="{2BDBB8FA-98A2-42DC-8905-55AA16E91684}"/>
    <cellStyle name="20% - Accent6 3 3 2 2 3" xfId="15558" xr:uid="{DBE6B901-8717-413C-A2AB-409967539683}"/>
    <cellStyle name="20% - Accent6 3 3 2 3" xfId="19781" xr:uid="{A58CF052-07BE-40C5-96EC-CDCD78F646FA}"/>
    <cellStyle name="20% - Accent6 3 3 2 4" xfId="11340" xr:uid="{4AFCBB8B-9E2B-4848-B214-5F1575D1FA2E}"/>
    <cellStyle name="20% - Accent6 3 3 3" xfId="4963" xr:uid="{00000000-0005-0000-0000-00008A030000}"/>
    <cellStyle name="20% - Accent6 3 3 3 2" xfId="21854" xr:uid="{1D3AC9E0-F1F9-40BE-AC3D-FBE1AD38D551}"/>
    <cellStyle name="20% - Accent6 3 3 3 3" xfId="13413" xr:uid="{781568D5-D480-4879-93C4-9F3A0DCCEA81}"/>
    <cellStyle name="20% - Accent6 3 3 4" xfId="17636" xr:uid="{E02E383E-72B8-4298-8259-A2DCABD1FDC7}"/>
    <cellStyle name="20% - Accent6 3 3 5" xfId="9195" xr:uid="{78990779-A2CE-47C0-8430-391B0AF82956}"/>
    <cellStyle name="20% - Accent6 3 4" xfId="1068" xr:uid="{00000000-0005-0000-0000-00008B030000}"/>
    <cellStyle name="20% - Accent6 3 4 2" xfId="3299" xr:uid="{00000000-0005-0000-0000-00008C030000}"/>
    <cellStyle name="20% - Accent6 3 4 2 2" xfId="7521" xr:uid="{00000000-0005-0000-0000-00008D030000}"/>
    <cellStyle name="20% - Accent6 3 4 2 2 2" xfId="24412" xr:uid="{5D97DCA6-A9C2-4414-B50E-640BC77D995E}"/>
    <cellStyle name="20% - Accent6 3 4 2 2 3" xfId="15971" xr:uid="{3246DFF0-3F7F-4C8C-9D0F-B5BB55F1E466}"/>
    <cellStyle name="20% - Accent6 3 4 2 3" xfId="20194" xr:uid="{4929C882-CBC5-4D25-8536-68C1D0FA1E06}"/>
    <cellStyle name="20% - Accent6 3 4 2 4" xfId="11753" xr:uid="{FB2F6CC0-D201-4A01-A616-D10750E39D04}"/>
    <cellStyle name="20% - Accent6 3 4 3" xfId="5376" xr:uid="{00000000-0005-0000-0000-00008E030000}"/>
    <cellStyle name="20% - Accent6 3 4 3 2" xfId="22267" xr:uid="{73107732-B5A1-4909-AA27-B21A5D1EE0C1}"/>
    <cellStyle name="20% - Accent6 3 4 3 3" xfId="13826" xr:uid="{AA4A7312-A69A-4265-B9DF-753ABBE21F4C}"/>
    <cellStyle name="20% - Accent6 3 4 4" xfId="18049" xr:uid="{70F1A697-586D-4901-BE85-EE2D42B16F23}"/>
    <cellStyle name="20% - Accent6 3 4 5" xfId="9608" xr:uid="{FEC5BAEE-5D19-44DE-AFF5-AEC7E24F9B57}"/>
    <cellStyle name="20% - Accent6 3 5" xfId="1482" xr:uid="{00000000-0005-0000-0000-00008F030000}"/>
    <cellStyle name="20% - Accent6 3 5 2" xfId="3712" xr:uid="{00000000-0005-0000-0000-000090030000}"/>
    <cellStyle name="20% - Accent6 3 5 2 2" xfId="7934" xr:uid="{00000000-0005-0000-0000-000091030000}"/>
    <cellStyle name="20% - Accent6 3 5 2 2 2" xfId="24825" xr:uid="{17652DF3-B644-482B-A50A-B6AF24B5E76A}"/>
    <cellStyle name="20% - Accent6 3 5 2 2 3" xfId="16384" xr:uid="{0E2B79C2-57B0-42F5-925A-330362A90AAA}"/>
    <cellStyle name="20% - Accent6 3 5 2 3" xfId="20607" xr:uid="{2B6E6D99-0039-4E40-9FE7-5EB5F047F79A}"/>
    <cellStyle name="20% - Accent6 3 5 2 4" xfId="12166" xr:uid="{65EC7839-CD20-424B-BAFD-D4153D47326C}"/>
    <cellStyle name="20% - Accent6 3 5 3" xfId="5789" xr:uid="{00000000-0005-0000-0000-000092030000}"/>
    <cellStyle name="20% - Accent6 3 5 3 2" xfId="22680" xr:uid="{CE251620-2159-40A5-B339-096BBDB01ECC}"/>
    <cellStyle name="20% - Accent6 3 5 3 3" xfId="14239" xr:uid="{D2BEF6E7-0080-446B-A153-98D8B5F58457}"/>
    <cellStyle name="20% - Accent6 3 5 4" xfId="18462" xr:uid="{EBD6CDAA-16B2-44A3-BEEA-AA480493CB94}"/>
    <cellStyle name="20% - Accent6 3 5 5" xfId="10021" xr:uid="{35D52A46-B933-49F2-B932-651457976064}"/>
    <cellStyle name="20% - Accent6 3 6" xfId="1896" xr:uid="{00000000-0005-0000-0000-000093030000}"/>
    <cellStyle name="20% - Accent6 3 6 2" xfId="4125" xr:uid="{00000000-0005-0000-0000-000094030000}"/>
    <cellStyle name="20% - Accent6 3 6 2 2" xfId="8347" xr:uid="{00000000-0005-0000-0000-000095030000}"/>
    <cellStyle name="20% - Accent6 3 6 2 2 2" xfId="25238" xr:uid="{3D56DB98-C3FD-4A77-B78C-18E3D6EF7CD4}"/>
    <cellStyle name="20% - Accent6 3 6 2 2 3" xfId="16797" xr:uid="{99F6C11B-BA56-478B-88B6-C066A93E17B7}"/>
    <cellStyle name="20% - Accent6 3 6 2 3" xfId="21020" xr:uid="{EC48AB3A-DEC1-4019-A409-82400228FE45}"/>
    <cellStyle name="20% - Accent6 3 6 2 4" xfId="12579" xr:uid="{C3442575-2D97-489D-81A2-265112A79E36}"/>
    <cellStyle name="20% - Accent6 3 6 3" xfId="6202" xr:uid="{00000000-0005-0000-0000-000096030000}"/>
    <cellStyle name="20% - Accent6 3 6 3 2" xfId="23093" xr:uid="{EC0214A4-C15E-495B-840D-C05A75661041}"/>
    <cellStyle name="20% - Accent6 3 6 3 3" xfId="14652" xr:uid="{0A265B79-82AD-4252-B48E-2B25DB13DA12}"/>
    <cellStyle name="20% - Accent6 3 6 4" xfId="18875" xr:uid="{4D1CFF3E-803D-48DD-B907-7F3EDE03DDB6}"/>
    <cellStyle name="20% - Accent6 3 6 5" xfId="10434" xr:uid="{6C418B9A-7870-4DFA-9C92-CA9226E6AA85}"/>
    <cellStyle name="20% - Accent6 3 7" xfId="2309" xr:uid="{00000000-0005-0000-0000-000097030000}"/>
    <cellStyle name="20% - Accent6 3 7 2" xfId="6615" xr:uid="{00000000-0005-0000-0000-000098030000}"/>
    <cellStyle name="20% - Accent6 3 7 2 2" xfId="23506" xr:uid="{D9F6A262-399B-44A6-891F-52A0B8A89BD6}"/>
    <cellStyle name="20% - Accent6 3 7 2 3" xfId="15065" xr:uid="{30031086-2F61-4FB1-B145-8A4BF7829CEA}"/>
    <cellStyle name="20% - Accent6 3 7 3" xfId="19288" xr:uid="{E9856C9E-D63F-417B-867D-AA0AC49A59C9}"/>
    <cellStyle name="20% - Accent6 3 7 4" xfId="10847" xr:uid="{40366735-AED7-4C06-B86B-EECD3DC9FB67}"/>
    <cellStyle name="20% - Accent6 3 8" xfId="4549" xr:uid="{00000000-0005-0000-0000-000099030000}"/>
    <cellStyle name="20% - Accent6 3 8 2" xfId="21440" xr:uid="{F279E5F4-E62D-4518-8741-6A6FEB1C5BA2}"/>
    <cellStyle name="20% - Accent6 3 8 3" xfId="12999" xr:uid="{158296E8-0EF4-4FC1-BD12-7C29FB016382}"/>
    <cellStyle name="20% - Accent6 3 9" xfId="17222" xr:uid="{4ED8960C-F9F3-4C73-AC31-A9C5DD758B6A}"/>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2 2 2" xfId="24001" xr:uid="{4B9241E2-6B0F-4249-8011-1A1FCB85795E}"/>
    <cellStyle name="20% - Accent6 4 2 2 2 3" xfId="15560" xr:uid="{6EA56F39-0D66-4767-81B7-870714C47D80}"/>
    <cellStyle name="20% - Accent6 4 2 2 3" xfId="19783" xr:uid="{72C4ABB6-8B81-498B-A56A-8EFB5C4D7BA8}"/>
    <cellStyle name="20% - Accent6 4 2 2 4" xfId="11342" xr:uid="{3EE774BB-3B19-4298-B648-8575C9B4D29D}"/>
    <cellStyle name="20% - Accent6 4 2 3" xfId="4965" xr:uid="{00000000-0005-0000-0000-00009E030000}"/>
    <cellStyle name="20% - Accent6 4 2 3 2" xfId="21856" xr:uid="{FB18DECE-B5B4-4B32-B925-3085A4C35FE4}"/>
    <cellStyle name="20% - Accent6 4 2 3 3" xfId="13415" xr:uid="{F6936009-298C-4852-AB7F-619AA89702C6}"/>
    <cellStyle name="20% - Accent6 4 2 4" xfId="17638" xr:uid="{A897F99B-336F-4092-A71D-8C47DBCB3C8D}"/>
    <cellStyle name="20% - Accent6 4 2 5" xfId="9197" xr:uid="{92FCADD9-5013-4303-8BE8-3540F8839D5F}"/>
    <cellStyle name="20% - Accent6 4 3" xfId="1070" xr:uid="{00000000-0005-0000-0000-00009F030000}"/>
    <cellStyle name="20% - Accent6 4 3 2" xfId="3301" xr:uid="{00000000-0005-0000-0000-0000A0030000}"/>
    <cellStyle name="20% - Accent6 4 3 2 2" xfId="7523" xr:uid="{00000000-0005-0000-0000-0000A1030000}"/>
    <cellStyle name="20% - Accent6 4 3 2 2 2" xfId="24414" xr:uid="{C268C031-9D27-4002-BE98-74992053868C}"/>
    <cellStyle name="20% - Accent6 4 3 2 2 3" xfId="15973" xr:uid="{8CBDFE0F-DDDE-4EAF-A991-5DD1D6A8442C}"/>
    <cellStyle name="20% - Accent6 4 3 2 3" xfId="20196" xr:uid="{C3DCDCBA-2B59-4FD4-A75E-D260DD269D40}"/>
    <cellStyle name="20% - Accent6 4 3 2 4" xfId="11755" xr:uid="{77673D89-94E8-4938-B8E0-D0831A3A7C97}"/>
    <cellStyle name="20% - Accent6 4 3 3" xfId="5378" xr:uid="{00000000-0005-0000-0000-0000A2030000}"/>
    <cellStyle name="20% - Accent6 4 3 3 2" xfId="22269" xr:uid="{D5C5BFFC-6861-462B-B618-F083E57F0D50}"/>
    <cellStyle name="20% - Accent6 4 3 3 3" xfId="13828" xr:uid="{E1BCCD9A-B60A-41EC-A9C0-1C076C8717AC}"/>
    <cellStyle name="20% - Accent6 4 3 4" xfId="18051" xr:uid="{95EC3281-152C-49B4-948C-99B3354AA020}"/>
    <cellStyle name="20% - Accent6 4 3 5" xfId="9610" xr:uid="{1D8673EA-84C1-4D17-B263-55C3B9BBD590}"/>
    <cellStyle name="20% - Accent6 4 4" xfId="1484" xr:uid="{00000000-0005-0000-0000-0000A3030000}"/>
    <cellStyle name="20% - Accent6 4 4 2" xfId="3714" xr:uid="{00000000-0005-0000-0000-0000A4030000}"/>
    <cellStyle name="20% - Accent6 4 4 2 2" xfId="7936" xr:uid="{00000000-0005-0000-0000-0000A5030000}"/>
    <cellStyle name="20% - Accent6 4 4 2 2 2" xfId="24827" xr:uid="{6FF069DC-E3A0-4C75-AE51-EF3C2BB4824A}"/>
    <cellStyle name="20% - Accent6 4 4 2 2 3" xfId="16386" xr:uid="{AF711B26-444C-4EEE-8EBA-DE21AE8FF294}"/>
    <cellStyle name="20% - Accent6 4 4 2 3" xfId="20609" xr:uid="{C271F53A-AA05-45ED-8D9B-01594CF05574}"/>
    <cellStyle name="20% - Accent6 4 4 2 4" xfId="12168" xr:uid="{61421E3D-C6DF-40A1-8712-0CCCF0F6BFB6}"/>
    <cellStyle name="20% - Accent6 4 4 3" xfId="5791" xr:uid="{00000000-0005-0000-0000-0000A6030000}"/>
    <cellStyle name="20% - Accent6 4 4 3 2" xfId="22682" xr:uid="{181C1EEE-8FC5-40C9-A0C0-36C92674746D}"/>
    <cellStyle name="20% - Accent6 4 4 3 3" xfId="14241" xr:uid="{25882DE8-6C9C-4E46-B57A-D118D01EA7A2}"/>
    <cellStyle name="20% - Accent6 4 4 4" xfId="18464" xr:uid="{3CE391B1-483D-46F6-924A-27D32A27BDCE}"/>
    <cellStyle name="20% - Accent6 4 4 5" xfId="10023" xr:uid="{3BF1E18D-895B-4A07-BDFA-0BB3B9E9A4E0}"/>
    <cellStyle name="20% - Accent6 4 5" xfId="1898" xr:uid="{00000000-0005-0000-0000-0000A7030000}"/>
    <cellStyle name="20% - Accent6 4 5 2" xfId="4127" xr:uid="{00000000-0005-0000-0000-0000A8030000}"/>
    <cellStyle name="20% - Accent6 4 5 2 2" xfId="8349" xr:uid="{00000000-0005-0000-0000-0000A9030000}"/>
    <cellStyle name="20% - Accent6 4 5 2 2 2" xfId="25240" xr:uid="{D57A6A63-1BB5-49C7-A2D0-63D6AD947FB1}"/>
    <cellStyle name="20% - Accent6 4 5 2 2 3" xfId="16799" xr:uid="{3C5885C8-BFA9-4C76-A731-7AB5D8BD28A1}"/>
    <cellStyle name="20% - Accent6 4 5 2 3" xfId="21022" xr:uid="{51FBA635-1B7D-45B8-8323-5E2B1285C2E5}"/>
    <cellStyle name="20% - Accent6 4 5 2 4" xfId="12581" xr:uid="{087CBD70-4F4E-4E54-B755-DA9A30765970}"/>
    <cellStyle name="20% - Accent6 4 5 3" xfId="6204" xr:uid="{00000000-0005-0000-0000-0000AA030000}"/>
    <cellStyle name="20% - Accent6 4 5 3 2" xfId="23095" xr:uid="{6DE87F8A-5EE5-48DB-A321-1DC7BC18840C}"/>
    <cellStyle name="20% - Accent6 4 5 3 3" xfId="14654" xr:uid="{A2A73B12-C772-4943-8C64-3D5805C9CE91}"/>
    <cellStyle name="20% - Accent6 4 5 4" xfId="18877" xr:uid="{16309CA3-27E5-4C80-B41A-F4F5977410B9}"/>
    <cellStyle name="20% - Accent6 4 5 5" xfId="10436" xr:uid="{A6D4E954-9D06-41B2-99C0-7EA7EAEFDE45}"/>
    <cellStyle name="20% - Accent6 4 6" xfId="2311" xr:uid="{00000000-0005-0000-0000-0000AB030000}"/>
    <cellStyle name="20% - Accent6 4 6 2" xfId="6617" xr:uid="{00000000-0005-0000-0000-0000AC030000}"/>
    <cellStyle name="20% - Accent6 4 6 2 2" xfId="23508" xr:uid="{227BF5BE-CC44-4C59-8018-B91DCE297932}"/>
    <cellStyle name="20% - Accent6 4 6 2 3" xfId="15067" xr:uid="{04B568FF-4DD4-4073-93C8-0C505B9F2E33}"/>
    <cellStyle name="20% - Accent6 4 6 3" xfId="19290" xr:uid="{C0E592BA-2985-497B-A7CA-ACB617B29A08}"/>
    <cellStyle name="20% - Accent6 4 6 4" xfId="10849" xr:uid="{BE627360-AC9E-47A4-9F23-2AF84E39C1FB}"/>
    <cellStyle name="20% - Accent6 4 7" xfId="4551" xr:uid="{00000000-0005-0000-0000-0000AD030000}"/>
    <cellStyle name="20% - Accent6 4 7 2" xfId="21442" xr:uid="{059172B2-2500-4A81-B0DD-3740711E7A86}"/>
    <cellStyle name="20% - Accent6 4 7 3" xfId="13001" xr:uid="{800E93A8-36A5-4C6E-993A-EFB455E8F666}"/>
    <cellStyle name="20% - Accent6 4 8" xfId="17224" xr:uid="{C46CDC3E-9805-411F-8C59-89876BB0F4D8}"/>
    <cellStyle name="20% - Accent6 4 9" xfId="8783" xr:uid="{6D0B84D7-AC94-4E1F-8C17-039540C78940}"/>
    <cellStyle name="20% - Accent6 5" xfId="610" xr:uid="{00000000-0005-0000-0000-0000AE030000}"/>
    <cellStyle name="20% - Accent6 5 2" xfId="2881" xr:uid="{00000000-0005-0000-0000-0000AF030000}"/>
    <cellStyle name="20% - Accent6 5 2 2" xfId="7103" xr:uid="{00000000-0005-0000-0000-0000B0030000}"/>
    <cellStyle name="20% - Accent6 5 2 2 2" xfId="23994" xr:uid="{097B7FAF-0EC9-4E00-A3C7-D271C19488A5}"/>
    <cellStyle name="20% - Accent6 5 2 2 3" xfId="15553" xr:uid="{A0650EFD-3664-4F42-B445-4215047A4AB8}"/>
    <cellStyle name="20% - Accent6 5 2 3" xfId="19776" xr:uid="{76BD370E-684D-4753-83B0-AE37F72D942D}"/>
    <cellStyle name="20% - Accent6 5 2 4" xfId="11335" xr:uid="{7E1E2B13-1266-4ABE-A834-314A17F98722}"/>
    <cellStyle name="20% - Accent6 5 3" xfId="4958" xr:uid="{00000000-0005-0000-0000-0000B1030000}"/>
    <cellStyle name="20% - Accent6 5 3 2" xfId="21849" xr:uid="{0EFF3B53-067F-4D30-95DA-FB4DA6D3223E}"/>
    <cellStyle name="20% - Accent6 5 3 3" xfId="13408" xr:uid="{EA4B51D4-EFD6-440C-9F2E-6178BAB902D5}"/>
    <cellStyle name="20% - Accent6 5 4" xfId="17631" xr:uid="{38FC7D7F-D9BE-4FC7-AD44-BD6A23338BE9}"/>
    <cellStyle name="20% - Accent6 5 5" xfId="9190" xr:uid="{BFDF70C3-810A-461A-BD06-B2992B72185E}"/>
    <cellStyle name="20% - Accent6 6" xfId="1063" xr:uid="{00000000-0005-0000-0000-0000B2030000}"/>
    <cellStyle name="20% - Accent6 6 2" xfId="3294" xr:uid="{00000000-0005-0000-0000-0000B3030000}"/>
    <cellStyle name="20% - Accent6 6 2 2" xfId="7516" xr:uid="{00000000-0005-0000-0000-0000B4030000}"/>
    <cellStyle name="20% - Accent6 6 2 2 2" xfId="24407" xr:uid="{D1F34140-2109-4669-B315-781EE22D26D8}"/>
    <cellStyle name="20% - Accent6 6 2 2 3" xfId="15966" xr:uid="{A6E6999B-DFAD-4D66-9D08-92F5224DA805}"/>
    <cellStyle name="20% - Accent6 6 2 3" xfId="20189" xr:uid="{50F3B7CD-DF14-46D6-840A-2115BDDD74AE}"/>
    <cellStyle name="20% - Accent6 6 2 4" xfId="11748" xr:uid="{664D35AC-CD95-455B-86FA-A13CD5AC0A9B}"/>
    <cellStyle name="20% - Accent6 6 3" xfId="5371" xr:uid="{00000000-0005-0000-0000-0000B5030000}"/>
    <cellStyle name="20% - Accent6 6 3 2" xfId="22262" xr:uid="{B5152718-B041-41AE-88B4-CD55616A7143}"/>
    <cellStyle name="20% - Accent6 6 3 3" xfId="13821" xr:uid="{58324AE3-1305-407F-98EE-1F0E08D05568}"/>
    <cellStyle name="20% - Accent6 6 4" xfId="18044" xr:uid="{3DB1454A-8834-426A-9773-3F73C3711AF4}"/>
    <cellStyle name="20% - Accent6 6 5" xfId="9603" xr:uid="{CC44E8BC-C918-404C-BE34-6BEB8DB2B903}"/>
    <cellStyle name="20% - Accent6 7" xfId="1477" xr:uid="{00000000-0005-0000-0000-0000B6030000}"/>
    <cellStyle name="20% - Accent6 7 2" xfId="3707" xr:uid="{00000000-0005-0000-0000-0000B7030000}"/>
    <cellStyle name="20% - Accent6 7 2 2" xfId="7929" xr:uid="{00000000-0005-0000-0000-0000B8030000}"/>
    <cellStyle name="20% - Accent6 7 2 2 2" xfId="24820" xr:uid="{599002CD-1648-4AF4-BB97-B027F6B04DE4}"/>
    <cellStyle name="20% - Accent6 7 2 2 3" xfId="16379" xr:uid="{0A0D5535-0CD2-40CA-90B9-3BF63E2E0515}"/>
    <cellStyle name="20% - Accent6 7 2 3" xfId="20602" xr:uid="{3966B0A7-2CAB-4A18-85E4-A51669057416}"/>
    <cellStyle name="20% - Accent6 7 2 4" xfId="12161" xr:uid="{1BD04626-83F9-4235-BC17-9D2BAD3036F6}"/>
    <cellStyle name="20% - Accent6 7 3" xfId="5784" xr:uid="{00000000-0005-0000-0000-0000B9030000}"/>
    <cellStyle name="20% - Accent6 7 3 2" xfId="22675" xr:uid="{E3E7D5A0-DF4D-47A9-91F9-5A7B12E8DEAE}"/>
    <cellStyle name="20% - Accent6 7 3 3" xfId="14234" xr:uid="{3AAC8228-2391-4581-83A8-9EEC8DCCE457}"/>
    <cellStyle name="20% - Accent6 7 4" xfId="18457" xr:uid="{B9488C35-F499-44A3-9C05-1E609900767E}"/>
    <cellStyle name="20% - Accent6 7 5" xfId="10016" xr:uid="{7FCBFCA8-A627-431A-8EF8-6F384433BB7B}"/>
    <cellStyle name="20% - Accent6 8" xfId="1891" xr:uid="{00000000-0005-0000-0000-0000BA030000}"/>
    <cellStyle name="20% - Accent6 8 2" xfId="4120" xr:uid="{00000000-0005-0000-0000-0000BB030000}"/>
    <cellStyle name="20% - Accent6 8 2 2" xfId="8342" xr:uid="{00000000-0005-0000-0000-0000BC030000}"/>
    <cellStyle name="20% - Accent6 8 2 2 2" xfId="25233" xr:uid="{A7FFBFB3-9368-4F8E-94D9-941E04CAAA8C}"/>
    <cellStyle name="20% - Accent6 8 2 2 3" xfId="16792" xr:uid="{8459F033-3279-4F09-B454-C3F3D1D4CAED}"/>
    <cellStyle name="20% - Accent6 8 2 3" xfId="21015" xr:uid="{941FCD8C-CC10-473E-B448-C2035CC2B2DC}"/>
    <cellStyle name="20% - Accent6 8 2 4" xfId="12574" xr:uid="{617E15E6-7C4D-4B43-B930-775FF2B30E4E}"/>
    <cellStyle name="20% - Accent6 8 3" xfId="6197" xr:uid="{00000000-0005-0000-0000-0000BD030000}"/>
    <cellStyle name="20% - Accent6 8 3 2" xfId="23088" xr:uid="{8B556907-DF4C-4CF3-9ED6-4A8ECF2B1DD1}"/>
    <cellStyle name="20% - Accent6 8 3 3" xfId="14647" xr:uid="{AB58CB07-D690-40E6-8CD6-A5035A149DB7}"/>
    <cellStyle name="20% - Accent6 8 4" xfId="18870" xr:uid="{CCCC2CF3-0663-499A-B306-7E966641BC97}"/>
    <cellStyle name="20% - Accent6 8 5" xfId="10429" xr:uid="{B804A2AA-94F6-4963-A2B6-B66086D976A9}"/>
    <cellStyle name="20% - Accent6 9" xfId="2304" xr:uid="{00000000-0005-0000-0000-0000BE030000}"/>
    <cellStyle name="20% - Accent6 9 2" xfId="6610" xr:uid="{00000000-0005-0000-0000-0000BF030000}"/>
    <cellStyle name="20% - Accent6 9 2 2" xfId="23501" xr:uid="{49B2CF02-6CDA-42F7-83B6-90C2D1A3EC3B}"/>
    <cellStyle name="20% - Accent6 9 2 3" xfId="15060" xr:uid="{52C7B118-F393-42AB-95B2-063A7333EB59}"/>
    <cellStyle name="20% - Accent6 9 3" xfId="19283" xr:uid="{271AB0FE-4A6B-4A3A-8AC3-F61621490039}"/>
    <cellStyle name="20% - Accent6 9 4" xfId="10842" xr:uid="{F501F583-7585-4854-9A16-1B572B7C9C29}"/>
    <cellStyle name="40% - Accent1" xfId="49" builtinId="31" customBuiltin="1"/>
    <cellStyle name="40% - Accent1 10" xfId="4552" xr:uid="{00000000-0005-0000-0000-0000C1030000}"/>
    <cellStyle name="40% - Accent1 10 2" xfId="21443" xr:uid="{012CF851-C6FE-4429-9386-76702A20E919}"/>
    <cellStyle name="40% - Accent1 10 3" xfId="13002" xr:uid="{E3F7CE0A-0338-42EE-8435-49D67EA71087}"/>
    <cellStyle name="40% - Accent1 11" xfId="17225" xr:uid="{4641E1DB-01C9-4E0D-B740-824DD635AB4D}"/>
    <cellStyle name="40% - Accent1 12" xfId="8784" xr:uid="{471328F6-DE64-4870-A7B8-AE53F4287338}"/>
    <cellStyle name="40% - Accent1 2" xfId="50" xr:uid="{00000000-0005-0000-0000-0000C2030000}"/>
    <cellStyle name="40% - Accent1 2 10" xfId="17226" xr:uid="{9907D934-50EB-4D6D-8E2E-DB45BD1F35AF}"/>
    <cellStyle name="40% - Accent1 2 11" xfId="8785" xr:uid="{7C9262ED-CAF1-4B8B-9D69-F16D4735CA0E}"/>
    <cellStyle name="40% - Accent1 2 2" xfId="51" xr:uid="{00000000-0005-0000-0000-0000C3030000}"/>
    <cellStyle name="40% - Accent1 2 2 10" xfId="8786" xr:uid="{8C6EBF67-4570-4505-AC8E-58263194D407}"/>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24005" xr:uid="{22C298E9-82C8-4ED9-A42F-B71A898A308F}"/>
    <cellStyle name="40% - Accent1 2 2 2 2 2 2 3" xfId="15564" xr:uid="{87C1D8ED-8EB4-49C1-9C2F-F71A008EB5C0}"/>
    <cellStyle name="40% - Accent1 2 2 2 2 2 3" xfId="19787" xr:uid="{DD159959-37F2-427C-B3AE-4204C2D72218}"/>
    <cellStyle name="40% - Accent1 2 2 2 2 2 4" xfId="11346" xr:uid="{5B261980-7EC1-42C7-97D6-874905E5B9CE}"/>
    <cellStyle name="40% - Accent1 2 2 2 2 3" xfId="4969" xr:uid="{00000000-0005-0000-0000-0000C8030000}"/>
    <cellStyle name="40% - Accent1 2 2 2 2 3 2" xfId="21860" xr:uid="{2999F93C-EDEF-4E99-99B0-E0C34620B82F}"/>
    <cellStyle name="40% - Accent1 2 2 2 2 3 3" xfId="13419" xr:uid="{502F00D8-7FEB-4B89-A99D-A76DB11F765D}"/>
    <cellStyle name="40% - Accent1 2 2 2 2 4" xfId="17642" xr:uid="{5FF1DA8B-866D-47F2-8786-F49CC34EC140}"/>
    <cellStyle name="40% - Accent1 2 2 2 2 5" xfId="9201" xr:uid="{F89EDE1C-8D8C-4BEB-81E4-02B243A78C32}"/>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24418" xr:uid="{470297E9-F813-4284-A355-2C2C17F74B57}"/>
    <cellStyle name="40% - Accent1 2 2 2 3 2 2 3" xfId="15977" xr:uid="{B8B33B7C-D3D0-44AA-A1F3-877603588639}"/>
    <cellStyle name="40% - Accent1 2 2 2 3 2 3" xfId="20200" xr:uid="{B35CE681-E7E5-4279-ABB4-3CCCC2DBB85D}"/>
    <cellStyle name="40% - Accent1 2 2 2 3 2 4" xfId="11759" xr:uid="{7D48D832-CEE1-4521-8C29-234191036B9D}"/>
    <cellStyle name="40% - Accent1 2 2 2 3 3" xfId="5382" xr:uid="{00000000-0005-0000-0000-0000CC030000}"/>
    <cellStyle name="40% - Accent1 2 2 2 3 3 2" xfId="22273" xr:uid="{274BEB15-3480-49C6-B0EC-6A07BECC6819}"/>
    <cellStyle name="40% - Accent1 2 2 2 3 3 3" xfId="13832" xr:uid="{50A03309-FDC8-4242-865D-232D51535488}"/>
    <cellStyle name="40% - Accent1 2 2 2 3 4" xfId="18055" xr:uid="{E3C5CFA7-BC0B-474B-A6A7-D830F541A513}"/>
    <cellStyle name="40% - Accent1 2 2 2 3 5" xfId="9614" xr:uid="{3D6E3248-68B5-434E-82CB-CB5901BE1B66}"/>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24831" xr:uid="{54DD4087-9872-4319-86A5-F146509EB994}"/>
    <cellStyle name="40% - Accent1 2 2 2 4 2 2 3" xfId="16390" xr:uid="{60531D67-16D7-4CE5-972C-F01E454DDEC0}"/>
    <cellStyle name="40% - Accent1 2 2 2 4 2 3" xfId="20613" xr:uid="{03F205E9-149A-4742-9DA1-C5B6D1D65913}"/>
    <cellStyle name="40% - Accent1 2 2 2 4 2 4" xfId="12172" xr:uid="{B6B6AB56-8229-4087-8CA2-D68F67309593}"/>
    <cellStyle name="40% - Accent1 2 2 2 4 3" xfId="5795" xr:uid="{00000000-0005-0000-0000-0000D0030000}"/>
    <cellStyle name="40% - Accent1 2 2 2 4 3 2" xfId="22686" xr:uid="{B8D43848-B200-4D95-A8EC-443214D0268B}"/>
    <cellStyle name="40% - Accent1 2 2 2 4 3 3" xfId="14245" xr:uid="{BAF192A2-87D6-4596-A47E-1B6616AA710F}"/>
    <cellStyle name="40% - Accent1 2 2 2 4 4" xfId="18468" xr:uid="{59638CDA-1948-4B96-A216-F5C45F008B76}"/>
    <cellStyle name="40% - Accent1 2 2 2 4 5" xfId="10027" xr:uid="{A07B6BAC-D017-4423-B9EF-8469E54A0B86}"/>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25244" xr:uid="{09BAF563-D56C-4912-A871-D4BB7BE500A2}"/>
    <cellStyle name="40% - Accent1 2 2 2 5 2 2 3" xfId="16803" xr:uid="{BD2D9F9D-AC87-407C-95DE-42D050DD167D}"/>
    <cellStyle name="40% - Accent1 2 2 2 5 2 3" xfId="21026" xr:uid="{11DA9F4A-A2B9-4423-B686-538741F2B827}"/>
    <cellStyle name="40% - Accent1 2 2 2 5 2 4" xfId="12585" xr:uid="{7DC1579C-79E1-4475-BE1A-61399ADDFA11}"/>
    <cellStyle name="40% - Accent1 2 2 2 5 3" xfId="6208" xr:uid="{00000000-0005-0000-0000-0000D4030000}"/>
    <cellStyle name="40% - Accent1 2 2 2 5 3 2" xfId="23099" xr:uid="{779FF7E0-D48B-4D21-8B5B-6F0176175FD7}"/>
    <cellStyle name="40% - Accent1 2 2 2 5 3 3" xfId="14658" xr:uid="{43F0FCA4-1B9C-4740-8973-873070233857}"/>
    <cellStyle name="40% - Accent1 2 2 2 5 4" xfId="18881" xr:uid="{F7856A01-3BD1-489B-92CD-15CD96ED7F6D}"/>
    <cellStyle name="40% - Accent1 2 2 2 5 5" xfId="10440" xr:uid="{19662654-A2DD-43F1-A492-DC292E377845}"/>
    <cellStyle name="40% - Accent1 2 2 2 6" xfId="2315" xr:uid="{00000000-0005-0000-0000-0000D5030000}"/>
    <cellStyle name="40% - Accent1 2 2 2 6 2" xfId="6621" xr:uid="{00000000-0005-0000-0000-0000D6030000}"/>
    <cellStyle name="40% - Accent1 2 2 2 6 2 2" xfId="23512" xr:uid="{E8C34793-3122-4636-974B-208C72E7BC0A}"/>
    <cellStyle name="40% - Accent1 2 2 2 6 2 3" xfId="15071" xr:uid="{D677F602-41C5-476F-8BBF-894D55300242}"/>
    <cellStyle name="40% - Accent1 2 2 2 6 3" xfId="19294" xr:uid="{0C133DD4-CC90-41FE-89B9-A110721DD1D9}"/>
    <cellStyle name="40% - Accent1 2 2 2 6 4" xfId="10853" xr:uid="{7B3DFAC8-BC83-42C2-9747-312B34E31E43}"/>
    <cellStyle name="40% - Accent1 2 2 2 7" xfId="4555" xr:uid="{00000000-0005-0000-0000-0000D7030000}"/>
    <cellStyle name="40% - Accent1 2 2 2 7 2" xfId="21446" xr:uid="{9F96E9E2-8FC8-4286-BBFC-4ABFA27FE8BF}"/>
    <cellStyle name="40% - Accent1 2 2 2 7 3" xfId="13005" xr:uid="{94046F22-8073-46E2-B0D3-7E426A6321BB}"/>
    <cellStyle name="40% - Accent1 2 2 2 8" xfId="17228" xr:uid="{6496A5FB-C3DE-47F3-B9BB-D8A3E22A8981}"/>
    <cellStyle name="40% - Accent1 2 2 2 9" xfId="8787" xr:uid="{62B62AA4-DCC5-414D-976D-B891B4139D90}"/>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24004" xr:uid="{01D1FF7A-BC59-414B-AB88-2B6E08F4AE49}"/>
    <cellStyle name="40% - Accent1 2 2 3 2 2 3" xfId="15563" xr:uid="{0DAC4A33-F239-4900-AD45-5E07148561B2}"/>
    <cellStyle name="40% - Accent1 2 2 3 2 3" xfId="19786" xr:uid="{DEC05310-F997-4261-88C4-CAA2FAFFB421}"/>
    <cellStyle name="40% - Accent1 2 2 3 2 4" xfId="11345" xr:uid="{98E7C7D4-7472-4485-B56E-C48E4015EED2}"/>
    <cellStyle name="40% - Accent1 2 2 3 3" xfId="4968" xr:uid="{00000000-0005-0000-0000-0000DB030000}"/>
    <cellStyle name="40% - Accent1 2 2 3 3 2" xfId="21859" xr:uid="{3C131BB8-C02A-40E9-BF74-E1A716E668F1}"/>
    <cellStyle name="40% - Accent1 2 2 3 3 3" xfId="13418" xr:uid="{C4C9D3CB-A4E3-48D3-8C0F-3E858FECE30A}"/>
    <cellStyle name="40% - Accent1 2 2 3 4" xfId="17641" xr:uid="{DEAE8BCE-CA31-4235-839A-ED1D3966A51B}"/>
    <cellStyle name="40% - Accent1 2 2 3 5" xfId="9200" xr:uid="{06C21E8F-C26F-4AF9-8A88-89B91F0B157A}"/>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24417" xr:uid="{A2B3D204-D14E-4DCC-A457-6D969855A006}"/>
    <cellStyle name="40% - Accent1 2 2 4 2 2 3" xfId="15976" xr:uid="{4F0C07A1-CCC5-4CFC-9D37-C3A62C726FBC}"/>
    <cellStyle name="40% - Accent1 2 2 4 2 3" xfId="20199" xr:uid="{A0E073C3-012A-47BE-993A-92F460BBA5AF}"/>
    <cellStyle name="40% - Accent1 2 2 4 2 4" xfId="11758" xr:uid="{83DBFC9F-AACB-4C1C-A9DA-5B31398E564E}"/>
    <cellStyle name="40% - Accent1 2 2 4 3" xfId="5381" xr:uid="{00000000-0005-0000-0000-0000DF030000}"/>
    <cellStyle name="40% - Accent1 2 2 4 3 2" xfId="22272" xr:uid="{5C3D86F0-5D38-4E6E-8BF1-5BDA9CDD7C79}"/>
    <cellStyle name="40% - Accent1 2 2 4 3 3" xfId="13831" xr:uid="{99F27BCD-FF09-4631-9CDD-63641BE23882}"/>
    <cellStyle name="40% - Accent1 2 2 4 4" xfId="18054" xr:uid="{D40A13A2-250D-4B38-A822-4B88A1B2CA76}"/>
    <cellStyle name="40% - Accent1 2 2 4 5" xfId="9613" xr:uid="{A682F3D7-C0FF-489D-9805-A383D5EDB627}"/>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24830" xr:uid="{DC7D8D30-790F-4509-BC74-BC4AC2C24A6B}"/>
    <cellStyle name="40% - Accent1 2 2 5 2 2 3" xfId="16389" xr:uid="{00543F03-7C52-404F-9E70-4CB958F85B7B}"/>
    <cellStyle name="40% - Accent1 2 2 5 2 3" xfId="20612" xr:uid="{699C6002-7AEA-494F-BED4-8272B9E0D431}"/>
    <cellStyle name="40% - Accent1 2 2 5 2 4" xfId="12171" xr:uid="{F322D663-29B0-410D-82A6-8E16EA8308E6}"/>
    <cellStyle name="40% - Accent1 2 2 5 3" xfId="5794" xr:uid="{00000000-0005-0000-0000-0000E3030000}"/>
    <cellStyle name="40% - Accent1 2 2 5 3 2" xfId="22685" xr:uid="{690F2AAF-812A-4372-97FF-16BE3372BD43}"/>
    <cellStyle name="40% - Accent1 2 2 5 3 3" xfId="14244" xr:uid="{37D1E3BC-3F42-4982-95C7-7DE50E71EDCA}"/>
    <cellStyle name="40% - Accent1 2 2 5 4" xfId="18467" xr:uid="{A7091A83-4E62-438B-89EF-5B1A3A87A60D}"/>
    <cellStyle name="40% - Accent1 2 2 5 5" xfId="10026" xr:uid="{B8A09D39-3581-4DF0-AEE6-BBC6466C9F35}"/>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25243" xr:uid="{F93EB764-4C9E-4833-BB8A-083ECE760B23}"/>
    <cellStyle name="40% - Accent1 2 2 6 2 2 3" xfId="16802" xr:uid="{945854D0-FF3D-4DB9-98F3-56264B9F6BB9}"/>
    <cellStyle name="40% - Accent1 2 2 6 2 3" xfId="21025" xr:uid="{51312FE4-C0DC-442B-B864-A36ACB717D48}"/>
    <cellStyle name="40% - Accent1 2 2 6 2 4" xfId="12584" xr:uid="{2E91DBEC-3C4B-4731-88D1-E2EA539B9F3A}"/>
    <cellStyle name="40% - Accent1 2 2 6 3" xfId="6207" xr:uid="{00000000-0005-0000-0000-0000E7030000}"/>
    <cellStyle name="40% - Accent1 2 2 6 3 2" xfId="23098" xr:uid="{3516AFED-ED08-48BD-9E44-039D6F12EA93}"/>
    <cellStyle name="40% - Accent1 2 2 6 3 3" xfId="14657" xr:uid="{5F84B50B-A97F-4E44-B93F-9E93A11E5A71}"/>
    <cellStyle name="40% - Accent1 2 2 6 4" xfId="18880" xr:uid="{8DCCFB89-3431-48CD-8E25-2B91A3C05DC4}"/>
    <cellStyle name="40% - Accent1 2 2 6 5" xfId="10439" xr:uid="{346B8D97-32E2-4761-93E3-24418E1ACE8F}"/>
    <cellStyle name="40% - Accent1 2 2 7" xfId="2314" xr:uid="{00000000-0005-0000-0000-0000E8030000}"/>
    <cellStyle name="40% - Accent1 2 2 7 2" xfId="6620" xr:uid="{00000000-0005-0000-0000-0000E9030000}"/>
    <cellStyle name="40% - Accent1 2 2 7 2 2" xfId="23511" xr:uid="{26838F4F-BB2B-488B-B00E-B0C3A5CD5952}"/>
    <cellStyle name="40% - Accent1 2 2 7 2 3" xfId="15070" xr:uid="{68BB683F-F858-4049-B3C5-C7C24A22A32B}"/>
    <cellStyle name="40% - Accent1 2 2 7 3" xfId="19293" xr:uid="{8812B62A-6A08-45D2-A6E4-AD0FC88D9CEC}"/>
    <cellStyle name="40% - Accent1 2 2 7 4" xfId="10852" xr:uid="{0582E10B-46D3-452D-A436-C754E77337CE}"/>
    <cellStyle name="40% - Accent1 2 2 8" xfId="4554" xr:uid="{00000000-0005-0000-0000-0000EA030000}"/>
    <cellStyle name="40% - Accent1 2 2 8 2" xfId="21445" xr:uid="{7D929E2D-9382-4851-B709-097745645A0E}"/>
    <cellStyle name="40% - Accent1 2 2 8 3" xfId="13004" xr:uid="{28E5476E-6BF4-4F0B-8C66-A705476CE3F3}"/>
    <cellStyle name="40% - Accent1 2 2 9" xfId="17227" xr:uid="{85487342-8068-44A9-82B5-3FF57327019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24006" xr:uid="{3413FC28-FEC9-4DF2-9C15-AF2D34EC638D}"/>
    <cellStyle name="40% - Accent1 2 3 2 2 2 3" xfId="15565" xr:uid="{92ABBE44-0260-4D3A-95F2-587C06D319C9}"/>
    <cellStyle name="40% - Accent1 2 3 2 2 3" xfId="19788" xr:uid="{1298FDDB-C2F2-409D-AE07-25E44BB3598F}"/>
    <cellStyle name="40% - Accent1 2 3 2 2 4" xfId="11347" xr:uid="{27D75C1F-0CE7-4BC4-B5F6-900C061473D4}"/>
    <cellStyle name="40% - Accent1 2 3 2 3" xfId="4970" xr:uid="{00000000-0005-0000-0000-0000EF030000}"/>
    <cellStyle name="40% - Accent1 2 3 2 3 2" xfId="21861" xr:uid="{59DFAD4C-2F15-4B59-912B-832FFBCE7154}"/>
    <cellStyle name="40% - Accent1 2 3 2 3 3" xfId="13420" xr:uid="{241FB260-8968-4160-AA8D-D18E6643BAF0}"/>
    <cellStyle name="40% - Accent1 2 3 2 4" xfId="17643" xr:uid="{809184AA-3ADE-438E-981A-5BA253624F18}"/>
    <cellStyle name="40% - Accent1 2 3 2 5" xfId="9202" xr:uid="{1E01FDC6-211E-4065-8459-5AC69667C835}"/>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24419" xr:uid="{915B6B13-763A-4DA7-9CEA-5E664E77F122}"/>
    <cellStyle name="40% - Accent1 2 3 3 2 2 3" xfId="15978" xr:uid="{9827E1D0-F62A-4818-A7F4-2EF97A670C9B}"/>
    <cellStyle name="40% - Accent1 2 3 3 2 3" xfId="20201" xr:uid="{A3820EC0-2E3B-4F32-A1C2-982C5C5A531F}"/>
    <cellStyle name="40% - Accent1 2 3 3 2 4" xfId="11760" xr:uid="{555B885B-D291-4B45-B0C6-E67C8F49287A}"/>
    <cellStyle name="40% - Accent1 2 3 3 3" xfId="5383" xr:uid="{00000000-0005-0000-0000-0000F3030000}"/>
    <cellStyle name="40% - Accent1 2 3 3 3 2" xfId="22274" xr:uid="{5D8EC1FC-D758-41A0-93B1-3062051909FA}"/>
    <cellStyle name="40% - Accent1 2 3 3 3 3" xfId="13833" xr:uid="{A2D4C19D-DD2E-415A-9B12-9E89648210A4}"/>
    <cellStyle name="40% - Accent1 2 3 3 4" xfId="18056" xr:uid="{947BE6BC-DA67-488B-8F14-837A7B1C0ED2}"/>
    <cellStyle name="40% - Accent1 2 3 3 5" xfId="9615" xr:uid="{98247237-16E5-4FB7-8845-11A813E4932E}"/>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24832" xr:uid="{47E29008-E44D-46AB-AFBA-F91214928725}"/>
    <cellStyle name="40% - Accent1 2 3 4 2 2 3" xfId="16391" xr:uid="{21B5D1DD-E49B-4136-9E2B-C915DCEB2270}"/>
    <cellStyle name="40% - Accent1 2 3 4 2 3" xfId="20614" xr:uid="{92ABBA8B-DC72-4BA5-9C73-2202EC064CF5}"/>
    <cellStyle name="40% - Accent1 2 3 4 2 4" xfId="12173" xr:uid="{493BD676-A701-456C-9AD2-BFF2DE34ACFB}"/>
    <cellStyle name="40% - Accent1 2 3 4 3" xfId="5796" xr:uid="{00000000-0005-0000-0000-0000F7030000}"/>
    <cellStyle name="40% - Accent1 2 3 4 3 2" xfId="22687" xr:uid="{B2304637-775E-40E0-AB88-E6A245B339C4}"/>
    <cellStyle name="40% - Accent1 2 3 4 3 3" xfId="14246" xr:uid="{B59DF41A-BA60-4978-B53F-A328402B344E}"/>
    <cellStyle name="40% - Accent1 2 3 4 4" xfId="18469" xr:uid="{E99B0D7B-BF3F-4131-B005-82CA8EB2982A}"/>
    <cellStyle name="40% - Accent1 2 3 4 5" xfId="10028" xr:uid="{C434209B-B08C-4AC7-A8AC-786940CB976A}"/>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25245" xr:uid="{66F572D1-830F-443F-9879-D7F32BFC9FA6}"/>
    <cellStyle name="40% - Accent1 2 3 5 2 2 3" xfId="16804" xr:uid="{AEB22CF2-CA69-47C2-91DE-8833E6381366}"/>
    <cellStyle name="40% - Accent1 2 3 5 2 3" xfId="21027" xr:uid="{A51041E1-FC1D-4F1E-9448-C3E413142D7D}"/>
    <cellStyle name="40% - Accent1 2 3 5 2 4" xfId="12586" xr:uid="{1C5484D5-484D-4EC6-89F0-EEAB70657AFB}"/>
    <cellStyle name="40% - Accent1 2 3 5 3" xfId="6209" xr:uid="{00000000-0005-0000-0000-0000FB030000}"/>
    <cellStyle name="40% - Accent1 2 3 5 3 2" xfId="23100" xr:uid="{800146F1-EDA4-4698-9B89-7590434C9D5C}"/>
    <cellStyle name="40% - Accent1 2 3 5 3 3" xfId="14659" xr:uid="{A1925F73-8438-4372-B89A-17AE1B49E8A2}"/>
    <cellStyle name="40% - Accent1 2 3 5 4" xfId="18882" xr:uid="{01BA697E-2813-4496-A0AA-ED09172D98BB}"/>
    <cellStyle name="40% - Accent1 2 3 5 5" xfId="10441" xr:uid="{3946821C-947A-452C-9638-9569F9F1019A}"/>
    <cellStyle name="40% - Accent1 2 3 6" xfId="2316" xr:uid="{00000000-0005-0000-0000-0000FC030000}"/>
    <cellStyle name="40% - Accent1 2 3 6 2" xfId="6622" xr:uid="{00000000-0005-0000-0000-0000FD030000}"/>
    <cellStyle name="40% - Accent1 2 3 6 2 2" xfId="23513" xr:uid="{C365C13D-5DC3-4E62-BCA4-3ED1C308414B}"/>
    <cellStyle name="40% - Accent1 2 3 6 2 3" xfId="15072" xr:uid="{0ED2F662-9ED2-4041-8AF4-2BBDD9746803}"/>
    <cellStyle name="40% - Accent1 2 3 6 3" xfId="19295" xr:uid="{CE8AA54E-F6E2-46CB-BC34-5217B2BB9DC2}"/>
    <cellStyle name="40% - Accent1 2 3 6 4" xfId="10854" xr:uid="{F96A4267-7D95-4038-AC69-76EA1B018A3D}"/>
    <cellStyle name="40% - Accent1 2 3 7" xfId="4556" xr:uid="{00000000-0005-0000-0000-0000FE030000}"/>
    <cellStyle name="40% - Accent1 2 3 7 2" xfId="21447" xr:uid="{79A068AA-0FED-42A5-855B-0DA320799A6D}"/>
    <cellStyle name="40% - Accent1 2 3 7 3" xfId="13006" xr:uid="{B893B8CC-BF17-4DA1-AF5F-F00F60C64B10}"/>
    <cellStyle name="40% - Accent1 2 3 8" xfId="17229" xr:uid="{6DDB20AA-0F37-481B-94C7-E96218E4B974}"/>
    <cellStyle name="40% - Accent1 2 3 9" xfId="8788" xr:uid="{8CB27ABA-D1CA-498C-9891-A898380EEB8B}"/>
    <cellStyle name="40% - Accent1 2 4" xfId="619" xr:uid="{00000000-0005-0000-0000-0000FF030000}"/>
    <cellStyle name="40% - Accent1 2 4 2" xfId="2890" xr:uid="{00000000-0005-0000-0000-000000040000}"/>
    <cellStyle name="40% - Accent1 2 4 2 2" xfId="7112" xr:uid="{00000000-0005-0000-0000-000001040000}"/>
    <cellStyle name="40% - Accent1 2 4 2 2 2" xfId="24003" xr:uid="{E751C995-0167-4497-91C1-7844FF6A1E2D}"/>
    <cellStyle name="40% - Accent1 2 4 2 2 3" xfId="15562" xr:uid="{58BA51FD-9014-4496-B8F6-10E3E68816A5}"/>
    <cellStyle name="40% - Accent1 2 4 2 3" xfId="19785" xr:uid="{EFD24A35-BC99-41F3-98CC-A4819321EEB2}"/>
    <cellStyle name="40% - Accent1 2 4 2 4" xfId="11344" xr:uid="{D705E204-D369-4B3E-B2E5-C85BDAB98C78}"/>
    <cellStyle name="40% - Accent1 2 4 3" xfId="4967" xr:uid="{00000000-0005-0000-0000-000002040000}"/>
    <cellStyle name="40% - Accent1 2 4 3 2" xfId="21858" xr:uid="{0A6A2BDD-6DC7-4E7F-841B-29AA3866885E}"/>
    <cellStyle name="40% - Accent1 2 4 3 3" xfId="13417" xr:uid="{65953AFB-014F-4F7C-8C32-D65037A82227}"/>
    <cellStyle name="40% - Accent1 2 4 4" xfId="17640" xr:uid="{A308EAEF-271B-447B-B8B4-FCB812EF042B}"/>
    <cellStyle name="40% - Accent1 2 4 5" xfId="9199" xr:uid="{3AE67EC7-22D0-4958-AB15-D53C6D821176}"/>
    <cellStyle name="40% - Accent1 2 5" xfId="1072" xr:uid="{00000000-0005-0000-0000-000003040000}"/>
    <cellStyle name="40% - Accent1 2 5 2" xfId="3303" xr:uid="{00000000-0005-0000-0000-000004040000}"/>
    <cellStyle name="40% - Accent1 2 5 2 2" xfId="7525" xr:uid="{00000000-0005-0000-0000-000005040000}"/>
    <cellStyle name="40% - Accent1 2 5 2 2 2" xfId="24416" xr:uid="{20FE2382-3E51-432E-90B6-5008A6A7367C}"/>
    <cellStyle name="40% - Accent1 2 5 2 2 3" xfId="15975" xr:uid="{BC5FE4D5-E77E-4FE0-A2EF-E3AE8BD1B015}"/>
    <cellStyle name="40% - Accent1 2 5 2 3" xfId="20198" xr:uid="{D62EE914-900E-4F37-999E-53ACE239FBCD}"/>
    <cellStyle name="40% - Accent1 2 5 2 4" xfId="11757" xr:uid="{5EB0A11A-F55E-4658-B231-450F092EF03D}"/>
    <cellStyle name="40% - Accent1 2 5 3" xfId="5380" xr:uid="{00000000-0005-0000-0000-000006040000}"/>
    <cellStyle name="40% - Accent1 2 5 3 2" xfId="22271" xr:uid="{A4E41ECB-86F9-419B-A5F9-186E6071629B}"/>
    <cellStyle name="40% - Accent1 2 5 3 3" xfId="13830" xr:uid="{5ABA77A5-3AB3-4D25-AF54-8573A88AF349}"/>
    <cellStyle name="40% - Accent1 2 5 4" xfId="18053" xr:uid="{D4E80517-B6A1-4258-93DB-2886BF9E98AC}"/>
    <cellStyle name="40% - Accent1 2 5 5" xfId="9612" xr:uid="{2D9D4E8A-5034-4763-BC13-8D98F0EEB771}"/>
    <cellStyle name="40% - Accent1 2 6" xfId="1486" xr:uid="{00000000-0005-0000-0000-000007040000}"/>
    <cellStyle name="40% - Accent1 2 6 2" xfId="3716" xr:uid="{00000000-0005-0000-0000-000008040000}"/>
    <cellStyle name="40% - Accent1 2 6 2 2" xfId="7938" xr:uid="{00000000-0005-0000-0000-000009040000}"/>
    <cellStyle name="40% - Accent1 2 6 2 2 2" xfId="24829" xr:uid="{8AF62AA4-82AC-403E-87FE-6AA52AA3EE1E}"/>
    <cellStyle name="40% - Accent1 2 6 2 2 3" xfId="16388" xr:uid="{09DD7EBC-AC21-410E-82EB-3447B3EC4BBE}"/>
    <cellStyle name="40% - Accent1 2 6 2 3" xfId="20611" xr:uid="{2A78E0B2-E5BA-49FB-AB19-75D312C7BBBE}"/>
    <cellStyle name="40% - Accent1 2 6 2 4" xfId="12170" xr:uid="{FFF8B076-007F-4460-B859-0522F8442910}"/>
    <cellStyle name="40% - Accent1 2 6 3" xfId="5793" xr:uid="{00000000-0005-0000-0000-00000A040000}"/>
    <cellStyle name="40% - Accent1 2 6 3 2" xfId="22684" xr:uid="{FD496804-F8F0-41BB-AA87-E1CB0592FAA2}"/>
    <cellStyle name="40% - Accent1 2 6 3 3" xfId="14243" xr:uid="{BC6B3082-69AA-4D17-97AF-F2FD5285792E}"/>
    <cellStyle name="40% - Accent1 2 6 4" xfId="18466" xr:uid="{8E11C1AD-B034-4EAA-807E-BA5C30EC9BF6}"/>
    <cellStyle name="40% - Accent1 2 6 5" xfId="10025" xr:uid="{F6D3B636-3EC0-495D-9A5D-52969D2786A6}"/>
    <cellStyle name="40% - Accent1 2 7" xfId="1900" xr:uid="{00000000-0005-0000-0000-00000B040000}"/>
    <cellStyle name="40% - Accent1 2 7 2" xfId="4129" xr:uid="{00000000-0005-0000-0000-00000C040000}"/>
    <cellStyle name="40% - Accent1 2 7 2 2" xfId="8351" xr:uid="{00000000-0005-0000-0000-00000D040000}"/>
    <cellStyle name="40% - Accent1 2 7 2 2 2" xfId="25242" xr:uid="{E5D74413-5618-44FC-A922-69C81A500B7A}"/>
    <cellStyle name="40% - Accent1 2 7 2 2 3" xfId="16801" xr:uid="{A6315510-552A-4C2F-B7D9-E2457BDC598F}"/>
    <cellStyle name="40% - Accent1 2 7 2 3" xfId="21024" xr:uid="{6DC7B348-3366-4112-B35F-5ED027381A84}"/>
    <cellStyle name="40% - Accent1 2 7 2 4" xfId="12583" xr:uid="{90ED85BC-941A-4282-96C2-72A713AF239B}"/>
    <cellStyle name="40% - Accent1 2 7 3" xfId="6206" xr:uid="{00000000-0005-0000-0000-00000E040000}"/>
    <cellStyle name="40% - Accent1 2 7 3 2" xfId="23097" xr:uid="{157AA01C-41D5-4B4F-B512-6867B73E0119}"/>
    <cellStyle name="40% - Accent1 2 7 3 3" xfId="14656" xr:uid="{F5DEBB81-4390-4D61-AE27-6BF1C8E1B6F8}"/>
    <cellStyle name="40% - Accent1 2 7 4" xfId="18879" xr:uid="{8861045E-F6A9-4F90-859D-F5D00F7CE4CE}"/>
    <cellStyle name="40% - Accent1 2 7 5" xfId="10438" xr:uid="{1B8CF8AB-81E6-4526-989E-04B583264BEB}"/>
    <cellStyle name="40% - Accent1 2 8" xfId="2313" xr:uid="{00000000-0005-0000-0000-00000F040000}"/>
    <cellStyle name="40% - Accent1 2 8 2" xfId="6619" xr:uid="{00000000-0005-0000-0000-000010040000}"/>
    <cellStyle name="40% - Accent1 2 8 2 2" xfId="23510" xr:uid="{EFFB876B-81AB-4CC6-83EF-1C707A9E5987}"/>
    <cellStyle name="40% - Accent1 2 8 2 3" xfId="15069" xr:uid="{8EEC28AD-3776-4E34-883D-C5BAC9C4FD9A}"/>
    <cellStyle name="40% - Accent1 2 8 3" xfId="19292" xr:uid="{5BD354F0-ABD9-4A97-968C-6EB71F971110}"/>
    <cellStyle name="40% - Accent1 2 8 4" xfId="10851" xr:uid="{0C8516D6-520A-44CF-8FFD-8D93794A3DB0}"/>
    <cellStyle name="40% - Accent1 2 9" xfId="4553" xr:uid="{00000000-0005-0000-0000-000011040000}"/>
    <cellStyle name="40% - Accent1 2 9 2" xfId="21444" xr:uid="{13EE1B83-8929-4601-A42C-9F2ABC5F22E4}"/>
    <cellStyle name="40% - Accent1 2 9 3" xfId="13003" xr:uid="{CAEF38AC-F9E6-40A7-BAC4-A3B2662E692F}"/>
    <cellStyle name="40% - Accent1 3" xfId="54" xr:uid="{00000000-0005-0000-0000-000012040000}"/>
    <cellStyle name="40% - Accent1 3 10" xfId="8789" xr:uid="{32DE1E8E-7EBC-4F66-9E6D-B104B815E9C3}"/>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24008" xr:uid="{67EBB925-DE89-40F9-BE6D-18D0AD986758}"/>
    <cellStyle name="40% - Accent1 3 2 2 2 2 3" xfId="15567" xr:uid="{93D445A6-DE71-4AA7-BAF4-044B43D77AE8}"/>
    <cellStyle name="40% - Accent1 3 2 2 2 3" xfId="19790" xr:uid="{C792FC06-02D5-4DC6-AABE-DCD12702BE04}"/>
    <cellStyle name="40% - Accent1 3 2 2 2 4" xfId="11349" xr:uid="{A3D5FC16-7C11-4890-8D9C-8D1B037AE973}"/>
    <cellStyle name="40% - Accent1 3 2 2 3" xfId="4972" xr:uid="{00000000-0005-0000-0000-000017040000}"/>
    <cellStyle name="40% - Accent1 3 2 2 3 2" xfId="21863" xr:uid="{A135A003-B347-4F58-8F1A-A2C17A7B79F3}"/>
    <cellStyle name="40% - Accent1 3 2 2 3 3" xfId="13422" xr:uid="{69314A43-DE45-4D2A-B5C8-C536C63F7FDB}"/>
    <cellStyle name="40% - Accent1 3 2 2 4" xfId="17645" xr:uid="{D4938BA3-3724-4374-B51C-4D72C15AAC55}"/>
    <cellStyle name="40% - Accent1 3 2 2 5" xfId="9204" xr:uid="{357DF33D-F231-487D-BF62-107062E22DA4}"/>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24421" xr:uid="{E52B92DF-6EF3-4358-BEB5-4A4AEF842BB4}"/>
    <cellStyle name="40% - Accent1 3 2 3 2 2 3" xfId="15980" xr:uid="{89569D86-7F24-4804-B0FF-59373CC28253}"/>
    <cellStyle name="40% - Accent1 3 2 3 2 3" xfId="20203" xr:uid="{9C20C44F-E919-4E2A-BC44-A8DA496CAB71}"/>
    <cellStyle name="40% - Accent1 3 2 3 2 4" xfId="11762" xr:uid="{789291E5-3047-4332-A0CD-A775A639CAD6}"/>
    <cellStyle name="40% - Accent1 3 2 3 3" xfId="5385" xr:uid="{00000000-0005-0000-0000-00001B040000}"/>
    <cellStyle name="40% - Accent1 3 2 3 3 2" xfId="22276" xr:uid="{E8773F01-4139-4441-BE93-0CDCAE0881B0}"/>
    <cellStyle name="40% - Accent1 3 2 3 3 3" xfId="13835" xr:uid="{25E55964-B7CB-4D37-BA73-EF1D489F9BE3}"/>
    <cellStyle name="40% - Accent1 3 2 3 4" xfId="18058" xr:uid="{833714DC-9417-466C-8EAF-D550D11AF4AD}"/>
    <cellStyle name="40% - Accent1 3 2 3 5" xfId="9617" xr:uid="{27371F94-95DB-4303-AA1F-96727A84EF4F}"/>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24834" xr:uid="{84625670-38CD-4809-8E47-D0DFFB838431}"/>
    <cellStyle name="40% - Accent1 3 2 4 2 2 3" xfId="16393" xr:uid="{4B211616-2FEA-488D-BE46-E03B0228FC15}"/>
    <cellStyle name="40% - Accent1 3 2 4 2 3" xfId="20616" xr:uid="{A2B77481-79AC-447E-B6BC-56F42AC28C69}"/>
    <cellStyle name="40% - Accent1 3 2 4 2 4" xfId="12175" xr:uid="{D599DA91-EC9D-4A0C-944C-209BD747F15F}"/>
    <cellStyle name="40% - Accent1 3 2 4 3" xfId="5798" xr:uid="{00000000-0005-0000-0000-00001F040000}"/>
    <cellStyle name="40% - Accent1 3 2 4 3 2" xfId="22689" xr:uid="{4196C18D-1058-4AC6-8F68-D462D4381BB1}"/>
    <cellStyle name="40% - Accent1 3 2 4 3 3" xfId="14248" xr:uid="{100F0F86-EC8F-4A46-BA98-1CD4F630CCBF}"/>
    <cellStyle name="40% - Accent1 3 2 4 4" xfId="18471" xr:uid="{33C41F3A-BAA7-4E27-A7D2-F575F466D6F2}"/>
    <cellStyle name="40% - Accent1 3 2 4 5" xfId="10030" xr:uid="{A89712B0-9F85-4388-B3C2-4E69B779771A}"/>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25247" xr:uid="{C6A97A99-BEBF-4382-BB1B-1B72BBD775EE}"/>
    <cellStyle name="40% - Accent1 3 2 5 2 2 3" xfId="16806" xr:uid="{126351EB-7EF7-44F1-A2EC-7729DD38A2A7}"/>
    <cellStyle name="40% - Accent1 3 2 5 2 3" xfId="21029" xr:uid="{DFB82E2E-EA25-4D4E-B084-5F0276CC8FAD}"/>
    <cellStyle name="40% - Accent1 3 2 5 2 4" xfId="12588" xr:uid="{AE588CC2-4A63-4AAF-8639-DDFB0D3546CE}"/>
    <cellStyle name="40% - Accent1 3 2 5 3" xfId="6211" xr:uid="{00000000-0005-0000-0000-000023040000}"/>
    <cellStyle name="40% - Accent1 3 2 5 3 2" xfId="23102" xr:uid="{0ABFFB45-2C38-4125-B93A-1D599401CBD4}"/>
    <cellStyle name="40% - Accent1 3 2 5 3 3" xfId="14661" xr:uid="{9FFF01D3-F626-4054-8D8F-5A9B091C525C}"/>
    <cellStyle name="40% - Accent1 3 2 5 4" xfId="18884" xr:uid="{6DAA03F5-EBF5-4B84-9E82-166DF31AEB6C}"/>
    <cellStyle name="40% - Accent1 3 2 5 5" xfId="10443" xr:uid="{48167B0E-A9B2-4FF0-8615-77A9B212D2C0}"/>
    <cellStyle name="40% - Accent1 3 2 6" xfId="2318" xr:uid="{00000000-0005-0000-0000-000024040000}"/>
    <cellStyle name="40% - Accent1 3 2 6 2" xfId="6624" xr:uid="{00000000-0005-0000-0000-000025040000}"/>
    <cellStyle name="40% - Accent1 3 2 6 2 2" xfId="23515" xr:uid="{1376C1E6-927C-4B7A-B5CB-525AE3436DB4}"/>
    <cellStyle name="40% - Accent1 3 2 6 2 3" xfId="15074" xr:uid="{02E4915F-7933-4E88-B050-80E74EF1C1DE}"/>
    <cellStyle name="40% - Accent1 3 2 6 3" xfId="19297" xr:uid="{93FE223C-809B-4A69-B134-8D7DCF0BC5EE}"/>
    <cellStyle name="40% - Accent1 3 2 6 4" xfId="10856" xr:uid="{E68A8A77-788A-4E4B-8EB2-C70B9AF5A767}"/>
    <cellStyle name="40% - Accent1 3 2 7" xfId="4558" xr:uid="{00000000-0005-0000-0000-000026040000}"/>
    <cellStyle name="40% - Accent1 3 2 7 2" xfId="21449" xr:uid="{5140AE16-39BF-4614-BF17-00BE92B75955}"/>
    <cellStyle name="40% - Accent1 3 2 7 3" xfId="13008" xr:uid="{31395D11-DF45-458C-84E2-631E0FB68C39}"/>
    <cellStyle name="40% - Accent1 3 2 8" xfId="17231" xr:uid="{0FCE524E-AD2E-4117-A153-DFBDED33B6FA}"/>
    <cellStyle name="40% - Accent1 3 2 9" xfId="8790" xr:uid="{FA74D71E-E429-455A-B593-365AC0A498BD}"/>
    <cellStyle name="40% - Accent1 3 3" xfId="623" xr:uid="{00000000-0005-0000-0000-000027040000}"/>
    <cellStyle name="40% - Accent1 3 3 2" xfId="2894" xr:uid="{00000000-0005-0000-0000-000028040000}"/>
    <cellStyle name="40% - Accent1 3 3 2 2" xfId="7116" xr:uid="{00000000-0005-0000-0000-000029040000}"/>
    <cellStyle name="40% - Accent1 3 3 2 2 2" xfId="24007" xr:uid="{EA5674CF-3BCD-4F5C-9553-8777BBB07647}"/>
    <cellStyle name="40% - Accent1 3 3 2 2 3" xfId="15566" xr:uid="{E8381507-1A2D-4531-B5ED-B82AF8A1C642}"/>
    <cellStyle name="40% - Accent1 3 3 2 3" xfId="19789" xr:uid="{AA735D91-0726-4AD4-9BAB-0978554742F4}"/>
    <cellStyle name="40% - Accent1 3 3 2 4" xfId="11348" xr:uid="{AA884C22-380E-4BCE-A057-0F44E861C793}"/>
    <cellStyle name="40% - Accent1 3 3 3" xfId="4971" xr:uid="{00000000-0005-0000-0000-00002A040000}"/>
    <cellStyle name="40% - Accent1 3 3 3 2" xfId="21862" xr:uid="{27E9D102-5103-4C41-B169-C7DA7BA3DB8E}"/>
    <cellStyle name="40% - Accent1 3 3 3 3" xfId="13421" xr:uid="{AC3C8D2A-048F-40F0-8955-C781AD7F00E5}"/>
    <cellStyle name="40% - Accent1 3 3 4" xfId="17644" xr:uid="{B44B0651-1826-4B31-8BDA-4D1A59389037}"/>
    <cellStyle name="40% - Accent1 3 3 5" xfId="9203" xr:uid="{CDE575B6-3628-4940-BB42-75EFAC021BAF}"/>
    <cellStyle name="40% - Accent1 3 4" xfId="1076" xr:uid="{00000000-0005-0000-0000-00002B040000}"/>
    <cellStyle name="40% - Accent1 3 4 2" xfId="3307" xr:uid="{00000000-0005-0000-0000-00002C040000}"/>
    <cellStyle name="40% - Accent1 3 4 2 2" xfId="7529" xr:uid="{00000000-0005-0000-0000-00002D040000}"/>
    <cellStyle name="40% - Accent1 3 4 2 2 2" xfId="24420" xr:uid="{35EC9FE4-AFE5-473A-9778-669C10A64924}"/>
    <cellStyle name="40% - Accent1 3 4 2 2 3" xfId="15979" xr:uid="{6136A965-E605-45F1-9971-23CB72D62C99}"/>
    <cellStyle name="40% - Accent1 3 4 2 3" xfId="20202" xr:uid="{31DBD24F-B7B7-49E3-8C14-CFAB75289568}"/>
    <cellStyle name="40% - Accent1 3 4 2 4" xfId="11761" xr:uid="{74DE4650-4519-4BF9-9B95-E16529BBD199}"/>
    <cellStyle name="40% - Accent1 3 4 3" xfId="5384" xr:uid="{00000000-0005-0000-0000-00002E040000}"/>
    <cellStyle name="40% - Accent1 3 4 3 2" xfId="22275" xr:uid="{18ABFA5F-D52F-4CE1-A04A-576CC7281953}"/>
    <cellStyle name="40% - Accent1 3 4 3 3" xfId="13834" xr:uid="{21A2AF54-FFC8-4A63-9DE5-DC4142DE636D}"/>
    <cellStyle name="40% - Accent1 3 4 4" xfId="18057" xr:uid="{DC13E075-0FCB-4A24-8FAD-51F9D7AB97D4}"/>
    <cellStyle name="40% - Accent1 3 4 5" xfId="9616" xr:uid="{92AEA918-26C0-4740-903B-ECC00967BFE3}"/>
    <cellStyle name="40% - Accent1 3 5" xfId="1490" xr:uid="{00000000-0005-0000-0000-00002F040000}"/>
    <cellStyle name="40% - Accent1 3 5 2" xfId="3720" xr:uid="{00000000-0005-0000-0000-000030040000}"/>
    <cellStyle name="40% - Accent1 3 5 2 2" xfId="7942" xr:uid="{00000000-0005-0000-0000-000031040000}"/>
    <cellStyle name="40% - Accent1 3 5 2 2 2" xfId="24833" xr:uid="{82976BDA-E896-45A4-9C6D-E5995999F669}"/>
    <cellStyle name="40% - Accent1 3 5 2 2 3" xfId="16392" xr:uid="{4507A979-A535-44E8-88B6-861A5C10465D}"/>
    <cellStyle name="40% - Accent1 3 5 2 3" xfId="20615" xr:uid="{B5AAAC3E-032C-4FC9-98F0-5B3E9B7141AD}"/>
    <cellStyle name="40% - Accent1 3 5 2 4" xfId="12174" xr:uid="{3A0339EE-F274-4DC7-9B49-2964815D43AF}"/>
    <cellStyle name="40% - Accent1 3 5 3" xfId="5797" xr:uid="{00000000-0005-0000-0000-000032040000}"/>
    <cellStyle name="40% - Accent1 3 5 3 2" xfId="22688" xr:uid="{284D6D9A-106D-4626-9AC5-93CDCA2DADE2}"/>
    <cellStyle name="40% - Accent1 3 5 3 3" xfId="14247" xr:uid="{0E54752C-0A43-49B0-A846-D66C65282FB7}"/>
    <cellStyle name="40% - Accent1 3 5 4" xfId="18470" xr:uid="{1834955A-EFBD-492D-BD60-AB0D0ECBD481}"/>
    <cellStyle name="40% - Accent1 3 5 5" xfId="10029" xr:uid="{DBDB08AC-FEA9-4C8C-8F18-8066DD8158E1}"/>
    <cellStyle name="40% - Accent1 3 6" xfId="1904" xr:uid="{00000000-0005-0000-0000-000033040000}"/>
    <cellStyle name="40% - Accent1 3 6 2" xfId="4133" xr:uid="{00000000-0005-0000-0000-000034040000}"/>
    <cellStyle name="40% - Accent1 3 6 2 2" xfId="8355" xr:uid="{00000000-0005-0000-0000-000035040000}"/>
    <cellStyle name="40% - Accent1 3 6 2 2 2" xfId="25246" xr:uid="{85000040-1388-4169-BC93-C50D11A07B62}"/>
    <cellStyle name="40% - Accent1 3 6 2 2 3" xfId="16805" xr:uid="{56FBB75D-5334-4647-8936-421638885277}"/>
    <cellStyle name="40% - Accent1 3 6 2 3" xfId="21028" xr:uid="{27BC75DE-F0EB-43BC-B9E3-798CC48CDAE4}"/>
    <cellStyle name="40% - Accent1 3 6 2 4" xfId="12587" xr:uid="{A70FFD61-FF0B-4A8A-B015-D6CAC15F0C37}"/>
    <cellStyle name="40% - Accent1 3 6 3" xfId="6210" xr:uid="{00000000-0005-0000-0000-000036040000}"/>
    <cellStyle name="40% - Accent1 3 6 3 2" xfId="23101" xr:uid="{FBE557B4-2F9A-4612-BB79-11C7911F0643}"/>
    <cellStyle name="40% - Accent1 3 6 3 3" xfId="14660" xr:uid="{725D01E9-9C25-4F93-9BBD-1205E22FF53C}"/>
    <cellStyle name="40% - Accent1 3 6 4" xfId="18883" xr:uid="{5A3A4BF9-4FEE-4DCB-B40C-59B278F0EED7}"/>
    <cellStyle name="40% - Accent1 3 6 5" xfId="10442" xr:uid="{AA87EEE3-E61A-4E7F-9735-5D9856EDD106}"/>
    <cellStyle name="40% - Accent1 3 7" xfId="2317" xr:uid="{00000000-0005-0000-0000-000037040000}"/>
    <cellStyle name="40% - Accent1 3 7 2" xfId="6623" xr:uid="{00000000-0005-0000-0000-000038040000}"/>
    <cellStyle name="40% - Accent1 3 7 2 2" xfId="23514" xr:uid="{9CEF65FE-B454-4318-8008-3B2763C954F5}"/>
    <cellStyle name="40% - Accent1 3 7 2 3" xfId="15073" xr:uid="{A0DEA112-4675-4949-97AA-9E23906872B8}"/>
    <cellStyle name="40% - Accent1 3 7 3" xfId="19296" xr:uid="{277EDD07-C715-4B6B-80ED-B352F84B29F5}"/>
    <cellStyle name="40% - Accent1 3 7 4" xfId="10855" xr:uid="{2F219387-456D-4FB3-A213-C7F05FE96F05}"/>
    <cellStyle name="40% - Accent1 3 8" xfId="4557" xr:uid="{00000000-0005-0000-0000-000039040000}"/>
    <cellStyle name="40% - Accent1 3 8 2" xfId="21448" xr:uid="{7BCD4E43-6483-4106-9A93-9D1041C8C8B4}"/>
    <cellStyle name="40% - Accent1 3 8 3" xfId="13007" xr:uid="{F020D423-941F-4273-89D9-077477EA80C9}"/>
    <cellStyle name="40% - Accent1 3 9" xfId="17230" xr:uid="{96D5FFA7-C04E-4643-B7A0-0868DF26776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2 2 2" xfId="24009" xr:uid="{94F59481-8A69-4A68-A14F-796E535D2EA7}"/>
    <cellStyle name="40% - Accent1 4 2 2 2 3" xfId="15568" xr:uid="{4C8F6D94-9B4D-455B-86D7-BF1807EF9720}"/>
    <cellStyle name="40% - Accent1 4 2 2 3" xfId="19791" xr:uid="{D94BF2C1-1D7B-49D0-BA5F-5BB4CEA927BF}"/>
    <cellStyle name="40% - Accent1 4 2 2 4" xfId="11350" xr:uid="{480F4E22-193B-4BF5-8E94-FABF0FFAF315}"/>
    <cellStyle name="40% - Accent1 4 2 3" xfId="4973" xr:uid="{00000000-0005-0000-0000-00003E040000}"/>
    <cellStyle name="40% - Accent1 4 2 3 2" xfId="21864" xr:uid="{F25FDF28-5365-4D59-A947-D0CAF6DDCC20}"/>
    <cellStyle name="40% - Accent1 4 2 3 3" xfId="13423" xr:uid="{71F96D55-28E3-4EF6-901F-856F6F426C90}"/>
    <cellStyle name="40% - Accent1 4 2 4" xfId="17646" xr:uid="{57760EFF-107B-42A0-A293-15E87C9DC19E}"/>
    <cellStyle name="40% - Accent1 4 2 5" xfId="9205" xr:uid="{48A79B99-7AE7-4E86-A09A-3038FDF53554}"/>
    <cellStyle name="40% - Accent1 4 3" xfId="1078" xr:uid="{00000000-0005-0000-0000-00003F040000}"/>
    <cellStyle name="40% - Accent1 4 3 2" xfId="3309" xr:uid="{00000000-0005-0000-0000-000040040000}"/>
    <cellStyle name="40% - Accent1 4 3 2 2" xfId="7531" xr:uid="{00000000-0005-0000-0000-000041040000}"/>
    <cellStyle name="40% - Accent1 4 3 2 2 2" xfId="24422" xr:uid="{4CDDCE1B-2722-4E3C-A670-DF8645743975}"/>
    <cellStyle name="40% - Accent1 4 3 2 2 3" xfId="15981" xr:uid="{EBF9504D-05A8-4868-8500-D93EC1DEB5F2}"/>
    <cellStyle name="40% - Accent1 4 3 2 3" xfId="20204" xr:uid="{E1B880A3-F5CA-44A0-AEF8-0DB0B5EC2AF0}"/>
    <cellStyle name="40% - Accent1 4 3 2 4" xfId="11763" xr:uid="{5CA9045B-E2FC-48B2-9CC3-17DAF02CED0A}"/>
    <cellStyle name="40% - Accent1 4 3 3" xfId="5386" xr:uid="{00000000-0005-0000-0000-000042040000}"/>
    <cellStyle name="40% - Accent1 4 3 3 2" xfId="22277" xr:uid="{E4E024C7-9367-456F-B7AB-9219E5A5A409}"/>
    <cellStyle name="40% - Accent1 4 3 3 3" xfId="13836" xr:uid="{0A56D110-E2E7-4070-AC65-29F1CC9E4E97}"/>
    <cellStyle name="40% - Accent1 4 3 4" xfId="18059" xr:uid="{7E53465C-BD47-4E14-B5AC-3F261018189D}"/>
    <cellStyle name="40% - Accent1 4 3 5" xfId="9618" xr:uid="{6C1978EF-88CE-418F-BC5A-64776BA3E931}"/>
    <cellStyle name="40% - Accent1 4 4" xfId="1492" xr:uid="{00000000-0005-0000-0000-000043040000}"/>
    <cellStyle name="40% - Accent1 4 4 2" xfId="3722" xr:uid="{00000000-0005-0000-0000-000044040000}"/>
    <cellStyle name="40% - Accent1 4 4 2 2" xfId="7944" xr:uid="{00000000-0005-0000-0000-000045040000}"/>
    <cellStyle name="40% - Accent1 4 4 2 2 2" xfId="24835" xr:uid="{27515B26-4A7B-4D77-8CDD-4D51722A7E73}"/>
    <cellStyle name="40% - Accent1 4 4 2 2 3" xfId="16394" xr:uid="{334E1775-65A0-45BB-86CC-6E3C5EBE3123}"/>
    <cellStyle name="40% - Accent1 4 4 2 3" xfId="20617" xr:uid="{B8F7A5E2-5CDC-429C-8CC9-E9C0C866CEAD}"/>
    <cellStyle name="40% - Accent1 4 4 2 4" xfId="12176" xr:uid="{ED36DF6D-CDD6-4705-827A-5CEB5A219DEB}"/>
    <cellStyle name="40% - Accent1 4 4 3" xfId="5799" xr:uid="{00000000-0005-0000-0000-000046040000}"/>
    <cellStyle name="40% - Accent1 4 4 3 2" xfId="22690" xr:uid="{FE10E6B5-4DCA-42D8-B4A1-07331B10C1BD}"/>
    <cellStyle name="40% - Accent1 4 4 3 3" xfId="14249" xr:uid="{3AAA33BE-FC91-4D05-89F9-3508E013C09C}"/>
    <cellStyle name="40% - Accent1 4 4 4" xfId="18472" xr:uid="{5C9C5EEE-F09D-42E6-9DA5-6EE0B87B7C99}"/>
    <cellStyle name="40% - Accent1 4 4 5" xfId="10031" xr:uid="{B44B4774-CE45-441F-8D7B-ED294D210F05}"/>
    <cellStyle name="40% - Accent1 4 5" xfId="1906" xr:uid="{00000000-0005-0000-0000-000047040000}"/>
    <cellStyle name="40% - Accent1 4 5 2" xfId="4135" xr:uid="{00000000-0005-0000-0000-000048040000}"/>
    <cellStyle name="40% - Accent1 4 5 2 2" xfId="8357" xr:uid="{00000000-0005-0000-0000-000049040000}"/>
    <cellStyle name="40% - Accent1 4 5 2 2 2" xfId="25248" xr:uid="{37BFE8D5-056A-4FAC-B950-71501C3F0423}"/>
    <cellStyle name="40% - Accent1 4 5 2 2 3" xfId="16807" xr:uid="{9D38EC66-27FC-48FA-9075-99A00BF1823B}"/>
    <cellStyle name="40% - Accent1 4 5 2 3" xfId="21030" xr:uid="{E2371993-FF6F-4E04-9DE4-0C7C08BCAA2B}"/>
    <cellStyle name="40% - Accent1 4 5 2 4" xfId="12589" xr:uid="{B94E82E5-F9A4-4ACC-9D5E-E61FEC2009A8}"/>
    <cellStyle name="40% - Accent1 4 5 3" xfId="6212" xr:uid="{00000000-0005-0000-0000-00004A040000}"/>
    <cellStyle name="40% - Accent1 4 5 3 2" xfId="23103" xr:uid="{A7A68737-3821-4DC4-9B14-5C8C76BF1295}"/>
    <cellStyle name="40% - Accent1 4 5 3 3" xfId="14662" xr:uid="{1C053A61-40AA-41EE-AD27-951275876F6E}"/>
    <cellStyle name="40% - Accent1 4 5 4" xfId="18885" xr:uid="{DEA90123-3925-4006-896D-886D6D8638E5}"/>
    <cellStyle name="40% - Accent1 4 5 5" xfId="10444" xr:uid="{16020F59-256E-4FA1-9268-5FF71329D665}"/>
    <cellStyle name="40% - Accent1 4 6" xfId="2319" xr:uid="{00000000-0005-0000-0000-00004B040000}"/>
    <cellStyle name="40% - Accent1 4 6 2" xfId="6625" xr:uid="{00000000-0005-0000-0000-00004C040000}"/>
    <cellStyle name="40% - Accent1 4 6 2 2" xfId="23516" xr:uid="{C44D308E-F59E-41D0-8B5F-97CB6FAC9F59}"/>
    <cellStyle name="40% - Accent1 4 6 2 3" xfId="15075" xr:uid="{9ECC3833-BCE4-4EC8-8EB7-84AD34AB226C}"/>
    <cellStyle name="40% - Accent1 4 6 3" xfId="19298" xr:uid="{65D76A37-35CC-4274-B233-BB884FA1C15C}"/>
    <cellStyle name="40% - Accent1 4 6 4" xfId="10857" xr:uid="{AB10533D-88B5-40BD-996D-AC8217061F3D}"/>
    <cellStyle name="40% - Accent1 4 7" xfId="4559" xr:uid="{00000000-0005-0000-0000-00004D040000}"/>
    <cellStyle name="40% - Accent1 4 7 2" xfId="21450" xr:uid="{993CB4EE-0F96-4332-8D66-9BB0AF818D14}"/>
    <cellStyle name="40% - Accent1 4 7 3" xfId="13009" xr:uid="{19886EA8-6014-4EB7-8D91-8309B91F00A6}"/>
    <cellStyle name="40% - Accent1 4 8" xfId="17232" xr:uid="{561C2460-AD74-47C2-9D86-124517CEF44A}"/>
    <cellStyle name="40% - Accent1 4 9" xfId="8791" xr:uid="{14412C1B-DECA-40B9-9180-7240AC49D527}"/>
    <cellStyle name="40% - Accent1 5" xfId="618" xr:uid="{00000000-0005-0000-0000-00004E040000}"/>
    <cellStyle name="40% - Accent1 5 2" xfId="2889" xr:uid="{00000000-0005-0000-0000-00004F040000}"/>
    <cellStyle name="40% - Accent1 5 2 2" xfId="7111" xr:uid="{00000000-0005-0000-0000-000050040000}"/>
    <cellStyle name="40% - Accent1 5 2 2 2" xfId="24002" xr:uid="{3191137A-3ADF-49C9-8CFC-8B8EF3C6AE2C}"/>
    <cellStyle name="40% - Accent1 5 2 2 3" xfId="15561" xr:uid="{8441A510-44EF-42D1-9CF0-99DB77CAFCBC}"/>
    <cellStyle name="40% - Accent1 5 2 3" xfId="19784" xr:uid="{3945E648-3214-4592-A14B-9F9BA222B29B}"/>
    <cellStyle name="40% - Accent1 5 2 4" xfId="11343" xr:uid="{01A3B54A-DDEF-4F0C-911E-E11DC9172E40}"/>
    <cellStyle name="40% - Accent1 5 3" xfId="4966" xr:uid="{00000000-0005-0000-0000-000051040000}"/>
    <cellStyle name="40% - Accent1 5 3 2" xfId="21857" xr:uid="{CC35561D-D4AD-4377-B252-44CBBE6769B4}"/>
    <cellStyle name="40% - Accent1 5 3 3" xfId="13416" xr:uid="{EB339EAB-0C2C-4E94-9577-111F85A21745}"/>
    <cellStyle name="40% - Accent1 5 4" xfId="17639" xr:uid="{EA454C76-EDCA-47E4-A8AB-69289AE652A7}"/>
    <cellStyle name="40% - Accent1 5 5" xfId="9198" xr:uid="{0EA1E835-DF1C-4D77-BFD4-9FE0A022D57A}"/>
    <cellStyle name="40% - Accent1 6" xfId="1071" xr:uid="{00000000-0005-0000-0000-000052040000}"/>
    <cellStyle name="40% - Accent1 6 2" xfId="3302" xr:uid="{00000000-0005-0000-0000-000053040000}"/>
    <cellStyle name="40% - Accent1 6 2 2" xfId="7524" xr:uid="{00000000-0005-0000-0000-000054040000}"/>
    <cellStyle name="40% - Accent1 6 2 2 2" xfId="24415" xr:uid="{E167017D-2BB9-47A9-BF07-0FA105C11753}"/>
    <cellStyle name="40% - Accent1 6 2 2 3" xfId="15974" xr:uid="{5888AAE7-69D1-4FBB-B344-F5DE18ACB631}"/>
    <cellStyle name="40% - Accent1 6 2 3" xfId="20197" xr:uid="{323E0E60-D5AE-4E58-B371-32DECE1F2D8A}"/>
    <cellStyle name="40% - Accent1 6 2 4" xfId="11756" xr:uid="{339A1769-E501-43BE-9D24-73F1EE54CBA7}"/>
    <cellStyle name="40% - Accent1 6 3" xfId="5379" xr:uid="{00000000-0005-0000-0000-000055040000}"/>
    <cellStyle name="40% - Accent1 6 3 2" xfId="22270" xr:uid="{7B01012A-B78E-43E9-BD1B-D9C294DD2F2A}"/>
    <cellStyle name="40% - Accent1 6 3 3" xfId="13829" xr:uid="{F9FA30E7-0E33-406F-BA54-55992386C418}"/>
    <cellStyle name="40% - Accent1 6 4" xfId="18052" xr:uid="{42F1B334-B20D-47B0-AE32-788176049C7B}"/>
    <cellStyle name="40% - Accent1 6 5" xfId="9611" xr:uid="{DDF24014-F808-43D8-8516-13BD4543D5A4}"/>
    <cellStyle name="40% - Accent1 7" xfId="1485" xr:uid="{00000000-0005-0000-0000-000056040000}"/>
    <cellStyle name="40% - Accent1 7 2" xfId="3715" xr:uid="{00000000-0005-0000-0000-000057040000}"/>
    <cellStyle name="40% - Accent1 7 2 2" xfId="7937" xr:uid="{00000000-0005-0000-0000-000058040000}"/>
    <cellStyle name="40% - Accent1 7 2 2 2" xfId="24828" xr:uid="{77437B7E-0B5F-4EE9-929B-47AA783E0950}"/>
    <cellStyle name="40% - Accent1 7 2 2 3" xfId="16387" xr:uid="{EDAA1D3D-4B6F-4229-A32E-3F081A8FC619}"/>
    <cellStyle name="40% - Accent1 7 2 3" xfId="20610" xr:uid="{20BEF6A3-AAB7-4FAB-B8FE-E55CFDF909FF}"/>
    <cellStyle name="40% - Accent1 7 2 4" xfId="12169" xr:uid="{F56A9F6B-B1C7-4B2C-B78D-A92A9959BBC9}"/>
    <cellStyle name="40% - Accent1 7 3" xfId="5792" xr:uid="{00000000-0005-0000-0000-000059040000}"/>
    <cellStyle name="40% - Accent1 7 3 2" xfId="22683" xr:uid="{5CDC439E-730C-4DCF-A9B1-AF2B1C4BE31E}"/>
    <cellStyle name="40% - Accent1 7 3 3" xfId="14242" xr:uid="{7DFAF49B-5FFF-474A-BB1A-DA7BF37D32C6}"/>
    <cellStyle name="40% - Accent1 7 4" xfId="18465" xr:uid="{912DE59B-D9B7-4122-A1E5-A88C15D1D497}"/>
    <cellStyle name="40% - Accent1 7 5" xfId="10024" xr:uid="{96913795-0341-4893-B137-55EDBDB0EC0F}"/>
    <cellStyle name="40% - Accent1 8" xfId="1899" xr:uid="{00000000-0005-0000-0000-00005A040000}"/>
    <cellStyle name="40% - Accent1 8 2" xfId="4128" xr:uid="{00000000-0005-0000-0000-00005B040000}"/>
    <cellStyle name="40% - Accent1 8 2 2" xfId="8350" xr:uid="{00000000-0005-0000-0000-00005C040000}"/>
    <cellStyle name="40% - Accent1 8 2 2 2" xfId="25241" xr:uid="{22324893-8972-4EA1-B240-00D24AFB805F}"/>
    <cellStyle name="40% - Accent1 8 2 2 3" xfId="16800" xr:uid="{02A0ABC6-E14D-42FA-BF6E-111316A612D2}"/>
    <cellStyle name="40% - Accent1 8 2 3" xfId="21023" xr:uid="{D05D79C9-017E-4C2A-9227-4F93E157B655}"/>
    <cellStyle name="40% - Accent1 8 2 4" xfId="12582" xr:uid="{C194F540-217C-491C-88F1-BA4A0B2B92BA}"/>
    <cellStyle name="40% - Accent1 8 3" xfId="6205" xr:uid="{00000000-0005-0000-0000-00005D040000}"/>
    <cellStyle name="40% - Accent1 8 3 2" xfId="23096" xr:uid="{67FD5B3C-6772-4848-87BE-5B10AA6E07B9}"/>
    <cellStyle name="40% - Accent1 8 3 3" xfId="14655" xr:uid="{6BC927F5-CF83-4917-BFEA-205460189EFE}"/>
    <cellStyle name="40% - Accent1 8 4" xfId="18878" xr:uid="{B806742D-F771-4004-A5C4-EB3FCB28CA3C}"/>
    <cellStyle name="40% - Accent1 8 5" xfId="10437" xr:uid="{F7066427-D059-4EA7-99B5-BEB6B7AB52E0}"/>
    <cellStyle name="40% - Accent1 9" xfId="2312" xr:uid="{00000000-0005-0000-0000-00005E040000}"/>
    <cellStyle name="40% - Accent1 9 2" xfId="6618" xr:uid="{00000000-0005-0000-0000-00005F040000}"/>
    <cellStyle name="40% - Accent1 9 2 2" xfId="23509" xr:uid="{B822EB10-A9B4-4E9C-A702-971C1208AEF9}"/>
    <cellStyle name="40% - Accent1 9 2 3" xfId="15068" xr:uid="{BB376DDF-E2CF-418C-B91D-4F5E9E781938}"/>
    <cellStyle name="40% - Accent1 9 3" xfId="19291" xr:uid="{F94D896C-D6F1-4703-8ED8-2B6A150ACB06}"/>
    <cellStyle name="40% - Accent1 9 4" xfId="10850" xr:uid="{C14159D9-E82E-4394-96B8-B33A6689B187}"/>
    <cellStyle name="40% - Accent2" xfId="57" builtinId="35" customBuiltin="1"/>
    <cellStyle name="40% - Accent2 10" xfId="4560" xr:uid="{00000000-0005-0000-0000-000061040000}"/>
    <cellStyle name="40% - Accent2 10 2" xfId="21451" xr:uid="{7452D6F3-56CF-4877-995C-33804A25C673}"/>
    <cellStyle name="40% - Accent2 10 3" xfId="13010" xr:uid="{83551E16-4088-4E7F-82FA-95E8358B777B}"/>
    <cellStyle name="40% - Accent2 11" xfId="17233" xr:uid="{C76E50FF-6C42-46C6-BF44-9C8550F1E514}"/>
    <cellStyle name="40% - Accent2 12" xfId="8792" xr:uid="{0F145FEB-209E-4F37-ACC1-B45738C527F2}"/>
    <cellStyle name="40% - Accent2 2" xfId="58" xr:uid="{00000000-0005-0000-0000-000062040000}"/>
    <cellStyle name="40% - Accent2 2 10" xfId="17234" xr:uid="{0B9879B7-63C3-43E4-BFF8-8739A028DE0C}"/>
    <cellStyle name="40% - Accent2 2 11" xfId="8793" xr:uid="{4C556959-64D9-4962-83E8-89CF776FC4E7}"/>
    <cellStyle name="40% - Accent2 2 2" xfId="59" xr:uid="{00000000-0005-0000-0000-000063040000}"/>
    <cellStyle name="40% - Accent2 2 2 10" xfId="8794" xr:uid="{2546F0AE-0844-4A20-9451-140EEA14163D}"/>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24013" xr:uid="{766A20FE-238A-4B8C-B8B0-07E66CBD1773}"/>
    <cellStyle name="40% - Accent2 2 2 2 2 2 2 3" xfId="15572" xr:uid="{E7A72E28-E76D-4FB7-A2E4-0DCF93866882}"/>
    <cellStyle name="40% - Accent2 2 2 2 2 2 3" xfId="19795" xr:uid="{DFDD4D85-7BA4-4921-B308-56E81ABF89F4}"/>
    <cellStyle name="40% - Accent2 2 2 2 2 2 4" xfId="11354" xr:uid="{4ABCDAC5-4FED-4FA0-BB33-0407FB7A49F3}"/>
    <cellStyle name="40% - Accent2 2 2 2 2 3" xfId="4977" xr:uid="{00000000-0005-0000-0000-000068040000}"/>
    <cellStyle name="40% - Accent2 2 2 2 2 3 2" xfId="21868" xr:uid="{FE7AD13A-BDCC-4DF4-8318-DA72AA2DE6A0}"/>
    <cellStyle name="40% - Accent2 2 2 2 2 3 3" xfId="13427" xr:uid="{1E3D127B-B933-4EE1-A1C2-4F72C6737603}"/>
    <cellStyle name="40% - Accent2 2 2 2 2 4" xfId="17650" xr:uid="{2BFE001F-4AC2-432A-B7DD-86C3EECEDEEE}"/>
    <cellStyle name="40% - Accent2 2 2 2 2 5" xfId="9209" xr:uid="{E9E41993-A75C-42F0-9DE5-A4001B64ACF8}"/>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24426" xr:uid="{4AA248A0-918C-44FC-8883-1ED415E437FF}"/>
    <cellStyle name="40% - Accent2 2 2 2 3 2 2 3" xfId="15985" xr:uid="{68DD5494-EC06-46A9-B6E7-C7AC1BAC2C12}"/>
    <cellStyle name="40% - Accent2 2 2 2 3 2 3" xfId="20208" xr:uid="{B1D16131-410E-45DF-8AB0-22D93CCB8959}"/>
    <cellStyle name="40% - Accent2 2 2 2 3 2 4" xfId="11767" xr:uid="{65EE097A-6BC3-4AF2-B294-20590797A3A5}"/>
    <cellStyle name="40% - Accent2 2 2 2 3 3" xfId="5390" xr:uid="{00000000-0005-0000-0000-00006C040000}"/>
    <cellStyle name="40% - Accent2 2 2 2 3 3 2" xfId="22281" xr:uid="{1364B68E-9D18-4062-AFC2-6280A200AEFE}"/>
    <cellStyle name="40% - Accent2 2 2 2 3 3 3" xfId="13840" xr:uid="{2C96270D-B1AB-41FB-B412-D14E007EDECE}"/>
    <cellStyle name="40% - Accent2 2 2 2 3 4" xfId="18063" xr:uid="{63D079A3-51B8-4829-BF21-67A27C0C37D5}"/>
    <cellStyle name="40% - Accent2 2 2 2 3 5" xfId="9622" xr:uid="{07BE8352-A83A-4177-BDE1-EF250D9778D8}"/>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24839" xr:uid="{0CA125AD-663E-4562-8802-1A02C644EE65}"/>
    <cellStyle name="40% - Accent2 2 2 2 4 2 2 3" xfId="16398" xr:uid="{6E0C330B-AFF3-4490-80C6-C7EEDD1F06C8}"/>
    <cellStyle name="40% - Accent2 2 2 2 4 2 3" xfId="20621" xr:uid="{53E54734-1A55-45B4-A93B-1053486670F2}"/>
    <cellStyle name="40% - Accent2 2 2 2 4 2 4" xfId="12180" xr:uid="{F9D41EF1-FF3E-41B2-82CB-A9ECC266A20D}"/>
    <cellStyle name="40% - Accent2 2 2 2 4 3" xfId="5803" xr:uid="{00000000-0005-0000-0000-000070040000}"/>
    <cellStyle name="40% - Accent2 2 2 2 4 3 2" xfId="22694" xr:uid="{CA2D883F-8238-4730-9319-142F8C75BBDE}"/>
    <cellStyle name="40% - Accent2 2 2 2 4 3 3" xfId="14253" xr:uid="{CA5AF803-8360-49AF-85F8-539001DD59DB}"/>
    <cellStyle name="40% - Accent2 2 2 2 4 4" xfId="18476" xr:uid="{F9D37266-29E1-4E83-A2F5-8B8EBC15A399}"/>
    <cellStyle name="40% - Accent2 2 2 2 4 5" xfId="10035" xr:uid="{8426D809-651D-4282-AF4F-9692D921F3C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25252" xr:uid="{3811C4A7-34EE-45A8-89DD-772D87E3E035}"/>
    <cellStyle name="40% - Accent2 2 2 2 5 2 2 3" xfId="16811" xr:uid="{1C64B12C-B932-450B-AD02-D1AA089FBD1E}"/>
    <cellStyle name="40% - Accent2 2 2 2 5 2 3" xfId="21034" xr:uid="{40A53883-AEDA-4189-9B64-BEB67CA48DD3}"/>
    <cellStyle name="40% - Accent2 2 2 2 5 2 4" xfId="12593" xr:uid="{AB5AA86F-D8BD-4C7A-816E-D6BFF7FB8988}"/>
    <cellStyle name="40% - Accent2 2 2 2 5 3" xfId="6216" xr:uid="{00000000-0005-0000-0000-000074040000}"/>
    <cellStyle name="40% - Accent2 2 2 2 5 3 2" xfId="23107" xr:uid="{16A594B0-A90D-48C2-9CDC-5092EC6F5431}"/>
    <cellStyle name="40% - Accent2 2 2 2 5 3 3" xfId="14666" xr:uid="{9F5C89FD-7BD0-4D4D-9CB3-764750AE30B9}"/>
    <cellStyle name="40% - Accent2 2 2 2 5 4" xfId="18889" xr:uid="{919AF3AF-884E-42F4-8744-735502E25F5E}"/>
    <cellStyle name="40% - Accent2 2 2 2 5 5" xfId="10448" xr:uid="{EA86BCE0-B00A-4419-8AB1-BAED9EDC46B1}"/>
    <cellStyle name="40% - Accent2 2 2 2 6" xfId="2323" xr:uid="{00000000-0005-0000-0000-000075040000}"/>
    <cellStyle name="40% - Accent2 2 2 2 6 2" xfId="6629" xr:uid="{00000000-0005-0000-0000-000076040000}"/>
    <cellStyle name="40% - Accent2 2 2 2 6 2 2" xfId="23520" xr:uid="{59095EBF-F6A5-478F-8849-20AF92A8966D}"/>
    <cellStyle name="40% - Accent2 2 2 2 6 2 3" xfId="15079" xr:uid="{733BB7F9-31C6-40CD-8432-624BC943D0A6}"/>
    <cellStyle name="40% - Accent2 2 2 2 6 3" xfId="19302" xr:uid="{DD0E5B0E-5444-4063-AD0C-9A820460DA17}"/>
    <cellStyle name="40% - Accent2 2 2 2 6 4" xfId="10861" xr:uid="{B505D8DA-AF45-487F-AB7A-447117A37B42}"/>
    <cellStyle name="40% - Accent2 2 2 2 7" xfId="4563" xr:uid="{00000000-0005-0000-0000-000077040000}"/>
    <cellStyle name="40% - Accent2 2 2 2 7 2" xfId="21454" xr:uid="{04DB5959-E9CF-4885-AFB5-4BFA34B747BA}"/>
    <cellStyle name="40% - Accent2 2 2 2 7 3" xfId="13013" xr:uid="{79BBF394-DE95-4690-B418-B69EF27A92C2}"/>
    <cellStyle name="40% - Accent2 2 2 2 8" xfId="17236" xr:uid="{7D28B089-7012-4434-953F-98ABE3142C5F}"/>
    <cellStyle name="40% - Accent2 2 2 2 9" xfId="8795" xr:uid="{6E2E7A39-331C-43A7-8BF7-138BA24B6F51}"/>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24012" xr:uid="{F82188E7-9AFC-454A-AF9D-C04125264126}"/>
    <cellStyle name="40% - Accent2 2 2 3 2 2 3" xfId="15571" xr:uid="{7B8FCBE3-CDE5-41A4-AF57-4B6BF666BE98}"/>
    <cellStyle name="40% - Accent2 2 2 3 2 3" xfId="19794" xr:uid="{055C963A-66C1-40E8-A044-289B07023243}"/>
    <cellStyle name="40% - Accent2 2 2 3 2 4" xfId="11353" xr:uid="{7D4090D6-B83F-438D-BC5F-B5F8F08E54B8}"/>
    <cellStyle name="40% - Accent2 2 2 3 3" xfId="4976" xr:uid="{00000000-0005-0000-0000-00007B040000}"/>
    <cellStyle name="40% - Accent2 2 2 3 3 2" xfId="21867" xr:uid="{4407D187-62AB-46D6-93CD-A6CCA484C636}"/>
    <cellStyle name="40% - Accent2 2 2 3 3 3" xfId="13426" xr:uid="{BCE05D53-5BE7-424A-B91A-DCFF1208C78B}"/>
    <cellStyle name="40% - Accent2 2 2 3 4" xfId="17649" xr:uid="{E9566850-0C57-4A57-B135-12480A63CA34}"/>
    <cellStyle name="40% - Accent2 2 2 3 5" xfId="9208" xr:uid="{EAD94498-43D2-418E-9F1F-FB0A281E240A}"/>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24425" xr:uid="{5EB4F1D2-15FD-41DD-9F91-5F4A3C752B4F}"/>
    <cellStyle name="40% - Accent2 2 2 4 2 2 3" xfId="15984" xr:uid="{46153109-DF75-4D9B-B64E-ED5EB1F8E9BD}"/>
    <cellStyle name="40% - Accent2 2 2 4 2 3" xfId="20207" xr:uid="{AD1BA4D7-DE5A-4764-8B23-D3903F0EBFF7}"/>
    <cellStyle name="40% - Accent2 2 2 4 2 4" xfId="11766" xr:uid="{9C08AECD-3EFA-4486-BB0D-8B67E22F6BFE}"/>
    <cellStyle name="40% - Accent2 2 2 4 3" xfId="5389" xr:uid="{00000000-0005-0000-0000-00007F040000}"/>
    <cellStyle name="40% - Accent2 2 2 4 3 2" xfId="22280" xr:uid="{BB46C7D6-5224-4E6B-8E34-CB37A0B9CF15}"/>
    <cellStyle name="40% - Accent2 2 2 4 3 3" xfId="13839" xr:uid="{18F4D87E-3DE9-4FA1-A8C0-461B59D8B5C3}"/>
    <cellStyle name="40% - Accent2 2 2 4 4" xfId="18062" xr:uid="{1682184D-EF19-4260-B370-3D98B13260F3}"/>
    <cellStyle name="40% - Accent2 2 2 4 5" xfId="9621" xr:uid="{3AD47A0E-A8A3-4AB9-93BD-98061DCBB48F}"/>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24838" xr:uid="{7FC05184-84B1-4481-9C90-C67940F4A46E}"/>
    <cellStyle name="40% - Accent2 2 2 5 2 2 3" xfId="16397" xr:uid="{C67E7E6E-C83B-4E36-82FB-4263E5298C71}"/>
    <cellStyle name="40% - Accent2 2 2 5 2 3" xfId="20620" xr:uid="{6037403F-8D72-4E26-8615-676BDEBDF2E4}"/>
    <cellStyle name="40% - Accent2 2 2 5 2 4" xfId="12179" xr:uid="{7BC16FB8-221F-4ABC-A953-087B33CC07EC}"/>
    <cellStyle name="40% - Accent2 2 2 5 3" xfId="5802" xr:uid="{00000000-0005-0000-0000-000083040000}"/>
    <cellStyle name="40% - Accent2 2 2 5 3 2" xfId="22693" xr:uid="{EEA17ED4-D203-4D14-B462-100A257E9879}"/>
    <cellStyle name="40% - Accent2 2 2 5 3 3" xfId="14252" xr:uid="{A8CD703E-35CC-451E-8692-8AE67A1C6883}"/>
    <cellStyle name="40% - Accent2 2 2 5 4" xfId="18475" xr:uid="{2AD01D29-77BB-4052-BB07-91B943728332}"/>
    <cellStyle name="40% - Accent2 2 2 5 5" xfId="10034" xr:uid="{4333531B-5780-40D2-B16A-31C48238CE39}"/>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25251" xr:uid="{43EA3EA1-02EA-4311-8E30-DC09BFADB74E}"/>
    <cellStyle name="40% - Accent2 2 2 6 2 2 3" xfId="16810" xr:uid="{1B05C309-A229-41FF-9606-1A67F6E80BE4}"/>
    <cellStyle name="40% - Accent2 2 2 6 2 3" xfId="21033" xr:uid="{28D7BA73-0449-45D3-8A22-945850C672B8}"/>
    <cellStyle name="40% - Accent2 2 2 6 2 4" xfId="12592" xr:uid="{FB9F96B2-473A-4CA2-9C92-56181BB006A9}"/>
    <cellStyle name="40% - Accent2 2 2 6 3" xfId="6215" xr:uid="{00000000-0005-0000-0000-000087040000}"/>
    <cellStyle name="40% - Accent2 2 2 6 3 2" xfId="23106" xr:uid="{1A225839-337A-4D92-A64A-B41CDF46B23A}"/>
    <cellStyle name="40% - Accent2 2 2 6 3 3" xfId="14665" xr:uid="{49E3241F-DCEE-4FEB-A1F3-56F568F95201}"/>
    <cellStyle name="40% - Accent2 2 2 6 4" xfId="18888" xr:uid="{5ECADC2B-8E1D-4C82-9ED9-C19F2CA039F5}"/>
    <cellStyle name="40% - Accent2 2 2 6 5" xfId="10447" xr:uid="{CC7980E1-A7C8-480A-B286-9AD551E43AFB}"/>
    <cellStyle name="40% - Accent2 2 2 7" xfId="2322" xr:uid="{00000000-0005-0000-0000-000088040000}"/>
    <cellStyle name="40% - Accent2 2 2 7 2" xfId="6628" xr:uid="{00000000-0005-0000-0000-000089040000}"/>
    <cellStyle name="40% - Accent2 2 2 7 2 2" xfId="23519" xr:uid="{02322B28-E6D3-4DB0-A9FD-53B2BCC75D32}"/>
    <cellStyle name="40% - Accent2 2 2 7 2 3" xfId="15078" xr:uid="{184C2414-BA16-4D7A-BFD2-29F834636DB0}"/>
    <cellStyle name="40% - Accent2 2 2 7 3" xfId="19301" xr:uid="{8D9E8527-FEAC-4AFB-9D47-C14623BBC78A}"/>
    <cellStyle name="40% - Accent2 2 2 7 4" xfId="10860" xr:uid="{A486C2DC-FCF8-442B-B12D-21E8871DF8F7}"/>
    <cellStyle name="40% - Accent2 2 2 8" xfId="4562" xr:uid="{00000000-0005-0000-0000-00008A040000}"/>
    <cellStyle name="40% - Accent2 2 2 8 2" xfId="21453" xr:uid="{D5BE1F25-BF03-4F7F-B522-B56C5C09EC1C}"/>
    <cellStyle name="40% - Accent2 2 2 8 3" xfId="13012" xr:uid="{CDC06CF6-5170-4212-986F-A43ADDEF7758}"/>
    <cellStyle name="40% - Accent2 2 2 9" xfId="17235" xr:uid="{FA0273E8-6DE8-4028-A8A3-555CD013CE5B}"/>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24014" xr:uid="{74012FA5-813D-4B92-8586-DE0CC75A5DE3}"/>
    <cellStyle name="40% - Accent2 2 3 2 2 2 3" xfId="15573" xr:uid="{DE0AE23D-C317-4230-9665-99ACEBFDC779}"/>
    <cellStyle name="40% - Accent2 2 3 2 2 3" xfId="19796" xr:uid="{409002D3-9AB9-41FC-8B13-7E41864E4671}"/>
    <cellStyle name="40% - Accent2 2 3 2 2 4" xfId="11355" xr:uid="{B400711B-2DFF-4DA7-8C49-B8E245566858}"/>
    <cellStyle name="40% - Accent2 2 3 2 3" xfId="4978" xr:uid="{00000000-0005-0000-0000-00008F040000}"/>
    <cellStyle name="40% - Accent2 2 3 2 3 2" xfId="21869" xr:uid="{6945E50D-A97E-49D6-86B1-501CAEBE75C4}"/>
    <cellStyle name="40% - Accent2 2 3 2 3 3" xfId="13428" xr:uid="{9BFAA5D1-5292-4B40-9957-9E3286A5DCAC}"/>
    <cellStyle name="40% - Accent2 2 3 2 4" xfId="17651" xr:uid="{C3A272FA-F30C-4CC0-AE40-F452EC4B0ED3}"/>
    <cellStyle name="40% - Accent2 2 3 2 5" xfId="9210" xr:uid="{BB9820F0-1C51-466A-A10A-51B961FED947}"/>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24427" xr:uid="{14EDB277-1311-4AE4-AF61-8E77F8204A7F}"/>
    <cellStyle name="40% - Accent2 2 3 3 2 2 3" xfId="15986" xr:uid="{D3DB3B6B-1AD3-475A-A7E7-1FD7400B4599}"/>
    <cellStyle name="40% - Accent2 2 3 3 2 3" xfId="20209" xr:uid="{34C1E0FE-4143-4C4A-ADD6-81B7CE202892}"/>
    <cellStyle name="40% - Accent2 2 3 3 2 4" xfId="11768" xr:uid="{A2E7D074-5DAA-40E9-ACC6-5A79DE5CAE7C}"/>
    <cellStyle name="40% - Accent2 2 3 3 3" xfId="5391" xr:uid="{00000000-0005-0000-0000-000093040000}"/>
    <cellStyle name="40% - Accent2 2 3 3 3 2" xfId="22282" xr:uid="{B1F5D2EE-C8AB-4F89-9145-34ED04E15461}"/>
    <cellStyle name="40% - Accent2 2 3 3 3 3" xfId="13841" xr:uid="{83912509-6A68-47A5-A58C-9011151A6BC0}"/>
    <cellStyle name="40% - Accent2 2 3 3 4" xfId="18064" xr:uid="{136E4E5D-8FD4-49ED-9096-5842D4F62D4E}"/>
    <cellStyle name="40% - Accent2 2 3 3 5" xfId="9623" xr:uid="{47B52BEF-5475-43C2-9D59-F23C7CDA7693}"/>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24840" xr:uid="{72775A15-DC8E-471F-9EBA-053584F1103C}"/>
    <cellStyle name="40% - Accent2 2 3 4 2 2 3" xfId="16399" xr:uid="{FA6BD544-93E6-4FF3-B7AB-6627E94130A1}"/>
    <cellStyle name="40% - Accent2 2 3 4 2 3" xfId="20622" xr:uid="{650E5AFA-8F2C-44C7-98DC-514B6E50B686}"/>
    <cellStyle name="40% - Accent2 2 3 4 2 4" xfId="12181" xr:uid="{B078E47E-E94F-4197-BAEB-E303EDC41E43}"/>
    <cellStyle name="40% - Accent2 2 3 4 3" xfId="5804" xr:uid="{00000000-0005-0000-0000-000097040000}"/>
    <cellStyle name="40% - Accent2 2 3 4 3 2" xfId="22695" xr:uid="{A878BCED-E427-4DD0-8AFA-A2BE1795BA3D}"/>
    <cellStyle name="40% - Accent2 2 3 4 3 3" xfId="14254" xr:uid="{FB97AF88-AF1C-4970-868B-4C67660D1DAE}"/>
    <cellStyle name="40% - Accent2 2 3 4 4" xfId="18477" xr:uid="{B8778DD8-F665-45A7-B81D-EE3C25E3A8B7}"/>
    <cellStyle name="40% - Accent2 2 3 4 5" xfId="10036" xr:uid="{001A98D0-725C-4392-B17C-3DBA6DF8C8EB}"/>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25253" xr:uid="{B74AE712-59DB-4470-8603-87D748295972}"/>
    <cellStyle name="40% - Accent2 2 3 5 2 2 3" xfId="16812" xr:uid="{96DA3461-ECA1-4205-87CF-23CB56BC6900}"/>
    <cellStyle name="40% - Accent2 2 3 5 2 3" xfId="21035" xr:uid="{CAA91541-2919-4335-B986-38B4071B66D5}"/>
    <cellStyle name="40% - Accent2 2 3 5 2 4" xfId="12594" xr:uid="{487317FD-CCA1-45A8-977D-940A381EA247}"/>
    <cellStyle name="40% - Accent2 2 3 5 3" xfId="6217" xr:uid="{00000000-0005-0000-0000-00009B040000}"/>
    <cellStyle name="40% - Accent2 2 3 5 3 2" xfId="23108" xr:uid="{FE4AB1A7-5FA4-491D-AC70-F7BEFC90363E}"/>
    <cellStyle name="40% - Accent2 2 3 5 3 3" xfId="14667" xr:uid="{06AB42B0-BC5E-472E-8253-3AF55B694DF4}"/>
    <cellStyle name="40% - Accent2 2 3 5 4" xfId="18890" xr:uid="{40F1C391-F395-4970-A49A-B6CCEA904655}"/>
    <cellStyle name="40% - Accent2 2 3 5 5" xfId="10449" xr:uid="{9C8F8A00-F791-4018-B00D-AFC80BE7E238}"/>
    <cellStyle name="40% - Accent2 2 3 6" xfId="2324" xr:uid="{00000000-0005-0000-0000-00009C040000}"/>
    <cellStyle name="40% - Accent2 2 3 6 2" xfId="6630" xr:uid="{00000000-0005-0000-0000-00009D040000}"/>
    <cellStyle name="40% - Accent2 2 3 6 2 2" xfId="23521" xr:uid="{4729E088-2AC9-4748-9728-C48AEC518720}"/>
    <cellStyle name="40% - Accent2 2 3 6 2 3" xfId="15080" xr:uid="{4637DF53-94E5-4C91-AA3C-C79A52F198B2}"/>
    <cellStyle name="40% - Accent2 2 3 6 3" xfId="19303" xr:uid="{0911D76B-382F-4867-BF9E-69B9F41C9B9C}"/>
    <cellStyle name="40% - Accent2 2 3 6 4" xfId="10862" xr:uid="{CFDECEB0-A149-4674-99D0-28DA8C81A4F3}"/>
    <cellStyle name="40% - Accent2 2 3 7" xfId="4564" xr:uid="{00000000-0005-0000-0000-00009E040000}"/>
    <cellStyle name="40% - Accent2 2 3 7 2" xfId="21455" xr:uid="{BCFD9E91-91A5-450F-8E02-5865101DD8D3}"/>
    <cellStyle name="40% - Accent2 2 3 7 3" xfId="13014" xr:uid="{B7E42CD5-5F72-4679-BD15-404CBB266F75}"/>
    <cellStyle name="40% - Accent2 2 3 8" xfId="17237" xr:uid="{FCE568EE-36B7-4760-B597-D45F70B5D3A1}"/>
    <cellStyle name="40% - Accent2 2 3 9" xfId="8796" xr:uid="{8FFFB905-9AD0-4FC1-ADFC-4162EFF26F89}"/>
    <cellStyle name="40% - Accent2 2 4" xfId="627" xr:uid="{00000000-0005-0000-0000-00009F040000}"/>
    <cellStyle name="40% - Accent2 2 4 2" xfId="2898" xr:uid="{00000000-0005-0000-0000-0000A0040000}"/>
    <cellStyle name="40% - Accent2 2 4 2 2" xfId="7120" xr:uid="{00000000-0005-0000-0000-0000A1040000}"/>
    <cellStyle name="40% - Accent2 2 4 2 2 2" xfId="24011" xr:uid="{3D2C3286-944F-4616-B24F-2AF4ACA740BD}"/>
    <cellStyle name="40% - Accent2 2 4 2 2 3" xfId="15570" xr:uid="{5B05F86A-A015-4B3C-ACD1-6C1763C76BEB}"/>
    <cellStyle name="40% - Accent2 2 4 2 3" xfId="19793" xr:uid="{E2D8E1F7-45F8-478E-AD96-EEF41A4AB876}"/>
    <cellStyle name="40% - Accent2 2 4 2 4" xfId="11352" xr:uid="{755E7B8E-4A77-4D9E-876D-35B20FEEC314}"/>
    <cellStyle name="40% - Accent2 2 4 3" xfId="4975" xr:uid="{00000000-0005-0000-0000-0000A2040000}"/>
    <cellStyle name="40% - Accent2 2 4 3 2" xfId="21866" xr:uid="{125E013F-D881-492C-B6FE-22495F92880D}"/>
    <cellStyle name="40% - Accent2 2 4 3 3" xfId="13425" xr:uid="{FBC6BD1F-3777-41EC-9206-95ECEAB127E1}"/>
    <cellStyle name="40% - Accent2 2 4 4" xfId="17648" xr:uid="{6386732E-CEC5-48F1-B9C9-C4BE9BAE867D}"/>
    <cellStyle name="40% - Accent2 2 4 5" xfId="9207" xr:uid="{F4007EC4-65E9-4F51-8BAB-8E8E68F59C47}"/>
    <cellStyle name="40% - Accent2 2 5" xfId="1080" xr:uid="{00000000-0005-0000-0000-0000A3040000}"/>
    <cellStyle name="40% - Accent2 2 5 2" xfId="3311" xr:uid="{00000000-0005-0000-0000-0000A4040000}"/>
    <cellStyle name="40% - Accent2 2 5 2 2" xfId="7533" xr:uid="{00000000-0005-0000-0000-0000A5040000}"/>
    <cellStyle name="40% - Accent2 2 5 2 2 2" xfId="24424" xr:uid="{577B9BA1-B844-4B36-AB06-02707E1916CC}"/>
    <cellStyle name="40% - Accent2 2 5 2 2 3" xfId="15983" xr:uid="{81F90F93-2F28-4DCB-A1EB-94C4DEC83FED}"/>
    <cellStyle name="40% - Accent2 2 5 2 3" xfId="20206" xr:uid="{BEE341D0-2FC8-4FDC-A317-81710E3B9A7D}"/>
    <cellStyle name="40% - Accent2 2 5 2 4" xfId="11765" xr:uid="{004B0A34-79B4-4D31-A745-FE1F542AE0E5}"/>
    <cellStyle name="40% - Accent2 2 5 3" xfId="5388" xr:uid="{00000000-0005-0000-0000-0000A6040000}"/>
    <cellStyle name="40% - Accent2 2 5 3 2" xfId="22279" xr:uid="{15DAF65C-9D6A-4CB7-BCA1-175C458C5FB1}"/>
    <cellStyle name="40% - Accent2 2 5 3 3" xfId="13838" xr:uid="{B6CAE148-9EE8-4A7D-AB91-05B4E067967A}"/>
    <cellStyle name="40% - Accent2 2 5 4" xfId="18061" xr:uid="{380956DD-70AB-4605-83AC-B909D97C3E6B}"/>
    <cellStyle name="40% - Accent2 2 5 5" xfId="9620" xr:uid="{6EC7BEF7-37BC-4F45-8702-FFC2A82C88F8}"/>
    <cellStyle name="40% - Accent2 2 6" xfId="1494" xr:uid="{00000000-0005-0000-0000-0000A7040000}"/>
    <cellStyle name="40% - Accent2 2 6 2" xfId="3724" xr:uid="{00000000-0005-0000-0000-0000A8040000}"/>
    <cellStyle name="40% - Accent2 2 6 2 2" xfId="7946" xr:uid="{00000000-0005-0000-0000-0000A9040000}"/>
    <cellStyle name="40% - Accent2 2 6 2 2 2" xfId="24837" xr:uid="{DB1660D7-0D98-4651-A3A6-D886A2816B1F}"/>
    <cellStyle name="40% - Accent2 2 6 2 2 3" xfId="16396" xr:uid="{2FD74E0A-8949-4C94-B9ED-6FF70B8A0097}"/>
    <cellStyle name="40% - Accent2 2 6 2 3" xfId="20619" xr:uid="{65DA0CDA-2338-4419-BA0A-59AC65624DE8}"/>
    <cellStyle name="40% - Accent2 2 6 2 4" xfId="12178" xr:uid="{E6CBC5E2-21BE-4D1A-8164-457BAF31CF98}"/>
    <cellStyle name="40% - Accent2 2 6 3" xfId="5801" xr:uid="{00000000-0005-0000-0000-0000AA040000}"/>
    <cellStyle name="40% - Accent2 2 6 3 2" xfId="22692" xr:uid="{0DA38A79-8A96-440A-9DA2-FAB6232AEC2E}"/>
    <cellStyle name="40% - Accent2 2 6 3 3" xfId="14251" xr:uid="{140200EA-3042-4E53-B09F-C22F7872EE3E}"/>
    <cellStyle name="40% - Accent2 2 6 4" xfId="18474" xr:uid="{53441614-086C-49D3-AC41-17B01911853C}"/>
    <cellStyle name="40% - Accent2 2 6 5" xfId="10033" xr:uid="{D9F6A088-429B-488D-9F4C-BAE4420BBCDF}"/>
    <cellStyle name="40% - Accent2 2 7" xfId="1908" xr:uid="{00000000-0005-0000-0000-0000AB040000}"/>
    <cellStyle name="40% - Accent2 2 7 2" xfId="4137" xr:uid="{00000000-0005-0000-0000-0000AC040000}"/>
    <cellStyle name="40% - Accent2 2 7 2 2" xfId="8359" xr:uid="{00000000-0005-0000-0000-0000AD040000}"/>
    <cellStyle name="40% - Accent2 2 7 2 2 2" xfId="25250" xr:uid="{F80C2884-84C9-49AE-A066-AD544277DB1C}"/>
    <cellStyle name="40% - Accent2 2 7 2 2 3" xfId="16809" xr:uid="{D4BFF3D8-AA01-4CEA-B215-40E26369369C}"/>
    <cellStyle name="40% - Accent2 2 7 2 3" xfId="21032" xr:uid="{1B87A129-2C5F-408B-B631-1F3530936E33}"/>
    <cellStyle name="40% - Accent2 2 7 2 4" xfId="12591" xr:uid="{59BBF1DC-D974-4A3F-82BE-8162A3DCF29F}"/>
    <cellStyle name="40% - Accent2 2 7 3" xfId="6214" xr:uid="{00000000-0005-0000-0000-0000AE040000}"/>
    <cellStyle name="40% - Accent2 2 7 3 2" xfId="23105" xr:uid="{ED13DAC1-13E1-4F4F-9CAF-2198091985CD}"/>
    <cellStyle name="40% - Accent2 2 7 3 3" xfId="14664" xr:uid="{71911DCE-4632-4FD5-B4DC-FF29AE3620EB}"/>
    <cellStyle name="40% - Accent2 2 7 4" xfId="18887" xr:uid="{5D083F14-0836-4C9F-9717-FD47C1128DE4}"/>
    <cellStyle name="40% - Accent2 2 7 5" xfId="10446" xr:uid="{A515E1E0-0EEB-4A26-8F4F-586AAD4A1B7B}"/>
    <cellStyle name="40% - Accent2 2 8" xfId="2321" xr:uid="{00000000-0005-0000-0000-0000AF040000}"/>
    <cellStyle name="40% - Accent2 2 8 2" xfId="6627" xr:uid="{00000000-0005-0000-0000-0000B0040000}"/>
    <cellStyle name="40% - Accent2 2 8 2 2" xfId="23518" xr:uid="{ABC247C1-9788-4320-B595-7201EDDC23F3}"/>
    <cellStyle name="40% - Accent2 2 8 2 3" xfId="15077" xr:uid="{BA5297D3-1AA0-4633-927F-82054A880805}"/>
    <cellStyle name="40% - Accent2 2 8 3" xfId="19300" xr:uid="{C2815BCD-F114-47E0-9990-64E4389E7A86}"/>
    <cellStyle name="40% - Accent2 2 8 4" xfId="10859" xr:uid="{35BB0D0B-5CDD-4A44-9F53-FE6F7633FECD}"/>
    <cellStyle name="40% - Accent2 2 9" xfId="4561" xr:uid="{00000000-0005-0000-0000-0000B1040000}"/>
    <cellStyle name="40% - Accent2 2 9 2" xfId="21452" xr:uid="{174EB1E0-2221-41AD-B940-59FFB613537E}"/>
    <cellStyle name="40% - Accent2 2 9 3" xfId="13011" xr:uid="{64FB48B8-25A5-402F-ABD9-D9D0FB89823D}"/>
    <cellStyle name="40% - Accent2 3" xfId="62" xr:uid="{00000000-0005-0000-0000-0000B2040000}"/>
    <cellStyle name="40% - Accent2 3 10" xfId="8797" xr:uid="{2638583F-3C81-4659-AB2E-271EF053AEF4}"/>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24016" xr:uid="{3780BAA3-B007-4BE7-A880-74FB73E319F9}"/>
    <cellStyle name="40% - Accent2 3 2 2 2 2 3" xfId="15575" xr:uid="{BA9E4BBD-95AE-475E-B61D-0249F9037167}"/>
    <cellStyle name="40% - Accent2 3 2 2 2 3" xfId="19798" xr:uid="{14D61AFB-AEFD-4E7E-92FA-7F7AA4F2153A}"/>
    <cellStyle name="40% - Accent2 3 2 2 2 4" xfId="11357" xr:uid="{9EAC7C03-40DA-4CE7-AECF-2D969848F934}"/>
    <cellStyle name="40% - Accent2 3 2 2 3" xfId="4980" xr:uid="{00000000-0005-0000-0000-0000B7040000}"/>
    <cellStyle name="40% - Accent2 3 2 2 3 2" xfId="21871" xr:uid="{0BB42143-80A0-4B6E-B930-29E67E23C064}"/>
    <cellStyle name="40% - Accent2 3 2 2 3 3" xfId="13430" xr:uid="{C81CE2B1-09DF-4CB6-A066-24BF4AE5B385}"/>
    <cellStyle name="40% - Accent2 3 2 2 4" xfId="17653" xr:uid="{EEA5026D-2F1B-4CFE-ABC0-941D0A6AA805}"/>
    <cellStyle name="40% - Accent2 3 2 2 5" xfId="9212" xr:uid="{B5B6782A-5156-42CF-9F39-C06063956308}"/>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24429" xr:uid="{D99C6010-1D3E-4F21-A81A-15230E996A93}"/>
    <cellStyle name="40% - Accent2 3 2 3 2 2 3" xfId="15988" xr:uid="{20937CA8-A92E-4EB8-8E08-68FE74AE23AB}"/>
    <cellStyle name="40% - Accent2 3 2 3 2 3" xfId="20211" xr:uid="{333F7681-FF42-4FC2-956D-B72B2D539BF1}"/>
    <cellStyle name="40% - Accent2 3 2 3 2 4" xfId="11770" xr:uid="{9B8F02FA-D623-477A-8C33-75AD845B33D2}"/>
    <cellStyle name="40% - Accent2 3 2 3 3" xfId="5393" xr:uid="{00000000-0005-0000-0000-0000BB040000}"/>
    <cellStyle name="40% - Accent2 3 2 3 3 2" xfId="22284" xr:uid="{6C1A0D5C-10AD-4F50-A5A4-571F75793D88}"/>
    <cellStyle name="40% - Accent2 3 2 3 3 3" xfId="13843" xr:uid="{161178B5-A863-4ADC-85F4-D21C0F09B3DF}"/>
    <cellStyle name="40% - Accent2 3 2 3 4" xfId="18066" xr:uid="{01ACDE9E-F127-47B8-8DF9-3BAADE40A753}"/>
    <cellStyle name="40% - Accent2 3 2 3 5" xfId="9625" xr:uid="{9023E63A-48CA-4543-AF10-D70E2A27D528}"/>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24842" xr:uid="{6DA8D2BD-5851-4AD9-BA87-72C04863576F}"/>
    <cellStyle name="40% - Accent2 3 2 4 2 2 3" xfId="16401" xr:uid="{BEE15095-9FA6-4CB9-B84F-A7571FF6D128}"/>
    <cellStyle name="40% - Accent2 3 2 4 2 3" xfId="20624" xr:uid="{288078C0-3C63-48B0-B78C-1EA45B6D57F2}"/>
    <cellStyle name="40% - Accent2 3 2 4 2 4" xfId="12183" xr:uid="{D2A14B82-2562-47BB-A80D-C46678DAE20F}"/>
    <cellStyle name="40% - Accent2 3 2 4 3" xfId="5806" xr:uid="{00000000-0005-0000-0000-0000BF040000}"/>
    <cellStyle name="40% - Accent2 3 2 4 3 2" xfId="22697" xr:uid="{2AD97F35-EE81-4F29-896B-E3651F601C68}"/>
    <cellStyle name="40% - Accent2 3 2 4 3 3" xfId="14256" xr:uid="{58212C61-1E7B-47B6-8216-7A04383E7287}"/>
    <cellStyle name="40% - Accent2 3 2 4 4" xfId="18479" xr:uid="{025FD281-6749-4C0B-9AC0-F3238409FC81}"/>
    <cellStyle name="40% - Accent2 3 2 4 5" xfId="10038" xr:uid="{46AAC596-966B-4AA8-AA3E-7E775FA70B0D}"/>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25255" xr:uid="{DB3D7869-20E0-4090-9E2E-0EC6D6C9025B}"/>
    <cellStyle name="40% - Accent2 3 2 5 2 2 3" xfId="16814" xr:uid="{5351A161-B5F1-4069-A163-6B0C4D7A293C}"/>
    <cellStyle name="40% - Accent2 3 2 5 2 3" xfId="21037" xr:uid="{89A2E84C-E4ED-4387-8F38-6457184C6B8F}"/>
    <cellStyle name="40% - Accent2 3 2 5 2 4" xfId="12596" xr:uid="{C91C7F22-CC3A-4C86-9F09-8D254D176309}"/>
    <cellStyle name="40% - Accent2 3 2 5 3" xfId="6219" xr:uid="{00000000-0005-0000-0000-0000C3040000}"/>
    <cellStyle name="40% - Accent2 3 2 5 3 2" xfId="23110" xr:uid="{F4D6B689-5431-42DA-B547-054987F1C5FA}"/>
    <cellStyle name="40% - Accent2 3 2 5 3 3" xfId="14669" xr:uid="{C5CD6EEB-6459-42DE-BCF2-AE5CC24F1505}"/>
    <cellStyle name="40% - Accent2 3 2 5 4" xfId="18892" xr:uid="{99BB6C9E-4067-4233-80C2-A00D81BCD9CE}"/>
    <cellStyle name="40% - Accent2 3 2 5 5" xfId="10451" xr:uid="{B14ACC4C-0F1D-4285-883C-B0F6221B7E8B}"/>
    <cellStyle name="40% - Accent2 3 2 6" xfId="2326" xr:uid="{00000000-0005-0000-0000-0000C4040000}"/>
    <cellStyle name="40% - Accent2 3 2 6 2" xfId="6632" xr:uid="{00000000-0005-0000-0000-0000C5040000}"/>
    <cellStyle name="40% - Accent2 3 2 6 2 2" xfId="23523" xr:uid="{50BBB7B3-7CA4-467F-8220-B66BB64F94C0}"/>
    <cellStyle name="40% - Accent2 3 2 6 2 3" xfId="15082" xr:uid="{56525FB7-4F31-4ACC-9A30-2D7519F8CF99}"/>
    <cellStyle name="40% - Accent2 3 2 6 3" xfId="19305" xr:uid="{774EBDD2-2DF5-4AF3-9B84-2D07A8D50BEB}"/>
    <cellStyle name="40% - Accent2 3 2 6 4" xfId="10864" xr:uid="{3EE65DCE-050C-4E29-B768-B742A5F705EB}"/>
    <cellStyle name="40% - Accent2 3 2 7" xfId="4566" xr:uid="{00000000-0005-0000-0000-0000C6040000}"/>
    <cellStyle name="40% - Accent2 3 2 7 2" xfId="21457" xr:uid="{C422CF1F-7279-4032-8038-32462E544AFB}"/>
    <cellStyle name="40% - Accent2 3 2 7 3" xfId="13016" xr:uid="{0F770DDB-F61F-4133-BB28-FBFC3CCFA1B9}"/>
    <cellStyle name="40% - Accent2 3 2 8" xfId="17239" xr:uid="{2864260A-B65B-4BEA-BA8C-24A00E8F08B4}"/>
    <cellStyle name="40% - Accent2 3 2 9" xfId="8798" xr:uid="{EE23FB29-F09D-4E74-AF71-D0C098A8AEAA}"/>
    <cellStyle name="40% - Accent2 3 3" xfId="631" xr:uid="{00000000-0005-0000-0000-0000C7040000}"/>
    <cellStyle name="40% - Accent2 3 3 2" xfId="2902" xr:uid="{00000000-0005-0000-0000-0000C8040000}"/>
    <cellStyle name="40% - Accent2 3 3 2 2" xfId="7124" xr:uid="{00000000-0005-0000-0000-0000C9040000}"/>
    <cellStyle name="40% - Accent2 3 3 2 2 2" xfId="24015" xr:uid="{92994305-DA26-49F7-AE44-976371EE7FF7}"/>
    <cellStyle name="40% - Accent2 3 3 2 2 3" xfId="15574" xr:uid="{0284A5B7-65D9-4BF7-9B46-81AC9FCE5CCC}"/>
    <cellStyle name="40% - Accent2 3 3 2 3" xfId="19797" xr:uid="{F548CC41-BBCE-4C30-8A03-5798CA4DB230}"/>
    <cellStyle name="40% - Accent2 3 3 2 4" xfId="11356" xr:uid="{A8A28E81-0055-4303-AB4A-CF6A14A2224D}"/>
    <cellStyle name="40% - Accent2 3 3 3" xfId="4979" xr:uid="{00000000-0005-0000-0000-0000CA040000}"/>
    <cellStyle name="40% - Accent2 3 3 3 2" xfId="21870" xr:uid="{0C65C3AF-D3AB-42BE-B524-BF4879BFF9E3}"/>
    <cellStyle name="40% - Accent2 3 3 3 3" xfId="13429" xr:uid="{22DCA32F-6E4A-4195-9A63-4FCE39F6F3C6}"/>
    <cellStyle name="40% - Accent2 3 3 4" xfId="17652" xr:uid="{7E9D153F-50CB-4B0A-9D13-44F333400782}"/>
    <cellStyle name="40% - Accent2 3 3 5" xfId="9211" xr:uid="{1988DE5A-60B1-4B33-8C01-35C76ED5921A}"/>
    <cellStyle name="40% - Accent2 3 4" xfId="1084" xr:uid="{00000000-0005-0000-0000-0000CB040000}"/>
    <cellStyle name="40% - Accent2 3 4 2" xfId="3315" xr:uid="{00000000-0005-0000-0000-0000CC040000}"/>
    <cellStyle name="40% - Accent2 3 4 2 2" xfId="7537" xr:uid="{00000000-0005-0000-0000-0000CD040000}"/>
    <cellStyle name="40% - Accent2 3 4 2 2 2" xfId="24428" xr:uid="{89BD8D47-E661-4D55-8775-AFDB91122DD0}"/>
    <cellStyle name="40% - Accent2 3 4 2 2 3" xfId="15987" xr:uid="{9BA52A4B-F7A7-4F9D-BF83-94029441FCE6}"/>
    <cellStyle name="40% - Accent2 3 4 2 3" xfId="20210" xr:uid="{2FAEC66E-1742-4377-8DCF-B988493AA1A1}"/>
    <cellStyle name="40% - Accent2 3 4 2 4" xfId="11769" xr:uid="{D2645B00-7462-446E-942E-0B8B01E998E2}"/>
    <cellStyle name="40% - Accent2 3 4 3" xfId="5392" xr:uid="{00000000-0005-0000-0000-0000CE040000}"/>
    <cellStyle name="40% - Accent2 3 4 3 2" xfId="22283" xr:uid="{6A9C7D3D-B4EA-4467-A9F2-E824FBE171E6}"/>
    <cellStyle name="40% - Accent2 3 4 3 3" xfId="13842" xr:uid="{1DE6B4EE-5343-403F-A72D-56304A45015B}"/>
    <cellStyle name="40% - Accent2 3 4 4" xfId="18065" xr:uid="{949EA37E-44DC-4498-B8E0-D254499F34A6}"/>
    <cellStyle name="40% - Accent2 3 4 5" xfId="9624" xr:uid="{41794AD3-563C-448C-92F1-25D6531C3B73}"/>
    <cellStyle name="40% - Accent2 3 5" xfId="1498" xr:uid="{00000000-0005-0000-0000-0000CF040000}"/>
    <cellStyle name="40% - Accent2 3 5 2" xfId="3728" xr:uid="{00000000-0005-0000-0000-0000D0040000}"/>
    <cellStyle name="40% - Accent2 3 5 2 2" xfId="7950" xr:uid="{00000000-0005-0000-0000-0000D1040000}"/>
    <cellStyle name="40% - Accent2 3 5 2 2 2" xfId="24841" xr:uid="{A9256371-6FFB-43E4-A8AC-1043A5C62CA0}"/>
    <cellStyle name="40% - Accent2 3 5 2 2 3" xfId="16400" xr:uid="{77C7C230-3936-4800-A557-BF836FC8870F}"/>
    <cellStyle name="40% - Accent2 3 5 2 3" xfId="20623" xr:uid="{7E876BFE-B544-4AE3-A1FA-C426D48FB18B}"/>
    <cellStyle name="40% - Accent2 3 5 2 4" xfId="12182" xr:uid="{F678E54D-22F0-4CB4-8675-5C7C73ABD396}"/>
    <cellStyle name="40% - Accent2 3 5 3" xfId="5805" xr:uid="{00000000-0005-0000-0000-0000D2040000}"/>
    <cellStyle name="40% - Accent2 3 5 3 2" xfId="22696" xr:uid="{1D5CB216-E6F4-4220-A774-773648421A61}"/>
    <cellStyle name="40% - Accent2 3 5 3 3" xfId="14255" xr:uid="{7E1D165F-955A-4F6E-8D4C-A57AFB9432F8}"/>
    <cellStyle name="40% - Accent2 3 5 4" xfId="18478" xr:uid="{508AC52E-F42D-406F-91A6-D9AA0E065D1D}"/>
    <cellStyle name="40% - Accent2 3 5 5" xfId="10037" xr:uid="{7CB513D0-50B9-4E16-8A91-5C943307CE08}"/>
    <cellStyle name="40% - Accent2 3 6" xfId="1912" xr:uid="{00000000-0005-0000-0000-0000D3040000}"/>
    <cellStyle name="40% - Accent2 3 6 2" xfId="4141" xr:uid="{00000000-0005-0000-0000-0000D4040000}"/>
    <cellStyle name="40% - Accent2 3 6 2 2" xfId="8363" xr:uid="{00000000-0005-0000-0000-0000D5040000}"/>
    <cellStyle name="40% - Accent2 3 6 2 2 2" xfId="25254" xr:uid="{6804F727-7424-475E-853E-F6518DC394BA}"/>
    <cellStyle name="40% - Accent2 3 6 2 2 3" xfId="16813" xr:uid="{778F6BC3-4308-41A6-89ED-E9B410255F17}"/>
    <cellStyle name="40% - Accent2 3 6 2 3" xfId="21036" xr:uid="{BD2B90E5-9983-43DC-8849-86264C2DD49D}"/>
    <cellStyle name="40% - Accent2 3 6 2 4" xfId="12595" xr:uid="{41875688-8C56-45BC-BD7B-B1FC80401BA3}"/>
    <cellStyle name="40% - Accent2 3 6 3" xfId="6218" xr:uid="{00000000-0005-0000-0000-0000D6040000}"/>
    <cellStyle name="40% - Accent2 3 6 3 2" xfId="23109" xr:uid="{C98DEE88-9D79-4F4F-8A6E-D45E9CFAFD15}"/>
    <cellStyle name="40% - Accent2 3 6 3 3" xfId="14668" xr:uid="{E70D0F17-5FD8-4C08-A874-82E0ED2EE086}"/>
    <cellStyle name="40% - Accent2 3 6 4" xfId="18891" xr:uid="{072F2D14-9B88-44A2-80B1-D2122152F288}"/>
    <cellStyle name="40% - Accent2 3 6 5" xfId="10450" xr:uid="{485C3B0B-9312-4CAE-A72F-F33A86445D67}"/>
    <cellStyle name="40% - Accent2 3 7" xfId="2325" xr:uid="{00000000-0005-0000-0000-0000D7040000}"/>
    <cellStyle name="40% - Accent2 3 7 2" xfId="6631" xr:uid="{00000000-0005-0000-0000-0000D8040000}"/>
    <cellStyle name="40% - Accent2 3 7 2 2" xfId="23522" xr:uid="{E20A1D79-92AE-4239-86DA-F87C7602B2FE}"/>
    <cellStyle name="40% - Accent2 3 7 2 3" xfId="15081" xr:uid="{F319FA03-4DF7-4D1C-8483-84489FF4351E}"/>
    <cellStyle name="40% - Accent2 3 7 3" xfId="19304" xr:uid="{4C5253D4-0930-4EF6-ACCF-19012BD38DF8}"/>
    <cellStyle name="40% - Accent2 3 7 4" xfId="10863" xr:uid="{DB3F90BB-1690-4F81-8809-4D9406A2E93F}"/>
    <cellStyle name="40% - Accent2 3 8" xfId="4565" xr:uid="{00000000-0005-0000-0000-0000D9040000}"/>
    <cellStyle name="40% - Accent2 3 8 2" xfId="21456" xr:uid="{3ED941F9-3A8C-40C2-BD5D-F8C2A11D9519}"/>
    <cellStyle name="40% - Accent2 3 8 3" xfId="13015" xr:uid="{46345ECD-741D-483F-9220-9613D6C39C8C}"/>
    <cellStyle name="40% - Accent2 3 9" xfId="17238" xr:uid="{CF95D1F8-0A0C-414B-ABE8-64BFBD001F8E}"/>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2 2 2" xfId="24017" xr:uid="{2B0761AC-092F-4DA6-BD67-8DA39A18A73F}"/>
    <cellStyle name="40% - Accent2 4 2 2 2 3" xfId="15576" xr:uid="{5B3B9D1C-6008-44AE-9DEE-CAB6EB08DFA3}"/>
    <cellStyle name="40% - Accent2 4 2 2 3" xfId="19799" xr:uid="{514B08BF-D790-4DF6-8C57-244EB781515C}"/>
    <cellStyle name="40% - Accent2 4 2 2 4" xfId="11358" xr:uid="{0441E1D3-A2E1-48E5-89DA-26F066A8B222}"/>
    <cellStyle name="40% - Accent2 4 2 3" xfId="4981" xr:uid="{00000000-0005-0000-0000-0000DE040000}"/>
    <cellStyle name="40% - Accent2 4 2 3 2" xfId="21872" xr:uid="{D410F1E1-9010-4292-BB26-1A66865D48D8}"/>
    <cellStyle name="40% - Accent2 4 2 3 3" xfId="13431" xr:uid="{C91879E3-0415-4A8B-836F-3349A60E7078}"/>
    <cellStyle name="40% - Accent2 4 2 4" xfId="17654" xr:uid="{8B1EE459-3FCF-4469-9C6F-AD9E5F16D8D2}"/>
    <cellStyle name="40% - Accent2 4 2 5" xfId="9213" xr:uid="{113288C1-C5CD-45C7-8839-9F7D9D46D9F2}"/>
    <cellStyle name="40% - Accent2 4 3" xfId="1086" xr:uid="{00000000-0005-0000-0000-0000DF040000}"/>
    <cellStyle name="40% - Accent2 4 3 2" xfId="3317" xr:uid="{00000000-0005-0000-0000-0000E0040000}"/>
    <cellStyle name="40% - Accent2 4 3 2 2" xfId="7539" xr:uid="{00000000-0005-0000-0000-0000E1040000}"/>
    <cellStyle name="40% - Accent2 4 3 2 2 2" xfId="24430" xr:uid="{E1CF0FF2-B0E5-48D5-BA19-51E3CCB022CD}"/>
    <cellStyle name="40% - Accent2 4 3 2 2 3" xfId="15989" xr:uid="{2B00F14B-7D40-424C-865B-2220000D46E0}"/>
    <cellStyle name="40% - Accent2 4 3 2 3" xfId="20212" xr:uid="{4E8E44F8-0C4F-4574-B6EF-CF011E4C3EE0}"/>
    <cellStyle name="40% - Accent2 4 3 2 4" xfId="11771" xr:uid="{DA0D8C61-931B-4A86-A928-7D17C7ABAB97}"/>
    <cellStyle name="40% - Accent2 4 3 3" xfId="5394" xr:uid="{00000000-0005-0000-0000-0000E2040000}"/>
    <cellStyle name="40% - Accent2 4 3 3 2" xfId="22285" xr:uid="{5740D40F-1066-470C-98E9-16F7350ACC17}"/>
    <cellStyle name="40% - Accent2 4 3 3 3" xfId="13844" xr:uid="{32A80EDB-D308-4204-A2F9-D60CD5C8FC28}"/>
    <cellStyle name="40% - Accent2 4 3 4" xfId="18067" xr:uid="{97EB8856-53FF-4375-8846-F735C7CA6A43}"/>
    <cellStyle name="40% - Accent2 4 3 5" xfId="9626" xr:uid="{EFFEB270-E95D-414B-B6BD-A92E6DE459F1}"/>
    <cellStyle name="40% - Accent2 4 4" xfId="1500" xr:uid="{00000000-0005-0000-0000-0000E3040000}"/>
    <cellStyle name="40% - Accent2 4 4 2" xfId="3730" xr:uid="{00000000-0005-0000-0000-0000E4040000}"/>
    <cellStyle name="40% - Accent2 4 4 2 2" xfId="7952" xr:uid="{00000000-0005-0000-0000-0000E5040000}"/>
    <cellStyle name="40% - Accent2 4 4 2 2 2" xfId="24843" xr:uid="{C7C1E58C-53DA-44B3-9658-30D8B72437A4}"/>
    <cellStyle name="40% - Accent2 4 4 2 2 3" xfId="16402" xr:uid="{7ED14F9B-2C43-4B1D-943B-0B6832FBBBA8}"/>
    <cellStyle name="40% - Accent2 4 4 2 3" xfId="20625" xr:uid="{6DABFDAB-4601-4129-8ADE-1603D9739051}"/>
    <cellStyle name="40% - Accent2 4 4 2 4" xfId="12184" xr:uid="{19F1FD9E-F391-4F85-8258-87E88AD579A3}"/>
    <cellStyle name="40% - Accent2 4 4 3" xfId="5807" xr:uid="{00000000-0005-0000-0000-0000E6040000}"/>
    <cellStyle name="40% - Accent2 4 4 3 2" xfId="22698" xr:uid="{4EC1DD63-EE2E-4132-80F4-8FB732687974}"/>
    <cellStyle name="40% - Accent2 4 4 3 3" xfId="14257" xr:uid="{1EF7E57C-1690-45AB-AE41-A263C3E65016}"/>
    <cellStyle name="40% - Accent2 4 4 4" xfId="18480" xr:uid="{0D87AE5C-DA03-48FE-88B9-DE7CD6DDE29B}"/>
    <cellStyle name="40% - Accent2 4 4 5" xfId="10039" xr:uid="{367394E5-1C38-47BD-8389-7E10D37A44CA}"/>
    <cellStyle name="40% - Accent2 4 5" xfId="1914" xr:uid="{00000000-0005-0000-0000-0000E7040000}"/>
    <cellStyle name="40% - Accent2 4 5 2" xfId="4143" xr:uid="{00000000-0005-0000-0000-0000E8040000}"/>
    <cellStyle name="40% - Accent2 4 5 2 2" xfId="8365" xr:uid="{00000000-0005-0000-0000-0000E9040000}"/>
    <cellStyle name="40% - Accent2 4 5 2 2 2" xfId="25256" xr:uid="{4638FA52-0E21-42D0-B5C5-E2B5D208AB46}"/>
    <cellStyle name="40% - Accent2 4 5 2 2 3" xfId="16815" xr:uid="{CEAB8DC3-D1EE-43D4-82B4-AF2ED5C275EB}"/>
    <cellStyle name="40% - Accent2 4 5 2 3" xfId="21038" xr:uid="{B16A55DF-9CF8-4F52-BEF4-F685CA5A9571}"/>
    <cellStyle name="40% - Accent2 4 5 2 4" xfId="12597" xr:uid="{68D199EE-02B3-4388-A017-29CC3A88423D}"/>
    <cellStyle name="40% - Accent2 4 5 3" xfId="6220" xr:uid="{00000000-0005-0000-0000-0000EA040000}"/>
    <cellStyle name="40% - Accent2 4 5 3 2" xfId="23111" xr:uid="{D0DC3AD4-465E-495C-851F-9798FC0BB4D1}"/>
    <cellStyle name="40% - Accent2 4 5 3 3" xfId="14670" xr:uid="{F55CEE8D-50A4-4C0D-B923-AF95694378EB}"/>
    <cellStyle name="40% - Accent2 4 5 4" xfId="18893" xr:uid="{495278D3-AC73-40FC-9B11-7ACCFB27C307}"/>
    <cellStyle name="40% - Accent2 4 5 5" xfId="10452" xr:uid="{909411F6-60FD-431B-8D26-6034C6C8B573}"/>
    <cellStyle name="40% - Accent2 4 6" xfId="2327" xr:uid="{00000000-0005-0000-0000-0000EB040000}"/>
    <cellStyle name="40% - Accent2 4 6 2" xfId="6633" xr:uid="{00000000-0005-0000-0000-0000EC040000}"/>
    <cellStyle name="40% - Accent2 4 6 2 2" xfId="23524" xr:uid="{186AB2AC-D620-4769-B463-17AE8A840C93}"/>
    <cellStyle name="40% - Accent2 4 6 2 3" xfId="15083" xr:uid="{2E1BE7E5-2045-41CE-8050-13F8EE2FB1E3}"/>
    <cellStyle name="40% - Accent2 4 6 3" xfId="19306" xr:uid="{1F3D2BE5-2E1A-41F1-BDEA-5F74DD71EC12}"/>
    <cellStyle name="40% - Accent2 4 6 4" xfId="10865" xr:uid="{7495FDA6-1AA1-41B3-98FE-C561A78417D0}"/>
    <cellStyle name="40% - Accent2 4 7" xfId="4567" xr:uid="{00000000-0005-0000-0000-0000ED040000}"/>
    <cellStyle name="40% - Accent2 4 7 2" xfId="21458" xr:uid="{E862B073-3FC0-471B-990B-4CD91F6862A7}"/>
    <cellStyle name="40% - Accent2 4 7 3" xfId="13017" xr:uid="{B3ABCCD9-54D8-4591-93CA-1BAD24F33D55}"/>
    <cellStyle name="40% - Accent2 4 8" xfId="17240" xr:uid="{D289BDAF-6D05-4D37-8FFD-0CDAAD0B31AA}"/>
    <cellStyle name="40% - Accent2 4 9" xfId="8799" xr:uid="{1B3EE5E8-52E9-465C-AA39-387386CDBAA0}"/>
    <cellStyle name="40% - Accent2 5" xfId="626" xr:uid="{00000000-0005-0000-0000-0000EE040000}"/>
    <cellStyle name="40% - Accent2 5 2" xfId="2897" xr:uid="{00000000-0005-0000-0000-0000EF040000}"/>
    <cellStyle name="40% - Accent2 5 2 2" xfId="7119" xr:uid="{00000000-0005-0000-0000-0000F0040000}"/>
    <cellStyle name="40% - Accent2 5 2 2 2" xfId="24010" xr:uid="{329D2BA5-8C2A-4729-A112-3797CBB3566A}"/>
    <cellStyle name="40% - Accent2 5 2 2 3" xfId="15569" xr:uid="{42AF4D3B-088B-424B-8477-F8E06613FE0F}"/>
    <cellStyle name="40% - Accent2 5 2 3" xfId="19792" xr:uid="{3141EB44-5CA9-4DB6-A0B4-3074DE03F1A2}"/>
    <cellStyle name="40% - Accent2 5 2 4" xfId="11351" xr:uid="{4EDB5299-126B-4E1D-9F4B-5DC852526C24}"/>
    <cellStyle name="40% - Accent2 5 3" xfId="4974" xr:uid="{00000000-0005-0000-0000-0000F1040000}"/>
    <cellStyle name="40% - Accent2 5 3 2" xfId="21865" xr:uid="{C0A0F741-A915-4D1E-9410-581E5DCD8BC6}"/>
    <cellStyle name="40% - Accent2 5 3 3" xfId="13424" xr:uid="{6ED5D380-F1CA-417A-ABE8-586AE3D90FF8}"/>
    <cellStyle name="40% - Accent2 5 4" xfId="17647" xr:uid="{6B0F79D2-BC60-429C-83E8-B782277CB10A}"/>
    <cellStyle name="40% - Accent2 5 5" xfId="9206" xr:uid="{D6A7FBA7-6654-4FBA-BB13-A45F57E6139E}"/>
    <cellStyle name="40% - Accent2 6" xfId="1079" xr:uid="{00000000-0005-0000-0000-0000F2040000}"/>
    <cellStyle name="40% - Accent2 6 2" xfId="3310" xr:uid="{00000000-0005-0000-0000-0000F3040000}"/>
    <cellStyle name="40% - Accent2 6 2 2" xfId="7532" xr:uid="{00000000-0005-0000-0000-0000F4040000}"/>
    <cellStyle name="40% - Accent2 6 2 2 2" xfId="24423" xr:uid="{A75DF2BD-4DE1-43A5-9495-40DC1719B4D7}"/>
    <cellStyle name="40% - Accent2 6 2 2 3" xfId="15982" xr:uid="{52805A89-7890-4321-ACE6-2968019051E5}"/>
    <cellStyle name="40% - Accent2 6 2 3" xfId="20205" xr:uid="{3E1E624C-5E7A-499C-96D4-1A03EE35C869}"/>
    <cellStyle name="40% - Accent2 6 2 4" xfId="11764" xr:uid="{07949705-D0A5-43D8-9051-136BD50510E9}"/>
    <cellStyle name="40% - Accent2 6 3" xfId="5387" xr:uid="{00000000-0005-0000-0000-0000F5040000}"/>
    <cellStyle name="40% - Accent2 6 3 2" xfId="22278" xr:uid="{8BF996DD-44EA-4DEA-BC6E-5509C534A0DF}"/>
    <cellStyle name="40% - Accent2 6 3 3" xfId="13837" xr:uid="{8F063E03-C3C4-4302-A8EB-95D35EA62655}"/>
    <cellStyle name="40% - Accent2 6 4" xfId="18060" xr:uid="{0289D5F5-4B20-4191-A924-C03DF79E68FD}"/>
    <cellStyle name="40% - Accent2 6 5" xfId="9619" xr:uid="{34DBE704-2248-4097-B132-CDC16F0A313F}"/>
    <cellStyle name="40% - Accent2 7" xfId="1493" xr:uid="{00000000-0005-0000-0000-0000F6040000}"/>
    <cellStyle name="40% - Accent2 7 2" xfId="3723" xr:uid="{00000000-0005-0000-0000-0000F7040000}"/>
    <cellStyle name="40% - Accent2 7 2 2" xfId="7945" xr:uid="{00000000-0005-0000-0000-0000F8040000}"/>
    <cellStyle name="40% - Accent2 7 2 2 2" xfId="24836" xr:uid="{70644CC6-1D89-414B-8484-F4203C5243F1}"/>
    <cellStyle name="40% - Accent2 7 2 2 3" xfId="16395" xr:uid="{7B909F01-09D7-4744-BB77-721E3AE81496}"/>
    <cellStyle name="40% - Accent2 7 2 3" xfId="20618" xr:uid="{F39CBB87-C8A8-4070-B6EB-21CF47F01AD0}"/>
    <cellStyle name="40% - Accent2 7 2 4" xfId="12177" xr:uid="{98DFA000-A393-49CC-B25A-D76CDFB3A277}"/>
    <cellStyle name="40% - Accent2 7 3" xfId="5800" xr:uid="{00000000-0005-0000-0000-0000F9040000}"/>
    <cellStyle name="40% - Accent2 7 3 2" xfId="22691" xr:uid="{1953F9F4-6453-4ACE-8B9B-8BDC43C5A247}"/>
    <cellStyle name="40% - Accent2 7 3 3" xfId="14250" xr:uid="{6B90AD17-AD23-42D1-B8B9-9ED42E295CE7}"/>
    <cellStyle name="40% - Accent2 7 4" xfId="18473" xr:uid="{9877D37F-8288-46D2-9E5A-2976F2C03972}"/>
    <cellStyle name="40% - Accent2 7 5" xfId="10032" xr:uid="{82D65302-C87B-4AC8-97DC-1A644FDA51BE}"/>
    <cellStyle name="40% - Accent2 8" xfId="1907" xr:uid="{00000000-0005-0000-0000-0000FA040000}"/>
    <cellStyle name="40% - Accent2 8 2" xfId="4136" xr:uid="{00000000-0005-0000-0000-0000FB040000}"/>
    <cellStyle name="40% - Accent2 8 2 2" xfId="8358" xr:uid="{00000000-0005-0000-0000-0000FC040000}"/>
    <cellStyle name="40% - Accent2 8 2 2 2" xfId="25249" xr:uid="{9254F538-373F-4FBC-A875-7E9F935B2C1F}"/>
    <cellStyle name="40% - Accent2 8 2 2 3" xfId="16808" xr:uid="{E69CBFD9-DD56-402B-8DDD-05966B6E2C79}"/>
    <cellStyle name="40% - Accent2 8 2 3" xfId="21031" xr:uid="{8D61F628-38D6-470F-948F-E0BD7AAE4909}"/>
    <cellStyle name="40% - Accent2 8 2 4" xfId="12590" xr:uid="{B6E21409-6886-4E8D-897A-482A784428A1}"/>
    <cellStyle name="40% - Accent2 8 3" xfId="6213" xr:uid="{00000000-0005-0000-0000-0000FD040000}"/>
    <cellStyle name="40% - Accent2 8 3 2" xfId="23104" xr:uid="{E5B30933-BB99-4620-B596-381D84706B05}"/>
    <cellStyle name="40% - Accent2 8 3 3" xfId="14663" xr:uid="{8678D470-E9FB-483C-BEFE-9FEA7A65AB50}"/>
    <cellStyle name="40% - Accent2 8 4" xfId="18886" xr:uid="{5B3E2725-34E6-448F-91D0-3039DA6C4EFF}"/>
    <cellStyle name="40% - Accent2 8 5" xfId="10445" xr:uid="{5C740332-A9F8-4969-9C77-B9F394DE36DF}"/>
    <cellStyle name="40% - Accent2 9" xfId="2320" xr:uid="{00000000-0005-0000-0000-0000FE040000}"/>
    <cellStyle name="40% - Accent2 9 2" xfId="6626" xr:uid="{00000000-0005-0000-0000-0000FF040000}"/>
    <cellStyle name="40% - Accent2 9 2 2" xfId="23517" xr:uid="{77B0303E-F009-406C-9D37-A07D30BF448E}"/>
    <cellStyle name="40% - Accent2 9 2 3" xfId="15076" xr:uid="{8F6D506A-E7A2-485A-A9E3-3FCD106C6A5E}"/>
    <cellStyle name="40% - Accent2 9 3" xfId="19299" xr:uid="{A6B05729-05D1-4D91-A2F1-47A73E912806}"/>
    <cellStyle name="40% - Accent2 9 4" xfId="10858" xr:uid="{BFB2D929-069D-4B51-8BFE-0B3D25FBABEC}"/>
    <cellStyle name="40% - Accent3" xfId="65" builtinId="39" customBuiltin="1"/>
    <cellStyle name="40% - Accent3 10" xfId="4568" xr:uid="{00000000-0005-0000-0000-000001050000}"/>
    <cellStyle name="40% - Accent3 10 2" xfId="21459" xr:uid="{5F20FA8A-2647-4D44-A70C-C42B1EBD0514}"/>
    <cellStyle name="40% - Accent3 10 3" xfId="13018" xr:uid="{46F8916E-E030-4681-BB59-74B58D2867EE}"/>
    <cellStyle name="40% - Accent3 11" xfId="17241" xr:uid="{A64E8EBE-F123-48C9-8F59-F742C4F99333}"/>
    <cellStyle name="40% - Accent3 12" xfId="8800" xr:uid="{81E28B9F-DB63-4EFF-979A-72EE1163C253}"/>
    <cellStyle name="40% - Accent3 2" xfId="66" xr:uid="{00000000-0005-0000-0000-000002050000}"/>
    <cellStyle name="40% - Accent3 2 10" xfId="17242" xr:uid="{E9629A17-CA8E-43FD-A280-6C043C940937}"/>
    <cellStyle name="40% - Accent3 2 11" xfId="8801" xr:uid="{06870254-01D2-45EF-A2E2-7BB1444B7FCA}"/>
    <cellStyle name="40% - Accent3 2 2" xfId="67" xr:uid="{00000000-0005-0000-0000-000003050000}"/>
    <cellStyle name="40% - Accent3 2 2 10" xfId="8802" xr:uid="{800F05C9-DA74-4538-86BE-036A4D8FD159}"/>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24021" xr:uid="{595CD9D2-4509-45A3-BDD5-E3725B96E02C}"/>
    <cellStyle name="40% - Accent3 2 2 2 2 2 2 3" xfId="15580" xr:uid="{5C9308AD-9FC2-4F87-9F8A-525FEF4D6F7C}"/>
    <cellStyle name="40% - Accent3 2 2 2 2 2 3" xfId="19803" xr:uid="{E400FDE8-C245-4D27-AA49-31309026106C}"/>
    <cellStyle name="40% - Accent3 2 2 2 2 2 4" xfId="11362" xr:uid="{8BF9F7BB-31D3-4DC1-9346-31EDC2A9A6E3}"/>
    <cellStyle name="40% - Accent3 2 2 2 2 3" xfId="4985" xr:uid="{00000000-0005-0000-0000-000008050000}"/>
    <cellStyle name="40% - Accent3 2 2 2 2 3 2" xfId="21876" xr:uid="{1385F1CC-71AF-4A9C-BC35-E76BB78E1C0C}"/>
    <cellStyle name="40% - Accent3 2 2 2 2 3 3" xfId="13435" xr:uid="{D579D9AA-D6C3-4EA2-A5F0-722C4331FC98}"/>
    <cellStyle name="40% - Accent3 2 2 2 2 4" xfId="17658" xr:uid="{D8DB1A6E-D504-4819-9A27-144AC15A6097}"/>
    <cellStyle name="40% - Accent3 2 2 2 2 5" xfId="9217" xr:uid="{2F3D85D2-5E41-4504-BDA4-3739C408214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24434" xr:uid="{FAE36394-779E-4762-8616-1DDD51FEB62D}"/>
    <cellStyle name="40% - Accent3 2 2 2 3 2 2 3" xfId="15993" xr:uid="{09E1985C-CDF5-42B6-90F6-FAF34F4F73B5}"/>
    <cellStyle name="40% - Accent3 2 2 2 3 2 3" xfId="20216" xr:uid="{A26147A4-AFBF-4C14-9411-850A6042657E}"/>
    <cellStyle name="40% - Accent3 2 2 2 3 2 4" xfId="11775" xr:uid="{7CC3569F-1290-421A-AE63-4128D8BE13E1}"/>
    <cellStyle name="40% - Accent3 2 2 2 3 3" xfId="5398" xr:uid="{00000000-0005-0000-0000-00000C050000}"/>
    <cellStyle name="40% - Accent3 2 2 2 3 3 2" xfId="22289" xr:uid="{F28AF727-B934-402F-9AB0-C461EF23B631}"/>
    <cellStyle name="40% - Accent3 2 2 2 3 3 3" xfId="13848" xr:uid="{8C230509-A8D8-4639-A6E3-2E046A08960D}"/>
    <cellStyle name="40% - Accent3 2 2 2 3 4" xfId="18071" xr:uid="{0B97375A-127F-46C5-B222-1DBA142C2235}"/>
    <cellStyle name="40% - Accent3 2 2 2 3 5" xfId="9630" xr:uid="{17B77458-030E-4420-B4B8-B3AE6CD38E9B}"/>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24847" xr:uid="{6032678E-E529-43F6-B88B-51DE50547807}"/>
    <cellStyle name="40% - Accent3 2 2 2 4 2 2 3" xfId="16406" xr:uid="{7787FA03-86EA-4CF1-968B-76B1F2B9DFF6}"/>
    <cellStyle name="40% - Accent3 2 2 2 4 2 3" xfId="20629" xr:uid="{12C50A36-B11C-4C80-BF6D-89B649B5B340}"/>
    <cellStyle name="40% - Accent3 2 2 2 4 2 4" xfId="12188" xr:uid="{A2D4B15A-2FEC-4BEA-B5FC-73C9C1138B23}"/>
    <cellStyle name="40% - Accent3 2 2 2 4 3" xfId="5811" xr:uid="{00000000-0005-0000-0000-000010050000}"/>
    <cellStyle name="40% - Accent3 2 2 2 4 3 2" xfId="22702" xr:uid="{53D7A807-E6B7-4B96-BDE2-3F5FA50B1E6A}"/>
    <cellStyle name="40% - Accent3 2 2 2 4 3 3" xfId="14261" xr:uid="{9584B792-B44A-4A8D-8551-C12D84F1AD51}"/>
    <cellStyle name="40% - Accent3 2 2 2 4 4" xfId="18484" xr:uid="{EABA06DC-3788-4293-B95F-BF04C31CC061}"/>
    <cellStyle name="40% - Accent3 2 2 2 4 5" xfId="10043" xr:uid="{6A325272-6115-446C-A55C-A91307899737}"/>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25260" xr:uid="{B34403E5-B371-4FCD-ADE4-C7FC48975D2A}"/>
    <cellStyle name="40% - Accent3 2 2 2 5 2 2 3" xfId="16819" xr:uid="{ACB87969-3394-4079-B1A1-F3E73984CEF8}"/>
    <cellStyle name="40% - Accent3 2 2 2 5 2 3" xfId="21042" xr:uid="{ECB0EC8F-F0EE-4C32-8C8A-8731624DF579}"/>
    <cellStyle name="40% - Accent3 2 2 2 5 2 4" xfId="12601" xr:uid="{03599E33-96A6-4120-9F5D-B3DFC7BABBD0}"/>
    <cellStyle name="40% - Accent3 2 2 2 5 3" xfId="6224" xr:uid="{00000000-0005-0000-0000-000014050000}"/>
    <cellStyle name="40% - Accent3 2 2 2 5 3 2" xfId="23115" xr:uid="{3CBD1F16-E3FD-4F95-8C2A-6E344EA6E31D}"/>
    <cellStyle name="40% - Accent3 2 2 2 5 3 3" xfId="14674" xr:uid="{14E47651-B3E8-4BEE-8DD9-EC7439589A41}"/>
    <cellStyle name="40% - Accent3 2 2 2 5 4" xfId="18897" xr:uid="{98F65E16-3B9D-4D0B-A4F4-BD398F55EE72}"/>
    <cellStyle name="40% - Accent3 2 2 2 5 5" xfId="10456" xr:uid="{1D2E186D-963A-4765-BDAD-128B8C58E0DC}"/>
    <cellStyle name="40% - Accent3 2 2 2 6" xfId="2331" xr:uid="{00000000-0005-0000-0000-000015050000}"/>
    <cellStyle name="40% - Accent3 2 2 2 6 2" xfId="6637" xr:uid="{00000000-0005-0000-0000-000016050000}"/>
    <cellStyle name="40% - Accent3 2 2 2 6 2 2" xfId="23528" xr:uid="{107CDBF1-1614-4BFD-A75A-51BDFB04250A}"/>
    <cellStyle name="40% - Accent3 2 2 2 6 2 3" xfId="15087" xr:uid="{771AD066-75B5-4D90-8F00-8C24C5B73664}"/>
    <cellStyle name="40% - Accent3 2 2 2 6 3" xfId="19310" xr:uid="{DB9DD7CB-1D25-4B5C-8FC8-7B4A809EDB01}"/>
    <cellStyle name="40% - Accent3 2 2 2 6 4" xfId="10869" xr:uid="{B317A2EB-CDCB-4CDC-B7E5-9E2E67AEE1B7}"/>
    <cellStyle name="40% - Accent3 2 2 2 7" xfId="4571" xr:uid="{00000000-0005-0000-0000-000017050000}"/>
    <cellStyle name="40% - Accent3 2 2 2 7 2" xfId="21462" xr:uid="{5CE734BD-6150-400D-BDBB-F7A3D76ABBA8}"/>
    <cellStyle name="40% - Accent3 2 2 2 7 3" xfId="13021" xr:uid="{0EE90587-9FDD-4725-92BE-1CCD763618AC}"/>
    <cellStyle name="40% - Accent3 2 2 2 8" xfId="17244" xr:uid="{B52722D9-BD68-487D-BFE7-B902056671C6}"/>
    <cellStyle name="40% - Accent3 2 2 2 9" xfId="8803" xr:uid="{CBA0FA40-1FF7-4296-B490-C559ED778463}"/>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24020" xr:uid="{60882130-843B-4D64-829B-293A108C0445}"/>
    <cellStyle name="40% - Accent3 2 2 3 2 2 3" xfId="15579" xr:uid="{328B53A4-08D0-48F4-A9E3-72F8E1062344}"/>
    <cellStyle name="40% - Accent3 2 2 3 2 3" xfId="19802" xr:uid="{49BF3C7B-750D-46AD-B867-A7618216D5E2}"/>
    <cellStyle name="40% - Accent3 2 2 3 2 4" xfId="11361" xr:uid="{DD0E7A8B-75F8-4F13-ABEC-230CEF79FAE9}"/>
    <cellStyle name="40% - Accent3 2 2 3 3" xfId="4984" xr:uid="{00000000-0005-0000-0000-00001B050000}"/>
    <cellStyle name="40% - Accent3 2 2 3 3 2" xfId="21875" xr:uid="{09940AA3-16A0-4E4D-AC21-2188FEAD80DE}"/>
    <cellStyle name="40% - Accent3 2 2 3 3 3" xfId="13434" xr:uid="{AE6FFD1D-AA33-486B-9087-3A7D406F548C}"/>
    <cellStyle name="40% - Accent3 2 2 3 4" xfId="17657" xr:uid="{DFD1EDB8-23F1-4BD2-9BAC-C26DE4E459AD}"/>
    <cellStyle name="40% - Accent3 2 2 3 5" xfId="9216" xr:uid="{B9F7D1C9-3DC3-40DA-934A-253894900E97}"/>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24433" xr:uid="{1F8F3BB3-8894-4609-B385-E11BABB471C2}"/>
    <cellStyle name="40% - Accent3 2 2 4 2 2 3" xfId="15992" xr:uid="{63F24ED5-4A5D-4546-BA07-B0FDA29045A8}"/>
    <cellStyle name="40% - Accent3 2 2 4 2 3" xfId="20215" xr:uid="{3B7C444A-566D-4DA2-B78D-8147AFD971ED}"/>
    <cellStyle name="40% - Accent3 2 2 4 2 4" xfId="11774" xr:uid="{5830C144-8965-4EA8-8447-99016950C50B}"/>
    <cellStyle name="40% - Accent3 2 2 4 3" xfId="5397" xr:uid="{00000000-0005-0000-0000-00001F050000}"/>
    <cellStyle name="40% - Accent3 2 2 4 3 2" xfId="22288" xr:uid="{D4C40729-3D96-445B-BF9A-E694A10FA8CA}"/>
    <cellStyle name="40% - Accent3 2 2 4 3 3" xfId="13847" xr:uid="{472B0048-BECC-4369-9F6A-591FA0D5C661}"/>
    <cellStyle name="40% - Accent3 2 2 4 4" xfId="18070" xr:uid="{2B3F5E2C-82D7-4A4C-9185-1608BD91FDF3}"/>
    <cellStyle name="40% - Accent3 2 2 4 5" xfId="9629" xr:uid="{477F8B1E-22D2-4BDC-B107-AA03EA27F97E}"/>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24846" xr:uid="{4495CC07-8C8C-450D-834C-06BD6F57007F}"/>
    <cellStyle name="40% - Accent3 2 2 5 2 2 3" xfId="16405" xr:uid="{9A5D6AC9-A3AE-4633-B36D-0696D2F1D857}"/>
    <cellStyle name="40% - Accent3 2 2 5 2 3" xfId="20628" xr:uid="{6B09D1C5-A372-416A-9712-C64039180CAE}"/>
    <cellStyle name="40% - Accent3 2 2 5 2 4" xfId="12187" xr:uid="{C50792B4-2A4B-4408-BB0B-F5431F5EAD98}"/>
    <cellStyle name="40% - Accent3 2 2 5 3" xfId="5810" xr:uid="{00000000-0005-0000-0000-000023050000}"/>
    <cellStyle name="40% - Accent3 2 2 5 3 2" xfId="22701" xr:uid="{CE92FD6F-3C47-4750-93B9-CA1EC3A44757}"/>
    <cellStyle name="40% - Accent3 2 2 5 3 3" xfId="14260" xr:uid="{DC79533D-DDDF-4014-9687-439CB1D769DA}"/>
    <cellStyle name="40% - Accent3 2 2 5 4" xfId="18483" xr:uid="{B15FA0DC-FF62-4BBD-B5EB-98DEB3D200D7}"/>
    <cellStyle name="40% - Accent3 2 2 5 5" xfId="10042" xr:uid="{30894F9A-ED54-43E3-B155-BB6ED2C00B40}"/>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25259" xr:uid="{30BFA884-BDD1-480E-B57D-712B52C5D457}"/>
    <cellStyle name="40% - Accent3 2 2 6 2 2 3" xfId="16818" xr:uid="{08D06FC9-D517-42A1-9004-B1616C712599}"/>
    <cellStyle name="40% - Accent3 2 2 6 2 3" xfId="21041" xr:uid="{A4A9D1D5-83B2-42F4-8196-070339C64D82}"/>
    <cellStyle name="40% - Accent3 2 2 6 2 4" xfId="12600" xr:uid="{A5F25FF9-4279-4DBE-85B6-0E87EE4EA893}"/>
    <cellStyle name="40% - Accent3 2 2 6 3" xfId="6223" xr:uid="{00000000-0005-0000-0000-000027050000}"/>
    <cellStyle name="40% - Accent3 2 2 6 3 2" xfId="23114" xr:uid="{DCAEA083-0791-4F61-948F-AEB9FBE1E1F1}"/>
    <cellStyle name="40% - Accent3 2 2 6 3 3" xfId="14673" xr:uid="{F8E6AE61-D3EE-4707-B234-10D4CA733625}"/>
    <cellStyle name="40% - Accent3 2 2 6 4" xfId="18896" xr:uid="{01081298-8367-41D4-A005-D03ECF52D160}"/>
    <cellStyle name="40% - Accent3 2 2 6 5" xfId="10455" xr:uid="{70D7D139-D77D-402C-89F5-40B54D2C55D3}"/>
    <cellStyle name="40% - Accent3 2 2 7" xfId="2330" xr:uid="{00000000-0005-0000-0000-000028050000}"/>
    <cellStyle name="40% - Accent3 2 2 7 2" xfId="6636" xr:uid="{00000000-0005-0000-0000-000029050000}"/>
    <cellStyle name="40% - Accent3 2 2 7 2 2" xfId="23527" xr:uid="{935553CD-16AC-4843-A39B-596E4AA391B0}"/>
    <cellStyle name="40% - Accent3 2 2 7 2 3" xfId="15086" xr:uid="{D5E95540-D31B-4900-91F9-BF3A72C8E7F7}"/>
    <cellStyle name="40% - Accent3 2 2 7 3" xfId="19309" xr:uid="{0387D543-9A85-4D51-9239-AC4FAC98E981}"/>
    <cellStyle name="40% - Accent3 2 2 7 4" xfId="10868" xr:uid="{B0995D8E-08B9-4869-9A47-A725EC55A834}"/>
    <cellStyle name="40% - Accent3 2 2 8" xfId="4570" xr:uid="{00000000-0005-0000-0000-00002A050000}"/>
    <cellStyle name="40% - Accent3 2 2 8 2" xfId="21461" xr:uid="{DE8073E9-23CD-43E6-B12F-9902577C5145}"/>
    <cellStyle name="40% - Accent3 2 2 8 3" xfId="13020" xr:uid="{1D6F73E1-3AD7-4F5D-9EF1-EA81C91670B3}"/>
    <cellStyle name="40% - Accent3 2 2 9" xfId="17243" xr:uid="{49434871-BFCF-4403-AB75-46462FB318F8}"/>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24022" xr:uid="{4B733A41-753B-4CE8-8239-E4DE3CA9E85D}"/>
    <cellStyle name="40% - Accent3 2 3 2 2 2 3" xfId="15581" xr:uid="{D13F5523-5DB5-4394-8246-7A9480948472}"/>
    <cellStyle name="40% - Accent3 2 3 2 2 3" xfId="19804" xr:uid="{88572A8C-F214-47CF-AE39-D1CE47926679}"/>
    <cellStyle name="40% - Accent3 2 3 2 2 4" xfId="11363" xr:uid="{E5B4833D-0CDE-487D-BF71-49EB21264413}"/>
    <cellStyle name="40% - Accent3 2 3 2 3" xfId="4986" xr:uid="{00000000-0005-0000-0000-00002F050000}"/>
    <cellStyle name="40% - Accent3 2 3 2 3 2" xfId="21877" xr:uid="{0341938A-B502-45EF-88CE-0070072D37C0}"/>
    <cellStyle name="40% - Accent3 2 3 2 3 3" xfId="13436" xr:uid="{27C809E6-01F7-4A58-9A66-DDCF757D4045}"/>
    <cellStyle name="40% - Accent3 2 3 2 4" xfId="17659" xr:uid="{A6A02E91-881C-48A1-BA0D-28FDACA8FC64}"/>
    <cellStyle name="40% - Accent3 2 3 2 5" xfId="9218" xr:uid="{A872D7BE-F3F4-4221-A15F-2F34E977C02E}"/>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24435" xr:uid="{92E8A3F7-5C25-44E1-8368-AEAC78097C82}"/>
    <cellStyle name="40% - Accent3 2 3 3 2 2 3" xfId="15994" xr:uid="{E566958A-BB47-4761-8351-E3A5F10E6C21}"/>
    <cellStyle name="40% - Accent3 2 3 3 2 3" xfId="20217" xr:uid="{C1D2C28A-D84F-4C4C-8241-C9F13047AE94}"/>
    <cellStyle name="40% - Accent3 2 3 3 2 4" xfId="11776" xr:uid="{AEAC4239-D692-4E66-9E06-82A5813324C4}"/>
    <cellStyle name="40% - Accent3 2 3 3 3" xfId="5399" xr:uid="{00000000-0005-0000-0000-000033050000}"/>
    <cellStyle name="40% - Accent3 2 3 3 3 2" xfId="22290" xr:uid="{0B32D199-3B28-4591-A703-3C11D48EA038}"/>
    <cellStyle name="40% - Accent3 2 3 3 3 3" xfId="13849" xr:uid="{7D5313DE-31EB-45F2-ADFF-5F64B11FC382}"/>
    <cellStyle name="40% - Accent3 2 3 3 4" xfId="18072" xr:uid="{55BE9BB4-E3BA-4212-A93E-26EDC31FA9F1}"/>
    <cellStyle name="40% - Accent3 2 3 3 5" xfId="9631" xr:uid="{71AB5651-1558-415C-BB23-DC882442C07B}"/>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24848" xr:uid="{A8AC82DC-3FF6-4B5B-8087-24B1E564D9DC}"/>
    <cellStyle name="40% - Accent3 2 3 4 2 2 3" xfId="16407" xr:uid="{E9AD3A41-3755-4399-81B5-607464D10522}"/>
    <cellStyle name="40% - Accent3 2 3 4 2 3" xfId="20630" xr:uid="{CA9A72D6-63A2-4236-84BB-DDE0637796DB}"/>
    <cellStyle name="40% - Accent3 2 3 4 2 4" xfId="12189" xr:uid="{746FD289-3FB2-4D1C-9281-00D947B27345}"/>
    <cellStyle name="40% - Accent3 2 3 4 3" xfId="5812" xr:uid="{00000000-0005-0000-0000-000037050000}"/>
    <cellStyle name="40% - Accent3 2 3 4 3 2" xfId="22703" xr:uid="{8798E555-7BCB-4F31-B784-54440C9F7113}"/>
    <cellStyle name="40% - Accent3 2 3 4 3 3" xfId="14262" xr:uid="{E53CF22A-2AEB-4A63-9815-8498EE81B6BF}"/>
    <cellStyle name="40% - Accent3 2 3 4 4" xfId="18485" xr:uid="{A1909E00-8280-4032-9845-269037437ACD}"/>
    <cellStyle name="40% - Accent3 2 3 4 5" xfId="10044" xr:uid="{441E5F33-031F-406A-A5B9-F3CBB01CEAC3}"/>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25261" xr:uid="{2A70A20E-9D3E-42D4-8A3A-1FF5C8842C33}"/>
    <cellStyle name="40% - Accent3 2 3 5 2 2 3" xfId="16820" xr:uid="{8D7EBC7F-DC3F-4524-BC4E-CDA5547D1524}"/>
    <cellStyle name="40% - Accent3 2 3 5 2 3" xfId="21043" xr:uid="{12133CF6-DE94-48C1-AC89-9046C1B2EEE5}"/>
    <cellStyle name="40% - Accent3 2 3 5 2 4" xfId="12602" xr:uid="{BB2F63A6-DA33-41F6-89CB-0328DF3ED6F5}"/>
    <cellStyle name="40% - Accent3 2 3 5 3" xfId="6225" xr:uid="{00000000-0005-0000-0000-00003B050000}"/>
    <cellStyle name="40% - Accent3 2 3 5 3 2" xfId="23116" xr:uid="{FCCAA2CB-DAFA-4EFA-A91B-06580A1B64D8}"/>
    <cellStyle name="40% - Accent3 2 3 5 3 3" xfId="14675" xr:uid="{72AC6913-CC6B-4EBF-A1F8-9A7F149DDCF7}"/>
    <cellStyle name="40% - Accent3 2 3 5 4" xfId="18898" xr:uid="{D1ADAD61-0439-4417-B3A2-2BFC666711C8}"/>
    <cellStyle name="40% - Accent3 2 3 5 5" xfId="10457" xr:uid="{F126FC90-10FD-4D8A-827C-19CE8425E8AA}"/>
    <cellStyle name="40% - Accent3 2 3 6" xfId="2332" xr:uid="{00000000-0005-0000-0000-00003C050000}"/>
    <cellStyle name="40% - Accent3 2 3 6 2" xfId="6638" xr:uid="{00000000-0005-0000-0000-00003D050000}"/>
    <cellStyle name="40% - Accent3 2 3 6 2 2" xfId="23529" xr:uid="{6ACD4B74-92AB-448F-A4AA-C870DB3D1932}"/>
    <cellStyle name="40% - Accent3 2 3 6 2 3" xfId="15088" xr:uid="{E3821209-088E-4864-A0EB-C29A28CB4307}"/>
    <cellStyle name="40% - Accent3 2 3 6 3" xfId="19311" xr:uid="{1E0E67D0-F5E3-4E2C-8B10-9A34BCB4385F}"/>
    <cellStyle name="40% - Accent3 2 3 6 4" xfId="10870" xr:uid="{27FA3620-DD46-4AC7-9C10-B22734BCC148}"/>
    <cellStyle name="40% - Accent3 2 3 7" xfId="4572" xr:uid="{00000000-0005-0000-0000-00003E050000}"/>
    <cellStyle name="40% - Accent3 2 3 7 2" xfId="21463" xr:uid="{1724A7F4-BAB5-4A53-866E-AD03EBAE3F4B}"/>
    <cellStyle name="40% - Accent3 2 3 7 3" xfId="13022" xr:uid="{929A5585-68A5-4504-8A9F-E66506A5157B}"/>
    <cellStyle name="40% - Accent3 2 3 8" xfId="17245" xr:uid="{B58CF8B0-7AE9-41CA-ABB5-E0FBA6E3E276}"/>
    <cellStyle name="40% - Accent3 2 3 9" xfId="8804" xr:uid="{78F01CF8-958A-4943-804E-6906F58C97D3}"/>
    <cellStyle name="40% - Accent3 2 4" xfId="635" xr:uid="{00000000-0005-0000-0000-00003F050000}"/>
    <cellStyle name="40% - Accent3 2 4 2" xfId="2906" xr:uid="{00000000-0005-0000-0000-000040050000}"/>
    <cellStyle name="40% - Accent3 2 4 2 2" xfId="7128" xr:uid="{00000000-0005-0000-0000-000041050000}"/>
    <cellStyle name="40% - Accent3 2 4 2 2 2" xfId="24019" xr:uid="{2ACA86C3-F721-43FE-A872-F435CCEAC520}"/>
    <cellStyle name="40% - Accent3 2 4 2 2 3" xfId="15578" xr:uid="{00B77718-B35E-4F10-B012-D0069E5FC7B5}"/>
    <cellStyle name="40% - Accent3 2 4 2 3" xfId="19801" xr:uid="{10C5EA4D-B1ED-4A39-AA61-D1E45BE9FCB9}"/>
    <cellStyle name="40% - Accent3 2 4 2 4" xfId="11360" xr:uid="{09483CB7-46CE-4C15-9A82-6DF66336C9EC}"/>
    <cellStyle name="40% - Accent3 2 4 3" xfId="4983" xr:uid="{00000000-0005-0000-0000-000042050000}"/>
    <cellStyle name="40% - Accent3 2 4 3 2" xfId="21874" xr:uid="{3CB0350F-4C25-45E4-9A0D-F95F46F4E91A}"/>
    <cellStyle name="40% - Accent3 2 4 3 3" xfId="13433" xr:uid="{AD420915-C65C-46D0-8498-20245E20EEEC}"/>
    <cellStyle name="40% - Accent3 2 4 4" xfId="17656" xr:uid="{24E50B7D-7BD6-468B-87E2-E7AE35B19C57}"/>
    <cellStyle name="40% - Accent3 2 4 5" xfId="9215" xr:uid="{113FF8BE-4FA5-41DC-ABF1-F42D961014FF}"/>
    <cellStyle name="40% - Accent3 2 5" xfId="1088" xr:uid="{00000000-0005-0000-0000-000043050000}"/>
    <cellStyle name="40% - Accent3 2 5 2" xfId="3319" xr:uid="{00000000-0005-0000-0000-000044050000}"/>
    <cellStyle name="40% - Accent3 2 5 2 2" xfId="7541" xr:uid="{00000000-0005-0000-0000-000045050000}"/>
    <cellStyle name="40% - Accent3 2 5 2 2 2" xfId="24432" xr:uid="{E791A90B-F840-4ACE-AA38-293CC624BE04}"/>
    <cellStyle name="40% - Accent3 2 5 2 2 3" xfId="15991" xr:uid="{496E96B3-2249-4B6C-AD6F-CDDAA31076EF}"/>
    <cellStyle name="40% - Accent3 2 5 2 3" xfId="20214" xr:uid="{7B1D099D-5D87-4932-AF6E-9F53308ABEB4}"/>
    <cellStyle name="40% - Accent3 2 5 2 4" xfId="11773" xr:uid="{7EA0B238-54F9-46FE-87C5-9F9D91CDD7A2}"/>
    <cellStyle name="40% - Accent3 2 5 3" xfId="5396" xr:uid="{00000000-0005-0000-0000-000046050000}"/>
    <cellStyle name="40% - Accent3 2 5 3 2" xfId="22287" xr:uid="{D4ED7FCC-679A-466D-AD42-662A3B632F91}"/>
    <cellStyle name="40% - Accent3 2 5 3 3" xfId="13846" xr:uid="{A6F82136-0ABA-4097-AA41-F92B3E5F7092}"/>
    <cellStyle name="40% - Accent3 2 5 4" xfId="18069" xr:uid="{047ADD4E-C763-4298-A84C-E5B853B377C6}"/>
    <cellStyle name="40% - Accent3 2 5 5" xfId="9628" xr:uid="{FE7D700B-98AC-4028-8F0D-B74A4F761672}"/>
    <cellStyle name="40% - Accent3 2 6" xfId="1502" xr:uid="{00000000-0005-0000-0000-000047050000}"/>
    <cellStyle name="40% - Accent3 2 6 2" xfId="3732" xr:uid="{00000000-0005-0000-0000-000048050000}"/>
    <cellStyle name="40% - Accent3 2 6 2 2" xfId="7954" xr:uid="{00000000-0005-0000-0000-000049050000}"/>
    <cellStyle name="40% - Accent3 2 6 2 2 2" xfId="24845" xr:uid="{2EB14CAE-F621-40F0-AC20-30AB60F7D1F7}"/>
    <cellStyle name="40% - Accent3 2 6 2 2 3" xfId="16404" xr:uid="{18082501-6DA7-447B-A4AF-EA7718957EC3}"/>
    <cellStyle name="40% - Accent3 2 6 2 3" xfId="20627" xr:uid="{E345886A-08B8-4187-BE48-91F7BE30FDFE}"/>
    <cellStyle name="40% - Accent3 2 6 2 4" xfId="12186" xr:uid="{C7C756D2-CB35-42D0-8C23-7246AA1BCE73}"/>
    <cellStyle name="40% - Accent3 2 6 3" xfId="5809" xr:uid="{00000000-0005-0000-0000-00004A050000}"/>
    <cellStyle name="40% - Accent3 2 6 3 2" xfId="22700" xr:uid="{59FDB3C2-2ACA-4D9F-8CD4-2A4D9FED16D9}"/>
    <cellStyle name="40% - Accent3 2 6 3 3" xfId="14259" xr:uid="{9B5F9D54-961F-452C-A5CF-636F1CA3CD84}"/>
    <cellStyle name="40% - Accent3 2 6 4" xfId="18482" xr:uid="{45EEDBF8-1EB0-40BE-948D-5FD5F8EE5F31}"/>
    <cellStyle name="40% - Accent3 2 6 5" xfId="10041" xr:uid="{3729B1D0-1CED-4FAA-AF0B-5052B7A05D28}"/>
    <cellStyle name="40% - Accent3 2 7" xfId="1916" xr:uid="{00000000-0005-0000-0000-00004B050000}"/>
    <cellStyle name="40% - Accent3 2 7 2" xfId="4145" xr:uid="{00000000-0005-0000-0000-00004C050000}"/>
    <cellStyle name="40% - Accent3 2 7 2 2" xfId="8367" xr:uid="{00000000-0005-0000-0000-00004D050000}"/>
    <cellStyle name="40% - Accent3 2 7 2 2 2" xfId="25258" xr:uid="{27B94DD0-90AA-4A2D-B0DA-ADA85F6BED01}"/>
    <cellStyle name="40% - Accent3 2 7 2 2 3" xfId="16817" xr:uid="{3EEFB056-336B-44F5-9B80-A987ED230EDA}"/>
    <cellStyle name="40% - Accent3 2 7 2 3" xfId="21040" xr:uid="{37FB80BC-F31D-4CBC-B23B-B96156E9CB28}"/>
    <cellStyle name="40% - Accent3 2 7 2 4" xfId="12599" xr:uid="{3FE6089B-089D-41DF-BCBB-07670C6A744E}"/>
    <cellStyle name="40% - Accent3 2 7 3" xfId="6222" xr:uid="{00000000-0005-0000-0000-00004E050000}"/>
    <cellStyle name="40% - Accent3 2 7 3 2" xfId="23113" xr:uid="{FA33CEFF-28A9-4953-A068-6ECC71618902}"/>
    <cellStyle name="40% - Accent3 2 7 3 3" xfId="14672" xr:uid="{21D5E885-7ECA-4CC7-AAC2-5D7D186C1B1E}"/>
    <cellStyle name="40% - Accent3 2 7 4" xfId="18895" xr:uid="{47412D0F-B9D4-46D4-9D99-9D4B3B00153D}"/>
    <cellStyle name="40% - Accent3 2 7 5" xfId="10454" xr:uid="{96A774EA-CA96-45AC-A661-CC6B084DA5A8}"/>
    <cellStyle name="40% - Accent3 2 8" xfId="2329" xr:uid="{00000000-0005-0000-0000-00004F050000}"/>
    <cellStyle name="40% - Accent3 2 8 2" xfId="6635" xr:uid="{00000000-0005-0000-0000-000050050000}"/>
    <cellStyle name="40% - Accent3 2 8 2 2" xfId="23526" xr:uid="{3AA22527-060A-4DA3-A585-AF9D914B3A31}"/>
    <cellStyle name="40% - Accent3 2 8 2 3" xfId="15085" xr:uid="{0E1830A4-24C2-41CE-9857-2FD651268CAE}"/>
    <cellStyle name="40% - Accent3 2 8 3" xfId="19308" xr:uid="{42506CEA-3B12-4ECB-BE4C-6975B45DBBA0}"/>
    <cellStyle name="40% - Accent3 2 8 4" xfId="10867" xr:uid="{25DE87DC-4271-4CB4-83FB-461421974BAF}"/>
    <cellStyle name="40% - Accent3 2 9" xfId="4569" xr:uid="{00000000-0005-0000-0000-000051050000}"/>
    <cellStyle name="40% - Accent3 2 9 2" xfId="21460" xr:uid="{0F0821F4-004D-46EB-ADDA-51B85D5B5411}"/>
    <cellStyle name="40% - Accent3 2 9 3" xfId="13019" xr:uid="{DDAD8336-256C-41A4-98B6-8DF9089E7B3A}"/>
    <cellStyle name="40% - Accent3 3" xfId="70" xr:uid="{00000000-0005-0000-0000-000052050000}"/>
    <cellStyle name="40% - Accent3 3 10" xfId="8805" xr:uid="{93DE47D7-667A-4CFD-8CCB-96151B40AE16}"/>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24024" xr:uid="{D342962B-C1E5-46F6-A38B-53933D9C613A}"/>
    <cellStyle name="40% - Accent3 3 2 2 2 2 3" xfId="15583" xr:uid="{7CA2446B-58E4-474C-A5FD-BCFB1609ABDF}"/>
    <cellStyle name="40% - Accent3 3 2 2 2 3" xfId="19806" xr:uid="{E082DC39-8683-4188-A4FC-13FFB8110B6E}"/>
    <cellStyle name="40% - Accent3 3 2 2 2 4" xfId="11365" xr:uid="{B001E4A2-EF72-4F30-9435-8DF1EC5F5FA3}"/>
    <cellStyle name="40% - Accent3 3 2 2 3" xfId="4988" xr:uid="{00000000-0005-0000-0000-000057050000}"/>
    <cellStyle name="40% - Accent3 3 2 2 3 2" xfId="21879" xr:uid="{D5EDC830-5989-4664-B6D1-3462ADA2829D}"/>
    <cellStyle name="40% - Accent3 3 2 2 3 3" xfId="13438" xr:uid="{C72D12F7-D1F3-4A37-BF5D-590BEBAD4A16}"/>
    <cellStyle name="40% - Accent3 3 2 2 4" xfId="17661" xr:uid="{B8E1E3D5-1789-4871-B499-89DC79590D29}"/>
    <cellStyle name="40% - Accent3 3 2 2 5" xfId="9220" xr:uid="{75850FCF-88E4-4696-8E48-886B5FFB7D92}"/>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24437" xr:uid="{4B5664E4-A52D-4F94-9C75-51D8BC955361}"/>
    <cellStyle name="40% - Accent3 3 2 3 2 2 3" xfId="15996" xr:uid="{9A08D1AE-87AF-4B69-88BD-3AD6FBB4006D}"/>
    <cellStyle name="40% - Accent3 3 2 3 2 3" xfId="20219" xr:uid="{E060FC36-1378-4154-B076-08483F7447CF}"/>
    <cellStyle name="40% - Accent3 3 2 3 2 4" xfId="11778" xr:uid="{7EA35A53-BE5C-4F28-B49C-666D4DFAD7E2}"/>
    <cellStyle name="40% - Accent3 3 2 3 3" xfId="5401" xr:uid="{00000000-0005-0000-0000-00005B050000}"/>
    <cellStyle name="40% - Accent3 3 2 3 3 2" xfId="22292" xr:uid="{8A95081C-18F3-44B5-9468-916A651F353E}"/>
    <cellStyle name="40% - Accent3 3 2 3 3 3" xfId="13851" xr:uid="{B22C559F-58A5-4CBE-8D8C-FC993CD9826E}"/>
    <cellStyle name="40% - Accent3 3 2 3 4" xfId="18074" xr:uid="{14DB951F-D620-46D2-A3CF-5601CD09E987}"/>
    <cellStyle name="40% - Accent3 3 2 3 5" xfId="9633" xr:uid="{FF00F5A9-6578-4115-9652-E9C421248926}"/>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24850" xr:uid="{8B476617-28AC-4067-91DC-F9CD0F59C07A}"/>
    <cellStyle name="40% - Accent3 3 2 4 2 2 3" xfId="16409" xr:uid="{35780B59-A654-455C-AB60-33FEC66BC82E}"/>
    <cellStyle name="40% - Accent3 3 2 4 2 3" xfId="20632" xr:uid="{84EF7BA7-2F50-4A8D-A07A-40C8195D9626}"/>
    <cellStyle name="40% - Accent3 3 2 4 2 4" xfId="12191" xr:uid="{95E39137-6115-4847-B39A-20CA39BC2A48}"/>
    <cellStyle name="40% - Accent3 3 2 4 3" xfId="5814" xr:uid="{00000000-0005-0000-0000-00005F050000}"/>
    <cellStyle name="40% - Accent3 3 2 4 3 2" xfId="22705" xr:uid="{97724DF7-D127-4BA4-8C86-5C01ABE8B4C3}"/>
    <cellStyle name="40% - Accent3 3 2 4 3 3" xfId="14264" xr:uid="{3281E381-AA51-40F3-9CB2-EA3FB9F3044E}"/>
    <cellStyle name="40% - Accent3 3 2 4 4" xfId="18487" xr:uid="{3F52A6FB-BA12-40BF-A680-1504386E0CB3}"/>
    <cellStyle name="40% - Accent3 3 2 4 5" xfId="10046" xr:uid="{835F492E-7655-44B1-A8B7-A6DE8BDD6646}"/>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25263" xr:uid="{29968480-A56F-4790-9DC1-C4E88CDE3523}"/>
    <cellStyle name="40% - Accent3 3 2 5 2 2 3" xfId="16822" xr:uid="{B5B3DA37-C8C7-4861-A0AF-1F49BBA0726A}"/>
    <cellStyle name="40% - Accent3 3 2 5 2 3" xfId="21045" xr:uid="{642A7013-59A7-4570-BAFB-6C1A1C890CED}"/>
    <cellStyle name="40% - Accent3 3 2 5 2 4" xfId="12604" xr:uid="{785BAA84-8821-4BE7-9ADD-9E744D27CBD3}"/>
    <cellStyle name="40% - Accent3 3 2 5 3" xfId="6227" xr:uid="{00000000-0005-0000-0000-000063050000}"/>
    <cellStyle name="40% - Accent3 3 2 5 3 2" xfId="23118" xr:uid="{CE3C57CB-1906-4FBA-9334-2E9C19003B7D}"/>
    <cellStyle name="40% - Accent3 3 2 5 3 3" xfId="14677" xr:uid="{FC751EA0-B0F8-4657-BA6B-2A635D87E3B6}"/>
    <cellStyle name="40% - Accent3 3 2 5 4" xfId="18900" xr:uid="{54B7A310-ABAC-4EB4-BC76-D3D08D9FE5E2}"/>
    <cellStyle name="40% - Accent3 3 2 5 5" xfId="10459" xr:uid="{D0991536-2004-4370-AE2E-5DA03381EEA7}"/>
    <cellStyle name="40% - Accent3 3 2 6" xfId="2334" xr:uid="{00000000-0005-0000-0000-000064050000}"/>
    <cellStyle name="40% - Accent3 3 2 6 2" xfId="6640" xr:uid="{00000000-0005-0000-0000-000065050000}"/>
    <cellStyle name="40% - Accent3 3 2 6 2 2" xfId="23531" xr:uid="{C1A2755E-642E-4EA7-8567-502FADBEA071}"/>
    <cellStyle name="40% - Accent3 3 2 6 2 3" xfId="15090" xr:uid="{DACBA57D-9266-42E0-80FB-9AA16B2DDC75}"/>
    <cellStyle name="40% - Accent3 3 2 6 3" xfId="19313" xr:uid="{CDF6B65A-7F48-4F3E-8D68-A8ACC7606EA0}"/>
    <cellStyle name="40% - Accent3 3 2 6 4" xfId="10872" xr:uid="{DFC92538-BD63-4F7E-8BEB-927894272BD7}"/>
    <cellStyle name="40% - Accent3 3 2 7" xfId="4574" xr:uid="{00000000-0005-0000-0000-000066050000}"/>
    <cellStyle name="40% - Accent3 3 2 7 2" xfId="21465" xr:uid="{E91DF687-8BAF-466B-85A3-38D8599E15BE}"/>
    <cellStyle name="40% - Accent3 3 2 7 3" xfId="13024" xr:uid="{589DE717-D429-4757-90DA-E0BCEBDA5AC0}"/>
    <cellStyle name="40% - Accent3 3 2 8" xfId="17247" xr:uid="{F1A5C729-4357-4640-A56A-B04D4D4C4532}"/>
    <cellStyle name="40% - Accent3 3 2 9" xfId="8806" xr:uid="{DDF48929-9B63-4A09-A119-681B5678AA20}"/>
    <cellStyle name="40% - Accent3 3 3" xfId="639" xr:uid="{00000000-0005-0000-0000-000067050000}"/>
    <cellStyle name="40% - Accent3 3 3 2" xfId="2910" xr:uid="{00000000-0005-0000-0000-000068050000}"/>
    <cellStyle name="40% - Accent3 3 3 2 2" xfId="7132" xr:uid="{00000000-0005-0000-0000-000069050000}"/>
    <cellStyle name="40% - Accent3 3 3 2 2 2" xfId="24023" xr:uid="{D1959AC7-2BF9-4B35-8E7F-D9057E639887}"/>
    <cellStyle name="40% - Accent3 3 3 2 2 3" xfId="15582" xr:uid="{F341923F-4DEC-4A76-A633-2EC758BAAFA4}"/>
    <cellStyle name="40% - Accent3 3 3 2 3" xfId="19805" xr:uid="{E0BC8FD3-E5C8-4F74-86E7-513A157512BF}"/>
    <cellStyle name="40% - Accent3 3 3 2 4" xfId="11364" xr:uid="{60065399-A026-4360-B7C0-021309433D1D}"/>
    <cellStyle name="40% - Accent3 3 3 3" xfId="4987" xr:uid="{00000000-0005-0000-0000-00006A050000}"/>
    <cellStyle name="40% - Accent3 3 3 3 2" xfId="21878" xr:uid="{527883DE-58DC-413C-B524-1E4A623CDED6}"/>
    <cellStyle name="40% - Accent3 3 3 3 3" xfId="13437" xr:uid="{0AAE5D04-63D2-4D65-88A6-76692E0C58C9}"/>
    <cellStyle name="40% - Accent3 3 3 4" xfId="17660" xr:uid="{7236A356-A83A-451F-8C4C-A744F2B4D88E}"/>
    <cellStyle name="40% - Accent3 3 3 5" xfId="9219" xr:uid="{321E12B1-91BB-4B91-AE06-609CC3F0C32B}"/>
    <cellStyle name="40% - Accent3 3 4" xfId="1092" xr:uid="{00000000-0005-0000-0000-00006B050000}"/>
    <cellStyle name="40% - Accent3 3 4 2" xfId="3323" xr:uid="{00000000-0005-0000-0000-00006C050000}"/>
    <cellStyle name="40% - Accent3 3 4 2 2" xfId="7545" xr:uid="{00000000-0005-0000-0000-00006D050000}"/>
    <cellStyle name="40% - Accent3 3 4 2 2 2" xfId="24436" xr:uid="{E16C773E-E3B8-4FEB-9954-9CAF2CC00D57}"/>
    <cellStyle name="40% - Accent3 3 4 2 2 3" xfId="15995" xr:uid="{E621CF51-69D3-44F4-A68C-4EB8D52C6CBE}"/>
    <cellStyle name="40% - Accent3 3 4 2 3" xfId="20218" xr:uid="{CDC135FC-1282-4ABF-984A-5A0B0BA7FE39}"/>
    <cellStyle name="40% - Accent3 3 4 2 4" xfId="11777" xr:uid="{82B8041D-962A-4AC8-894F-1D0790F3EC3B}"/>
    <cellStyle name="40% - Accent3 3 4 3" xfId="5400" xr:uid="{00000000-0005-0000-0000-00006E050000}"/>
    <cellStyle name="40% - Accent3 3 4 3 2" xfId="22291" xr:uid="{D619F3A9-52D9-463C-A1FA-C55D624E697A}"/>
    <cellStyle name="40% - Accent3 3 4 3 3" xfId="13850" xr:uid="{33EF2059-460E-4795-A0AB-48EE4D2AFC5E}"/>
    <cellStyle name="40% - Accent3 3 4 4" xfId="18073" xr:uid="{0E3286F8-311E-4D38-9DCB-741F18D43015}"/>
    <cellStyle name="40% - Accent3 3 4 5" xfId="9632" xr:uid="{EE3DA7ED-DA20-4BF0-8B3F-5A55A03FD487}"/>
    <cellStyle name="40% - Accent3 3 5" xfId="1506" xr:uid="{00000000-0005-0000-0000-00006F050000}"/>
    <cellStyle name="40% - Accent3 3 5 2" xfId="3736" xr:uid="{00000000-0005-0000-0000-000070050000}"/>
    <cellStyle name="40% - Accent3 3 5 2 2" xfId="7958" xr:uid="{00000000-0005-0000-0000-000071050000}"/>
    <cellStyle name="40% - Accent3 3 5 2 2 2" xfId="24849" xr:uid="{FE6E6492-6C28-433F-A1DB-AEA2B10A5B18}"/>
    <cellStyle name="40% - Accent3 3 5 2 2 3" xfId="16408" xr:uid="{A1C26C23-B89F-453F-8BFA-A9B910158110}"/>
    <cellStyle name="40% - Accent3 3 5 2 3" xfId="20631" xr:uid="{E0E3C13F-AAA7-40C8-A375-38D493104616}"/>
    <cellStyle name="40% - Accent3 3 5 2 4" xfId="12190" xr:uid="{E6F6AC6B-048E-4DD6-83DA-D9E4B37FAE81}"/>
    <cellStyle name="40% - Accent3 3 5 3" xfId="5813" xr:uid="{00000000-0005-0000-0000-000072050000}"/>
    <cellStyle name="40% - Accent3 3 5 3 2" xfId="22704" xr:uid="{E6AC9F91-1671-49B2-8DBF-2AC072EE7BCD}"/>
    <cellStyle name="40% - Accent3 3 5 3 3" xfId="14263" xr:uid="{42AB16FF-44EA-47BC-8FED-180DB145DAD1}"/>
    <cellStyle name="40% - Accent3 3 5 4" xfId="18486" xr:uid="{D0F4D3DE-A90A-4C45-B2AA-C8F0D0E9B183}"/>
    <cellStyle name="40% - Accent3 3 5 5" xfId="10045" xr:uid="{316707BE-2923-4D1D-8F3A-FE7B0DD7AC0E}"/>
    <cellStyle name="40% - Accent3 3 6" xfId="1920" xr:uid="{00000000-0005-0000-0000-000073050000}"/>
    <cellStyle name="40% - Accent3 3 6 2" xfId="4149" xr:uid="{00000000-0005-0000-0000-000074050000}"/>
    <cellStyle name="40% - Accent3 3 6 2 2" xfId="8371" xr:uid="{00000000-0005-0000-0000-000075050000}"/>
    <cellStyle name="40% - Accent3 3 6 2 2 2" xfId="25262" xr:uid="{EC23915E-3CEE-4CE1-A45B-90AB687BDC1A}"/>
    <cellStyle name="40% - Accent3 3 6 2 2 3" xfId="16821" xr:uid="{115D2828-A009-44AE-B18E-8A4A5A32F3AB}"/>
    <cellStyle name="40% - Accent3 3 6 2 3" xfId="21044" xr:uid="{F685327D-D819-49E6-A12A-5B8711890224}"/>
    <cellStyle name="40% - Accent3 3 6 2 4" xfId="12603" xr:uid="{162B725A-29BE-4F86-8A1F-D6E2A7B7807C}"/>
    <cellStyle name="40% - Accent3 3 6 3" xfId="6226" xr:uid="{00000000-0005-0000-0000-000076050000}"/>
    <cellStyle name="40% - Accent3 3 6 3 2" xfId="23117" xr:uid="{7F67D07B-E83F-4920-A622-226FEE0CF760}"/>
    <cellStyle name="40% - Accent3 3 6 3 3" xfId="14676" xr:uid="{83FED658-9339-4CB4-A720-EBE08FE78B8A}"/>
    <cellStyle name="40% - Accent3 3 6 4" xfId="18899" xr:uid="{BDD7D828-137D-4538-9D34-8DA9AC5CD95C}"/>
    <cellStyle name="40% - Accent3 3 6 5" xfId="10458" xr:uid="{BA1C07CE-F221-45BE-B1FA-41CF6221D766}"/>
    <cellStyle name="40% - Accent3 3 7" xfId="2333" xr:uid="{00000000-0005-0000-0000-000077050000}"/>
    <cellStyle name="40% - Accent3 3 7 2" xfId="6639" xr:uid="{00000000-0005-0000-0000-000078050000}"/>
    <cellStyle name="40% - Accent3 3 7 2 2" xfId="23530" xr:uid="{AC87A9D6-9BCD-40AE-B0AF-75A8713F0F0C}"/>
    <cellStyle name="40% - Accent3 3 7 2 3" xfId="15089" xr:uid="{881B8AA7-473B-41D3-8CBE-C53AEA12CBC5}"/>
    <cellStyle name="40% - Accent3 3 7 3" xfId="19312" xr:uid="{8C35D62A-4F38-4B59-90DF-F15353EC70BE}"/>
    <cellStyle name="40% - Accent3 3 7 4" xfId="10871" xr:uid="{7DB88A09-B0A1-4915-92C1-C82FE020BB51}"/>
    <cellStyle name="40% - Accent3 3 8" xfId="4573" xr:uid="{00000000-0005-0000-0000-000079050000}"/>
    <cellStyle name="40% - Accent3 3 8 2" xfId="21464" xr:uid="{34D45ABF-7B41-4E4A-86D9-52080A5BA548}"/>
    <cellStyle name="40% - Accent3 3 8 3" xfId="13023" xr:uid="{9ECD52AF-0838-4BB4-8AFC-6428D406C674}"/>
    <cellStyle name="40% - Accent3 3 9" xfId="17246" xr:uid="{C680C841-DC38-496E-AD72-9354F50AA35D}"/>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2 2 2" xfId="24025" xr:uid="{B2F2EDD8-D672-40DA-8A6E-0480D9300DCA}"/>
    <cellStyle name="40% - Accent3 4 2 2 2 3" xfId="15584" xr:uid="{54DAC897-3AA8-4123-9AAF-5D3BCA3CAB3C}"/>
    <cellStyle name="40% - Accent3 4 2 2 3" xfId="19807" xr:uid="{CB073758-47E6-4255-A849-615D8C21FAA1}"/>
    <cellStyle name="40% - Accent3 4 2 2 4" xfId="11366" xr:uid="{27356F5D-E096-4387-82F7-20979BF04A05}"/>
    <cellStyle name="40% - Accent3 4 2 3" xfId="4989" xr:uid="{00000000-0005-0000-0000-00007E050000}"/>
    <cellStyle name="40% - Accent3 4 2 3 2" xfId="21880" xr:uid="{8DDFE757-F2FA-4AD5-8617-78653724C2F2}"/>
    <cellStyle name="40% - Accent3 4 2 3 3" xfId="13439" xr:uid="{E4AC4347-533F-4E2B-929E-B7C94E124065}"/>
    <cellStyle name="40% - Accent3 4 2 4" xfId="17662" xr:uid="{988183D6-6B8F-4AFD-BD4F-ECA128CBC79C}"/>
    <cellStyle name="40% - Accent3 4 2 5" xfId="9221" xr:uid="{72FAC701-B9A4-4F6A-9B6A-825700C7672D}"/>
    <cellStyle name="40% - Accent3 4 3" xfId="1094" xr:uid="{00000000-0005-0000-0000-00007F050000}"/>
    <cellStyle name="40% - Accent3 4 3 2" xfId="3325" xr:uid="{00000000-0005-0000-0000-000080050000}"/>
    <cellStyle name="40% - Accent3 4 3 2 2" xfId="7547" xr:uid="{00000000-0005-0000-0000-000081050000}"/>
    <cellStyle name="40% - Accent3 4 3 2 2 2" xfId="24438" xr:uid="{9AAE879F-2B43-46FD-9729-C110111ABFE9}"/>
    <cellStyle name="40% - Accent3 4 3 2 2 3" xfId="15997" xr:uid="{FC554627-C7EE-43F8-A373-91435BD60326}"/>
    <cellStyle name="40% - Accent3 4 3 2 3" xfId="20220" xr:uid="{238669AB-AB08-4D6C-A1B3-A8B09AD27223}"/>
    <cellStyle name="40% - Accent3 4 3 2 4" xfId="11779" xr:uid="{E448F307-6933-403D-9EFB-56A0A052DB6B}"/>
    <cellStyle name="40% - Accent3 4 3 3" xfId="5402" xr:uid="{00000000-0005-0000-0000-000082050000}"/>
    <cellStyle name="40% - Accent3 4 3 3 2" xfId="22293" xr:uid="{29907209-EAB9-4CFE-9DB3-4DBEFAF9C974}"/>
    <cellStyle name="40% - Accent3 4 3 3 3" xfId="13852" xr:uid="{20031079-1E3F-46BE-83A9-6A4F0CAE14DD}"/>
    <cellStyle name="40% - Accent3 4 3 4" xfId="18075" xr:uid="{BA8D5DA3-17EB-4D5F-A8A6-2FC3367A130A}"/>
    <cellStyle name="40% - Accent3 4 3 5" xfId="9634" xr:uid="{4D1A7345-8D48-474E-9E7E-A5E7CDF768E6}"/>
    <cellStyle name="40% - Accent3 4 4" xfId="1508" xr:uid="{00000000-0005-0000-0000-000083050000}"/>
    <cellStyle name="40% - Accent3 4 4 2" xfId="3738" xr:uid="{00000000-0005-0000-0000-000084050000}"/>
    <cellStyle name="40% - Accent3 4 4 2 2" xfId="7960" xr:uid="{00000000-0005-0000-0000-000085050000}"/>
    <cellStyle name="40% - Accent3 4 4 2 2 2" xfId="24851" xr:uid="{03C06F04-7FBA-4215-9265-A460F5BFDB13}"/>
    <cellStyle name="40% - Accent3 4 4 2 2 3" xfId="16410" xr:uid="{C14461BA-59B8-4478-9B34-F08750168E62}"/>
    <cellStyle name="40% - Accent3 4 4 2 3" xfId="20633" xr:uid="{E9219127-F2C3-4914-BD10-734D70791DB2}"/>
    <cellStyle name="40% - Accent3 4 4 2 4" xfId="12192" xr:uid="{E051813C-4219-4E4B-865A-65D07BD1AD35}"/>
    <cellStyle name="40% - Accent3 4 4 3" xfId="5815" xr:uid="{00000000-0005-0000-0000-000086050000}"/>
    <cellStyle name="40% - Accent3 4 4 3 2" xfId="22706" xr:uid="{D02F38E8-00A7-48E9-A187-CF6DA8076422}"/>
    <cellStyle name="40% - Accent3 4 4 3 3" xfId="14265" xr:uid="{5B0D20BB-2654-4C7C-89E9-F4E4FC280022}"/>
    <cellStyle name="40% - Accent3 4 4 4" xfId="18488" xr:uid="{9E381FFE-D80B-49D8-8099-CC8635C18D45}"/>
    <cellStyle name="40% - Accent3 4 4 5" xfId="10047" xr:uid="{ABF9E751-94C3-4531-B25F-AD9182BABFE7}"/>
    <cellStyle name="40% - Accent3 4 5" xfId="1922" xr:uid="{00000000-0005-0000-0000-000087050000}"/>
    <cellStyle name="40% - Accent3 4 5 2" xfId="4151" xr:uid="{00000000-0005-0000-0000-000088050000}"/>
    <cellStyle name="40% - Accent3 4 5 2 2" xfId="8373" xr:uid="{00000000-0005-0000-0000-000089050000}"/>
    <cellStyle name="40% - Accent3 4 5 2 2 2" xfId="25264" xr:uid="{E67A8F7B-196C-4647-9204-5C4FADA89C36}"/>
    <cellStyle name="40% - Accent3 4 5 2 2 3" xfId="16823" xr:uid="{8B74014A-CCD4-4146-9DEC-372DABF1EDEA}"/>
    <cellStyle name="40% - Accent3 4 5 2 3" xfId="21046" xr:uid="{780DCCC3-05BD-4765-9783-F64C147D56F8}"/>
    <cellStyle name="40% - Accent3 4 5 2 4" xfId="12605" xr:uid="{420A443E-D7D1-40C7-B577-4C55F44F2CF4}"/>
    <cellStyle name="40% - Accent3 4 5 3" xfId="6228" xr:uid="{00000000-0005-0000-0000-00008A050000}"/>
    <cellStyle name="40% - Accent3 4 5 3 2" xfId="23119" xr:uid="{FADD7593-C550-40C0-91FF-1E08DF4FAA48}"/>
    <cellStyle name="40% - Accent3 4 5 3 3" xfId="14678" xr:uid="{9BC3075C-9613-4A84-9D6D-760957667ECD}"/>
    <cellStyle name="40% - Accent3 4 5 4" xfId="18901" xr:uid="{B587FB96-1CDF-4671-9959-B10715072BC1}"/>
    <cellStyle name="40% - Accent3 4 5 5" xfId="10460" xr:uid="{0E79B8C5-7E7F-4CD4-A3CA-62B80C6BAA0C}"/>
    <cellStyle name="40% - Accent3 4 6" xfId="2335" xr:uid="{00000000-0005-0000-0000-00008B050000}"/>
    <cellStyle name="40% - Accent3 4 6 2" xfId="6641" xr:uid="{00000000-0005-0000-0000-00008C050000}"/>
    <cellStyle name="40% - Accent3 4 6 2 2" xfId="23532" xr:uid="{BF75BC79-2F13-4D1A-BA7C-49A0CEC09A8E}"/>
    <cellStyle name="40% - Accent3 4 6 2 3" xfId="15091" xr:uid="{966C0439-14FF-4BA7-B679-2E4BCAC178E6}"/>
    <cellStyle name="40% - Accent3 4 6 3" xfId="19314" xr:uid="{DAB1BE71-900F-46F1-BB09-81DDBFA8C89F}"/>
    <cellStyle name="40% - Accent3 4 6 4" xfId="10873" xr:uid="{48899978-DE46-4360-82C3-75C86F4D2785}"/>
    <cellStyle name="40% - Accent3 4 7" xfId="4575" xr:uid="{00000000-0005-0000-0000-00008D050000}"/>
    <cellStyle name="40% - Accent3 4 7 2" xfId="21466" xr:uid="{7827FBBE-96D4-4B21-B5EC-ABC084088A2F}"/>
    <cellStyle name="40% - Accent3 4 7 3" xfId="13025" xr:uid="{5C7C214B-EEB2-4FFC-8133-65CF371345F8}"/>
    <cellStyle name="40% - Accent3 4 8" xfId="17248" xr:uid="{3C53699F-25AB-4E5C-A21D-686F94BAAADE}"/>
    <cellStyle name="40% - Accent3 4 9" xfId="8807" xr:uid="{CCBEC8D2-A16A-48F8-BA9C-F19CF2FBF1E4}"/>
    <cellStyle name="40% - Accent3 5" xfId="634" xr:uid="{00000000-0005-0000-0000-00008E050000}"/>
    <cellStyle name="40% - Accent3 5 2" xfId="2905" xr:uid="{00000000-0005-0000-0000-00008F050000}"/>
    <cellStyle name="40% - Accent3 5 2 2" xfId="7127" xr:uid="{00000000-0005-0000-0000-000090050000}"/>
    <cellStyle name="40% - Accent3 5 2 2 2" xfId="24018" xr:uid="{B46D4AF7-0F26-4561-816F-DEC5BA5FFD6D}"/>
    <cellStyle name="40% - Accent3 5 2 2 3" xfId="15577" xr:uid="{6E5B341E-2BC4-4FC4-9E30-2DCE1434F94A}"/>
    <cellStyle name="40% - Accent3 5 2 3" xfId="19800" xr:uid="{3A73F383-80CE-4F9E-B6E2-C7093690A2CA}"/>
    <cellStyle name="40% - Accent3 5 2 4" xfId="11359" xr:uid="{FFA236AB-D69B-4AD8-B8B8-A44BCC602C81}"/>
    <cellStyle name="40% - Accent3 5 3" xfId="4982" xr:uid="{00000000-0005-0000-0000-000091050000}"/>
    <cellStyle name="40% - Accent3 5 3 2" xfId="21873" xr:uid="{CB960C43-1587-4152-80AB-E42E8143030F}"/>
    <cellStyle name="40% - Accent3 5 3 3" xfId="13432" xr:uid="{409F8558-570A-473A-B877-4ECA86F04404}"/>
    <cellStyle name="40% - Accent3 5 4" xfId="17655" xr:uid="{F728853C-FA93-4D78-8020-32C557A20B2C}"/>
    <cellStyle name="40% - Accent3 5 5" xfId="9214" xr:uid="{667CAE44-2768-40D6-8E2A-51EB88642781}"/>
    <cellStyle name="40% - Accent3 6" xfId="1087" xr:uid="{00000000-0005-0000-0000-000092050000}"/>
    <cellStyle name="40% - Accent3 6 2" xfId="3318" xr:uid="{00000000-0005-0000-0000-000093050000}"/>
    <cellStyle name="40% - Accent3 6 2 2" xfId="7540" xr:uid="{00000000-0005-0000-0000-000094050000}"/>
    <cellStyle name="40% - Accent3 6 2 2 2" xfId="24431" xr:uid="{2D331AAF-9801-4CE6-AA01-0ED3335BD43E}"/>
    <cellStyle name="40% - Accent3 6 2 2 3" xfId="15990" xr:uid="{7E1B5856-1FA3-4201-BA9B-093EAF673D14}"/>
    <cellStyle name="40% - Accent3 6 2 3" xfId="20213" xr:uid="{5943E8AB-4865-4995-8591-C26737057965}"/>
    <cellStyle name="40% - Accent3 6 2 4" xfId="11772" xr:uid="{C083654B-E058-497C-A3D9-2D5230B7E84A}"/>
    <cellStyle name="40% - Accent3 6 3" xfId="5395" xr:uid="{00000000-0005-0000-0000-000095050000}"/>
    <cellStyle name="40% - Accent3 6 3 2" xfId="22286" xr:uid="{51537DAC-A09B-4058-A0C5-27757BEED646}"/>
    <cellStyle name="40% - Accent3 6 3 3" xfId="13845" xr:uid="{3DE038CC-E38C-4BCF-8198-EB359FB9EB15}"/>
    <cellStyle name="40% - Accent3 6 4" xfId="18068" xr:uid="{CA5C96F9-050A-4A6B-9EA0-0746AB655F5D}"/>
    <cellStyle name="40% - Accent3 6 5" xfId="9627" xr:uid="{6A101DB0-519E-4C58-BC86-4CBFF5DEE99F}"/>
    <cellStyle name="40% - Accent3 7" xfId="1501" xr:uid="{00000000-0005-0000-0000-000096050000}"/>
    <cellStyle name="40% - Accent3 7 2" xfId="3731" xr:uid="{00000000-0005-0000-0000-000097050000}"/>
    <cellStyle name="40% - Accent3 7 2 2" xfId="7953" xr:uid="{00000000-0005-0000-0000-000098050000}"/>
    <cellStyle name="40% - Accent3 7 2 2 2" xfId="24844" xr:uid="{C5F8E56B-1046-421A-A423-C026EB1C6D27}"/>
    <cellStyle name="40% - Accent3 7 2 2 3" xfId="16403" xr:uid="{84CB75A3-26DB-488B-A160-33B1B35E6FA2}"/>
    <cellStyle name="40% - Accent3 7 2 3" xfId="20626" xr:uid="{41E792FE-83AD-497E-9AED-B3AB7682EC23}"/>
    <cellStyle name="40% - Accent3 7 2 4" xfId="12185" xr:uid="{3596F784-17E2-4E73-A408-D9BBDB016157}"/>
    <cellStyle name="40% - Accent3 7 3" xfId="5808" xr:uid="{00000000-0005-0000-0000-000099050000}"/>
    <cellStyle name="40% - Accent3 7 3 2" xfId="22699" xr:uid="{3DB7FBC3-716F-407A-A279-42A635FE8981}"/>
    <cellStyle name="40% - Accent3 7 3 3" xfId="14258" xr:uid="{0BAA846E-0C77-4736-88AE-B2AD9B9A74A9}"/>
    <cellStyle name="40% - Accent3 7 4" xfId="18481" xr:uid="{A858EC8F-7AF8-4304-AE33-306ECD771CD3}"/>
    <cellStyle name="40% - Accent3 7 5" xfId="10040" xr:uid="{C4DF4DEE-3A22-4555-9D0A-EAD978070DE8}"/>
    <cellStyle name="40% - Accent3 8" xfId="1915" xr:uid="{00000000-0005-0000-0000-00009A050000}"/>
    <cellStyle name="40% - Accent3 8 2" xfId="4144" xr:uid="{00000000-0005-0000-0000-00009B050000}"/>
    <cellStyle name="40% - Accent3 8 2 2" xfId="8366" xr:uid="{00000000-0005-0000-0000-00009C050000}"/>
    <cellStyle name="40% - Accent3 8 2 2 2" xfId="25257" xr:uid="{2FCD894D-F4FD-47B4-811F-E1964795C375}"/>
    <cellStyle name="40% - Accent3 8 2 2 3" xfId="16816" xr:uid="{BD4ACA29-EF6E-40E2-B28E-9EF1CE8B1219}"/>
    <cellStyle name="40% - Accent3 8 2 3" xfId="21039" xr:uid="{D1D767E4-1D7E-4F66-AE39-97D874BA3C3B}"/>
    <cellStyle name="40% - Accent3 8 2 4" xfId="12598" xr:uid="{E4248A95-8807-4BDF-925B-FF7DE8050E85}"/>
    <cellStyle name="40% - Accent3 8 3" xfId="6221" xr:uid="{00000000-0005-0000-0000-00009D050000}"/>
    <cellStyle name="40% - Accent3 8 3 2" xfId="23112" xr:uid="{B8A612B9-C128-4BB0-B858-9568F75AE808}"/>
    <cellStyle name="40% - Accent3 8 3 3" xfId="14671" xr:uid="{96FECE2A-B931-445E-B453-9D35A1558B61}"/>
    <cellStyle name="40% - Accent3 8 4" xfId="18894" xr:uid="{90C18634-8207-4B0F-8053-8948965434F8}"/>
    <cellStyle name="40% - Accent3 8 5" xfId="10453" xr:uid="{9616ACAD-3B81-4A75-89BD-3CC8106BCC24}"/>
    <cellStyle name="40% - Accent3 9" xfId="2328" xr:uid="{00000000-0005-0000-0000-00009E050000}"/>
    <cellStyle name="40% - Accent3 9 2" xfId="6634" xr:uid="{00000000-0005-0000-0000-00009F050000}"/>
    <cellStyle name="40% - Accent3 9 2 2" xfId="23525" xr:uid="{E81A21AA-902F-4269-A112-666F73309151}"/>
    <cellStyle name="40% - Accent3 9 2 3" xfId="15084" xr:uid="{F3E68030-59D6-4296-A045-565E7C803AB6}"/>
    <cellStyle name="40% - Accent3 9 3" xfId="19307" xr:uid="{D146DC91-7645-4464-A221-5D41D3DA84F3}"/>
    <cellStyle name="40% - Accent3 9 4" xfId="10866" xr:uid="{67143E05-EBFC-41DD-859B-920B2AD1328F}"/>
    <cellStyle name="40% - Accent4" xfId="73" builtinId="43" customBuiltin="1"/>
    <cellStyle name="40% - Accent4 10" xfId="4576" xr:uid="{00000000-0005-0000-0000-0000A1050000}"/>
    <cellStyle name="40% - Accent4 10 2" xfId="21467" xr:uid="{6BB1564F-B509-4407-9B8A-FADF6A94FB53}"/>
    <cellStyle name="40% - Accent4 10 3" xfId="13026" xr:uid="{B07EA28F-02E8-4A54-B954-E38549311409}"/>
    <cellStyle name="40% - Accent4 11" xfId="17249" xr:uid="{266CAFC5-B47C-4FF0-9B37-39C976CC7991}"/>
    <cellStyle name="40% - Accent4 12" xfId="8808" xr:uid="{BA9D46F4-FBA6-4682-B825-88B62BF12744}"/>
    <cellStyle name="40% - Accent4 2" xfId="74" xr:uid="{00000000-0005-0000-0000-0000A2050000}"/>
    <cellStyle name="40% - Accent4 2 10" xfId="17250" xr:uid="{3C622935-A01D-466F-A5D8-0635DC0FB4F5}"/>
    <cellStyle name="40% - Accent4 2 11" xfId="8809" xr:uid="{101352C2-DE51-4E7E-841B-032EECECBFA2}"/>
    <cellStyle name="40% - Accent4 2 2" xfId="75" xr:uid="{00000000-0005-0000-0000-0000A3050000}"/>
    <cellStyle name="40% - Accent4 2 2 10" xfId="8810" xr:uid="{29B8CD7B-DF2C-4235-8BDE-BC63B520F544}"/>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24029" xr:uid="{EA6DD6C5-9734-48CE-AF51-A1B6FB1C8DB0}"/>
    <cellStyle name="40% - Accent4 2 2 2 2 2 2 3" xfId="15588" xr:uid="{8903A821-8B4B-4831-A77F-45B3A3154FBF}"/>
    <cellStyle name="40% - Accent4 2 2 2 2 2 3" xfId="19811" xr:uid="{8AFCA2C6-C0DC-4523-B7B5-8B2161F1B09D}"/>
    <cellStyle name="40% - Accent4 2 2 2 2 2 4" xfId="11370" xr:uid="{E80B5D6D-85DA-4D2B-BE6C-1518A740E701}"/>
    <cellStyle name="40% - Accent4 2 2 2 2 3" xfId="4993" xr:uid="{00000000-0005-0000-0000-0000A8050000}"/>
    <cellStyle name="40% - Accent4 2 2 2 2 3 2" xfId="21884" xr:uid="{213C4BE1-6437-4769-BB6E-EFD8E63F4141}"/>
    <cellStyle name="40% - Accent4 2 2 2 2 3 3" xfId="13443" xr:uid="{166B7F4C-2092-49D1-8794-B2E93AD3D644}"/>
    <cellStyle name="40% - Accent4 2 2 2 2 4" xfId="17666" xr:uid="{27E9B4AB-7518-4B03-9EB2-13B267FF9096}"/>
    <cellStyle name="40% - Accent4 2 2 2 2 5" xfId="9225" xr:uid="{5941B5AD-1C27-4747-A8CE-DB88F64F36F9}"/>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24442" xr:uid="{BFFCB07D-6DA9-4E6A-A456-DE2D491F36D4}"/>
    <cellStyle name="40% - Accent4 2 2 2 3 2 2 3" xfId="16001" xr:uid="{B879F6CB-796C-424F-A4A3-55D73B651BF1}"/>
    <cellStyle name="40% - Accent4 2 2 2 3 2 3" xfId="20224" xr:uid="{3C18FC6D-EBD9-4D36-89D6-334D40BEF509}"/>
    <cellStyle name="40% - Accent4 2 2 2 3 2 4" xfId="11783" xr:uid="{A9BE2A39-03FD-445D-AB1E-878B68BBFF2D}"/>
    <cellStyle name="40% - Accent4 2 2 2 3 3" xfId="5406" xr:uid="{00000000-0005-0000-0000-0000AC050000}"/>
    <cellStyle name="40% - Accent4 2 2 2 3 3 2" xfId="22297" xr:uid="{EE773B57-D109-4C93-BA01-BD0B2B15801C}"/>
    <cellStyle name="40% - Accent4 2 2 2 3 3 3" xfId="13856" xr:uid="{B905472B-5649-4625-987E-F690D83F7EBA}"/>
    <cellStyle name="40% - Accent4 2 2 2 3 4" xfId="18079" xr:uid="{0AF703D9-BF33-4CF8-AF89-8D2BC1D4FAFA}"/>
    <cellStyle name="40% - Accent4 2 2 2 3 5" xfId="9638" xr:uid="{F206C23F-8537-4C04-802F-7C0672B6C853}"/>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24855" xr:uid="{51B95D52-DAF6-4361-8D60-3593DF87C205}"/>
    <cellStyle name="40% - Accent4 2 2 2 4 2 2 3" xfId="16414" xr:uid="{AF3D8EA7-662D-4AAD-900C-2EF992658813}"/>
    <cellStyle name="40% - Accent4 2 2 2 4 2 3" xfId="20637" xr:uid="{F94876F0-8D4D-47D4-974A-1988162CE0BA}"/>
    <cellStyle name="40% - Accent4 2 2 2 4 2 4" xfId="12196" xr:uid="{A413D06A-7F8D-490D-8650-A1682AFB0D4C}"/>
    <cellStyle name="40% - Accent4 2 2 2 4 3" xfId="5819" xr:uid="{00000000-0005-0000-0000-0000B0050000}"/>
    <cellStyle name="40% - Accent4 2 2 2 4 3 2" xfId="22710" xr:uid="{C34F1E0B-4B1D-473F-8028-2CFFB132189E}"/>
    <cellStyle name="40% - Accent4 2 2 2 4 3 3" xfId="14269" xr:uid="{9349FEF4-2DA0-4FF5-ACE6-B250CD35FCFB}"/>
    <cellStyle name="40% - Accent4 2 2 2 4 4" xfId="18492" xr:uid="{4D45E15F-1D6E-4CDA-B562-53435CBB3236}"/>
    <cellStyle name="40% - Accent4 2 2 2 4 5" xfId="10051" xr:uid="{4EF66E2E-CAE9-4AF2-89BA-BC50EF62F17D}"/>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25268" xr:uid="{A668A850-2103-470F-AF6E-CF594B7430C2}"/>
    <cellStyle name="40% - Accent4 2 2 2 5 2 2 3" xfId="16827" xr:uid="{6DACDA6F-3DEF-4C8D-9724-A4F590D4D503}"/>
    <cellStyle name="40% - Accent4 2 2 2 5 2 3" xfId="21050" xr:uid="{3F17EA2E-94F1-4E2F-BD3F-C3110ACB8F1D}"/>
    <cellStyle name="40% - Accent4 2 2 2 5 2 4" xfId="12609" xr:uid="{7AA834E0-763B-40CA-994A-5C75CCC87927}"/>
    <cellStyle name="40% - Accent4 2 2 2 5 3" xfId="6232" xr:uid="{00000000-0005-0000-0000-0000B4050000}"/>
    <cellStyle name="40% - Accent4 2 2 2 5 3 2" xfId="23123" xr:uid="{B8F40623-9BCE-46F5-9F83-02CFB50A3CF6}"/>
    <cellStyle name="40% - Accent4 2 2 2 5 3 3" xfId="14682" xr:uid="{15F5DAA3-CF00-4875-8535-34D38743E955}"/>
    <cellStyle name="40% - Accent4 2 2 2 5 4" xfId="18905" xr:uid="{531F4FB0-F21C-4461-B175-D1D1016E9DAB}"/>
    <cellStyle name="40% - Accent4 2 2 2 5 5" xfId="10464" xr:uid="{235C509C-9C9F-4066-BE32-CFD913C36364}"/>
    <cellStyle name="40% - Accent4 2 2 2 6" xfId="2339" xr:uid="{00000000-0005-0000-0000-0000B5050000}"/>
    <cellStyle name="40% - Accent4 2 2 2 6 2" xfId="6645" xr:uid="{00000000-0005-0000-0000-0000B6050000}"/>
    <cellStyle name="40% - Accent4 2 2 2 6 2 2" xfId="23536" xr:uid="{DB5A859F-CE2A-4ADF-9572-565F3A8D431C}"/>
    <cellStyle name="40% - Accent4 2 2 2 6 2 3" xfId="15095" xr:uid="{4E9BF17D-4E39-4991-8F5F-4B975B0E9033}"/>
    <cellStyle name="40% - Accent4 2 2 2 6 3" xfId="19318" xr:uid="{D6D0970A-C918-4915-8C99-4F99AFBF6F30}"/>
    <cellStyle name="40% - Accent4 2 2 2 6 4" xfId="10877" xr:uid="{C989F08C-82D5-4DD2-87A3-27832A2D619E}"/>
    <cellStyle name="40% - Accent4 2 2 2 7" xfId="4579" xr:uid="{00000000-0005-0000-0000-0000B7050000}"/>
    <cellStyle name="40% - Accent4 2 2 2 7 2" xfId="21470" xr:uid="{E14C16EE-FD59-4203-AFFB-323E43B4C38F}"/>
    <cellStyle name="40% - Accent4 2 2 2 7 3" xfId="13029" xr:uid="{06ACE461-3F57-4BC8-A096-DC5D558E1D20}"/>
    <cellStyle name="40% - Accent4 2 2 2 8" xfId="17252" xr:uid="{407088D0-AB13-4262-95F6-0C1215A1FDA9}"/>
    <cellStyle name="40% - Accent4 2 2 2 9" xfId="8811" xr:uid="{3408024B-CC57-47A1-BB29-F6CD80168ECA}"/>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24028" xr:uid="{7AB962A8-3442-4539-A58C-0BF0BBF6F9AC}"/>
    <cellStyle name="40% - Accent4 2 2 3 2 2 3" xfId="15587" xr:uid="{542BFBB8-582B-4E48-B006-0DD3D4F354A9}"/>
    <cellStyle name="40% - Accent4 2 2 3 2 3" xfId="19810" xr:uid="{8CD60C92-8BA8-495D-9FB7-2309C19BC621}"/>
    <cellStyle name="40% - Accent4 2 2 3 2 4" xfId="11369" xr:uid="{AF5164A0-A90D-4241-9C6A-8A43320DF402}"/>
    <cellStyle name="40% - Accent4 2 2 3 3" xfId="4992" xr:uid="{00000000-0005-0000-0000-0000BB050000}"/>
    <cellStyle name="40% - Accent4 2 2 3 3 2" xfId="21883" xr:uid="{BC467A45-15BE-4F81-86A9-D73842E341F3}"/>
    <cellStyle name="40% - Accent4 2 2 3 3 3" xfId="13442" xr:uid="{4748B23F-0B6D-4CED-A2FD-CF7C9101BC43}"/>
    <cellStyle name="40% - Accent4 2 2 3 4" xfId="17665" xr:uid="{62BDD9BB-0B9E-4686-BB8A-94BC793AC801}"/>
    <cellStyle name="40% - Accent4 2 2 3 5" xfId="9224" xr:uid="{0B3E3846-3E68-4CB7-A74F-1B7B11C4F8ED}"/>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24441" xr:uid="{6854BFDA-91C3-47F8-802D-333130256E8A}"/>
    <cellStyle name="40% - Accent4 2 2 4 2 2 3" xfId="16000" xr:uid="{2DECE886-E65D-4B29-AAA1-78A63DB017A2}"/>
    <cellStyle name="40% - Accent4 2 2 4 2 3" xfId="20223" xr:uid="{DD3BF574-8C37-46E9-AA0A-8AD8A4C2B779}"/>
    <cellStyle name="40% - Accent4 2 2 4 2 4" xfId="11782" xr:uid="{F6FA0CE7-9D33-44B2-B998-3D44C8DB148C}"/>
    <cellStyle name="40% - Accent4 2 2 4 3" xfId="5405" xr:uid="{00000000-0005-0000-0000-0000BF050000}"/>
    <cellStyle name="40% - Accent4 2 2 4 3 2" xfId="22296" xr:uid="{16D44BF8-6BC8-46ED-B1B1-FDB7527AA9D0}"/>
    <cellStyle name="40% - Accent4 2 2 4 3 3" xfId="13855" xr:uid="{49054E21-4120-44FD-A379-2274F7805F6D}"/>
    <cellStyle name="40% - Accent4 2 2 4 4" xfId="18078" xr:uid="{31BC1767-F496-4BE8-AD96-E4EFDB82871B}"/>
    <cellStyle name="40% - Accent4 2 2 4 5" xfId="9637" xr:uid="{41E549CC-099E-4611-BEE2-E7111B34A060}"/>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24854" xr:uid="{3E41F42E-42AA-404B-A0A1-9C74BB83FB48}"/>
    <cellStyle name="40% - Accent4 2 2 5 2 2 3" xfId="16413" xr:uid="{73D946BA-12A6-45A7-B16A-B38EF5A28FE9}"/>
    <cellStyle name="40% - Accent4 2 2 5 2 3" xfId="20636" xr:uid="{01CADDDE-0F71-4601-B02C-201E31F95135}"/>
    <cellStyle name="40% - Accent4 2 2 5 2 4" xfId="12195" xr:uid="{B6515E8C-5FCC-495A-BDD4-C9C8B35EB768}"/>
    <cellStyle name="40% - Accent4 2 2 5 3" xfId="5818" xr:uid="{00000000-0005-0000-0000-0000C3050000}"/>
    <cellStyle name="40% - Accent4 2 2 5 3 2" xfId="22709" xr:uid="{47D21AAF-EAF3-44CE-93FA-8E85E58E2ACF}"/>
    <cellStyle name="40% - Accent4 2 2 5 3 3" xfId="14268" xr:uid="{C8D9E684-AFC5-4164-80FA-F4F99073D02A}"/>
    <cellStyle name="40% - Accent4 2 2 5 4" xfId="18491" xr:uid="{A02EFFC7-0A12-406D-AC23-6D1F424C1A95}"/>
    <cellStyle name="40% - Accent4 2 2 5 5" xfId="10050" xr:uid="{583918FB-2A21-4B86-AAC6-E4D654652EE7}"/>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25267" xr:uid="{C8114CD5-732D-405D-84DA-95600E1AA85A}"/>
    <cellStyle name="40% - Accent4 2 2 6 2 2 3" xfId="16826" xr:uid="{5CD5E5EC-D549-4562-81E8-CEBE2DD5AD21}"/>
    <cellStyle name="40% - Accent4 2 2 6 2 3" xfId="21049" xr:uid="{2AE4EDF4-5094-43CB-936C-7389B3C23029}"/>
    <cellStyle name="40% - Accent4 2 2 6 2 4" xfId="12608" xr:uid="{87A16FC0-EC1F-4BB0-8668-DD11DD1D60B9}"/>
    <cellStyle name="40% - Accent4 2 2 6 3" xfId="6231" xr:uid="{00000000-0005-0000-0000-0000C7050000}"/>
    <cellStyle name="40% - Accent4 2 2 6 3 2" xfId="23122" xr:uid="{A8F817D2-3169-4DB3-8338-DF051BE19595}"/>
    <cellStyle name="40% - Accent4 2 2 6 3 3" xfId="14681" xr:uid="{494821CA-9B72-43FF-9ECA-1478089755C7}"/>
    <cellStyle name="40% - Accent4 2 2 6 4" xfId="18904" xr:uid="{469ADE1B-D94C-45BC-B11B-E8B596F113B3}"/>
    <cellStyle name="40% - Accent4 2 2 6 5" xfId="10463" xr:uid="{428F5BC5-EEA5-4CFC-A7C1-F7BFE22F3A15}"/>
    <cellStyle name="40% - Accent4 2 2 7" xfId="2338" xr:uid="{00000000-0005-0000-0000-0000C8050000}"/>
    <cellStyle name="40% - Accent4 2 2 7 2" xfId="6644" xr:uid="{00000000-0005-0000-0000-0000C9050000}"/>
    <cellStyle name="40% - Accent4 2 2 7 2 2" xfId="23535" xr:uid="{5F4C0F4A-5214-48C5-8FCB-507F9C44C376}"/>
    <cellStyle name="40% - Accent4 2 2 7 2 3" xfId="15094" xr:uid="{ED89FEC4-2BF8-4567-97A9-69C4FADAA43B}"/>
    <cellStyle name="40% - Accent4 2 2 7 3" xfId="19317" xr:uid="{832FFAD7-1EC2-4128-A4D4-C71BD6FFA51B}"/>
    <cellStyle name="40% - Accent4 2 2 7 4" xfId="10876" xr:uid="{B62B2D36-8EFA-493C-92ED-14BBBBA96C7C}"/>
    <cellStyle name="40% - Accent4 2 2 8" xfId="4578" xr:uid="{00000000-0005-0000-0000-0000CA050000}"/>
    <cellStyle name="40% - Accent4 2 2 8 2" xfId="21469" xr:uid="{FF2E4702-144A-4ED1-9DBC-0281D857842E}"/>
    <cellStyle name="40% - Accent4 2 2 8 3" xfId="13028" xr:uid="{472AC5A0-18A9-4CCC-8A98-AF88F55A307A}"/>
    <cellStyle name="40% - Accent4 2 2 9" xfId="17251" xr:uid="{6560C361-E516-4C05-86FE-C4FD3624834A}"/>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24030" xr:uid="{F1843606-50D6-4D99-901C-524877CF3909}"/>
    <cellStyle name="40% - Accent4 2 3 2 2 2 3" xfId="15589" xr:uid="{0ADA7140-B768-4F33-9627-7C706BFF67F0}"/>
    <cellStyle name="40% - Accent4 2 3 2 2 3" xfId="19812" xr:uid="{0E2C3C3D-9438-4693-8963-5799EBA6AAFD}"/>
    <cellStyle name="40% - Accent4 2 3 2 2 4" xfId="11371" xr:uid="{A9F9CD5A-A423-4883-BC1A-51B927E9D6F1}"/>
    <cellStyle name="40% - Accent4 2 3 2 3" xfId="4994" xr:uid="{00000000-0005-0000-0000-0000CF050000}"/>
    <cellStyle name="40% - Accent4 2 3 2 3 2" xfId="21885" xr:uid="{2DB6EDDC-33D4-43E1-A102-081BFBAA3B4D}"/>
    <cellStyle name="40% - Accent4 2 3 2 3 3" xfId="13444" xr:uid="{C82E235F-C6F6-43B5-954A-47431A4E8B0C}"/>
    <cellStyle name="40% - Accent4 2 3 2 4" xfId="17667" xr:uid="{260ABF8E-7C7F-4A43-9815-8F1FBE12F617}"/>
    <cellStyle name="40% - Accent4 2 3 2 5" xfId="9226" xr:uid="{CDAC421C-10CF-4A93-877B-A1355B142C1E}"/>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24443" xr:uid="{602E25B5-E4E7-4214-ACFF-0D248EB46062}"/>
    <cellStyle name="40% - Accent4 2 3 3 2 2 3" xfId="16002" xr:uid="{5552A79D-C9A6-4738-AF43-84C4DFCA42B2}"/>
    <cellStyle name="40% - Accent4 2 3 3 2 3" xfId="20225" xr:uid="{5D6BA73F-64E0-433D-BF32-31EF3143D70F}"/>
    <cellStyle name="40% - Accent4 2 3 3 2 4" xfId="11784" xr:uid="{15F5768F-00C4-424F-8D08-2C39C507BB18}"/>
    <cellStyle name="40% - Accent4 2 3 3 3" xfId="5407" xr:uid="{00000000-0005-0000-0000-0000D3050000}"/>
    <cellStyle name="40% - Accent4 2 3 3 3 2" xfId="22298" xr:uid="{06D4C6F7-3599-4654-9263-74C32B619B69}"/>
    <cellStyle name="40% - Accent4 2 3 3 3 3" xfId="13857" xr:uid="{CDAA1C0B-A7E1-4AB9-958C-27F9C3FBDC23}"/>
    <cellStyle name="40% - Accent4 2 3 3 4" xfId="18080" xr:uid="{F9441824-54D7-4A00-8D53-7F664178C980}"/>
    <cellStyle name="40% - Accent4 2 3 3 5" xfId="9639" xr:uid="{7312AC58-F9B9-46EE-8083-230435525289}"/>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24856" xr:uid="{8CB44665-D878-48C4-9364-78E8897D4474}"/>
    <cellStyle name="40% - Accent4 2 3 4 2 2 3" xfId="16415" xr:uid="{80E3F3E5-9B04-4315-B003-BD951BA88BAB}"/>
    <cellStyle name="40% - Accent4 2 3 4 2 3" xfId="20638" xr:uid="{D3D442E4-98F1-4300-9700-29C7EB18AAB7}"/>
    <cellStyle name="40% - Accent4 2 3 4 2 4" xfId="12197" xr:uid="{CBF00931-30A3-4052-83A4-B4CE693E8F3F}"/>
    <cellStyle name="40% - Accent4 2 3 4 3" xfId="5820" xr:uid="{00000000-0005-0000-0000-0000D7050000}"/>
    <cellStyle name="40% - Accent4 2 3 4 3 2" xfId="22711" xr:uid="{C3A86EF8-E7B5-4597-A94D-35C2A337CBC4}"/>
    <cellStyle name="40% - Accent4 2 3 4 3 3" xfId="14270" xr:uid="{E8866636-D84C-43DA-A926-1406A0F264F9}"/>
    <cellStyle name="40% - Accent4 2 3 4 4" xfId="18493" xr:uid="{797E481B-8334-4404-8157-3F90267EE015}"/>
    <cellStyle name="40% - Accent4 2 3 4 5" xfId="10052" xr:uid="{EE4A0538-A495-4082-8744-ABA5564D9481}"/>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25269" xr:uid="{E24B770A-730D-49D3-8830-AA1E444ECFC3}"/>
    <cellStyle name="40% - Accent4 2 3 5 2 2 3" xfId="16828" xr:uid="{575C97C7-06ED-4B34-898D-9B72F41B48ED}"/>
    <cellStyle name="40% - Accent4 2 3 5 2 3" xfId="21051" xr:uid="{199837AD-49BD-4B99-AC1C-1E7AAFD7EC6C}"/>
    <cellStyle name="40% - Accent4 2 3 5 2 4" xfId="12610" xr:uid="{6F818A54-1D2E-43D1-83A6-B635DC9178B9}"/>
    <cellStyle name="40% - Accent4 2 3 5 3" xfId="6233" xr:uid="{00000000-0005-0000-0000-0000DB050000}"/>
    <cellStyle name="40% - Accent4 2 3 5 3 2" xfId="23124" xr:uid="{F7FCCA34-241D-4377-8898-C40FF310799C}"/>
    <cellStyle name="40% - Accent4 2 3 5 3 3" xfId="14683" xr:uid="{350AFC50-C0F8-449D-8D6C-48B0C93898AD}"/>
    <cellStyle name="40% - Accent4 2 3 5 4" xfId="18906" xr:uid="{DDB86F9B-0D70-4202-8158-9D8572F5A0CB}"/>
    <cellStyle name="40% - Accent4 2 3 5 5" xfId="10465" xr:uid="{D2609E8C-F768-46FC-8B59-3A076771A6F3}"/>
    <cellStyle name="40% - Accent4 2 3 6" xfId="2340" xr:uid="{00000000-0005-0000-0000-0000DC050000}"/>
    <cellStyle name="40% - Accent4 2 3 6 2" xfId="6646" xr:uid="{00000000-0005-0000-0000-0000DD050000}"/>
    <cellStyle name="40% - Accent4 2 3 6 2 2" xfId="23537" xr:uid="{DACF04D0-4111-42D0-A35C-7A5C712CE35A}"/>
    <cellStyle name="40% - Accent4 2 3 6 2 3" xfId="15096" xr:uid="{8078F4A3-EA77-4D6A-9676-C273084CA8D2}"/>
    <cellStyle name="40% - Accent4 2 3 6 3" xfId="19319" xr:uid="{868DF71C-4BB7-404D-A974-3DE7742CF117}"/>
    <cellStyle name="40% - Accent4 2 3 6 4" xfId="10878" xr:uid="{1E111E57-73C4-4345-9B5C-A21D3AEA82B2}"/>
    <cellStyle name="40% - Accent4 2 3 7" xfId="4580" xr:uid="{00000000-0005-0000-0000-0000DE050000}"/>
    <cellStyle name="40% - Accent4 2 3 7 2" xfId="21471" xr:uid="{676F2336-856A-4AAF-8ECD-17997D17C637}"/>
    <cellStyle name="40% - Accent4 2 3 7 3" xfId="13030" xr:uid="{35360E84-A31E-4170-AB4B-527B9D50336C}"/>
    <cellStyle name="40% - Accent4 2 3 8" xfId="17253" xr:uid="{7473621D-5A32-49C4-92C9-1672640BF287}"/>
    <cellStyle name="40% - Accent4 2 3 9" xfId="8812" xr:uid="{1383DBEC-2EF0-44D8-9064-81CF7D83DFE7}"/>
    <cellStyle name="40% - Accent4 2 4" xfId="643" xr:uid="{00000000-0005-0000-0000-0000DF050000}"/>
    <cellStyle name="40% - Accent4 2 4 2" xfId="2914" xr:uid="{00000000-0005-0000-0000-0000E0050000}"/>
    <cellStyle name="40% - Accent4 2 4 2 2" xfId="7136" xr:uid="{00000000-0005-0000-0000-0000E1050000}"/>
    <cellStyle name="40% - Accent4 2 4 2 2 2" xfId="24027" xr:uid="{3ACA69C4-2DFA-422D-A7ED-CF7FBD8322B7}"/>
    <cellStyle name="40% - Accent4 2 4 2 2 3" xfId="15586" xr:uid="{47B67870-90A3-4638-8C32-FBCADD5A1781}"/>
    <cellStyle name="40% - Accent4 2 4 2 3" xfId="19809" xr:uid="{9408B50C-F1B2-42FA-A0DD-06F6BFB15834}"/>
    <cellStyle name="40% - Accent4 2 4 2 4" xfId="11368" xr:uid="{A59C9224-8EA3-4C17-B2A9-214F57529B7F}"/>
    <cellStyle name="40% - Accent4 2 4 3" xfId="4991" xr:uid="{00000000-0005-0000-0000-0000E2050000}"/>
    <cellStyle name="40% - Accent4 2 4 3 2" xfId="21882" xr:uid="{2C7E90E1-706C-4104-8059-3F434833C0E7}"/>
    <cellStyle name="40% - Accent4 2 4 3 3" xfId="13441" xr:uid="{5E853BAE-14EC-4324-9BB5-ADDCD9E122DC}"/>
    <cellStyle name="40% - Accent4 2 4 4" xfId="17664" xr:uid="{F23ACA2E-4748-4C54-967A-26E62DEB0CEC}"/>
    <cellStyle name="40% - Accent4 2 4 5" xfId="9223" xr:uid="{49FF17DD-E939-41E9-8B85-72855D560C37}"/>
    <cellStyle name="40% - Accent4 2 5" xfId="1096" xr:uid="{00000000-0005-0000-0000-0000E3050000}"/>
    <cellStyle name="40% - Accent4 2 5 2" xfId="3327" xr:uid="{00000000-0005-0000-0000-0000E4050000}"/>
    <cellStyle name="40% - Accent4 2 5 2 2" xfId="7549" xr:uid="{00000000-0005-0000-0000-0000E5050000}"/>
    <cellStyle name="40% - Accent4 2 5 2 2 2" xfId="24440" xr:uid="{80A8D854-EDBD-4568-8C30-AD9BB196A468}"/>
    <cellStyle name="40% - Accent4 2 5 2 2 3" xfId="15999" xr:uid="{B3B1CD3C-FD0E-4405-B1CF-BB119797CBD3}"/>
    <cellStyle name="40% - Accent4 2 5 2 3" xfId="20222" xr:uid="{C270140B-D90B-45DB-8F42-31E86229FB5A}"/>
    <cellStyle name="40% - Accent4 2 5 2 4" xfId="11781" xr:uid="{D5F54737-07B1-4A4B-91FC-0EE08FE92AF4}"/>
    <cellStyle name="40% - Accent4 2 5 3" xfId="5404" xr:uid="{00000000-0005-0000-0000-0000E6050000}"/>
    <cellStyle name="40% - Accent4 2 5 3 2" xfId="22295" xr:uid="{3EA1C3AB-9B63-4F2D-8849-B46F0DC3FC7A}"/>
    <cellStyle name="40% - Accent4 2 5 3 3" xfId="13854" xr:uid="{228C4327-8970-4539-B70C-1CEA61CA2789}"/>
    <cellStyle name="40% - Accent4 2 5 4" xfId="18077" xr:uid="{6A3D9087-3FD6-47BE-9C21-32E1BCA268D2}"/>
    <cellStyle name="40% - Accent4 2 5 5" xfId="9636" xr:uid="{5EAD00EE-A77A-4238-A69D-A4D142B36450}"/>
    <cellStyle name="40% - Accent4 2 6" xfId="1510" xr:uid="{00000000-0005-0000-0000-0000E7050000}"/>
    <cellStyle name="40% - Accent4 2 6 2" xfId="3740" xr:uid="{00000000-0005-0000-0000-0000E8050000}"/>
    <cellStyle name="40% - Accent4 2 6 2 2" xfId="7962" xr:uid="{00000000-0005-0000-0000-0000E9050000}"/>
    <cellStyle name="40% - Accent4 2 6 2 2 2" xfId="24853" xr:uid="{66B0D66E-6AEC-44B9-B27A-B327E31B72BB}"/>
    <cellStyle name="40% - Accent4 2 6 2 2 3" xfId="16412" xr:uid="{8A92CECE-6B16-44A5-918D-F3B5CD7F0886}"/>
    <cellStyle name="40% - Accent4 2 6 2 3" xfId="20635" xr:uid="{449A54F3-E146-4EDC-9A05-6814DD3F8FD8}"/>
    <cellStyle name="40% - Accent4 2 6 2 4" xfId="12194" xr:uid="{1C973290-0D82-4F3A-B691-4A98803899FE}"/>
    <cellStyle name="40% - Accent4 2 6 3" xfId="5817" xr:uid="{00000000-0005-0000-0000-0000EA050000}"/>
    <cellStyle name="40% - Accent4 2 6 3 2" xfId="22708" xr:uid="{5264E4BA-9BFC-47D3-A4D6-245272AD0016}"/>
    <cellStyle name="40% - Accent4 2 6 3 3" xfId="14267" xr:uid="{0BBCDBB5-55AD-4C49-BCA5-15C670AFCC65}"/>
    <cellStyle name="40% - Accent4 2 6 4" xfId="18490" xr:uid="{8D2F4FA0-9C29-45E3-9A08-AE804BBE7376}"/>
    <cellStyle name="40% - Accent4 2 6 5" xfId="10049" xr:uid="{1F0450DE-2390-48F9-A8CC-D0CE3A4AC2D5}"/>
    <cellStyle name="40% - Accent4 2 7" xfId="1924" xr:uid="{00000000-0005-0000-0000-0000EB050000}"/>
    <cellStyle name="40% - Accent4 2 7 2" xfId="4153" xr:uid="{00000000-0005-0000-0000-0000EC050000}"/>
    <cellStyle name="40% - Accent4 2 7 2 2" xfId="8375" xr:uid="{00000000-0005-0000-0000-0000ED050000}"/>
    <cellStyle name="40% - Accent4 2 7 2 2 2" xfId="25266" xr:uid="{B21CDCC5-70AE-490C-9824-7827E320006B}"/>
    <cellStyle name="40% - Accent4 2 7 2 2 3" xfId="16825" xr:uid="{6A104765-94C2-410E-B18F-59B5143A9338}"/>
    <cellStyle name="40% - Accent4 2 7 2 3" xfId="21048" xr:uid="{E1F894F9-7E40-4142-BCE4-990297FE612D}"/>
    <cellStyle name="40% - Accent4 2 7 2 4" xfId="12607" xr:uid="{1A98DF30-85A6-44B7-9B9E-AC8EB06EF2A4}"/>
    <cellStyle name="40% - Accent4 2 7 3" xfId="6230" xr:uid="{00000000-0005-0000-0000-0000EE050000}"/>
    <cellStyle name="40% - Accent4 2 7 3 2" xfId="23121" xr:uid="{71A123DD-3328-4F82-80F7-B1B93492CC5A}"/>
    <cellStyle name="40% - Accent4 2 7 3 3" xfId="14680" xr:uid="{2466FFEE-F676-4C69-B889-E1AAECC79FAB}"/>
    <cellStyle name="40% - Accent4 2 7 4" xfId="18903" xr:uid="{E3F44045-BD49-4FCA-85CF-023483F1C25A}"/>
    <cellStyle name="40% - Accent4 2 7 5" xfId="10462" xr:uid="{DD46F35E-A5F5-452A-AAE1-DC60ADFB1B31}"/>
    <cellStyle name="40% - Accent4 2 8" xfId="2337" xr:uid="{00000000-0005-0000-0000-0000EF050000}"/>
    <cellStyle name="40% - Accent4 2 8 2" xfId="6643" xr:uid="{00000000-0005-0000-0000-0000F0050000}"/>
    <cellStyle name="40% - Accent4 2 8 2 2" xfId="23534" xr:uid="{A6E40D97-456E-493F-99C2-366B5B1ABE50}"/>
    <cellStyle name="40% - Accent4 2 8 2 3" xfId="15093" xr:uid="{A247663A-5C79-40FD-B186-6182410FF0DF}"/>
    <cellStyle name="40% - Accent4 2 8 3" xfId="19316" xr:uid="{6A9106C9-EE53-484D-9380-9CA86A5E81EC}"/>
    <cellStyle name="40% - Accent4 2 8 4" xfId="10875" xr:uid="{9B95E276-A946-415F-B370-74A38DAFB3A3}"/>
    <cellStyle name="40% - Accent4 2 9" xfId="4577" xr:uid="{00000000-0005-0000-0000-0000F1050000}"/>
    <cellStyle name="40% - Accent4 2 9 2" xfId="21468" xr:uid="{DF0C4989-01AB-4F66-9388-DC37B9F01727}"/>
    <cellStyle name="40% - Accent4 2 9 3" xfId="13027" xr:uid="{7C847F05-7305-4DA2-B101-E890333C4DD4}"/>
    <cellStyle name="40% - Accent4 3" xfId="78" xr:uid="{00000000-0005-0000-0000-0000F2050000}"/>
    <cellStyle name="40% - Accent4 3 10" xfId="8813" xr:uid="{9A78FDBA-D214-4462-9EA5-FFA43BCEE128}"/>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24032" xr:uid="{48DADAD8-D309-48BE-A199-74B3EE611A70}"/>
    <cellStyle name="40% - Accent4 3 2 2 2 2 3" xfId="15591" xr:uid="{B3720351-06C3-4AD6-8BA8-788B22BED00E}"/>
    <cellStyle name="40% - Accent4 3 2 2 2 3" xfId="19814" xr:uid="{0C425609-396B-4F4B-9630-230EBA43EC31}"/>
    <cellStyle name="40% - Accent4 3 2 2 2 4" xfId="11373" xr:uid="{BA5646B4-197A-45A2-9C17-2E2FAC6F69E5}"/>
    <cellStyle name="40% - Accent4 3 2 2 3" xfId="4996" xr:uid="{00000000-0005-0000-0000-0000F7050000}"/>
    <cellStyle name="40% - Accent4 3 2 2 3 2" xfId="21887" xr:uid="{D3FAA290-3119-4E2A-A8A7-ECE76C4DB0DB}"/>
    <cellStyle name="40% - Accent4 3 2 2 3 3" xfId="13446" xr:uid="{BD2703A7-ED63-46D8-B982-D70C6F5CAF7E}"/>
    <cellStyle name="40% - Accent4 3 2 2 4" xfId="17669" xr:uid="{B9AAB9F6-3270-4222-A002-9200785175F8}"/>
    <cellStyle name="40% - Accent4 3 2 2 5" xfId="9228" xr:uid="{BDC51267-E899-47F5-9C6A-0A1B74797C72}"/>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24445" xr:uid="{07388777-749E-4235-81C2-264550C28225}"/>
    <cellStyle name="40% - Accent4 3 2 3 2 2 3" xfId="16004" xr:uid="{0A1F423D-D2A0-4FF6-A425-C93A44D66C34}"/>
    <cellStyle name="40% - Accent4 3 2 3 2 3" xfId="20227" xr:uid="{492BDEAA-6792-4D84-89C0-17040299B426}"/>
    <cellStyle name="40% - Accent4 3 2 3 2 4" xfId="11786" xr:uid="{3B61A5A4-9704-47DF-ACC2-EB3405127196}"/>
    <cellStyle name="40% - Accent4 3 2 3 3" xfId="5409" xr:uid="{00000000-0005-0000-0000-0000FB050000}"/>
    <cellStyle name="40% - Accent4 3 2 3 3 2" xfId="22300" xr:uid="{F53DE151-C8D3-470C-98F7-A56A74501BB7}"/>
    <cellStyle name="40% - Accent4 3 2 3 3 3" xfId="13859" xr:uid="{962BAC17-488F-4CD1-8FB4-1AB9D16931AE}"/>
    <cellStyle name="40% - Accent4 3 2 3 4" xfId="18082" xr:uid="{46EB60C7-4DD7-4B96-9753-F4A2014F6738}"/>
    <cellStyle name="40% - Accent4 3 2 3 5" xfId="9641" xr:uid="{6F15072C-9416-40E1-834F-26FCEF25CA3B}"/>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24858" xr:uid="{D4448ABF-D753-4486-88A9-D06A6E9ECD35}"/>
    <cellStyle name="40% - Accent4 3 2 4 2 2 3" xfId="16417" xr:uid="{FE7F9DF4-19AA-493C-AB15-A3751A812AF4}"/>
    <cellStyle name="40% - Accent4 3 2 4 2 3" xfId="20640" xr:uid="{8BBA5D49-502E-45AA-9715-C0D7F084DC53}"/>
    <cellStyle name="40% - Accent4 3 2 4 2 4" xfId="12199" xr:uid="{B66E677A-B8A6-4F07-8A2D-994235B44A54}"/>
    <cellStyle name="40% - Accent4 3 2 4 3" xfId="5822" xr:uid="{00000000-0005-0000-0000-0000FF050000}"/>
    <cellStyle name="40% - Accent4 3 2 4 3 2" xfId="22713" xr:uid="{21E5A455-A547-416C-B82B-611EFCECEF57}"/>
    <cellStyle name="40% - Accent4 3 2 4 3 3" xfId="14272" xr:uid="{E2475B92-9B5B-4107-8F68-47A15DEE2F2E}"/>
    <cellStyle name="40% - Accent4 3 2 4 4" xfId="18495" xr:uid="{833FE7CF-C859-43E4-883A-BE40B9FC0D22}"/>
    <cellStyle name="40% - Accent4 3 2 4 5" xfId="10054" xr:uid="{10BC57C3-342F-4CA2-96D3-45C3A418FBCD}"/>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25271" xr:uid="{146EB5D2-4E63-440A-958A-66A0E71E333E}"/>
    <cellStyle name="40% - Accent4 3 2 5 2 2 3" xfId="16830" xr:uid="{3948FB91-1290-4790-A73C-EC7A624C06E8}"/>
    <cellStyle name="40% - Accent4 3 2 5 2 3" xfId="21053" xr:uid="{FC66823A-13CD-4872-8E93-67138EBB9124}"/>
    <cellStyle name="40% - Accent4 3 2 5 2 4" xfId="12612" xr:uid="{31109142-AB6F-46B8-80C4-414371ACC4CC}"/>
    <cellStyle name="40% - Accent4 3 2 5 3" xfId="6235" xr:uid="{00000000-0005-0000-0000-000003060000}"/>
    <cellStyle name="40% - Accent4 3 2 5 3 2" xfId="23126" xr:uid="{F5F8AEDC-993B-4221-9E3F-65C93C6EC54D}"/>
    <cellStyle name="40% - Accent4 3 2 5 3 3" xfId="14685" xr:uid="{B76B33FC-E7CF-405C-A939-3ACD7B5CD522}"/>
    <cellStyle name="40% - Accent4 3 2 5 4" xfId="18908" xr:uid="{24C535AA-C744-4FC2-9984-FEC295FCA5A1}"/>
    <cellStyle name="40% - Accent4 3 2 5 5" xfId="10467" xr:uid="{3920EE7C-3CDA-4C6C-8D8A-073FBAECF627}"/>
    <cellStyle name="40% - Accent4 3 2 6" xfId="2342" xr:uid="{00000000-0005-0000-0000-000004060000}"/>
    <cellStyle name="40% - Accent4 3 2 6 2" xfId="6648" xr:uid="{00000000-0005-0000-0000-000005060000}"/>
    <cellStyle name="40% - Accent4 3 2 6 2 2" xfId="23539" xr:uid="{53843F09-D07D-4CFC-A423-8E1384789187}"/>
    <cellStyle name="40% - Accent4 3 2 6 2 3" xfId="15098" xr:uid="{1F893F3F-233D-4593-8B98-F41FA19C5994}"/>
    <cellStyle name="40% - Accent4 3 2 6 3" xfId="19321" xr:uid="{4FD61614-A6E8-403E-84DD-FA6332CD95F5}"/>
    <cellStyle name="40% - Accent4 3 2 6 4" xfId="10880" xr:uid="{4D0408C5-A059-496F-945D-4C7361720BBF}"/>
    <cellStyle name="40% - Accent4 3 2 7" xfId="4582" xr:uid="{00000000-0005-0000-0000-000006060000}"/>
    <cellStyle name="40% - Accent4 3 2 7 2" xfId="21473" xr:uid="{36366E85-DCB2-4F36-9757-C719362ECD60}"/>
    <cellStyle name="40% - Accent4 3 2 7 3" xfId="13032" xr:uid="{E6EBE434-3151-42A4-815C-02CE9D813DD9}"/>
    <cellStyle name="40% - Accent4 3 2 8" xfId="17255" xr:uid="{BE5A3079-E756-4C74-B01D-366B7EE09F23}"/>
    <cellStyle name="40% - Accent4 3 2 9" xfId="8814" xr:uid="{F9E09D48-9143-4A55-A9A8-52126C722B0D}"/>
    <cellStyle name="40% - Accent4 3 3" xfId="647" xr:uid="{00000000-0005-0000-0000-000007060000}"/>
    <cellStyle name="40% - Accent4 3 3 2" xfId="2918" xr:uid="{00000000-0005-0000-0000-000008060000}"/>
    <cellStyle name="40% - Accent4 3 3 2 2" xfId="7140" xr:uid="{00000000-0005-0000-0000-000009060000}"/>
    <cellStyle name="40% - Accent4 3 3 2 2 2" xfId="24031" xr:uid="{D86DA9E9-B491-41CA-97DF-609305F101D7}"/>
    <cellStyle name="40% - Accent4 3 3 2 2 3" xfId="15590" xr:uid="{A0BC8898-D550-4172-A26C-027ED8C7B5DF}"/>
    <cellStyle name="40% - Accent4 3 3 2 3" xfId="19813" xr:uid="{CB310A95-E091-42B7-A2D0-B3F97E227F86}"/>
    <cellStyle name="40% - Accent4 3 3 2 4" xfId="11372" xr:uid="{81458086-44A0-4BBD-A78F-0615BD8F688F}"/>
    <cellStyle name="40% - Accent4 3 3 3" xfId="4995" xr:uid="{00000000-0005-0000-0000-00000A060000}"/>
    <cellStyle name="40% - Accent4 3 3 3 2" xfId="21886" xr:uid="{5E5DFAB5-4CA6-46C2-B64D-EC73179BF811}"/>
    <cellStyle name="40% - Accent4 3 3 3 3" xfId="13445" xr:uid="{A96818C2-D7D4-4B87-8F6F-EF3B47EEF75A}"/>
    <cellStyle name="40% - Accent4 3 3 4" xfId="17668" xr:uid="{87D2A146-21D4-4329-8CE7-E072BA9C3B8F}"/>
    <cellStyle name="40% - Accent4 3 3 5" xfId="9227" xr:uid="{256A6E23-4AB3-4E8C-A41E-F42B72BD740B}"/>
    <cellStyle name="40% - Accent4 3 4" xfId="1100" xr:uid="{00000000-0005-0000-0000-00000B060000}"/>
    <cellStyle name="40% - Accent4 3 4 2" xfId="3331" xr:uid="{00000000-0005-0000-0000-00000C060000}"/>
    <cellStyle name="40% - Accent4 3 4 2 2" xfId="7553" xr:uid="{00000000-0005-0000-0000-00000D060000}"/>
    <cellStyle name="40% - Accent4 3 4 2 2 2" xfId="24444" xr:uid="{E6BF101A-58BB-476E-B9D1-AEF0F0EA4B7E}"/>
    <cellStyle name="40% - Accent4 3 4 2 2 3" xfId="16003" xr:uid="{4068D356-A20B-456C-96D7-23BD2A358CF3}"/>
    <cellStyle name="40% - Accent4 3 4 2 3" xfId="20226" xr:uid="{CAD1FA4F-4761-49AA-8820-74371DB46F15}"/>
    <cellStyle name="40% - Accent4 3 4 2 4" xfId="11785" xr:uid="{60464BD5-7CFB-4B1B-A548-C901132D6AAC}"/>
    <cellStyle name="40% - Accent4 3 4 3" xfId="5408" xr:uid="{00000000-0005-0000-0000-00000E060000}"/>
    <cellStyle name="40% - Accent4 3 4 3 2" xfId="22299" xr:uid="{897A935D-5913-43BF-AD35-80FBFA53C5B6}"/>
    <cellStyle name="40% - Accent4 3 4 3 3" xfId="13858" xr:uid="{38372AC4-17E7-406A-B30A-33659C757507}"/>
    <cellStyle name="40% - Accent4 3 4 4" xfId="18081" xr:uid="{1CCD8E47-C5C6-4B42-8649-290572C896D6}"/>
    <cellStyle name="40% - Accent4 3 4 5" xfId="9640" xr:uid="{9350A81B-85D2-4E89-AE15-1398271EA851}"/>
    <cellStyle name="40% - Accent4 3 5" xfId="1514" xr:uid="{00000000-0005-0000-0000-00000F060000}"/>
    <cellStyle name="40% - Accent4 3 5 2" xfId="3744" xr:uid="{00000000-0005-0000-0000-000010060000}"/>
    <cellStyle name="40% - Accent4 3 5 2 2" xfId="7966" xr:uid="{00000000-0005-0000-0000-000011060000}"/>
    <cellStyle name="40% - Accent4 3 5 2 2 2" xfId="24857" xr:uid="{8CE27E3C-23E0-4083-A66E-2B70C82451F2}"/>
    <cellStyle name="40% - Accent4 3 5 2 2 3" xfId="16416" xr:uid="{2D4FE77F-A684-4B8B-85A9-DC14E3F7157E}"/>
    <cellStyle name="40% - Accent4 3 5 2 3" xfId="20639" xr:uid="{89552A0D-54A8-4307-A267-92ECFC96BA35}"/>
    <cellStyle name="40% - Accent4 3 5 2 4" xfId="12198" xr:uid="{A3E6687C-003D-425B-A78F-50A23F4B4E33}"/>
    <cellStyle name="40% - Accent4 3 5 3" xfId="5821" xr:uid="{00000000-0005-0000-0000-000012060000}"/>
    <cellStyle name="40% - Accent4 3 5 3 2" xfId="22712" xr:uid="{0FE87D4B-3BEA-42B5-8836-7DF91E22AAF9}"/>
    <cellStyle name="40% - Accent4 3 5 3 3" xfId="14271" xr:uid="{6F76D57E-DE99-4C56-BB4A-14DD76313F47}"/>
    <cellStyle name="40% - Accent4 3 5 4" xfId="18494" xr:uid="{3C1B2341-6206-48DF-9F2F-33AC8366BB84}"/>
    <cellStyle name="40% - Accent4 3 5 5" xfId="10053" xr:uid="{122E59A0-97EE-4BF0-AF19-AFDFAB77064E}"/>
    <cellStyle name="40% - Accent4 3 6" xfId="1928" xr:uid="{00000000-0005-0000-0000-000013060000}"/>
    <cellStyle name="40% - Accent4 3 6 2" xfId="4157" xr:uid="{00000000-0005-0000-0000-000014060000}"/>
    <cellStyle name="40% - Accent4 3 6 2 2" xfId="8379" xr:uid="{00000000-0005-0000-0000-000015060000}"/>
    <cellStyle name="40% - Accent4 3 6 2 2 2" xfId="25270" xr:uid="{0F223757-CACE-4419-A968-4BDA982CE22F}"/>
    <cellStyle name="40% - Accent4 3 6 2 2 3" xfId="16829" xr:uid="{418247FF-141B-49D9-B2A7-9F924676A7D5}"/>
    <cellStyle name="40% - Accent4 3 6 2 3" xfId="21052" xr:uid="{37851685-6E84-4208-90FB-070D3FDCB8F8}"/>
    <cellStyle name="40% - Accent4 3 6 2 4" xfId="12611" xr:uid="{86600D32-E6C0-4B1B-8179-AD4EDD7ED99E}"/>
    <cellStyle name="40% - Accent4 3 6 3" xfId="6234" xr:uid="{00000000-0005-0000-0000-000016060000}"/>
    <cellStyle name="40% - Accent4 3 6 3 2" xfId="23125" xr:uid="{CC7EA2A7-DD31-4D0C-A765-977EE5556C80}"/>
    <cellStyle name="40% - Accent4 3 6 3 3" xfId="14684" xr:uid="{E820434B-75CB-466B-B607-FA6666216B42}"/>
    <cellStyle name="40% - Accent4 3 6 4" xfId="18907" xr:uid="{DA8790B7-988E-47FB-A65F-D1463ED239B8}"/>
    <cellStyle name="40% - Accent4 3 6 5" xfId="10466" xr:uid="{65A7378D-4C0C-41AC-A99E-CE24997D89CB}"/>
    <cellStyle name="40% - Accent4 3 7" xfId="2341" xr:uid="{00000000-0005-0000-0000-000017060000}"/>
    <cellStyle name="40% - Accent4 3 7 2" xfId="6647" xr:uid="{00000000-0005-0000-0000-000018060000}"/>
    <cellStyle name="40% - Accent4 3 7 2 2" xfId="23538" xr:uid="{9C7EDFF0-319E-4E82-A9A4-3766B060F984}"/>
    <cellStyle name="40% - Accent4 3 7 2 3" xfId="15097" xr:uid="{7FCE99A0-CCC1-4B12-9671-79EB8B1156B0}"/>
    <cellStyle name="40% - Accent4 3 7 3" xfId="19320" xr:uid="{FB877159-D84D-4E3E-8A90-7B53D0EAC336}"/>
    <cellStyle name="40% - Accent4 3 7 4" xfId="10879" xr:uid="{B3A3BF2D-9C5C-414D-85F4-885ADE340B92}"/>
    <cellStyle name="40% - Accent4 3 8" xfId="4581" xr:uid="{00000000-0005-0000-0000-000019060000}"/>
    <cellStyle name="40% - Accent4 3 8 2" xfId="21472" xr:uid="{859E9740-2F82-4DE9-A8F6-5071B82BF31D}"/>
    <cellStyle name="40% - Accent4 3 8 3" xfId="13031" xr:uid="{6D9BB779-53B4-4424-ADD8-507C659311C3}"/>
    <cellStyle name="40% - Accent4 3 9" xfId="17254" xr:uid="{C9994B60-8769-40AA-A93A-B455C38C363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2 2 2" xfId="24033" xr:uid="{0BD71A5E-A5EE-4F76-B665-582F77BEB528}"/>
    <cellStyle name="40% - Accent4 4 2 2 2 3" xfId="15592" xr:uid="{651985B1-A1EB-4F57-952C-DEFE961029A6}"/>
    <cellStyle name="40% - Accent4 4 2 2 3" xfId="19815" xr:uid="{B5CDA343-D687-4954-81D0-E6D2A79F8992}"/>
    <cellStyle name="40% - Accent4 4 2 2 4" xfId="11374" xr:uid="{4724DEAF-51DB-4B39-80A1-68632A55A88A}"/>
    <cellStyle name="40% - Accent4 4 2 3" xfId="4997" xr:uid="{00000000-0005-0000-0000-00001E060000}"/>
    <cellStyle name="40% - Accent4 4 2 3 2" xfId="21888" xr:uid="{B482C53D-97E3-41C3-A375-ED6BA7A05C89}"/>
    <cellStyle name="40% - Accent4 4 2 3 3" xfId="13447" xr:uid="{118A1EF3-AD38-4CCE-B785-338E9C0F3B49}"/>
    <cellStyle name="40% - Accent4 4 2 4" xfId="17670" xr:uid="{2ED4B58D-4CB6-4618-928C-F2BB60B6209E}"/>
    <cellStyle name="40% - Accent4 4 2 5" xfId="9229" xr:uid="{0E8FFACE-C05D-4C73-9AAD-DEB46C86FEDE}"/>
    <cellStyle name="40% - Accent4 4 3" xfId="1102" xr:uid="{00000000-0005-0000-0000-00001F060000}"/>
    <cellStyle name="40% - Accent4 4 3 2" xfId="3333" xr:uid="{00000000-0005-0000-0000-000020060000}"/>
    <cellStyle name="40% - Accent4 4 3 2 2" xfId="7555" xr:uid="{00000000-0005-0000-0000-000021060000}"/>
    <cellStyle name="40% - Accent4 4 3 2 2 2" xfId="24446" xr:uid="{74220D54-B055-4F48-85DF-152F98882AB4}"/>
    <cellStyle name="40% - Accent4 4 3 2 2 3" xfId="16005" xr:uid="{701AC716-CE78-4596-A05B-8C08549EC6DC}"/>
    <cellStyle name="40% - Accent4 4 3 2 3" xfId="20228" xr:uid="{1E05CCCA-EA1A-4942-8CFD-5E4FD9FFEB80}"/>
    <cellStyle name="40% - Accent4 4 3 2 4" xfId="11787" xr:uid="{44D6FD29-0F10-4E22-A985-535831D22D2F}"/>
    <cellStyle name="40% - Accent4 4 3 3" xfId="5410" xr:uid="{00000000-0005-0000-0000-000022060000}"/>
    <cellStyle name="40% - Accent4 4 3 3 2" xfId="22301" xr:uid="{19C2FAC4-B3E5-414C-8D7F-40B785D6C4FA}"/>
    <cellStyle name="40% - Accent4 4 3 3 3" xfId="13860" xr:uid="{81836F43-10B6-491F-8525-8D216D43D110}"/>
    <cellStyle name="40% - Accent4 4 3 4" xfId="18083" xr:uid="{1CDCAC3E-4509-4EFC-BC87-C70B794A32BE}"/>
    <cellStyle name="40% - Accent4 4 3 5" xfId="9642" xr:uid="{3A654A1C-0BBF-4D3F-B2E0-EA4C8BA2BCDF}"/>
    <cellStyle name="40% - Accent4 4 4" xfId="1516" xr:uid="{00000000-0005-0000-0000-000023060000}"/>
    <cellStyle name="40% - Accent4 4 4 2" xfId="3746" xr:uid="{00000000-0005-0000-0000-000024060000}"/>
    <cellStyle name="40% - Accent4 4 4 2 2" xfId="7968" xr:uid="{00000000-0005-0000-0000-000025060000}"/>
    <cellStyle name="40% - Accent4 4 4 2 2 2" xfId="24859" xr:uid="{313C8128-098A-4BFE-BA4B-9C67F87DB893}"/>
    <cellStyle name="40% - Accent4 4 4 2 2 3" xfId="16418" xr:uid="{3AB186F7-D8F1-404E-A40F-A2D77E29C9DD}"/>
    <cellStyle name="40% - Accent4 4 4 2 3" xfId="20641" xr:uid="{6691835C-3F6F-49E5-B57C-70072698EE7D}"/>
    <cellStyle name="40% - Accent4 4 4 2 4" xfId="12200" xr:uid="{23568C16-186E-4B8D-BD12-1DF74BB22476}"/>
    <cellStyle name="40% - Accent4 4 4 3" xfId="5823" xr:uid="{00000000-0005-0000-0000-000026060000}"/>
    <cellStyle name="40% - Accent4 4 4 3 2" xfId="22714" xr:uid="{C75AABC0-CD6F-499A-9833-B998ED212AB3}"/>
    <cellStyle name="40% - Accent4 4 4 3 3" xfId="14273" xr:uid="{FAABFCF9-6E49-4BEC-B317-67CF2E4FA80E}"/>
    <cellStyle name="40% - Accent4 4 4 4" xfId="18496" xr:uid="{A9E22131-3DCA-4281-ABD8-65B78FEC9998}"/>
    <cellStyle name="40% - Accent4 4 4 5" xfId="10055" xr:uid="{413598B1-C497-49D7-BC70-7129F46C41DB}"/>
    <cellStyle name="40% - Accent4 4 5" xfId="1930" xr:uid="{00000000-0005-0000-0000-000027060000}"/>
    <cellStyle name="40% - Accent4 4 5 2" xfId="4159" xr:uid="{00000000-0005-0000-0000-000028060000}"/>
    <cellStyle name="40% - Accent4 4 5 2 2" xfId="8381" xr:uid="{00000000-0005-0000-0000-000029060000}"/>
    <cellStyle name="40% - Accent4 4 5 2 2 2" xfId="25272" xr:uid="{CA9BCC3B-88AA-4A89-BE40-804DEB6EC70F}"/>
    <cellStyle name="40% - Accent4 4 5 2 2 3" xfId="16831" xr:uid="{87379F66-A9B9-4697-A0CB-FA88C88BA14C}"/>
    <cellStyle name="40% - Accent4 4 5 2 3" xfId="21054" xr:uid="{331D2BC7-01DC-414E-AA9B-E96F061AB9F9}"/>
    <cellStyle name="40% - Accent4 4 5 2 4" xfId="12613" xr:uid="{0AE93132-DB50-4802-9D9C-077230F7224E}"/>
    <cellStyle name="40% - Accent4 4 5 3" xfId="6236" xr:uid="{00000000-0005-0000-0000-00002A060000}"/>
    <cellStyle name="40% - Accent4 4 5 3 2" xfId="23127" xr:uid="{EBA154B4-CED0-4C10-9312-ACD84FD0147A}"/>
    <cellStyle name="40% - Accent4 4 5 3 3" xfId="14686" xr:uid="{E6AA0173-C007-4645-87F4-82AA98C967B4}"/>
    <cellStyle name="40% - Accent4 4 5 4" xfId="18909" xr:uid="{119DC739-81D1-417A-A820-695BD372835F}"/>
    <cellStyle name="40% - Accent4 4 5 5" xfId="10468" xr:uid="{7A2C8090-B3B2-4EC7-906B-42258B0F7E9F}"/>
    <cellStyle name="40% - Accent4 4 6" xfId="2343" xr:uid="{00000000-0005-0000-0000-00002B060000}"/>
    <cellStyle name="40% - Accent4 4 6 2" xfId="6649" xr:uid="{00000000-0005-0000-0000-00002C060000}"/>
    <cellStyle name="40% - Accent4 4 6 2 2" xfId="23540" xr:uid="{B8307555-A8CD-4B62-9F88-14603EF71F0E}"/>
    <cellStyle name="40% - Accent4 4 6 2 3" xfId="15099" xr:uid="{406ADCA5-1746-4326-98BA-B9168E866FC8}"/>
    <cellStyle name="40% - Accent4 4 6 3" xfId="19322" xr:uid="{52540C11-F646-4309-A628-B48179E8ED3D}"/>
    <cellStyle name="40% - Accent4 4 6 4" xfId="10881" xr:uid="{8DC217BB-5FD9-40A0-ADF9-1EBD35438E4A}"/>
    <cellStyle name="40% - Accent4 4 7" xfId="4583" xr:uid="{00000000-0005-0000-0000-00002D060000}"/>
    <cellStyle name="40% - Accent4 4 7 2" xfId="21474" xr:uid="{3849B914-635F-49B3-A381-AB9A7C91B2C1}"/>
    <cellStyle name="40% - Accent4 4 7 3" xfId="13033" xr:uid="{B4A763B6-C562-48F4-9481-AD2A1B0DE156}"/>
    <cellStyle name="40% - Accent4 4 8" xfId="17256" xr:uid="{282E7036-3BDC-4ABA-95FF-C9BF91743B7B}"/>
    <cellStyle name="40% - Accent4 4 9" xfId="8815" xr:uid="{297AF082-BB9C-4DDA-A5AC-E177CC7A2857}"/>
    <cellStyle name="40% - Accent4 5" xfId="642" xr:uid="{00000000-0005-0000-0000-00002E060000}"/>
    <cellStyle name="40% - Accent4 5 2" xfId="2913" xr:uid="{00000000-0005-0000-0000-00002F060000}"/>
    <cellStyle name="40% - Accent4 5 2 2" xfId="7135" xr:uid="{00000000-0005-0000-0000-000030060000}"/>
    <cellStyle name="40% - Accent4 5 2 2 2" xfId="24026" xr:uid="{859E865D-1244-4E44-B12B-2E4F7B9EC45F}"/>
    <cellStyle name="40% - Accent4 5 2 2 3" xfId="15585" xr:uid="{23143C19-68BF-49A7-8357-2B9286480ED4}"/>
    <cellStyle name="40% - Accent4 5 2 3" xfId="19808" xr:uid="{21FF326F-113D-404C-8405-FE1E19597354}"/>
    <cellStyle name="40% - Accent4 5 2 4" xfId="11367" xr:uid="{B3E5DC84-6CB6-4E6D-8C5D-840E3DD9D311}"/>
    <cellStyle name="40% - Accent4 5 3" xfId="4990" xr:uid="{00000000-0005-0000-0000-000031060000}"/>
    <cellStyle name="40% - Accent4 5 3 2" xfId="21881" xr:uid="{FF9A1C04-A931-4AC8-B29E-7395A2A5F128}"/>
    <cellStyle name="40% - Accent4 5 3 3" xfId="13440" xr:uid="{1E04FDDB-E291-429F-8BB9-26AC0B3BCF56}"/>
    <cellStyle name="40% - Accent4 5 4" xfId="17663" xr:uid="{77350136-960D-4B1A-B597-8DCC3EA7C259}"/>
    <cellStyle name="40% - Accent4 5 5" xfId="9222" xr:uid="{88C1B23A-856B-40C0-9600-C3380F69B520}"/>
    <cellStyle name="40% - Accent4 6" xfId="1095" xr:uid="{00000000-0005-0000-0000-000032060000}"/>
    <cellStyle name="40% - Accent4 6 2" xfId="3326" xr:uid="{00000000-0005-0000-0000-000033060000}"/>
    <cellStyle name="40% - Accent4 6 2 2" xfId="7548" xr:uid="{00000000-0005-0000-0000-000034060000}"/>
    <cellStyle name="40% - Accent4 6 2 2 2" xfId="24439" xr:uid="{69EBD5F9-4619-4395-9096-AEDCAE4DBB48}"/>
    <cellStyle name="40% - Accent4 6 2 2 3" xfId="15998" xr:uid="{FC54B580-9520-4469-B7B2-89E1C8A18962}"/>
    <cellStyle name="40% - Accent4 6 2 3" xfId="20221" xr:uid="{FCEA726D-B9CA-4054-9F3E-5D0872F51874}"/>
    <cellStyle name="40% - Accent4 6 2 4" xfId="11780" xr:uid="{A0FDF534-19EC-4AEF-9F3E-07CF0E04EA57}"/>
    <cellStyle name="40% - Accent4 6 3" xfId="5403" xr:uid="{00000000-0005-0000-0000-000035060000}"/>
    <cellStyle name="40% - Accent4 6 3 2" xfId="22294" xr:uid="{F431CBA3-09A7-4A1C-B6BF-F2820679CCDE}"/>
    <cellStyle name="40% - Accent4 6 3 3" xfId="13853" xr:uid="{301AE86B-B96F-47B7-834D-41B09F951BD6}"/>
    <cellStyle name="40% - Accent4 6 4" xfId="18076" xr:uid="{7C1201B6-3FBA-4ADD-AC83-4BDAF10CA18F}"/>
    <cellStyle name="40% - Accent4 6 5" xfId="9635" xr:uid="{5A55B017-AC6E-4B16-9CBA-342AE39391D0}"/>
    <cellStyle name="40% - Accent4 7" xfId="1509" xr:uid="{00000000-0005-0000-0000-000036060000}"/>
    <cellStyle name="40% - Accent4 7 2" xfId="3739" xr:uid="{00000000-0005-0000-0000-000037060000}"/>
    <cellStyle name="40% - Accent4 7 2 2" xfId="7961" xr:uid="{00000000-0005-0000-0000-000038060000}"/>
    <cellStyle name="40% - Accent4 7 2 2 2" xfId="24852" xr:uid="{F53386FC-2968-4713-B613-212B08210202}"/>
    <cellStyle name="40% - Accent4 7 2 2 3" xfId="16411" xr:uid="{F00229C1-8FD6-40A2-BF20-54B12EBBC454}"/>
    <cellStyle name="40% - Accent4 7 2 3" xfId="20634" xr:uid="{CB46446F-B920-4A89-AC2F-1152F9021A4C}"/>
    <cellStyle name="40% - Accent4 7 2 4" xfId="12193" xr:uid="{EEC3FC70-5917-4E3E-9B8C-2094755DDAA6}"/>
    <cellStyle name="40% - Accent4 7 3" xfId="5816" xr:uid="{00000000-0005-0000-0000-000039060000}"/>
    <cellStyle name="40% - Accent4 7 3 2" xfId="22707" xr:uid="{BE00FF04-E95D-47ED-88BB-6D692B444705}"/>
    <cellStyle name="40% - Accent4 7 3 3" xfId="14266" xr:uid="{247202A4-A45B-4606-B11C-0674CDCFDA7C}"/>
    <cellStyle name="40% - Accent4 7 4" xfId="18489" xr:uid="{7A75253B-08D9-4452-A54E-6AA5D09C060E}"/>
    <cellStyle name="40% - Accent4 7 5" xfId="10048" xr:uid="{7546CC0D-833E-4DB5-AFEB-242705591FC4}"/>
    <cellStyle name="40% - Accent4 8" xfId="1923" xr:uid="{00000000-0005-0000-0000-00003A060000}"/>
    <cellStyle name="40% - Accent4 8 2" xfId="4152" xr:uid="{00000000-0005-0000-0000-00003B060000}"/>
    <cellStyle name="40% - Accent4 8 2 2" xfId="8374" xr:uid="{00000000-0005-0000-0000-00003C060000}"/>
    <cellStyle name="40% - Accent4 8 2 2 2" xfId="25265" xr:uid="{8598CDB2-F442-4345-B76D-2A9CF65ADF57}"/>
    <cellStyle name="40% - Accent4 8 2 2 3" xfId="16824" xr:uid="{2DC28403-0AAE-468F-846B-3D6BB0C2FAFB}"/>
    <cellStyle name="40% - Accent4 8 2 3" xfId="21047" xr:uid="{038D914A-B31E-4E84-A05A-1478CE862801}"/>
    <cellStyle name="40% - Accent4 8 2 4" xfId="12606" xr:uid="{C6753F28-53E2-4753-A1D8-22BFCFEC1AE1}"/>
    <cellStyle name="40% - Accent4 8 3" xfId="6229" xr:uid="{00000000-0005-0000-0000-00003D060000}"/>
    <cellStyle name="40% - Accent4 8 3 2" xfId="23120" xr:uid="{BD3DCCE5-13AD-4D8E-BA02-157B720EC94D}"/>
    <cellStyle name="40% - Accent4 8 3 3" xfId="14679" xr:uid="{1C6B2C58-9827-4F67-B5C1-2DE99C92B5CA}"/>
    <cellStyle name="40% - Accent4 8 4" xfId="18902" xr:uid="{E3243CF9-3EBC-462A-937B-21DA81AA7B51}"/>
    <cellStyle name="40% - Accent4 8 5" xfId="10461" xr:uid="{96284BEA-761E-4CEB-8AA2-19B85A97ACAA}"/>
    <cellStyle name="40% - Accent4 9" xfId="2336" xr:uid="{00000000-0005-0000-0000-00003E060000}"/>
    <cellStyle name="40% - Accent4 9 2" xfId="6642" xr:uid="{00000000-0005-0000-0000-00003F060000}"/>
    <cellStyle name="40% - Accent4 9 2 2" xfId="23533" xr:uid="{83D8AF6A-B4AE-401F-99C5-89C01963CC24}"/>
    <cellStyle name="40% - Accent4 9 2 3" xfId="15092" xr:uid="{A5D4B676-0E7F-4F9A-A372-CE4C215C6E63}"/>
    <cellStyle name="40% - Accent4 9 3" xfId="19315" xr:uid="{AF8BDF6C-2055-44DF-AAD3-1DAC3BDE8458}"/>
    <cellStyle name="40% - Accent4 9 4" xfId="10874" xr:uid="{32010394-44B7-4FFE-9F07-61F1EF980FC8}"/>
    <cellStyle name="40% - Accent5" xfId="81" builtinId="47" customBuiltin="1"/>
    <cellStyle name="40% - Accent5 10" xfId="4584" xr:uid="{00000000-0005-0000-0000-000041060000}"/>
    <cellStyle name="40% - Accent5 10 2" xfId="21475" xr:uid="{32459F35-A939-464F-9256-50F34D15027A}"/>
    <cellStyle name="40% - Accent5 10 3" xfId="13034" xr:uid="{92F74E5C-4721-4246-87C7-5059B107C757}"/>
    <cellStyle name="40% - Accent5 11" xfId="17257" xr:uid="{84BDC058-B3E6-4C7A-8611-46BC15AFCBCC}"/>
    <cellStyle name="40% - Accent5 12" xfId="8816" xr:uid="{A71D4C30-0E2E-4523-97EA-0A400DDD00ED}"/>
    <cellStyle name="40% - Accent5 2" xfId="82" xr:uid="{00000000-0005-0000-0000-000042060000}"/>
    <cellStyle name="40% - Accent5 2 10" xfId="17258" xr:uid="{187984E0-D371-427E-A2CC-5D032D8C947A}"/>
    <cellStyle name="40% - Accent5 2 11" xfId="8817" xr:uid="{FDBCAD92-0D98-478E-B58C-B7855E17EA6F}"/>
    <cellStyle name="40% - Accent5 2 2" xfId="83" xr:uid="{00000000-0005-0000-0000-000043060000}"/>
    <cellStyle name="40% - Accent5 2 2 10" xfId="8818" xr:uid="{A3C18BFD-EB78-448A-A144-25039D5641B5}"/>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24037" xr:uid="{4FB7B22D-C98F-4811-BD41-28D4F2DD56CD}"/>
    <cellStyle name="40% - Accent5 2 2 2 2 2 2 3" xfId="15596" xr:uid="{6CFF9E2B-95B6-4600-ADAC-03DBEC1B32BF}"/>
    <cellStyle name="40% - Accent5 2 2 2 2 2 3" xfId="19819" xr:uid="{DCAB2345-CD33-40F9-A593-8087FAD4AA81}"/>
    <cellStyle name="40% - Accent5 2 2 2 2 2 4" xfId="11378" xr:uid="{94F472FD-79E0-4400-9EA5-9B674DE4E7C4}"/>
    <cellStyle name="40% - Accent5 2 2 2 2 3" xfId="5001" xr:uid="{00000000-0005-0000-0000-000048060000}"/>
    <cellStyle name="40% - Accent5 2 2 2 2 3 2" xfId="21892" xr:uid="{C9F68AC7-270A-4D21-BFF8-9A0CCAB40331}"/>
    <cellStyle name="40% - Accent5 2 2 2 2 3 3" xfId="13451" xr:uid="{7C59FA07-8CA7-4D60-9471-D8FB613E2949}"/>
    <cellStyle name="40% - Accent5 2 2 2 2 4" xfId="17674" xr:uid="{E1C40774-F0A1-421F-8E98-A50FF0B6570E}"/>
    <cellStyle name="40% - Accent5 2 2 2 2 5" xfId="9233" xr:uid="{C674E1FD-F4B2-4231-8121-48E3A3500115}"/>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24450" xr:uid="{D5FA7B9A-8B69-4A56-815D-6CAF76355157}"/>
    <cellStyle name="40% - Accent5 2 2 2 3 2 2 3" xfId="16009" xr:uid="{86E21AAF-E5BD-46A2-9A6C-FFB43C29FA85}"/>
    <cellStyle name="40% - Accent5 2 2 2 3 2 3" xfId="20232" xr:uid="{3F53E1CE-25E4-40B2-91B3-819B591F0BD4}"/>
    <cellStyle name="40% - Accent5 2 2 2 3 2 4" xfId="11791" xr:uid="{90915B94-1C4B-4592-8F0C-9DF202CF1BFD}"/>
    <cellStyle name="40% - Accent5 2 2 2 3 3" xfId="5414" xr:uid="{00000000-0005-0000-0000-00004C060000}"/>
    <cellStyle name="40% - Accent5 2 2 2 3 3 2" xfId="22305" xr:uid="{9F615D3F-5162-4C8F-A9FF-782DD3254824}"/>
    <cellStyle name="40% - Accent5 2 2 2 3 3 3" xfId="13864" xr:uid="{3340848E-B66C-42EF-94AC-21EA3ED9397A}"/>
    <cellStyle name="40% - Accent5 2 2 2 3 4" xfId="18087" xr:uid="{A49BCAE3-CDDE-4A9F-83FB-50DDAFC84DE4}"/>
    <cellStyle name="40% - Accent5 2 2 2 3 5" xfId="9646" xr:uid="{3D1C4E25-7207-46CF-BF77-648F1F8B22B2}"/>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24863" xr:uid="{42620015-5E99-48B8-A8D6-C9DA77C2D41B}"/>
    <cellStyle name="40% - Accent5 2 2 2 4 2 2 3" xfId="16422" xr:uid="{88D509B0-4C0E-4D9C-ADB7-511A07CD786E}"/>
    <cellStyle name="40% - Accent5 2 2 2 4 2 3" xfId="20645" xr:uid="{E979DFF9-AC28-4C9F-8F57-EE85846598B4}"/>
    <cellStyle name="40% - Accent5 2 2 2 4 2 4" xfId="12204" xr:uid="{C9DFF39A-1C70-4C3E-BF78-924FC8B49690}"/>
    <cellStyle name="40% - Accent5 2 2 2 4 3" xfId="5827" xr:uid="{00000000-0005-0000-0000-000050060000}"/>
    <cellStyle name="40% - Accent5 2 2 2 4 3 2" xfId="22718" xr:uid="{C298DCFF-90D1-4E6A-981F-B3E1C0414D69}"/>
    <cellStyle name="40% - Accent5 2 2 2 4 3 3" xfId="14277" xr:uid="{CD70375B-2247-4A77-BB0C-695668EAA3CD}"/>
    <cellStyle name="40% - Accent5 2 2 2 4 4" xfId="18500" xr:uid="{C5CC8612-C87B-4A4F-8AEC-5D1CCE7B9A00}"/>
    <cellStyle name="40% - Accent5 2 2 2 4 5" xfId="10059" xr:uid="{5D5DEBBE-F203-44DD-A168-302DD677958A}"/>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25276" xr:uid="{48D69AC8-F6C2-40B9-BF80-13EBFE2AE1C1}"/>
    <cellStyle name="40% - Accent5 2 2 2 5 2 2 3" xfId="16835" xr:uid="{DC48ED37-CB19-4745-83EA-1F4A0B842E0D}"/>
    <cellStyle name="40% - Accent5 2 2 2 5 2 3" xfId="21058" xr:uid="{AC592224-6F75-41B2-A01E-3EF624AC0808}"/>
    <cellStyle name="40% - Accent5 2 2 2 5 2 4" xfId="12617" xr:uid="{F9AC641B-1973-4CA3-BAB4-925DDBE08697}"/>
    <cellStyle name="40% - Accent5 2 2 2 5 3" xfId="6240" xr:uid="{00000000-0005-0000-0000-000054060000}"/>
    <cellStyle name="40% - Accent5 2 2 2 5 3 2" xfId="23131" xr:uid="{1400C355-3BB4-4F45-A372-E21CC126459E}"/>
    <cellStyle name="40% - Accent5 2 2 2 5 3 3" xfId="14690" xr:uid="{CFAC3652-FCA9-443F-80A6-EC2124B68252}"/>
    <cellStyle name="40% - Accent5 2 2 2 5 4" xfId="18913" xr:uid="{F412A350-44D8-4CE1-A18A-7782A959EA5B}"/>
    <cellStyle name="40% - Accent5 2 2 2 5 5" xfId="10472" xr:uid="{AB0E357E-6C8A-4926-B9DA-3D4E467AC5FE}"/>
    <cellStyle name="40% - Accent5 2 2 2 6" xfId="2347" xr:uid="{00000000-0005-0000-0000-000055060000}"/>
    <cellStyle name="40% - Accent5 2 2 2 6 2" xfId="6653" xr:uid="{00000000-0005-0000-0000-000056060000}"/>
    <cellStyle name="40% - Accent5 2 2 2 6 2 2" xfId="23544" xr:uid="{0796D8CB-6E1A-4555-88E9-17B83AE1EAA0}"/>
    <cellStyle name="40% - Accent5 2 2 2 6 2 3" xfId="15103" xr:uid="{09EFB6E6-915A-4555-8225-4082683695EA}"/>
    <cellStyle name="40% - Accent5 2 2 2 6 3" xfId="19326" xr:uid="{CA87EEC0-9E67-44FA-A9B1-409F4495A1AA}"/>
    <cellStyle name="40% - Accent5 2 2 2 6 4" xfId="10885" xr:uid="{6CF88EFD-9464-41EC-A04A-38B4F00BAE6A}"/>
    <cellStyle name="40% - Accent5 2 2 2 7" xfId="4587" xr:uid="{00000000-0005-0000-0000-000057060000}"/>
    <cellStyle name="40% - Accent5 2 2 2 7 2" xfId="21478" xr:uid="{E194CD1A-58D2-46DC-AA9B-39DD2BD214FE}"/>
    <cellStyle name="40% - Accent5 2 2 2 7 3" xfId="13037" xr:uid="{F9A36045-B4AF-41B7-BA28-4317CCE7CC90}"/>
    <cellStyle name="40% - Accent5 2 2 2 8" xfId="17260" xr:uid="{F6BBDEE1-3692-4022-BAC5-662FDDD3E66E}"/>
    <cellStyle name="40% - Accent5 2 2 2 9" xfId="8819" xr:uid="{7900FAC1-F28E-438E-91A4-250BDD107CA6}"/>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24036" xr:uid="{F33F86B6-AA35-478E-977B-A7289A5B94E0}"/>
    <cellStyle name="40% - Accent5 2 2 3 2 2 3" xfId="15595" xr:uid="{E482025B-E4EF-4085-A0F3-94F8359CAFAA}"/>
    <cellStyle name="40% - Accent5 2 2 3 2 3" xfId="19818" xr:uid="{448E7C89-E225-4B7F-BEFE-D58779EEF308}"/>
    <cellStyle name="40% - Accent5 2 2 3 2 4" xfId="11377" xr:uid="{F707E949-C397-40BF-BCCA-3DE16D2AE039}"/>
    <cellStyle name="40% - Accent5 2 2 3 3" xfId="5000" xr:uid="{00000000-0005-0000-0000-00005B060000}"/>
    <cellStyle name="40% - Accent5 2 2 3 3 2" xfId="21891" xr:uid="{02088522-E80D-4363-9B30-5C10BF5E4B78}"/>
    <cellStyle name="40% - Accent5 2 2 3 3 3" xfId="13450" xr:uid="{5C70CE73-726E-423E-8698-6B383EE84319}"/>
    <cellStyle name="40% - Accent5 2 2 3 4" xfId="17673" xr:uid="{A9C93575-50F8-4E20-939E-C61966A5A24D}"/>
    <cellStyle name="40% - Accent5 2 2 3 5" xfId="9232" xr:uid="{7228C2F6-60CC-4B40-A495-EB823D27E0FB}"/>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24449" xr:uid="{91786AC1-DD6C-4033-9080-E22E675C17CD}"/>
    <cellStyle name="40% - Accent5 2 2 4 2 2 3" xfId="16008" xr:uid="{41E9B545-F3B9-4957-83E8-8021D3089E79}"/>
    <cellStyle name="40% - Accent5 2 2 4 2 3" xfId="20231" xr:uid="{F8B15EEF-17C9-4686-AAE7-CBEEE4F99BE5}"/>
    <cellStyle name="40% - Accent5 2 2 4 2 4" xfId="11790" xr:uid="{87AFCC91-C74B-4EFE-A5F1-F8B59E4B4BA3}"/>
    <cellStyle name="40% - Accent5 2 2 4 3" xfId="5413" xr:uid="{00000000-0005-0000-0000-00005F060000}"/>
    <cellStyle name="40% - Accent5 2 2 4 3 2" xfId="22304" xr:uid="{202754EE-4D8A-4BE8-B0E3-DAFF42D9B113}"/>
    <cellStyle name="40% - Accent5 2 2 4 3 3" xfId="13863" xr:uid="{17C0A44F-8991-4868-9C29-DAEBA7C0B3F4}"/>
    <cellStyle name="40% - Accent5 2 2 4 4" xfId="18086" xr:uid="{7246712E-0DAC-4912-B0C5-342E37336B9C}"/>
    <cellStyle name="40% - Accent5 2 2 4 5" xfId="9645" xr:uid="{D98CE8B0-34CF-4715-8226-60920FF96ACA}"/>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24862" xr:uid="{B232B56A-6812-4F31-956C-CF6FFADEC9D6}"/>
    <cellStyle name="40% - Accent5 2 2 5 2 2 3" xfId="16421" xr:uid="{DE81D728-05A2-43FD-8EA5-CF0D9F66452E}"/>
    <cellStyle name="40% - Accent5 2 2 5 2 3" xfId="20644" xr:uid="{C7D36E49-CFA2-4A5B-8E98-5717C32A8BEC}"/>
    <cellStyle name="40% - Accent5 2 2 5 2 4" xfId="12203" xr:uid="{505A7BC7-F543-4B1C-AAA5-4F82536379AB}"/>
    <cellStyle name="40% - Accent5 2 2 5 3" xfId="5826" xr:uid="{00000000-0005-0000-0000-000063060000}"/>
    <cellStyle name="40% - Accent5 2 2 5 3 2" xfId="22717" xr:uid="{EEDFE989-52E3-49BE-9FFA-43E0051D8D58}"/>
    <cellStyle name="40% - Accent5 2 2 5 3 3" xfId="14276" xr:uid="{DA11C68E-6CE5-45B7-9674-60B854542096}"/>
    <cellStyle name="40% - Accent5 2 2 5 4" xfId="18499" xr:uid="{698C9453-65ED-415F-8773-1641130D2AF3}"/>
    <cellStyle name="40% - Accent5 2 2 5 5" xfId="10058" xr:uid="{EA4B3036-EC04-4B57-9A3D-0862406F19ED}"/>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25275" xr:uid="{85DE8FAD-6475-402E-93A1-067A5BA28420}"/>
    <cellStyle name="40% - Accent5 2 2 6 2 2 3" xfId="16834" xr:uid="{D4FBF5CB-6C5B-453C-AC4F-ACC6BF0879CE}"/>
    <cellStyle name="40% - Accent5 2 2 6 2 3" xfId="21057" xr:uid="{B5E93509-FCF4-4460-B120-172DDD0AC89C}"/>
    <cellStyle name="40% - Accent5 2 2 6 2 4" xfId="12616" xr:uid="{C0C6C0C1-27E5-4345-91CB-E74FD101B35A}"/>
    <cellStyle name="40% - Accent5 2 2 6 3" xfId="6239" xr:uid="{00000000-0005-0000-0000-000067060000}"/>
    <cellStyle name="40% - Accent5 2 2 6 3 2" xfId="23130" xr:uid="{0057B03B-7CAE-42A5-9FDD-5AC1B1EA94AF}"/>
    <cellStyle name="40% - Accent5 2 2 6 3 3" xfId="14689" xr:uid="{8930F188-7162-4014-8F08-808C3243A1DD}"/>
    <cellStyle name="40% - Accent5 2 2 6 4" xfId="18912" xr:uid="{721B45F1-D7E7-4092-A85E-56D847F71064}"/>
    <cellStyle name="40% - Accent5 2 2 6 5" xfId="10471" xr:uid="{37CF65D9-6B31-43A1-BCCF-73284828CE9B}"/>
    <cellStyle name="40% - Accent5 2 2 7" xfId="2346" xr:uid="{00000000-0005-0000-0000-000068060000}"/>
    <cellStyle name="40% - Accent5 2 2 7 2" xfId="6652" xr:uid="{00000000-0005-0000-0000-000069060000}"/>
    <cellStyle name="40% - Accent5 2 2 7 2 2" xfId="23543" xr:uid="{930BCF97-53E3-4C10-873C-6F228026A5A8}"/>
    <cellStyle name="40% - Accent5 2 2 7 2 3" xfId="15102" xr:uid="{546CD78F-9A90-4F6D-A192-BEFE095E36E0}"/>
    <cellStyle name="40% - Accent5 2 2 7 3" xfId="19325" xr:uid="{5545DA48-9C6C-4B41-80E5-200C04C43820}"/>
    <cellStyle name="40% - Accent5 2 2 7 4" xfId="10884" xr:uid="{5FD8B54B-54A8-4FC4-9988-7896E7ADF5F1}"/>
    <cellStyle name="40% - Accent5 2 2 8" xfId="4586" xr:uid="{00000000-0005-0000-0000-00006A060000}"/>
    <cellStyle name="40% - Accent5 2 2 8 2" xfId="21477" xr:uid="{996AA984-71F2-4FCD-A6BD-7AC28D8B5A18}"/>
    <cellStyle name="40% - Accent5 2 2 8 3" xfId="13036" xr:uid="{733CF7FE-7344-43FE-BFD3-DC10D713C9C3}"/>
    <cellStyle name="40% - Accent5 2 2 9" xfId="17259" xr:uid="{36DA0FF4-DA03-4A12-8E00-DB7783C5137B}"/>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24038" xr:uid="{E5920C5B-0EEC-4A40-BD8C-7C5CFFBB3A58}"/>
    <cellStyle name="40% - Accent5 2 3 2 2 2 3" xfId="15597" xr:uid="{68CBDB9B-C619-4D50-8F64-1E6977DC6DB4}"/>
    <cellStyle name="40% - Accent5 2 3 2 2 3" xfId="19820" xr:uid="{C217D5A2-2BB4-4B0C-811D-203E4027D78B}"/>
    <cellStyle name="40% - Accent5 2 3 2 2 4" xfId="11379" xr:uid="{D24BD799-60D3-4DE7-9C3C-0AF446572B3F}"/>
    <cellStyle name="40% - Accent5 2 3 2 3" xfId="5002" xr:uid="{00000000-0005-0000-0000-00006F060000}"/>
    <cellStyle name="40% - Accent5 2 3 2 3 2" xfId="21893" xr:uid="{1CF64F7C-E7F4-4C69-83A9-9EEB97B30303}"/>
    <cellStyle name="40% - Accent5 2 3 2 3 3" xfId="13452" xr:uid="{A9534D8C-B509-48E8-A38C-3CCF7C6A2982}"/>
    <cellStyle name="40% - Accent5 2 3 2 4" xfId="17675" xr:uid="{75870EFB-121A-4B6C-86EA-38B378385232}"/>
    <cellStyle name="40% - Accent5 2 3 2 5" xfId="9234" xr:uid="{2A3EE799-F9BD-4F04-B5E0-6AD5C57CEA5D}"/>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24451" xr:uid="{894FC7A1-1C8E-47EC-A2EC-D63CCF43B3E7}"/>
    <cellStyle name="40% - Accent5 2 3 3 2 2 3" xfId="16010" xr:uid="{4FFC0E4D-C5EA-4CF7-AE56-0DF7B072A0B6}"/>
    <cellStyle name="40% - Accent5 2 3 3 2 3" xfId="20233" xr:uid="{91174968-3FEF-4342-853F-A63B9E8EBCEA}"/>
    <cellStyle name="40% - Accent5 2 3 3 2 4" xfId="11792" xr:uid="{E824C514-63A0-4DDA-AD6D-FF387E28E316}"/>
    <cellStyle name="40% - Accent5 2 3 3 3" xfId="5415" xr:uid="{00000000-0005-0000-0000-000073060000}"/>
    <cellStyle name="40% - Accent5 2 3 3 3 2" xfId="22306" xr:uid="{59236C7C-49F7-4E00-B239-85689A1E3515}"/>
    <cellStyle name="40% - Accent5 2 3 3 3 3" xfId="13865" xr:uid="{35D70281-3DB2-4FC1-828E-AE882F664B19}"/>
    <cellStyle name="40% - Accent5 2 3 3 4" xfId="18088" xr:uid="{A7F84E4A-A941-494C-BDED-CE972F219910}"/>
    <cellStyle name="40% - Accent5 2 3 3 5" xfId="9647" xr:uid="{91A960FA-0D58-470A-9B91-2FF791B6A310}"/>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24864" xr:uid="{31CEA529-7D21-414C-B748-5D71009BB2A8}"/>
    <cellStyle name="40% - Accent5 2 3 4 2 2 3" xfId="16423" xr:uid="{A6C28631-58D3-4724-9E60-8DB6A54D1D2A}"/>
    <cellStyle name="40% - Accent5 2 3 4 2 3" xfId="20646" xr:uid="{21714D94-B927-447C-B5DA-D2AEFE7A1F85}"/>
    <cellStyle name="40% - Accent5 2 3 4 2 4" xfId="12205" xr:uid="{DA09AF0A-7767-4EB3-80C1-DDD174FC3BEF}"/>
    <cellStyle name="40% - Accent5 2 3 4 3" xfId="5828" xr:uid="{00000000-0005-0000-0000-000077060000}"/>
    <cellStyle name="40% - Accent5 2 3 4 3 2" xfId="22719" xr:uid="{E701A69C-F10D-42B3-BD2F-290AC7BAEA99}"/>
    <cellStyle name="40% - Accent5 2 3 4 3 3" xfId="14278" xr:uid="{A83AF5BF-A35A-4789-ABC5-E3B7492CDE09}"/>
    <cellStyle name="40% - Accent5 2 3 4 4" xfId="18501" xr:uid="{818C079F-53AF-45CA-B3C0-11908392FC69}"/>
    <cellStyle name="40% - Accent5 2 3 4 5" xfId="10060" xr:uid="{C6DDE38B-7A6D-4BAC-9955-D6D9934F4FFD}"/>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25277" xr:uid="{0B22955C-CEB0-4A38-977E-86286EB64463}"/>
    <cellStyle name="40% - Accent5 2 3 5 2 2 3" xfId="16836" xr:uid="{3EBEB09D-18EE-4334-BD4B-FAA262A42C8A}"/>
    <cellStyle name="40% - Accent5 2 3 5 2 3" xfId="21059" xr:uid="{C8F1E9BB-D4A7-4908-87EF-02B36CBA13CE}"/>
    <cellStyle name="40% - Accent5 2 3 5 2 4" xfId="12618" xr:uid="{7F192369-3C55-4291-81C5-FD038410A8E9}"/>
    <cellStyle name="40% - Accent5 2 3 5 3" xfId="6241" xr:uid="{00000000-0005-0000-0000-00007B060000}"/>
    <cellStyle name="40% - Accent5 2 3 5 3 2" xfId="23132" xr:uid="{DE40E303-9BDA-4BE9-B9DA-5870E3B7A43E}"/>
    <cellStyle name="40% - Accent5 2 3 5 3 3" xfId="14691" xr:uid="{E08F0DE2-0937-4E90-849C-79D6755FF8B6}"/>
    <cellStyle name="40% - Accent5 2 3 5 4" xfId="18914" xr:uid="{F2EF4BA5-89F8-4486-972C-791BF0B30788}"/>
    <cellStyle name="40% - Accent5 2 3 5 5" xfId="10473" xr:uid="{12653C8E-9DD8-4A84-9E46-2E1F0A031415}"/>
    <cellStyle name="40% - Accent5 2 3 6" xfId="2348" xr:uid="{00000000-0005-0000-0000-00007C060000}"/>
    <cellStyle name="40% - Accent5 2 3 6 2" xfId="6654" xr:uid="{00000000-0005-0000-0000-00007D060000}"/>
    <cellStyle name="40% - Accent5 2 3 6 2 2" xfId="23545" xr:uid="{6F7DEB6B-9E58-461C-B93E-ED8C53C96FD3}"/>
    <cellStyle name="40% - Accent5 2 3 6 2 3" xfId="15104" xr:uid="{47D66272-4C64-4B48-B6FC-A0F03245485C}"/>
    <cellStyle name="40% - Accent5 2 3 6 3" xfId="19327" xr:uid="{D6ADDF63-9BB0-4C58-9ED7-9A3FEC4B3F02}"/>
    <cellStyle name="40% - Accent5 2 3 6 4" xfId="10886" xr:uid="{8ED43756-6B00-408E-9CF1-80754E879ED7}"/>
    <cellStyle name="40% - Accent5 2 3 7" xfId="4588" xr:uid="{00000000-0005-0000-0000-00007E060000}"/>
    <cellStyle name="40% - Accent5 2 3 7 2" xfId="21479" xr:uid="{FD12A804-0977-4934-85F8-C48FFF301438}"/>
    <cellStyle name="40% - Accent5 2 3 7 3" xfId="13038" xr:uid="{614C5781-71AE-4F3C-AA64-4A947AD4440D}"/>
    <cellStyle name="40% - Accent5 2 3 8" xfId="17261" xr:uid="{7A5D4ACA-B646-4471-A06A-01E56C7A6706}"/>
    <cellStyle name="40% - Accent5 2 3 9" xfId="8820" xr:uid="{87E1EBD5-85E4-402B-A9EF-E008C280A128}"/>
    <cellStyle name="40% - Accent5 2 4" xfId="651" xr:uid="{00000000-0005-0000-0000-00007F060000}"/>
    <cellStyle name="40% - Accent5 2 4 2" xfId="2922" xr:uid="{00000000-0005-0000-0000-000080060000}"/>
    <cellStyle name="40% - Accent5 2 4 2 2" xfId="7144" xr:uid="{00000000-0005-0000-0000-000081060000}"/>
    <cellStyle name="40% - Accent5 2 4 2 2 2" xfId="24035" xr:uid="{F3A346D8-B351-4175-8546-A405DDB35B4B}"/>
    <cellStyle name="40% - Accent5 2 4 2 2 3" xfId="15594" xr:uid="{4F208594-59A3-4597-9A5C-61C425CEB56B}"/>
    <cellStyle name="40% - Accent5 2 4 2 3" xfId="19817" xr:uid="{E614FB72-DB3E-4C67-AB83-2D30F4B3D4D7}"/>
    <cellStyle name="40% - Accent5 2 4 2 4" xfId="11376" xr:uid="{3683EBAB-7D79-477E-B7F8-E7856119E685}"/>
    <cellStyle name="40% - Accent5 2 4 3" xfId="4999" xr:uid="{00000000-0005-0000-0000-000082060000}"/>
    <cellStyle name="40% - Accent5 2 4 3 2" xfId="21890" xr:uid="{2343F306-3FAA-491C-92AB-8D6526B7F613}"/>
    <cellStyle name="40% - Accent5 2 4 3 3" xfId="13449" xr:uid="{0A1364C6-32CF-43DE-89A5-1793D3793A29}"/>
    <cellStyle name="40% - Accent5 2 4 4" xfId="17672" xr:uid="{9369007C-89C7-49A8-BF25-54401F6C697E}"/>
    <cellStyle name="40% - Accent5 2 4 5" xfId="9231" xr:uid="{00414592-7E68-4C0E-8DFE-97D2F98CF2A7}"/>
    <cellStyle name="40% - Accent5 2 5" xfId="1104" xr:uid="{00000000-0005-0000-0000-000083060000}"/>
    <cellStyle name="40% - Accent5 2 5 2" xfId="3335" xr:uid="{00000000-0005-0000-0000-000084060000}"/>
    <cellStyle name="40% - Accent5 2 5 2 2" xfId="7557" xr:uid="{00000000-0005-0000-0000-000085060000}"/>
    <cellStyle name="40% - Accent5 2 5 2 2 2" xfId="24448" xr:uid="{D084C3DC-2E2E-404B-866C-A1115EA37925}"/>
    <cellStyle name="40% - Accent5 2 5 2 2 3" xfId="16007" xr:uid="{69160D1F-0A49-42FB-B2DB-4263F4F2E119}"/>
    <cellStyle name="40% - Accent5 2 5 2 3" xfId="20230" xr:uid="{27314CE1-A129-40C3-A750-EBBA8447E69D}"/>
    <cellStyle name="40% - Accent5 2 5 2 4" xfId="11789" xr:uid="{6A1A1CA8-FAD0-48F7-87FD-EB0CC9BC8271}"/>
    <cellStyle name="40% - Accent5 2 5 3" xfId="5412" xr:uid="{00000000-0005-0000-0000-000086060000}"/>
    <cellStyle name="40% - Accent5 2 5 3 2" xfId="22303" xr:uid="{A5AD0713-2F23-40B4-868E-C47660D702D3}"/>
    <cellStyle name="40% - Accent5 2 5 3 3" xfId="13862" xr:uid="{462D8DB3-49C1-42F7-9EEC-E284E8F5DFE0}"/>
    <cellStyle name="40% - Accent5 2 5 4" xfId="18085" xr:uid="{BE094C6E-9037-40E2-9191-3C3690EE93A0}"/>
    <cellStyle name="40% - Accent5 2 5 5" xfId="9644" xr:uid="{69A7155B-5F9E-4049-91A2-40C01881AD96}"/>
    <cellStyle name="40% - Accent5 2 6" xfId="1518" xr:uid="{00000000-0005-0000-0000-000087060000}"/>
    <cellStyle name="40% - Accent5 2 6 2" xfId="3748" xr:uid="{00000000-0005-0000-0000-000088060000}"/>
    <cellStyle name="40% - Accent5 2 6 2 2" xfId="7970" xr:uid="{00000000-0005-0000-0000-000089060000}"/>
    <cellStyle name="40% - Accent5 2 6 2 2 2" xfId="24861" xr:uid="{D624306A-892D-4380-A383-7EEFEC2693B1}"/>
    <cellStyle name="40% - Accent5 2 6 2 2 3" xfId="16420" xr:uid="{8CC93275-C878-4A02-92FA-D57FA2212B2A}"/>
    <cellStyle name="40% - Accent5 2 6 2 3" xfId="20643" xr:uid="{11ACB31D-6F77-4B7B-9C90-77A6EA79827D}"/>
    <cellStyle name="40% - Accent5 2 6 2 4" xfId="12202" xr:uid="{1A73126D-994A-4647-A2C0-35ABAD2EA0E5}"/>
    <cellStyle name="40% - Accent5 2 6 3" xfId="5825" xr:uid="{00000000-0005-0000-0000-00008A060000}"/>
    <cellStyle name="40% - Accent5 2 6 3 2" xfId="22716" xr:uid="{C0C2D471-2391-4441-A43F-FC4D070030A5}"/>
    <cellStyle name="40% - Accent5 2 6 3 3" xfId="14275" xr:uid="{BE5EA84C-0EEE-4015-90B3-8CACFB6391C3}"/>
    <cellStyle name="40% - Accent5 2 6 4" xfId="18498" xr:uid="{FE4355F7-207E-4B26-BA31-D3992277EEAB}"/>
    <cellStyle name="40% - Accent5 2 6 5" xfId="10057" xr:uid="{D77EF4D4-6C29-42D5-BF58-17CAE72AD16F}"/>
    <cellStyle name="40% - Accent5 2 7" xfId="1932" xr:uid="{00000000-0005-0000-0000-00008B060000}"/>
    <cellStyle name="40% - Accent5 2 7 2" xfId="4161" xr:uid="{00000000-0005-0000-0000-00008C060000}"/>
    <cellStyle name="40% - Accent5 2 7 2 2" xfId="8383" xr:uid="{00000000-0005-0000-0000-00008D060000}"/>
    <cellStyle name="40% - Accent5 2 7 2 2 2" xfId="25274" xr:uid="{0428E198-1D08-4B13-BFA3-1B2BFFDB4759}"/>
    <cellStyle name="40% - Accent5 2 7 2 2 3" xfId="16833" xr:uid="{CB661398-7900-4D4B-8656-F833801AC821}"/>
    <cellStyle name="40% - Accent5 2 7 2 3" xfId="21056" xr:uid="{A979BDAC-12D9-4523-95E3-D75A06819091}"/>
    <cellStyle name="40% - Accent5 2 7 2 4" xfId="12615" xr:uid="{DB1A3C98-2184-4639-A523-B07B3F40298C}"/>
    <cellStyle name="40% - Accent5 2 7 3" xfId="6238" xr:uid="{00000000-0005-0000-0000-00008E060000}"/>
    <cellStyle name="40% - Accent5 2 7 3 2" xfId="23129" xr:uid="{6D1D8695-637B-4A2C-91ED-DAA23825549F}"/>
    <cellStyle name="40% - Accent5 2 7 3 3" xfId="14688" xr:uid="{EC89D1A7-B9F2-41A2-9050-7021C55240A2}"/>
    <cellStyle name="40% - Accent5 2 7 4" xfId="18911" xr:uid="{EDCB7C97-6972-4CC8-8FC2-AE019B18FB99}"/>
    <cellStyle name="40% - Accent5 2 7 5" xfId="10470" xr:uid="{057C1701-F656-49FE-B4EE-01E109AA4408}"/>
    <cellStyle name="40% - Accent5 2 8" xfId="2345" xr:uid="{00000000-0005-0000-0000-00008F060000}"/>
    <cellStyle name="40% - Accent5 2 8 2" xfId="6651" xr:uid="{00000000-0005-0000-0000-000090060000}"/>
    <cellStyle name="40% - Accent5 2 8 2 2" xfId="23542" xr:uid="{AADE6740-A8CF-4E5D-A480-8151BF97835C}"/>
    <cellStyle name="40% - Accent5 2 8 2 3" xfId="15101" xr:uid="{53C0FDB5-81C2-4E15-95F4-11A039F2B312}"/>
    <cellStyle name="40% - Accent5 2 8 3" xfId="19324" xr:uid="{0B252F9F-9E43-474E-B661-B18F812803B7}"/>
    <cellStyle name="40% - Accent5 2 8 4" xfId="10883" xr:uid="{0E6392A3-0995-4762-BB1E-F6DF697A9C4A}"/>
    <cellStyle name="40% - Accent5 2 9" xfId="4585" xr:uid="{00000000-0005-0000-0000-000091060000}"/>
    <cellStyle name="40% - Accent5 2 9 2" xfId="21476" xr:uid="{15796A50-0AE0-42A8-8BFB-4323523D0175}"/>
    <cellStyle name="40% - Accent5 2 9 3" xfId="13035" xr:uid="{B1510023-620F-4613-987C-83A402E8D70D}"/>
    <cellStyle name="40% - Accent5 3" xfId="86" xr:uid="{00000000-0005-0000-0000-000092060000}"/>
    <cellStyle name="40% - Accent5 3 10" xfId="8821" xr:uid="{1BA5906A-02C7-4208-9D9E-88B3DE76506C}"/>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24040" xr:uid="{91C59CD4-B07E-415E-AFB1-50A7A4A27CDF}"/>
    <cellStyle name="40% - Accent5 3 2 2 2 2 3" xfId="15599" xr:uid="{E56E21AC-5DA4-4982-9A9E-1D1A2A98D52E}"/>
    <cellStyle name="40% - Accent5 3 2 2 2 3" xfId="19822" xr:uid="{966C71B2-27D8-4B66-9E38-EFD528C73CB6}"/>
    <cellStyle name="40% - Accent5 3 2 2 2 4" xfId="11381" xr:uid="{4F9D4EF0-0262-4B67-8BF8-59F86196F537}"/>
    <cellStyle name="40% - Accent5 3 2 2 3" xfId="5004" xr:uid="{00000000-0005-0000-0000-000097060000}"/>
    <cellStyle name="40% - Accent5 3 2 2 3 2" xfId="21895" xr:uid="{F65AE27D-19D9-41B5-ABB3-1D4E93C0BC31}"/>
    <cellStyle name="40% - Accent5 3 2 2 3 3" xfId="13454" xr:uid="{F2034F94-554C-4E60-95FF-3ECA65CDCB14}"/>
    <cellStyle name="40% - Accent5 3 2 2 4" xfId="17677" xr:uid="{4CFF08C6-A283-4A26-92C3-A0595D3EA0DE}"/>
    <cellStyle name="40% - Accent5 3 2 2 5" xfId="9236" xr:uid="{197E6A7E-C66E-4108-A655-3CA5F5358843}"/>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24453" xr:uid="{22ECFF91-BBA5-4644-B913-9F9198F4428F}"/>
    <cellStyle name="40% - Accent5 3 2 3 2 2 3" xfId="16012" xr:uid="{0BBADD33-AB3C-4C82-87D7-B783650C7AEB}"/>
    <cellStyle name="40% - Accent5 3 2 3 2 3" xfId="20235" xr:uid="{E0A7780E-4305-4620-A123-14B8B2F3DE12}"/>
    <cellStyle name="40% - Accent5 3 2 3 2 4" xfId="11794" xr:uid="{80C55198-FF15-4448-A514-F5CA70FC2870}"/>
    <cellStyle name="40% - Accent5 3 2 3 3" xfId="5417" xr:uid="{00000000-0005-0000-0000-00009B060000}"/>
    <cellStyle name="40% - Accent5 3 2 3 3 2" xfId="22308" xr:uid="{DCA1C0AB-8635-47AC-89CC-C163414FB285}"/>
    <cellStyle name="40% - Accent5 3 2 3 3 3" xfId="13867" xr:uid="{A35085D1-A71A-4D5F-AED9-CDD4F36A1917}"/>
    <cellStyle name="40% - Accent5 3 2 3 4" xfId="18090" xr:uid="{116E5039-9101-4718-BE5C-FEAFC69277AB}"/>
    <cellStyle name="40% - Accent5 3 2 3 5" xfId="9649" xr:uid="{E847B99B-9791-4386-9EBF-DC8389DFF4A5}"/>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24866" xr:uid="{B548C617-6109-4F60-9BC3-AB8728AE1C01}"/>
    <cellStyle name="40% - Accent5 3 2 4 2 2 3" xfId="16425" xr:uid="{E9720A76-9773-4E29-9768-51DF524A82ED}"/>
    <cellStyle name="40% - Accent5 3 2 4 2 3" xfId="20648" xr:uid="{AFDCB8CC-EFCB-41E7-809F-3A82A6F862BE}"/>
    <cellStyle name="40% - Accent5 3 2 4 2 4" xfId="12207" xr:uid="{CACE9FCD-DCD6-42D3-A0B3-87A28E8C0A63}"/>
    <cellStyle name="40% - Accent5 3 2 4 3" xfId="5830" xr:uid="{00000000-0005-0000-0000-00009F060000}"/>
    <cellStyle name="40% - Accent5 3 2 4 3 2" xfId="22721" xr:uid="{84DB58DA-50F8-4405-B99A-2BD58B94A101}"/>
    <cellStyle name="40% - Accent5 3 2 4 3 3" xfId="14280" xr:uid="{4948E8B0-A0CB-46E0-98B6-1BB1C8780ADF}"/>
    <cellStyle name="40% - Accent5 3 2 4 4" xfId="18503" xr:uid="{EF93340C-99B2-47CA-8940-DAB59001F3D0}"/>
    <cellStyle name="40% - Accent5 3 2 4 5" xfId="10062" xr:uid="{9376127C-D21F-4523-B69C-7B82D6FA6873}"/>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25279" xr:uid="{767E1B7A-23CB-4DFB-8999-A13AE1C785B6}"/>
    <cellStyle name="40% - Accent5 3 2 5 2 2 3" xfId="16838" xr:uid="{4D538CDE-378C-4F2C-80DB-03A8A2D4C35E}"/>
    <cellStyle name="40% - Accent5 3 2 5 2 3" xfId="21061" xr:uid="{66E64159-C6A1-465B-A615-382DBF47F32F}"/>
    <cellStyle name="40% - Accent5 3 2 5 2 4" xfId="12620" xr:uid="{22FF3F6B-341C-4C3B-883A-B319D057EC14}"/>
    <cellStyle name="40% - Accent5 3 2 5 3" xfId="6243" xr:uid="{00000000-0005-0000-0000-0000A3060000}"/>
    <cellStyle name="40% - Accent5 3 2 5 3 2" xfId="23134" xr:uid="{993B1A01-5253-4647-B540-0CD00AD993F8}"/>
    <cellStyle name="40% - Accent5 3 2 5 3 3" xfId="14693" xr:uid="{F92B84DE-AEA5-4990-A534-289378B203A1}"/>
    <cellStyle name="40% - Accent5 3 2 5 4" xfId="18916" xr:uid="{ED3CD2C9-53CD-46A4-BC27-69156057E86A}"/>
    <cellStyle name="40% - Accent5 3 2 5 5" xfId="10475" xr:uid="{5B92D11B-01ED-439D-BCF7-E6BFBC06B963}"/>
    <cellStyle name="40% - Accent5 3 2 6" xfId="2350" xr:uid="{00000000-0005-0000-0000-0000A4060000}"/>
    <cellStyle name="40% - Accent5 3 2 6 2" xfId="6656" xr:uid="{00000000-0005-0000-0000-0000A5060000}"/>
    <cellStyle name="40% - Accent5 3 2 6 2 2" xfId="23547" xr:uid="{3464543F-22AE-4E33-BAD1-7FF366474BBA}"/>
    <cellStyle name="40% - Accent5 3 2 6 2 3" xfId="15106" xr:uid="{20DF3B27-F330-4B6D-B715-2562392CBEFA}"/>
    <cellStyle name="40% - Accent5 3 2 6 3" xfId="19329" xr:uid="{38E77AF9-6895-48EC-A344-840736156975}"/>
    <cellStyle name="40% - Accent5 3 2 6 4" xfId="10888" xr:uid="{59833B75-4050-4325-BBF3-FF2B58C7518F}"/>
    <cellStyle name="40% - Accent5 3 2 7" xfId="4590" xr:uid="{00000000-0005-0000-0000-0000A6060000}"/>
    <cellStyle name="40% - Accent5 3 2 7 2" xfId="21481" xr:uid="{7318705A-C492-43B2-B0DC-91A35DEEE601}"/>
    <cellStyle name="40% - Accent5 3 2 7 3" xfId="13040" xr:uid="{45C06F99-8841-42C9-B1F3-B0AB1CD71238}"/>
    <cellStyle name="40% - Accent5 3 2 8" xfId="17263" xr:uid="{E7565BEC-B3C9-4F99-AF3D-BB2E2E71A784}"/>
    <cellStyle name="40% - Accent5 3 2 9" xfId="8822" xr:uid="{BCFB3425-3580-4F64-A05F-D3B8D3134BF2}"/>
    <cellStyle name="40% - Accent5 3 3" xfId="655" xr:uid="{00000000-0005-0000-0000-0000A7060000}"/>
    <cellStyle name="40% - Accent5 3 3 2" xfId="2926" xr:uid="{00000000-0005-0000-0000-0000A8060000}"/>
    <cellStyle name="40% - Accent5 3 3 2 2" xfId="7148" xr:uid="{00000000-0005-0000-0000-0000A9060000}"/>
    <cellStyle name="40% - Accent5 3 3 2 2 2" xfId="24039" xr:uid="{08C2919A-BC39-496F-B4E1-81593825BF18}"/>
    <cellStyle name="40% - Accent5 3 3 2 2 3" xfId="15598" xr:uid="{3EA6613D-3096-4E6E-AEAD-A3D2968A44DF}"/>
    <cellStyle name="40% - Accent5 3 3 2 3" xfId="19821" xr:uid="{B9EC7814-E9C9-4602-8F7C-3AE7CD881584}"/>
    <cellStyle name="40% - Accent5 3 3 2 4" xfId="11380" xr:uid="{2C2323CF-29BB-45FC-AE20-E83A299326AB}"/>
    <cellStyle name="40% - Accent5 3 3 3" xfId="5003" xr:uid="{00000000-0005-0000-0000-0000AA060000}"/>
    <cellStyle name="40% - Accent5 3 3 3 2" xfId="21894" xr:uid="{D249F334-077C-4205-8D5D-F492D40779BC}"/>
    <cellStyle name="40% - Accent5 3 3 3 3" xfId="13453" xr:uid="{9AC3DBB4-E69F-4820-BBC7-0D570FF42C8E}"/>
    <cellStyle name="40% - Accent5 3 3 4" xfId="17676" xr:uid="{7159CC65-5F1E-4451-834C-4774F6ED3B8F}"/>
    <cellStyle name="40% - Accent5 3 3 5" xfId="9235" xr:uid="{31ED8E53-125E-4C69-9A37-46C082127786}"/>
    <cellStyle name="40% - Accent5 3 4" xfId="1108" xr:uid="{00000000-0005-0000-0000-0000AB060000}"/>
    <cellStyle name="40% - Accent5 3 4 2" xfId="3339" xr:uid="{00000000-0005-0000-0000-0000AC060000}"/>
    <cellStyle name="40% - Accent5 3 4 2 2" xfId="7561" xr:uid="{00000000-0005-0000-0000-0000AD060000}"/>
    <cellStyle name="40% - Accent5 3 4 2 2 2" xfId="24452" xr:uid="{042AAFBD-0F57-4FA6-AAEB-CD4AD3B44990}"/>
    <cellStyle name="40% - Accent5 3 4 2 2 3" xfId="16011" xr:uid="{46347D2E-E6DC-4EE0-9D7A-CD3FE9650F3E}"/>
    <cellStyle name="40% - Accent5 3 4 2 3" xfId="20234" xr:uid="{89520ED2-EEE4-4A69-ACEF-C1C6BC52259F}"/>
    <cellStyle name="40% - Accent5 3 4 2 4" xfId="11793" xr:uid="{AF4C3CF0-438C-4621-A49C-7CCC48D03898}"/>
    <cellStyle name="40% - Accent5 3 4 3" xfId="5416" xr:uid="{00000000-0005-0000-0000-0000AE060000}"/>
    <cellStyle name="40% - Accent5 3 4 3 2" xfId="22307" xr:uid="{F8A12F48-8538-4708-89A2-465CFF4597FB}"/>
    <cellStyle name="40% - Accent5 3 4 3 3" xfId="13866" xr:uid="{39D0B199-A392-416D-88B2-EF1EFB010B7E}"/>
    <cellStyle name="40% - Accent5 3 4 4" xfId="18089" xr:uid="{B835DE83-1417-4E7D-93A7-8A0D7DC4734E}"/>
    <cellStyle name="40% - Accent5 3 4 5" xfId="9648" xr:uid="{6F74F912-F6EE-4629-9061-A41E3116F5FC}"/>
    <cellStyle name="40% - Accent5 3 5" xfId="1522" xr:uid="{00000000-0005-0000-0000-0000AF060000}"/>
    <cellStyle name="40% - Accent5 3 5 2" xfId="3752" xr:uid="{00000000-0005-0000-0000-0000B0060000}"/>
    <cellStyle name="40% - Accent5 3 5 2 2" xfId="7974" xr:uid="{00000000-0005-0000-0000-0000B1060000}"/>
    <cellStyle name="40% - Accent5 3 5 2 2 2" xfId="24865" xr:uid="{82DE1159-E897-423B-80CC-4C54DA27AF68}"/>
    <cellStyle name="40% - Accent5 3 5 2 2 3" xfId="16424" xr:uid="{D732E6E2-EF55-4C2A-B39C-2F47D081BFED}"/>
    <cellStyle name="40% - Accent5 3 5 2 3" xfId="20647" xr:uid="{84D0EA0B-7888-4742-8143-1E9F71194D02}"/>
    <cellStyle name="40% - Accent5 3 5 2 4" xfId="12206" xr:uid="{C833A535-0540-4F07-91CA-C3D6BC7EBA75}"/>
    <cellStyle name="40% - Accent5 3 5 3" xfId="5829" xr:uid="{00000000-0005-0000-0000-0000B2060000}"/>
    <cellStyle name="40% - Accent5 3 5 3 2" xfId="22720" xr:uid="{DFD42290-0DC4-4896-B9EB-EFB4C3B2A7FA}"/>
    <cellStyle name="40% - Accent5 3 5 3 3" xfId="14279" xr:uid="{CA86028D-8D6A-4C46-884E-3BEA103C88DD}"/>
    <cellStyle name="40% - Accent5 3 5 4" xfId="18502" xr:uid="{F56A1D0F-8A44-4974-A77C-4E8DB522671A}"/>
    <cellStyle name="40% - Accent5 3 5 5" xfId="10061" xr:uid="{1B1F9928-571F-4FB9-80F5-E7787E98D5AB}"/>
    <cellStyle name="40% - Accent5 3 6" xfId="1936" xr:uid="{00000000-0005-0000-0000-0000B3060000}"/>
    <cellStyle name="40% - Accent5 3 6 2" xfId="4165" xr:uid="{00000000-0005-0000-0000-0000B4060000}"/>
    <cellStyle name="40% - Accent5 3 6 2 2" xfId="8387" xr:uid="{00000000-0005-0000-0000-0000B5060000}"/>
    <cellStyle name="40% - Accent5 3 6 2 2 2" xfId="25278" xr:uid="{B9F00BED-4740-4AE0-BD14-E6865A5A40F8}"/>
    <cellStyle name="40% - Accent5 3 6 2 2 3" xfId="16837" xr:uid="{1BF312D0-EB08-4552-A796-D0D747DC7DDA}"/>
    <cellStyle name="40% - Accent5 3 6 2 3" xfId="21060" xr:uid="{B464DA23-8984-4BC4-A4CB-EF500F55C029}"/>
    <cellStyle name="40% - Accent5 3 6 2 4" xfId="12619" xr:uid="{D04EBDE6-7D2D-4C14-9966-43ECAECA9BC0}"/>
    <cellStyle name="40% - Accent5 3 6 3" xfId="6242" xr:uid="{00000000-0005-0000-0000-0000B6060000}"/>
    <cellStyle name="40% - Accent5 3 6 3 2" xfId="23133" xr:uid="{1E6DB7ED-B75C-449E-8A0E-60A63FD42E0A}"/>
    <cellStyle name="40% - Accent5 3 6 3 3" xfId="14692" xr:uid="{5A75F037-EC4D-4BE1-A020-AB07012B0B84}"/>
    <cellStyle name="40% - Accent5 3 6 4" xfId="18915" xr:uid="{9CFBDA45-3CEA-40D0-93A0-0C52A450C7A9}"/>
    <cellStyle name="40% - Accent5 3 6 5" xfId="10474" xr:uid="{99C7BAD0-8C67-4233-8A96-98BDBF8B2AB5}"/>
    <cellStyle name="40% - Accent5 3 7" xfId="2349" xr:uid="{00000000-0005-0000-0000-0000B7060000}"/>
    <cellStyle name="40% - Accent5 3 7 2" xfId="6655" xr:uid="{00000000-0005-0000-0000-0000B8060000}"/>
    <cellStyle name="40% - Accent5 3 7 2 2" xfId="23546" xr:uid="{58C0C24D-5A26-41FB-8FB9-746D36D015C1}"/>
    <cellStyle name="40% - Accent5 3 7 2 3" xfId="15105" xr:uid="{CABA898A-2704-4B76-B5D7-38BD8DDA56D0}"/>
    <cellStyle name="40% - Accent5 3 7 3" xfId="19328" xr:uid="{5CCBC8B7-F0BC-48B7-906D-99838570C44D}"/>
    <cellStyle name="40% - Accent5 3 7 4" xfId="10887" xr:uid="{98614300-C3E8-418A-85E5-FD65C3FEE85F}"/>
    <cellStyle name="40% - Accent5 3 8" xfId="4589" xr:uid="{00000000-0005-0000-0000-0000B9060000}"/>
    <cellStyle name="40% - Accent5 3 8 2" xfId="21480" xr:uid="{44755756-D25B-40DB-88E8-0C30519C1CDF}"/>
    <cellStyle name="40% - Accent5 3 8 3" xfId="13039" xr:uid="{2AC6E3FA-EEC1-47A0-95F1-633A56905EC4}"/>
    <cellStyle name="40% - Accent5 3 9" xfId="17262" xr:uid="{D6AA8E08-AF43-4907-BBBC-31E5DE9C6A8A}"/>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2 2 2" xfId="24041" xr:uid="{F26C07DB-8DB9-4917-8959-290381C7D8FD}"/>
    <cellStyle name="40% - Accent5 4 2 2 2 3" xfId="15600" xr:uid="{C8D0291B-E485-4F67-92FF-CDB89686B44F}"/>
    <cellStyle name="40% - Accent5 4 2 2 3" xfId="19823" xr:uid="{28C897DD-1059-48F8-AD4D-4964ABEA3DEA}"/>
    <cellStyle name="40% - Accent5 4 2 2 4" xfId="11382" xr:uid="{6A20C410-714A-459B-A21F-65BB6ADD1D35}"/>
    <cellStyle name="40% - Accent5 4 2 3" xfId="5005" xr:uid="{00000000-0005-0000-0000-0000BE060000}"/>
    <cellStyle name="40% - Accent5 4 2 3 2" xfId="21896" xr:uid="{88E0B6AF-D5F0-4DAA-9840-D7754EA6D0F5}"/>
    <cellStyle name="40% - Accent5 4 2 3 3" xfId="13455" xr:uid="{989A5855-D754-4BE4-B214-29A83A0B81FE}"/>
    <cellStyle name="40% - Accent5 4 2 4" xfId="17678" xr:uid="{C010C967-6930-4133-8B85-FD4EA26936F1}"/>
    <cellStyle name="40% - Accent5 4 2 5" xfId="9237" xr:uid="{BD5650FC-DDF6-4D1E-93DF-F24E4A58B80F}"/>
    <cellStyle name="40% - Accent5 4 3" xfId="1110" xr:uid="{00000000-0005-0000-0000-0000BF060000}"/>
    <cellStyle name="40% - Accent5 4 3 2" xfId="3341" xr:uid="{00000000-0005-0000-0000-0000C0060000}"/>
    <cellStyle name="40% - Accent5 4 3 2 2" xfId="7563" xr:uid="{00000000-0005-0000-0000-0000C1060000}"/>
    <cellStyle name="40% - Accent5 4 3 2 2 2" xfId="24454" xr:uid="{10516ACF-271E-48FE-83EC-AA3C19774918}"/>
    <cellStyle name="40% - Accent5 4 3 2 2 3" xfId="16013" xr:uid="{18A03506-ECBF-443C-94C3-35112A6BC778}"/>
    <cellStyle name="40% - Accent5 4 3 2 3" xfId="20236" xr:uid="{9AA88E0C-FECC-4B2E-9977-E383F94D252D}"/>
    <cellStyle name="40% - Accent5 4 3 2 4" xfId="11795" xr:uid="{9F86675C-FDED-449D-A0A6-D6DDC282FC2F}"/>
    <cellStyle name="40% - Accent5 4 3 3" xfId="5418" xr:uid="{00000000-0005-0000-0000-0000C2060000}"/>
    <cellStyle name="40% - Accent5 4 3 3 2" xfId="22309" xr:uid="{A466BBB4-DF7D-4D37-8570-04B4742CAEEF}"/>
    <cellStyle name="40% - Accent5 4 3 3 3" xfId="13868" xr:uid="{9EDF92AD-56C8-4A6A-8323-FE463EE425C2}"/>
    <cellStyle name="40% - Accent5 4 3 4" xfId="18091" xr:uid="{1C444AD4-3045-4D2C-B48E-FEC9F3AF58E6}"/>
    <cellStyle name="40% - Accent5 4 3 5" xfId="9650" xr:uid="{C6ADC290-91FD-4168-B301-9DD902A91868}"/>
    <cellStyle name="40% - Accent5 4 4" xfId="1524" xr:uid="{00000000-0005-0000-0000-0000C3060000}"/>
    <cellStyle name="40% - Accent5 4 4 2" xfId="3754" xr:uid="{00000000-0005-0000-0000-0000C4060000}"/>
    <cellStyle name="40% - Accent5 4 4 2 2" xfId="7976" xr:uid="{00000000-0005-0000-0000-0000C5060000}"/>
    <cellStyle name="40% - Accent5 4 4 2 2 2" xfId="24867" xr:uid="{868AF2D6-E1DA-4BBE-96A3-17C4018BCE91}"/>
    <cellStyle name="40% - Accent5 4 4 2 2 3" xfId="16426" xr:uid="{8F25420C-5A20-4968-A2A9-811EED74F41D}"/>
    <cellStyle name="40% - Accent5 4 4 2 3" xfId="20649" xr:uid="{8E4DA29B-2711-44BA-9E60-4F473932B942}"/>
    <cellStyle name="40% - Accent5 4 4 2 4" xfId="12208" xr:uid="{9271A2B2-0596-4758-B65F-F30C10B604AE}"/>
    <cellStyle name="40% - Accent5 4 4 3" xfId="5831" xr:uid="{00000000-0005-0000-0000-0000C6060000}"/>
    <cellStyle name="40% - Accent5 4 4 3 2" xfId="22722" xr:uid="{90AE4C8B-1B12-43CA-86FE-FE4054A1FF37}"/>
    <cellStyle name="40% - Accent5 4 4 3 3" xfId="14281" xr:uid="{1F8E0290-0866-45CD-9784-2AF814B65772}"/>
    <cellStyle name="40% - Accent5 4 4 4" xfId="18504" xr:uid="{824C249B-80A9-425D-AC04-A1B76C0065B5}"/>
    <cellStyle name="40% - Accent5 4 4 5" xfId="10063" xr:uid="{E1481479-D04A-4A1B-AEA3-E56BBE479CCA}"/>
    <cellStyle name="40% - Accent5 4 5" xfId="1938" xr:uid="{00000000-0005-0000-0000-0000C7060000}"/>
    <cellStyle name="40% - Accent5 4 5 2" xfId="4167" xr:uid="{00000000-0005-0000-0000-0000C8060000}"/>
    <cellStyle name="40% - Accent5 4 5 2 2" xfId="8389" xr:uid="{00000000-0005-0000-0000-0000C9060000}"/>
    <cellStyle name="40% - Accent5 4 5 2 2 2" xfId="25280" xr:uid="{FE13A060-F51C-4CEF-AAF1-6CA7ABE97AE8}"/>
    <cellStyle name="40% - Accent5 4 5 2 2 3" xfId="16839" xr:uid="{2F3528CA-D097-4C65-AEEC-B988EBB345E6}"/>
    <cellStyle name="40% - Accent5 4 5 2 3" xfId="21062" xr:uid="{EC3CB8AF-66F2-472D-8CA5-EA22145D5789}"/>
    <cellStyle name="40% - Accent5 4 5 2 4" xfId="12621" xr:uid="{85EE6B57-58B0-4FF6-9BDE-312E9054BCF5}"/>
    <cellStyle name="40% - Accent5 4 5 3" xfId="6244" xr:uid="{00000000-0005-0000-0000-0000CA060000}"/>
    <cellStyle name="40% - Accent5 4 5 3 2" xfId="23135" xr:uid="{E8F11074-5B89-4256-BE92-F410051A45A0}"/>
    <cellStyle name="40% - Accent5 4 5 3 3" xfId="14694" xr:uid="{20C65010-636E-430A-8F9E-755F3DAB529A}"/>
    <cellStyle name="40% - Accent5 4 5 4" xfId="18917" xr:uid="{784C16C4-70A7-468B-80E9-82C18598231F}"/>
    <cellStyle name="40% - Accent5 4 5 5" xfId="10476" xr:uid="{22E0B66F-CCC5-4B2E-9B1C-80B97D3DDBF4}"/>
    <cellStyle name="40% - Accent5 4 6" xfId="2351" xr:uid="{00000000-0005-0000-0000-0000CB060000}"/>
    <cellStyle name="40% - Accent5 4 6 2" xfId="6657" xr:uid="{00000000-0005-0000-0000-0000CC060000}"/>
    <cellStyle name="40% - Accent5 4 6 2 2" xfId="23548" xr:uid="{8B7107BF-50EC-4A37-A4EF-6B28F62D67E5}"/>
    <cellStyle name="40% - Accent5 4 6 2 3" xfId="15107" xr:uid="{A62A9EA7-E54C-4AF5-99C2-DDC6A460AC01}"/>
    <cellStyle name="40% - Accent5 4 6 3" xfId="19330" xr:uid="{0444AF37-4967-441D-BD14-2409FA0DE95C}"/>
    <cellStyle name="40% - Accent5 4 6 4" xfId="10889" xr:uid="{575C2A05-AA76-4E0F-BF23-25E163EECD10}"/>
    <cellStyle name="40% - Accent5 4 7" xfId="4591" xr:uid="{00000000-0005-0000-0000-0000CD060000}"/>
    <cellStyle name="40% - Accent5 4 7 2" xfId="21482" xr:uid="{8EDF2B66-C4D8-45A3-B916-2052DBFD9ECA}"/>
    <cellStyle name="40% - Accent5 4 7 3" xfId="13041" xr:uid="{255F77EF-09AC-42FC-B87D-05496F6FAA2F}"/>
    <cellStyle name="40% - Accent5 4 8" xfId="17264" xr:uid="{C3771A47-9316-4231-85B7-7D66EA2DDFD0}"/>
    <cellStyle name="40% - Accent5 4 9" xfId="8823" xr:uid="{34F85C41-ADCA-4017-9239-1523A62D1986}"/>
    <cellStyle name="40% - Accent5 5" xfId="650" xr:uid="{00000000-0005-0000-0000-0000CE060000}"/>
    <cellStyle name="40% - Accent5 5 2" xfId="2921" xr:uid="{00000000-0005-0000-0000-0000CF060000}"/>
    <cellStyle name="40% - Accent5 5 2 2" xfId="7143" xr:uid="{00000000-0005-0000-0000-0000D0060000}"/>
    <cellStyle name="40% - Accent5 5 2 2 2" xfId="24034" xr:uid="{38D0FFAB-7425-40D0-B9EB-1BC4AC664B29}"/>
    <cellStyle name="40% - Accent5 5 2 2 3" xfId="15593" xr:uid="{6F1FE81A-DA4F-472C-A756-DF767CD4E953}"/>
    <cellStyle name="40% - Accent5 5 2 3" xfId="19816" xr:uid="{F1069EAC-54E5-4073-A302-4D7BEC389354}"/>
    <cellStyle name="40% - Accent5 5 2 4" xfId="11375" xr:uid="{28D51DCB-23DA-428B-99FC-B0A9A91C23B0}"/>
    <cellStyle name="40% - Accent5 5 3" xfId="4998" xr:uid="{00000000-0005-0000-0000-0000D1060000}"/>
    <cellStyle name="40% - Accent5 5 3 2" xfId="21889" xr:uid="{FE8058A8-9014-4BB5-B8F4-8E95958CCB08}"/>
    <cellStyle name="40% - Accent5 5 3 3" xfId="13448" xr:uid="{299EF97F-DBB6-4A51-93EB-CF33014E9902}"/>
    <cellStyle name="40% - Accent5 5 4" xfId="17671" xr:uid="{39DF2C07-EB51-4666-93EF-47B60FF45FAF}"/>
    <cellStyle name="40% - Accent5 5 5" xfId="9230" xr:uid="{B8D5B695-9C56-4908-9D4B-64B0D91C2EDC}"/>
    <cellStyle name="40% - Accent5 6" xfId="1103" xr:uid="{00000000-0005-0000-0000-0000D2060000}"/>
    <cellStyle name="40% - Accent5 6 2" xfId="3334" xr:uid="{00000000-0005-0000-0000-0000D3060000}"/>
    <cellStyle name="40% - Accent5 6 2 2" xfId="7556" xr:uid="{00000000-0005-0000-0000-0000D4060000}"/>
    <cellStyle name="40% - Accent5 6 2 2 2" xfId="24447" xr:uid="{A483F10F-D827-4309-BFE0-A5F1A84255C1}"/>
    <cellStyle name="40% - Accent5 6 2 2 3" xfId="16006" xr:uid="{DB3136FF-1BE7-4838-848B-E7155C063564}"/>
    <cellStyle name="40% - Accent5 6 2 3" xfId="20229" xr:uid="{A6A521EF-967F-4492-AEF2-C62CFAF64757}"/>
    <cellStyle name="40% - Accent5 6 2 4" xfId="11788" xr:uid="{4B2D169B-83D1-4AD1-BD4D-622EC312FEF5}"/>
    <cellStyle name="40% - Accent5 6 3" xfId="5411" xr:uid="{00000000-0005-0000-0000-0000D5060000}"/>
    <cellStyle name="40% - Accent5 6 3 2" xfId="22302" xr:uid="{91CE74DE-A39D-40C9-8855-9DA7A8EFC16C}"/>
    <cellStyle name="40% - Accent5 6 3 3" xfId="13861" xr:uid="{0225A2D4-0461-4189-82AC-21725801D2D9}"/>
    <cellStyle name="40% - Accent5 6 4" xfId="18084" xr:uid="{065EBFB8-9EC2-498D-B49E-D3C329315AFE}"/>
    <cellStyle name="40% - Accent5 6 5" xfId="9643" xr:uid="{253BE0A9-9467-4E69-AA09-8C34725ABCF9}"/>
    <cellStyle name="40% - Accent5 7" xfId="1517" xr:uid="{00000000-0005-0000-0000-0000D6060000}"/>
    <cellStyle name="40% - Accent5 7 2" xfId="3747" xr:uid="{00000000-0005-0000-0000-0000D7060000}"/>
    <cellStyle name="40% - Accent5 7 2 2" xfId="7969" xr:uid="{00000000-0005-0000-0000-0000D8060000}"/>
    <cellStyle name="40% - Accent5 7 2 2 2" xfId="24860" xr:uid="{3AFA5A2D-5FBD-453B-803D-E10AFE97A390}"/>
    <cellStyle name="40% - Accent5 7 2 2 3" xfId="16419" xr:uid="{333EDB54-6742-4EFA-924D-7C2484331AAF}"/>
    <cellStyle name="40% - Accent5 7 2 3" xfId="20642" xr:uid="{957C755B-EE93-49A9-BF1D-2DB0068AA552}"/>
    <cellStyle name="40% - Accent5 7 2 4" xfId="12201" xr:uid="{A3AC2BF6-66D3-4BEB-809A-3D8A57863D58}"/>
    <cellStyle name="40% - Accent5 7 3" xfId="5824" xr:uid="{00000000-0005-0000-0000-0000D9060000}"/>
    <cellStyle name="40% - Accent5 7 3 2" xfId="22715" xr:uid="{789BCF6C-7075-439F-A953-08B0C155B002}"/>
    <cellStyle name="40% - Accent5 7 3 3" xfId="14274" xr:uid="{5BF9F1A6-4F10-436B-9385-470A1CE836A7}"/>
    <cellStyle name="40% - Accent5 7 4" xfId="18497" xr:uid="{82496238-B5FE-44FE-A60D-2C7EBBA335E1}"/>
    <cellStyle name="40% - Accent5 7 5" xfId="10056" xr:uid="{3D03DB47-88FE-425F-8028-572BCBA3605B}"/>
    <cellStyle name="40% - Accent5 8" xfId="1931" xr:uid="{00000000-0005-0000-0000-0000DA060000}"/>
    <cellStyle name="40% - Accent5 8 2" xfId="4160" xr:uid="{00000000-0005-0000-0000-0000DB060000}"/>
    <cellStyle name="40% - Accent5 8 2 2" xfId="8382" xr:uid="{00000000-0005-0000-0000-0000DC060000}"/>
    <cellStyle name="40% - Accent5 8 2 2 2" xfId="25273" xr:uid="{00DDD763-703D-4B04-B167-F7B0EB0BDFA5}"/>
    <cellStyle name="40% - Accent5 8 2 2 3" xfId="16832" xr:uid="{D4E28744-6610-4647-B048-D58A44AE06E9}"/>
    <cellStyle name="40% - Accent5 8 2 3" xfId="21055" xr:uid="{6CC25D92-E552-411C-8D5B-F2F13F709522}"/>
    <cellStyle name="40% - Accent5 8 2 4" xfId="12614" xr:uid="{26038594-00A5-487E-97FB-289B47AF2FEA}"/>
    <cellStyle name="40% - Accent5 8 3" xfId="6237" xr:uid="{00000000-0005-0000-0000-0000DD060000}"/>
    <cellStyle name="40% - Accent5 8 3 2" xfId="23128" xr:uid="{5F633A2E-CCCF-4020-AB05-67BD6315A73F}"/>
    <cellStyle name="40% - Accent5 8 3 3" xfId="14687" xr:uid="{90370C46-7A43-4503-B687-5F8482D54802}"/>
    <cellStyle name="40% - Accent5 8 4" xfId="18910" xr:uid="{0FB9252F-6E8A-4856-9DB5-6C4923F20253}"/>
    <cellStyle name="40% - Accent5 8 5" xfId="10469" xr:uid="{67A35415-4FE3-4344-BB93-A187BF4C7747}"/>
    <cellStyle name="40% - Accent5 9" xfId="2344" xr:uid="{00000000-0005-0000-0000-0000DE060000}"/>
    <cellStyle name="40% - Accent5 9 2" xfId="6650" xr:uid="{00000000-0005-0000-0000-0000DF060000}"/>
    <cellStyle name="40% - Accent5 9 2 2" xfId="23541" xr:uid="{8E36C839-B737-42CA-95E6-2D7F7BB1D7C0}"/>
    <cellStyle name="40% - Accent5 9 2 3" xfId="15100" xr:uid="{332060FA-EBFE-4F82-98C5-38E29D9A0CBF}"/>
    <cellStyle name="40% - Accent5 9 3" xfId="19323" xr:uid="{5DFADD1C-0BF5-48FB-8358-6A4C1BC9EBA4}"/>
    <cellStyle name="40% - Accent5 9 4" xfId="10882" xr:uid="{7E2D3D2E-5ABA-492A-B030-C63AE71EF5D4}"/>
    <cellStyle name="40% - Accent6" xfId="89" builtinId="51" customBuiltin="1"/>
    <cellStyle name="40% - Accent6 10" xfId="4592" xr:uid="{00000000-0005-0000-0000-0000E1060000}"/>
    <cellStyle name="40% - Accent6 10 2" xfId="21483" xr:uid="{4C9E25D3-143D-4D2C-9146-A1D62F74149F}"/>
    <cellStyle name="40% - Accent6 10 3" xfId="13042" xr:uid="{5EADE594-0800-4CB5-A3F4-82E663D6C5FB}"/>
    <cellStyle name="40% - Accent6 11" xfId="17265" xr:uid="{D47EF1AC-8768-4DBD-B7D8-D3A8E17ACACB}"/>
    <cellStyle name="40% - Accent6 12" xfId="8824" xr:uid="{2EF4BF91-9A55-4918-82F0-7CA7DF5FC9B8}"/>
    <cellStyle name="40% - Accent6 2" xfId="90" xr:uid="{00000000-0005-0000-0000-0000E2060000}"/>
    <cellStyle name="40% - Accent6 2 10" xfId="17266" xr:uid="{B4BBC578-140F-4BCA-98EB-D4415B42B242}"/>
    <cellStyle name="40% - Accent6 2 11" xfId="8825" xr:uid="{144E488C-AFEB-4619-BC55-4F0D5D486526}"/>
    <cellStyle name="40% - Accent6 2 2" xfId="91" xr:uid="{00000000-0005-0000-0000-0000E3060000}"/>
    <cellStyle name="40% - Accent6 2 2 10" xfId="8826" xr:uid="{C14C7447-C49A-467F-ABFF-7351CB048A64}"/>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24045" xr:uid="{8547D754-3737-42D4-8D30-85B86CE67CE0}"/>
    <cellStyle name="40% - Accent6 2 2 2 2 2 2 3" xfId="15604" xr:uid="{841BA326-2FB3-4B19-82C2-D9F495347A34}"/>
    <cellStyle name="40% - Accent6 2 2 2 2 2 3" xfId="19827" xr:uid="{6454E406-7992-44B7-9E03-F618902FD6AF}"/>
    <cellStyle name="40% - Accent6 2 2 2 2 2 4" xfId="11386" xr:uid="{269104F4-F238-4820-AAB8-5D88776E1918}"/>
    <cellStyle name="40% - Accent6 2 2 2 2 3" xfId="5009" xr:uid="{00000000-0005-0000-0000-0000E8060000}"/>
    <cellStyle name="40% - Accent6 2 2 2 2 3 2" xfId="21900" xr:uid="{95C8BDEB-6F93-42C4-B9B8-7125121DFF20}"/>
    <cellStyle name="40% - Accent6 2 2 2 2 3 3" xfId="13459" xr:uid="{3610AB1D-54BF-4823-939D-407B6AB1F279}"/>
    <cellStyle name="40% - Accent6 2 2 2 2 4" xfId="17682" xr:uid="{31FCD477-EB3B-46AC-9C4C-0AB628E1AA45}"/>
    <cellStyle name="40% - Accent6 2 2 2 2 5" xfId="9241" xr:uid="{1B549EEA-C088-4C79-BEBF-5121DE45F853}"/>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24458" xr:uid="{D99B17FD-777D-450C-A760-9DAE9B294C65}"/>
    <cellStyle name="40% - Accent6 2 2 2 3 2 2 3" xfId="16017" xr:uid="{43B24D15-1402-4429-B03A-73F26042763B}"/>
    <cellStyle name="40% - Accent6 2 2 2 3 2 3" xfId="20240" xr:uid="{05DF6E5C-13F1-49AF-A4D3-AC7060C4B317}"/>
    <cellStyle name="40% - Accent6 2 2 2 3 2 4" xfId="11799" xr:uid="{24120C00-CE06-4D51-B9C9-7F9E584E97F3}"/>
    <cellStyle name="40% - Accent6 2 2 2 3 3" xfId="5422" xr:uid="{00000000-0005-0000-0000-0000EC060000}"/>
    <cellStyle name="40% - Accent6 2 2 2 3 3 2" xfId="22313" xr:uid="{E67BE1E8-6E2B-4A87-9B8B-441F4C0ED4D5}"/>
    <cellStyle name="40% - Accent6 2 2 2 3 3 3" xfId="13872" xr:uid="{8ED3EE42-455E-46F1-A1AF-6FE421F13A90}"/>
    <cellStyle name="40% - Accent6 2 2 2 3 4" xfId="18095" xr:uid="{048FA76C-43A4-4AAD-84C1-E1D35F62205D}"/>
    <cellStyle name="40% - Accent6 2 2 2 3 5" xfId="9654" xr:uid="{4EC9F2BE-1E6B-483A-8F7E-2208BC899F93}"/>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24871" xr:uid="{D04AA96C-A5DC-4A9A-9697-F851F61FE880}"/>
    <cellStyle name="40% - Accent6 2 2 2 4 2 2 3" xfId="16430" xr:uid="{30168D5C-DD95-44BD-B58D-825D05009348}"/>
    <cellStyle name="40% - Accent6 2 2 2 4 2 3" xfId="20653" xr:uid="{DAAF552D-4A7A-479A-9819-3C31DD42AC97}"/>
    <cellStyle name="40% - Accent6 2 2 2 4 2 4" xfId="12212" xr:uid="{7819E76C-B2E5-46DA-9DD3-B95D9310B573}"/>
    <cellStyle name="40% - Accent6 2 2 2 4 3" xfId="5835" xr:uid="{00000000-0005-0000-0000-0000F0060000}"/>
    <cellStyle name="40% - Accent6 2 2 2 4 3 2" xfId="22726" xr:uid="{20D3FCAF-097D-4476-A25D-998DA1174B40}"/>
    <cellStyle name="40% - Accent6 2 2 2 4 3 3" xfId="14285" xr:uid="{E32A1C46-C38C-4BB4-8F7E-5CD41CB41365}"/>
    <cellStyle name="40% - Accent6 2 2 2 4 4" xfId="18508" xr:uid="{8FD39FC8-6D54-4DAE-8A97-3CC0708582C1}"/>
    <cellStyle name="40% - Accent6 2 2 2 4 5" xfId="10067" xr:uid="{92A6E098-3647-45C9-A60A-D97612D80229}"/>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25284" xr:uid="{8E07AFE2-297E-415F-A3F6-1952462A89EE}"/>
    <cellStyle name="40% - Accent6 2 2 2 5 2 2 3" xfId="16843" xr:uid="{B8F8726A-34F5-4662-A118-2256E69D4616}"/>
    <cellStyle name="40% - Accent6 2 2 2 5 2 3" xfId="21066" xr:uid="{FCF0893F-D663-40D3-A640-3C7DBABEA599}"/>
    <cellStyle name="40% - Accent6 2 2 2 5 2 4" xfId="12625" xr:uid="{7392BF50-AEBE-4737-A6A6-3DC97878AC85}"/>
    <cellStyle name="40% - Accent6 2 2 2 5 3" xfId="6248" xr:uid="{00000000-0005-0000-0000-0000F4060000}"/>
    <cellStyle name="40% - Accent6 2 2 2 5 3 2" xfId="23139" xr:uid="{191FC999-6F2A-4EC2-9643-756C79124745}"/>
    <cellStyle name="40% - Accent6 2 2 2 5 3 3" xfId="14698" xr:uid="{BE303960-33B9-4E9C-AC70-F3B7032F699E}"/>
    <cellStyle name="40% - Accent6 2 2 2 5 4" xfId="18921" xr:uid="{6BA6FEAE-4335-44CC-A608-F1738D4BB387}"/>
    <cellStyle name="40% - Accent6 2 2 2 5 5" xfId="10480" xr:uid="{9F6546DD-B8D3-4286-AD15-27715F092A4D}"/>
    <cellStyle name="40% - Accent6 2 2 2 6" xfId="2355" xr:uid="{00000000-0005-0000-0000-0000F5060000}"/>
    <cellStyle name="40% - Accent6 2 2 2 6 2" xfId="6661" xr:uid="{00000000-0005-0000-0000-0000F6060000}"/>
    <cellStyle name="40% - Accent6 2 2 2 6 2 2" xfId="23552" xr:uid="{6E261A95-E4A8-4594-859F-4DC97B3216BE}"/>
    <cellStyle name="40% - Accent6 2 2 2 6 2 3" xfId="15111" xr:uid="{7D0B7C1A-8362-4098-AE0D-03515BC67241}"/>
    <cellStyle name="40% - Accent6 2 2 2 6 3" xfId="19334" xr:uid="{BC42D3B3-9A98-4999-BB5A-C2A975FAC91C}"/>
    <cellStyle name="40% - Accent6 2 2 2 6 4" xfId="10893" xr:uid="{3A4CEB1B-8817-45C6-9D32-FCD0B9F1EBD5}"/>
    <cellStyle name="40% - Accent6 2 2 2 7" xfId="4595" xr:uid="{00000000-0005-0000-0000-0000F7060000}"/>
    <cellStyle name="40% - Accent6 2 2 2 7 2" xfId="21486" xr:uid="{6FA9FC84-1781-4014-982B-09CF36511B2D}"/>
    <cellStyle name="40% - Accent6 2 2 2 7 3" xfId="13045" xr:uid="{807C59C9-1195-475A-98E2-84908E7B2EE3}"/>
    <cellStyle name="40% - Accent6 2 2 2 8" xfId="17268" xr:uid="{2EC36B74-4BA3-4DD3-A7C3-B6E11CCD49CE}"/>
    <cellStyle name="40% - Accent6 2 2 2 9" xfId="8827" xr:uid="{5AAFB05C-ACBF-46C4-98D7-AF4A5FF96FD8}"/>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24044" xr:uid="{56C844DA-5B93-4685-AD2C-98CD88B9B0FC}"/>
    <cellStyle name="40% - Accent6 2 2 3 2 2 3" xfId="15603" xr:uid="{156DE1A3-2710-46D6-BD47-95CC575FD348}"/>
    <cellStyle name="40% - Accent6 2 2 3 2 3" xfId="19826" xr:uid="{88E3C3FD-C143-4468-8210-AC5633414598}"/>
    <cellStyle name="40% - Accent6 2 2 3 2 4" xfId="11385" xr:uid="{2920973B-8A00-4ADE-87B3-C8AF34FD787A}"/>
    <cellStyle name="40% - Accent6 2 2 3 3" xfId="5008" xr:uid="{00000000-0005-0000-0000-0000FB060000}"/>
    <cellStyle name="40% - Accent6 2 2 3 3 2" xfId="21899" xr:uid="{5033857B-32B3-4F74-863A-FDBABFB786BC}"/>
    <cellStyle name="40% - Accent6 2 2 3 3 3" xfId="13458" xr:uid="{26B8DF0D-8FC2-47DD-8C2B-AAF3CBBF7031}"/>
    <cellStyle name="40% - Accent6 2 2 3 4" xfId="17681" xr:uid="{4B0F23C5-9A69-4D5B-B85B-034877480136}"/>
    <cellStyle name="40% - Accent6 2 2 3 5" xfId="9240" xr:uid="{85FC4A5C-A77D-4977-9A3E-20FF93DB5E4F}"/>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24457" xr:uid="{EDF5D3DE-5435-4543-ADCF-A5A18D7D6441}"/>
    <cellStyle name="40% - Accent6 2 2 4 2 2 3" xfId="16016" xr:uid="{EB53C30E-B712-4EAC-8F80-AF6BD7BA430D}"/>
    <cellStyle name="40% - Accent6 2 2 4 2 3" xfId="20239" xr:uid="{21218CAC-A571-4BBB-8318-4602216618E0}"/>
    <cellStyle name="40% - Accent6 2 2 4 2 4" xfId="11798" xr:uid="{CA2CCA91-4B8E-4A9B-9E06-2A42398C186D}"/>
    <cellStyle name="40% - Accent6 2 2 4 3" xfId="5421" xr:uid="{00000000-0005-0000-0000-0000FF060000}"/>
    <cellStyle name="40% - Accent6 2 2 4 3 2" xfId="22312" xr:uid="{77FDF813-9797-4FFE-817E-8621181ABDE1}"/>
    <cellStyle name="40% - Accent6 2 2 4 3 3" xfId="13871" xr:uid="{1D1C5020-88A5-421F-8B56-39D2E81BB97E}"/>
    <cellStyle name="40% - Accent6 2 2 4 4" xfId="18094" xr:uid="{9C282162-31C5-4A7E-B4D7-6C273D7293B7}"/>
    <cellStyle name="40% - Accent6 2 2 4 5" xfId="9653" xr:uid="{185A3CAA-70D8-4AA5-8D84-0CC1E64406F4}"/>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24870" xr:uid="{457AA4D4-0458-4174-8228-D206B0651C50}"/>
    <cellStyle name="40% - Accent6 2 2 5 2 2 3" xfId="16429" xr:uid="{62939AE2-D1DC-4466-8BFC-22630C8DCD0C}"/>
    <cellStyle name="40% - Accent6 2 2 5 2 3" xfId="20652" xr:uid="{F7D2B91E-D9DF-4778-A360-0A0A71526AD6}"/>
    <cellStyle name="40% - Accent6 2 2 5 2 4" xfId="12211" xr:uid="{88517CC9-41B5-47FA-AACE-A938F431260B}"/>
    <cellStyle name="40% - Accent6 2 2 5 3" xfId="5834" xr:uid="{00000000-0005-0000-0000-000003070000}"/>
    <cellStyle name="40% - Accent6 2 2 5 3 2" xfId="22725" xr:uid="{8636B5E3-4B94-4B4C-BED2-8D1843F90708}"/>
    <cellStyle name="40% - Accent6 2 2 5 3 3" xfId="14284" xr:uid="{363416BA-0AFE-4582-B241-06563BB72A01}"/>
    <cellStyle name="40% - Accent6 2 2 5 4" xfId="18507" xr:uid="{D96A2D1E-3563-4FD5-85A9-CA3615A96A60}"/>
    <cellStyle name="40% - Accent6 2 2 5 5" xfId="10066" xr:uid="{8E314701-3EC4-4744-8292-6E864EBD6A2C}"/>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25283" xr:uid="{F9F86639-BFC7-456A-B9F3-4B6330C264F6}"/>
    <cellStyle name="40% - Accent6 2 2 6 2 2 3" xfId="16842" xr:uid="{4CFD950E-3207-4990-92A7-7808B12C13A5}"/>
    <cellStyle name="40% - Accent6 2 2 6 2 3" xfId="21065" xr:uid="{3A1BFEE6-1095-435B-9F67-15F7E716E8B8}"/>
    <cellStyle name="40% - Accent6 2 2 6 2 4" xfId="12624" xr:uid="{76246E27-DBDE-4D9B-971F-44948818318A}"/>
    <cellStyle name="40% - Accent6 2 2 6 3" xfId="6247" xr:uid="{00000000-0005-0000-0000-000007070000}"/>
    <cellStyle name="40% - Accent6 2 2 6 3 2" xfId="23138" xr:uid="{FC6DAA51-3C18-46CB-9428-AD373617A40D}"/>
    <cellStyle name="40% - Accent6 2 2 6 3 3" xfId="14697" xr:uid="{93CF53DE-2A5B-4B81-9837-CA44D3301773}"/>
    <cellStyle name="40% - Accent6 2 2 6 4" xfId="18920" xr:uid="{DC114855-D6F5-4672-8CE0-B96DCD377171}"/>
    <cellStyle name="40% - Accent6 2 2 6 5" xfId="10479" xr:uid="{DA5B676D-054C-4297-BEA3-AE97B74DFEA7}"/>
    <cellStyle name="40% - Accent6 2 2 7" xfId="2354" xr:uid="{00000000-0005-0000-0000-000008070000}"/>
    <cellStyle name="40% - Accent6 2 2 7 2" xfId="6660" xr:uid="{00000000-0005-0000-0000-000009070000}"/>
    <cellStyle name="40% - Accent6 2 2 7 2 2" xfId="23551" xr:uid="{96AB651C-8924-40B4-9ACD-05E88BAA40CC}"/>
    <cellStyle name="40% - Accent6 2 2 7 2 3" xfId="15110" xr:uid="{D3BA4357-79CB-4353-8D37-60CB169ED5BF}"/>
    <cellStyle name="40% - Accent6 2 2 7 3" xfId="19333" xr:uid="{9B3112E6-42EB-4B92-BA15-4B54A32A2E76}"/>
    <cellStyle name="40% - Accent6 2 2 7 4" xfId="10892" xr:uid="{67D57035-4480-46E1-BD6F-3B6E03E738C3}"/>
    <cellStyle name="40% - Accent6 2 2 8" xfId="4594" xr:uid="{00000000-0005-0000-0000-00000A070000}"/>
    <cellStyle name="40% - Accent6 2 2 8 2" xfId="21485" xr:uid="{39C3961D-4605-4115-AABE-51E69DE86727}"/>
    <cellStyle name="40% - Accent6 2 2 8 3" xfId="13044" xr:uid="{D0C9AA75-4C98-4CCF-A343-6C2D3802F8E0}"/>
    <cellStyle name="40% - Accent6 2 2 9" xfId="17267" xr:uid="{D2E6D628-86BC-43F8-B98C-20A9383A61A6}"/>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24046" xr:uid="{EB39A170-261A-471F-9700-51CFF460F395}"/>
    <cellStyle name="40% - Accent6 2 3 2 2 2 3" xfId="15605" xr:uid="{655DE5C6-E6B1-492A-A0AE-21D7021C9866}"/>
    <cellStyle name="40% - Accent6 2 3 2 2 3" xfId="19828" xr:uid="{80AF43EE-C14D-4158-A428-266A59C137AC}"/>
    <cellStyle name="40% - Accent6 2 3 2 2 4" xfId="11387" xr:uid="{E6A30B8D-6AA1-4066-A586-AB983AC00B8D}"/>
    <cellStyle name="40% - Accent6 2 3 2 3" xfId="5010" xr:uid="{00000000-0005-0000-0000-00000F070000}"/>
    <cellStyle name="40% - Accent6 2 3 2 3 2" xfId="21901" xr:uid="{B1260AF5-A136-4626-919E-6DD5A470EEF9}"/>
    <cellStyle name="40% - Accent6 2 3 2 3 3" xfId="13460" xr:uid="{63ACB464-71E1-476E-BFDC-74C320781A88}"/>
    <cellStyle name="40% - Accent6 2 3 2 4" xfId="17683" xr:uid="{7054AA06-A0AB-4990-8B0F-406BA0887D90}"/>
    <cellStyle name="40% - Accent6 2 3 2 5" xfId="9242" xr:uid="{A1D2B543-8BBF-4F7F-8228-4641C654C5BB}"/>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24459" xr:uid="{5C1D2820-F244-4CB5-978E-47ACAE0F4734}"/>
    <cellStyle name="40% - Accent6 2 3 3 2 2 3" xfId="16018" xr:uid="{001B8BB6-B20E-4AB1-8F22-88EDE67E2FD2}"/>
    <cellStyle name="40% - Accent6 2 3 3 2 3" xfId="20241" xr:uid="{034AEF00-C2FF-44A7-BBB9-736B16280F16}"/>
    <cellStyle name="40% - Accent6 2 3 3 2 4" xfId="11800" xr:uid="{D1E07879-80DE-40B4-81A3-7215BB41A121}"/>
    <cellStyle name="40% - Accent6 2 3 3 3" xfId="5423" xr:uid="{00000000-0005-0000-0000-000013070000}"/>
    <cellStyle name="40% - Accent6 2 3 3 3 2" xfId="22314" xr:uid="{67A32CAC-A307-4D2F-9D67-B53F768F0DBA}"/>
    <cellStyle name="40% - Accent6 2 3 3 3 3" xfId="13873" xr:uid="{25D57FA0-0370-4505-9A28-68B1B08173AC}"/>
    <cellStyle name="40% - Accent6 2 3 3 4" xfId="18096" xr:uid="{36BDAE75-0ECD-4BCF-9899-D683F5C24B2F}"/>
    <cellStyle name="40% - Accent6 2 3 3 5" xfId="9655" xr:uid="{8C4132AE-9CE8-488C-AEDA-43A856011243}"/>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24872" xr:uid="{B6FF6BEB-8F9D-425D-B046-9497FFC4256E}"/>
    <cellStyle name="40% - Accent6 2 3 4 2 2 3" xfId="16431" xr:uid="{7763C866-2C5F-472C-89C4-5DA37B87BBED}"/>
    <cellStyle name="40% - Accent6 2 3 4 2 3" xfId="20654" xr:uid="{6FC95EC8-4715-40EB-BC65-345410744611}"/>
    <cellStyle name="40% - Accent6 2 3 4 2 4" xfId="12213" xr:uid="{3E7EFFC7-226D-4D74-9032-6D93C8B035F8}"/>
    <cellStyle name="40% - Accent6 2 3 4 3" xfId="5836" xr:uid="{00000000-0005-0000-0000-000017070000}"/>
    <cellStyle name="40% - Accent6 2 3 4 3 2" xfId="22727" xr:uid="{A5E2A7F5-5EC3-445B-8D58-B40BDFFCF0AF}"/>
    <cellStyle name="40% - Accent6 2 3 4 3 3" xfId="14286" xr:uid="{60902ADD-1103-44DA-B75F-393550DCECEB}"/>
    <cellStyle name="40% - Accent6 2 3 4 4" xfId="18509" xr:uid="{BA26A5ED-BEAC-4599-A121-89CDDDFFE37A}"/>
    <cellStyle name="40% - Accent6 2 3 4 5" xfId="10068" xr:uid="{14F65647-4BFF-41BD-B101-38280DC408CB}"/>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25285" xr:uid="{22E390E2-BBD3-4F8E-8E72-5FAAB18A9FB9}"/>
    <cellStyle name="40% - Accent6 2 3 5 2 2 3" xfId="16844" xr:uid="{DA9D9AA7-8CC0-4B9D-9DAF-C2E7F27E55F2}"/>
    <cellStyle name="40% - Accent6 2 3 5 2 3" xfId="21067" xr:uid="{17FF4186-B93A-40AD-9215-D7429767A226}"/>
    <cellStyle name="40% - Accent6 2 3 5 2 4" xfId="12626" xr:uid="{29DD75BE-A7FF-4A7B-BC0E-EB5BD9486E2D}"/>
    <cellStyle name="40% - Accent6 2 3 5 3" xfId="6249" xr:uid="{00000000-0005-0000-0000-00001B070000}"/>
    <cellStyle name="40% - Accent6 2 3 5 3 2" xfId="23140" xr:uid="{763F5BE9-4CAF-4641-B6E7-3A8265B16938}"/>
    <cellStyle name="40% - Accent6 2 3 5 3 3" xfId="14699" xr:uid="{F4F9A7E6-E6D4-40CF-8448-7A824DA0279A}"/>
    <cellStyle name="40% - Accent6 2 3 5 4" xfId="18922" xr:uid="{873EDC49-D929-42D6-BEBC-2B4E2C2C3857}"/>
    <cellStyle name="40% - Accent6 2 3 5 5" xfId="10481" xr:uid="{F17B4493-ECBE-454A-B4CE-5DB43D21A1EF}"/>
    <cellStyle name="40% - Accent6 2 3 6" xfId="2356" xr:uid="{00000000-0005-0000-0000-00001C070000}"/>
    <cellStyle name="40% - Accent6 2 3 6 2" xfId="6662" xr:uid="{00000000-0005-0000-0000-00001D070000}"/>
    <cellStyle name="40% - Accent6 2 3 6 2 2" xfId="23553" xr:uid="{1314DD52-4A98-4342-AE43-562460B55063}"/>
    <cellStyle name="40% - Accent6 2 3 6 2 3" xfId="15112" xr:uid="{F3E415CC-7330-49C7-82CD-F087C57CB675}"/>
    <cellStyle name="40% - Accent6 2 3 6 3" xfId="19335" xr:uid="{B33054E1-37EA-4F4A-9C9B-6026FE839E5E}"/>
    <cellStyle name="40% - Accent6 2 3 6 4" xfId="10894" xr:uid="{CA340EE0-BC5D-4DFC-B3F8-E5F4991F6FD4}"/>
    <cellStyle name="40% - Accent6 2 3 7" xfId="4596" xr:uid="{00000000-0005-0000-0000-00001E070000}"/>
    <cellStyle name="40% - Accent6 2 3 7 2" xfId="21487" xr:uid="{A12ABA3F-0EE4-44B0-A7BC-E16D9A6612F5}"/>
    <cellStyle name="40% - Accent6 2 3 7 3" xfId="13046" xr:uid="{D2F1DECB-7E0A-4D5E-A9FA-3135E4436482}"/>
    <cellStyle name="40% - Accent6 2 3 8" xfId="17269" xr:uid="{BA412A5E-D38C-4A54-8146-C3D478553B72}"/>
    <cellStyle name="40% - Accent6 2 3 9" xfId="8828" xr:uid="{CC38F40C-3A74-46C5-92D6-6D26DFB0078C}"/>
    <cellStyle name="40% - Accent6 2 4" xfId="659" xr:uid="{00000000-0005-0000-0000-00001F070000}"/>
    <cellStyle name="40% - Accent6 2 4 2" xfId="2930" xr:uid="{00000000-0005-0000-0000-000020070000}"/>
    <cellStyle name="40% - Accent6 2 4 2 2" xfId="7152" xr:uid="{00000000-0005-0000-0000-000021070000}"/>
    <cellStyle name="40% - Accent6 2 4 2 2 2" xfId="24043" xr:uid="{74F45710-EE7E-4D18-8D12-5B953E877917}"/>
    <cellStyle name="40% - Accent6 2 4 2 2 3" xfId="15602" xr:uid="{623A20FE-9AB4-485F-8AA5-8B704DF3154B}"/>
    <cellStyle name="40% - Accent6 2 4 2 3" xfId="19825" xr:uid="{28ACAD4F-54D6-42AD-B165-39F0FEEA6795}"/>
    <cellStyle name="40% - Accent6 2 4 2 4" xfId="11384" xr:uid="{E4F719DA-9755-46E0-B8CC-2A0BA5CE6882}"/>
    <cellStyle name="40% - Accent6 2 4 3" xfId="5007" xr:uid="{00000000-0005-0000-0000-000022070000}"/>
    <cellStyle name="40% - Accent6 2 4 3 2" xfId="21898" xr:uid="{270E7F86-3C0F-4C18-BB5A-A35211BD3B9E}"/>
    <cellStyle name="40% - Accent6 2 4 3 3" xfId="13457" xr:uid="{C19126F2-1987-48C0-A459-070EF6CDE6C2}"/>
    <cellStyle name="40% - Accent6 2 4 4" xfId="17680" xr:uid="{28B2B995-3FD4-4438-B49A-8D102BB6C6E0}"/>
    <cellStyle name="40% - Accent6 2 4 5" xfId="9239" xr:uid="{E0ABB48C-8B7F-4083-B892-161204DF4418}"/>
    <cellStyle name="40% - Accent6 2 5" xfId="1112" xr:uid="{00000000-0005-0000-0000-000023070000}"/>
    <cellStyle name="40% - Accent6 2 5 2" xfId="3343" xr:uid="{00000000-0005-0000-0000-000024070000}"/>
    <cellStyle name="40% - Accent6 2 5 2 2" xfId="7565" xr:uid="{00000000-0005-0000-0000-000025070000}"/>
    <cellStyle name="40% - Accent6 2 5 2 2 2" xfId="24456" xr:uid="{A81F871E-B32C-48AE-B7DF-AB122971378B}"/>
    <cellStyle name="40% - Accent6 2 5 2 2 3" xfId="16015" xr:uid="{5AFFB1E9-CCBD-459F-8A22-1C3A3436A9A4}"/>
    <cellStyle name="40% - Accent6 2 5 2 3" xfId="20238" xr:uid="{19F0A725-B4DD-47EB-AA76-FACBDC13A7F9}"/>
    <cellStyle name="40% - Accent6 2 5 2 4" xfId="11797" xr:uid="{F45B4139-76DC-4B2E-88B0-ED8BEDC756C6}"/>
    <cellStyle name="40% - Accent6 2 5 3" xfId="5420" xr:uid="{00000000-0005-0000-0000-000026070000}"/>
    <cellStyle name="40% - Accent6 2 5 3 2" xfId="22311" xr:uid="{A354DC5C-1EC6-452A-A9E3-27ADEE4BC33F}"/>
    <cellStyle name="40% - Accent6 2 5 3 3" xfId="13870" xr:uid="{F5699DFE-ADFD-461A-8232-5CB25A1DED1B}"/>
    <cellStyle name="40% - Accent6 2 5 4" xfId="18093" xr:uid="{4C2159F9-5C2A-4FAB-88C2-892ED42A2429}"/>
    <cellStyle name="40% - Accent6 2 5 5" xfId="9652" xr:uid="{1E556014-D385-403C-B2E4-4960F952DE6E}"/>
    <cellStyle name="40% - Accent6 2 6" xfId="1526" xr:uid="{00000000-0005-0000-0000-000027070000}"/>
    <cellStyle name="40% - Accent6 2 6 2" xfId="3756" xr:uid="{00000000-0005-0000-0000-000028070000}"/>
    <cellStyle name="40% - Accent6 2 6 2 2" xfId="7978" xr:uid="{00000000-0005-0000-0000-000029070000}"/>
    <cellStyle name="40% - Accent6 2 6 2 2 2" xfId="24869" xr:uid="{DCE2AD4D-7B44-4F72-8A3C-6862CCD34594}"/>
    <cellStyle name="40% - Accent6 2 6 2 2 3" xfId="16428" xr:uid="{278D47A1-5462-40A9-B527-3BE0D5B0405B}"/>
    <cellStyle name="40% - Accent6 2 6 2 3" xfId="20651" xr:uid="{1455B6DB-2BF2-47F9-8EB1-656CC42125F5}"/>
    <cellStyle name="40% - Accent6 2 6 2 4" xfId="12210" xr:uid="{D17D6F09-F1A3-4AC6-B7CD-69C1388C879E}"/>
    <cellStyle name="40% - Accent6 2 6 3" xfId="5833" xr:uid="{00000000-0005-0000-0000-00002A070000}"/>
    <cellStyle name="40% - Accent6 2 6 3 2" xfId="22724" xr:uid="{E5C2C5AF-A3C7-4BC9-A5EC-39C02800E8C8}"/>
    <cellStyle name="40% - Accent6 2 6 3 3" xfId="14283" xr:uid="{E8662988-733C-438C-9EFC-ED05514232A6}"/>
    <cellStyle name="40% - Accent6 2 6 4" xfId="18506" xr:uid="{321A53E7-45A7-4A5E-BD0A-7D8D1298955E}"/>
    <cellStyle name="40% - Accent6 2 6 5" xfId="10065" xr:uid="{CB6B7786-EA02-4981-8780-5604145C27DB}"/>
    <cellStyle name="40% - Accent6 2 7" xfId="1940" xr:uid="{00000000-0005-0000-0000-00002B070000}"/>
    <cellStyle name="40% - Accent6 2 7 2" xfId="4169" xr:uid="{00000000-0005-0000-0000-00002C070000}"/>
    <cellStyle name="40% - Accent6 2 7 2 2" xfId="8391" xr:uid="{00000000-0005-0000-0000-00002D070000}"/>
    <cellStyle name="40% - Accent6 2 7 2 2 2" xfId="25282" xr:uid="{4CD20621-059C-412E-BCC9-EDA2CCE661E1}"/>
    <cellStyle name="40% - Accent6 2 7 2 2 3" xfId="16841" xr:uid="{629E8932-2FC5-4263-B8DA-8B110F4AC3A5}"/>
    <cellStyle name="40% - Accent6 2 7 2 3" xfId="21064" xr:uid="{424E8CE7-AE4B-435F-85D7-957F580647B3}"/>
    <cellStyle name="40% - Accent6 2 7 2 4" xfId="12623" xr:uid="{6884B325-B5A0-4B21-B636-E8B424290456}"/>
    <cellStyle name="40% - Accent6 2 7 3" xfId="6246" xr:uid="{00000000-0005-0000-0000-00002E070000}"/>
    <cellStyle name="40% - Accent6 2 7 3 2" xfId="23137" xr:uid="{81E0F2E6-5577-4A58-B5BF-0DB43D9CF2AB}"/>
    <cellStyle name="40% - Accent6 2 7 3 3" xfId="14696" xr:uid="{E031C712-4465-4828-A309-2358A1335249}"/>
    <cellStyle name="40% - Accent6 2 7 4" xfId="18919" xr:uid="{A4CAAFD0-F815-467F-AF95-F32EA867B16B}"/>
    <cellStyle name="40% - Accent6 2 7 5" xfId="10478" xr:uid="{CD70851B-5411-4A5D-9EC0-A93649F8CA3B}"/>
    <cellStyle name="40% - Accent6 2 8" xfId="2353" xr:uid="{00000000-0005-0000-0000-00002F070000}"/>
    <cellStyle name="40% - Accent6 2 8 2" xfId="6659" xr:uid="{00000000-0005-0000-0000-000030070000}"/>
    <cellStyle name="40% - Accent6 2 8 2 2" xfId="23550" xr:uid="{8F9F8DF3-1D0C-4401-B767-8643F2095A29}"/>
    <cellStyle name="40% - Accent6 2 8 2 3" xfId="15109" xr:uid="{A48FA93D-9237-4152-8294-4423101ECA30}"/>
    <cellStyle name="40% - Accent6 2 8 3" xfId="19332" xr:uid="{C6F9EFB7-662D-43EF-848A-8A23018B1002}"/>
    <cellStyle name="40% - Accent6 2 8 4" xfId="10891" xr:uid="{263247ED-A57C-4319-A259-F59045250645}"/>
    <cellStyle name="40% - Accent6 2 9" xfId="4593" xr:uid="{00000000-0005-0000-0000-000031070000}"/>
    <cellStyle name="40% - Accent6 2 9 2" xfId="21484" xr:uid="{93CBCFBE-6865-4543-8251-7E9721DFC55D}"/>
    <cellStyle name="40% - Accent6 2 9 3" xfId="13043" xr:uid="{E3078F00-9CCD-4494-8F24-04BF17AD3FEE}"/>
    <cellStyle name="40% - Accent6 3" xfId="94" xr:uid="{00000000-0005-0000-0000-000032070000}"/>
    <cellStyle name="40% - Accent6 3 10" xfId="8829" xr:uid="{EE1B06FE-7A19-46B8-BA59-73162481E99E}"/>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24048" xr:uid="{72B63E7E-6F18-430F-9709-F31A5DB244E5}"/>
    <cellStyle name="40% - Accent6 3 2 2 2 2 3" xfId="15607" xr:uid="{3380155F-9FC8-4CAA-A808-C7E243515011}"/>
    <cellStyle name="40% - Accent6 3 2 2 2 3" xfId="19830" xr:uid="{64B758BA-718E-4CFD-BACB-EBE01A4F9032}"/>
    <cellStyle name="40% - Accent6 3 2 2 2 4" xfId="11389" xr:uid="{1C0278A1-45CC-4E07-AF21-27AD600E5DF3}"/>
    <cellStyle name="40% - Accent6 3 2 2 3" xfId="5012" xr:uid="{00000000-0005-0000-0000-000037070000}"/>
    <cellStyle name="40% - Accent6 3 2 2 3 2" xfId="21903" xr:uid="{859A4850-A012-471A-B5A9-F11F8328C37E}"/>
    <cellStyle name="40% - Accent6 3 2 2 3 3" xfId="13462" xr:uid="{3DFD7916-526E-4FE4-AB90-A7C2D9FA850F}"/>
    <cellStyle name="40% - Accent6 3 2 2 4" xfId="17685" xr:uid="{4A507C4B-527F-45D0-8970-6FBAAA2C5ED5}"/>
    <cellStyle name="40% - Accent6 3 2 2 5" xfId="9244" xr:uid="{567F3F64-B3C7-4944-8FCB-79FBF3218B92}"/>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24461" xr:uid="{EDD14EA4-4962-4367-9FA3-6C9066359CAC}"/>
    <cellStyle name="40% - Accent6 3 2 3 2 2 3" xfId="16020" xr:uid="{677BA895-5CFE-477D-9BD9-DDCB5B1D864D}"/>
    <cellStyle name="40% - Accent6 3 2 3 2 3" xfId="20243" xr:uid="{42DEDA31-0BE6-4190-BC45-ED600582ADCD}"/>
    <cellStyle name="40% - Accent6 3 2 3 2 4" xfId="11802" xr:uid="{9C7AD999-5F9A-4C57-BEFC-0D2400E9E6B4}"/>
    <cellStyle name="40% - Accent6 3 2 3 3" xfId="5425" xr:uid="{00000000-0005-0000-0000-00003B070000}"/>
    <cellStyle name="40% - Accent6 3 2 3 3 2" xfId="22316" xr:uid="{6C6B8052-32F5-4689-9CEF-B57F0A2DD1BC}"/>
    <cellStyle name="40% - Accent6 3 2 3 3 3" xfId="13875" xr:uid="{C6A554F6-1923-460D-847F-29207FF5E4CD}"/>
    <cellStyle name="40% - Accent6 3 2 3 4" xfId="18098" xr:uid="{2F4580C0-AADE-43BD-AA94-A6F57067F9F6}"/>
    <cellStyle name="40% - Accent6 3 2 3 5" xfId="9657" xr:uid="{72DEFA59-F55C-48BF-9094-B1130D814B44}"/>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24874" xr:uid="{F9DDE965-6318-4010-9DE5-87FCD86ACE17}"/>
    <cellStyle name="40% - Accent6 3 2 4 2 2 3" xfId="16433" xr:uid="{CAEB8250-ACAC-41FE-8802-4595441E7146}"/>
    <cellStyle name="40% - Accent6 3 2 4 2 3" xfId="20656" xr:uid="{F45AFEA8-F16F-45A3-BC2D-BCD66189AA5B}"/>
    <cellStyle name="40% - Accent6 3 2 4 2 4" xfId="12215" xr:uid="{309CFAB3-95A4-4276-A471-07259CA5CAD1}"/>
    <cellStyle name="40% - Accent6 3 2 4 3" xfId="5838" xr:uid="{00000000-0005-0000-0000-00003F070000}"/>
    <cellStyle name="40% - Accent6 3 2 4 3 2" xfId="22729" xr:uid="{626934D0-E27A-4A82-A7C7-F626ECF71794}"/>
    <cellStyle name="40% - Accent6 3 2 4 3 3" xfId="14288" xr:uid="{7CE27B6E-8541-4A75-8705-7F3309AF1296}"/>
    <cellStyle name="40% - Accent6 3 2 4 4" xfId="18511" xr:uid="{22472BAB-AEC4-4B87-BC71-2FD3BD808C1A}"/>
    <cellStyle name="40% - Accent6 3 2 4 5" xfId="10070" xr:uid="{AE52474A-AF6C-414D-BA86-963E63965E58}"/>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25287" xr:uid="{2E6A86B9-3411-48D5-B72C-CAD926E00123}"/>
    <cellStyle name="40% - Accent6 3 2 5 2 2 3" xfId="16846" xr:uid="{DDAC09F6-63E5-42CF-8FEE-6B69A6B708BA}"/>
    <cellStyle name="40% - Accent6 3 2 5 2 3" xfId="21069" xr:uid="{8BA28C62-6B72-4700-A915-3836F2BC9013}"/>
    <cellStyle name="40% - Accent6 3 2 5 2 4" xfId="12628" xr:uid="{B671F715-4F62-4C84-BF2A-F982112CBD17}"/>
    <cellStyle name="40% - Accent6 3 2 5 3" xfId="6251" xr:uid="{00000000-0005-0000-0000-000043070000}"/>
    <cellStyle name="40% - Accent6 3 2 5 3 2" xfId="23142" xr:uid="{1AA0B545-0119-419C-A04D-C1EB3A24160E}"/>
    <cellStyle name="40% - Accent6 3 2 5 3 3" xfId="14701" xr:uid="{296D6738-4149-4DB3-8032-DC9FD0E858D1}"/>
    <cellStyle name="40% - Accent6 3 2 5 4" xfId="18924" xr:uid="{266FAD29-E5D2-4864-ABAA-8EAD89D9CC38}"/>
    <cellStyle name="40% - Accent6 3 2 5 5" xfId="10483" xr:uid="{2C9F0C1F-74E1-4BB5-863F-063A905CBB7F}"/>
    <cellStyle name="40% - Accent6 3 2 6" xfId="2358" xr:uid="{00000000-0005-0000-0000-000044070000}"/>
    <cellStyle name="40% - Accent6 3 2 6 2" xfId="6664" xr:uid="{00000000-0005-0000-0000-000045070000}"/>
    <cellStyle name="40% - Accent6 3 2 6 2 2" xfId="23555" xr:uid="{889B3A1F-1CB1-428D-93F9-261186F0C10A}"/>
    <cellStyle name="40% - Accent6 3 2 6 2 3" xfId="15114" xr:uid="{0219E5E4-910E-43C0-8561-F6108C00A017}"/>
    <cellStyle name="40% - Accent6 3 2 6 3" xfId="19337" xr:uid="{5745FBE5-83C1-44EE-9C8A-5EF3F37645A7}"/>
    <cellStyle name="40% - Accent6 3 2 6 4" xfId="10896" xr:uid="{56FF2FFF-C941-4462-BDAB-EC8A529B50F2}"/>
    <cellStyle name="40% - Accent6 3 2 7" xfId="4598" xr:uid="{00000000-0005-0000-0000-000046070000}"/>
    <cellStyle name="40% - Accent6 3 2 7 2" xfId="21489" xr:uid="{D4FE6C6C-9D90-4D7C-B737-663EB3979BFD}"/>
    <cellStyle name="40% - Accent6 3 2 7 3" xfId="13048" xr:uid="{23ED0FCC-5A35-4603-B5BE-0C25FEDBA081}"/>
    <cellStyle name="40% - Accent6 3 2 8" xfId="17271" xr:uid="{06CE3BCB-5BC2-467A-9E2F-D80D6970834D}"/>
    <cellStyle name="40% - Accent6 3 2 9" xfId="8830" xr:uid="{D57C3B4D-E4BB-48A9-B7BA-B66CE312DD8F}"/>
    <cellStyle name="40% - Accent6 3 3" xfId="663" xr:uid="{00000000-0005-0000-0000-000047070000}"/>
    <cellStyle name="40% - Accent6 3 3 2" xfId="2934" xr:uid="{00000000-0005-0000-0000-000048070000}"/>
    <cellStyle name="40% - Accent6 3 3 2 2" xfId="7156" xr:uid="{00000000-0005-0000-0000-000049070000}"/>
    <cellStyle name="40% - Accent6 3 3 2 2 2" xfId="24047" xr:uid="{FB594B19-8955-47CC-8C17-A80A08FBD813}"/>
    <cellStyle name="40% - Accent6 3 3 2 2 3" xfId="15606" xr:uid="{C70F7E8F-8BB8-470B-9C11-7CC43AE56A3E}"/>
    <cellStyle name="40% - Accent6 3 3 2 3" xfId="19829" xr:uid="{A3DC23FB-40A8-436D-A2F9-EB30A7CADFAF}"/>
    <cellStyle name="40% - Accent6 3 3 2 4" xfId="11388" xr:uid="{E6297B5B-ED99-43E4-8596-033F378779D3}"/>
    <cellStyle name="40% - Accent6 3 3 3" xfId="5011" xr:uid="{00000000-0005-0000-0000-00004A070000}"/>
    <cellStyle name="40% - Accent6 3 3 3 2" xfId="21902" xr:uid="{ACEDAE3F-2A16-4DBC-B3F6-03A97C5B2AED}"/>
    <cellStyle name="40% - Accent6 3 3 3 3" xfId="13461" xr:uid="{F90B5820-817E-43B7-AF34-4FBCEFCC64BC}"/>
    <cellStyle name="40% - Accent6 3 3 4" xfId="17684" xr:uid="{B43F6B1F-EC66-4240-9FC8-E9275BAEC584}"/>
    <cellStyle name="40% - Accent6 3 3 5" xfId="9243" xr:uid="{44CA08C8-4E63-4E9C-A5F4-ACDB02477BA5}"/>
    <cellStyle name="40% - Accent6 3 4" xfId="1116" xr:uid="{00000000-0005-0000-0000-00004B070000}"/>
    <cellStyle name="40% - Accent6 3 4 2" xfId="3347" xr:uid="{00000000-0005-0000-0000-00004C070000}"/>
    <cellStyle name="40% - Accent6 3 4 2 2" xfId="7569" xr:uid="{00000000-0005-0000-0000-00004D070000}"/>
    <cellStyle name="40% - Accent6 3 4 2 2 2" xfId="24460" xr:uid="{0B579204-8780-42BD-9F7E-837F035AB5D3}"/>
    <cellStyle name="40% - Accent6 3 4 2 2 3" xfId="16019" xr:uid="{FD3EC2E8-6521-4BDB-B4CB-B48EDE11252C}"/>
    <cellStyle name="40% - Accent6 3 4 2 3" xfId="20242" xr:uid="{B81CBC85-F3D3-4F57-9ADF-6692AFF6D863}"/>
    <cellStyle name="40% - Accent6 3 4 2 4" xfId="11801" xr:uid="{D7E164DD-3E01-483A-89EB-CF63FAE357A2}"/>
    <cellStyle name="40% - Accent6 3 4 3" xfId="5424" xr:uid="{00000000-0005-0000-0000-00004E070000}"/>
    <cellStyle name="40% - Accent6 3 4 3 2" xfId="22315" xr:uid="{27AF7736-24ED-4B86-B687-144E33A0925D}"/>
    <cellStyle name="40% - Accent6 3 4 3 3" xfId="13874" xr:uid="{5988492B-223A-4B1A-8547-C5CFE80F25AE}"/>
    <cellStyle name="40% - Accent6 3 4 4" xfId="18097" xr:uid="{01C380BC-2BF7-4652-A04B-B6862B15AC70}"/>
    <cellStyle name="40% - Accent6 3 4 5" xfId="9656" xr:uid="{BF386304-2CC2-44DF-B6D0-296EF5E4F3ED}"/>
    <cellStyle name="40% - Accent6 3 5" xfId="1530" xr:uid="{00000000-0005-0000-0000-00004F070000}"/>
    <cellStyle name="40% - Accent6 3 5 2" xfId="3760" xr:uid="{00000000-0005-0000-0000-000050070000}"/>
    <cellStyle name="40% - Accent6 3 5 2 2" xfId="7982" xr:uid="{00000000-0005-0000-0000-000051070000}"/>
    <cellStyle name="40% - Accent6 3 5 2 2 2" xfId="24873" xr:uid="{A2DF1575-50A2-445E-AC7F-828F9194EF1D}"/>
    <cellStyle name="40% - Accent6 3 5 2 2 3" xfId="16432" xr:uid="{C49A1AEE-65E3-43C9-9B0D-850C4A18EC7D}"/>
    <cellStyle name="40% - Accent6 3 5 2 3" xfId="20655" xr:uid="{D80D3D68-8B57-431D-84E2-AF5DC21BCE38}"/>
    <cellStyle name="40% - Accent6 3 5 2 4" xfId="12214" xr:uid="{B9A95A68-4EE5-4434-B32F-466F76CE0E8D}"/>
    <cellStyle name="40% - Accent6 3 5 3" xfId="5837" xr:uid="{00000000-0005-0000-0000-000052070000}"/>
    <cellStyle name="40% - Accent6 3 5 3 2" xfId="22728" xr:uid="{3D073FAF-2584-4E62-8421-357D8A2FA632}"/>
    <cellStyle name="40% - Accent6 3 5 3 3" xfId="14287" xr:uid="{6281B9E2-68C8-407F-8678-DEBC134D7548}"/>
    <cellStyle name="40% - Accent6 3 5 4" xfId="18510" xr:uid="{5157C58E-745B-4C25-90E1-C48D549D83EA}"/>
    <cellStyle name="40% - Accent6 3 5 5" xfId="10069" xr:uid="{2100DB31-7B32-415B-8646-1B5FD353F069}"/>
    <cellStyle name="40% - Accent6 3 6" xfId="1944" xr:uid="{00000000-0005-0000-0000-000053070000}"/>
    <cellStyle name="40% - Accent6 3 6 2" xfId="4173" xr:uid="{00000000-0005-0000-0000-000054070000}"/>
    <cellStyle name="40% - Accent6 3 6 2 2" xfId="8395" xr:uid="{00000000-0005-0000-0000-000055070000}"/>
    <cellStyle name="40% - Accent6 3 6 2 2 2" xfId="25286" xr:uid="{FA2EBD9A-04D7-4A4D-8B90-A81BE7EAE71D}"/>
    <cellStyle name="40% - Accent6 3 6 2 2 3" xfId="16845" xr:uid="{D344DCD4-9B92-4BCA-BDD0-9C99B31063FA}"/>
    <cellStyle name="40% - Accent6 3 6 2 3" xfId="21068" xr:uid="{4E941959-3451-414D-BE30-17FF0D635500}"/>
    <cellStyle name="40% - Accent6 3 6 2 4" xfId="12627" xr:uid="{E9392152-92DF-4ED0-9471-E7875A2D3FCD}"/>
    <cellStyle name="40% - Accent6 3 6 3" xfId="6250" xr:uid="{00000000-0005-0000-0000-000056070000}"/>
    <cellStyle name="40% - Accent6 3 6 3 2" xfId="23141" xr:uid="{C537131C-F5FE-4FE1-B440-0B381BF0CEEE}"/>
    <cellStyle name="40% - Accent6 3 6 3 3" xfId="14700" xr:uid="{43A76087-2DF2-484F-AA71-F868C5132B94}"/>
    <cellStyle name="40% - Accent6 3 6 4" xfId="18923" xr:uid="{438C5E66-EF02-4532-9474-7A860D3687F4}"/>
    <cellStyle name="40% - Accent6 3 6 5" xfId="10482" xr:uid="{9C39EE9E-DAEC-4585-BEF9-8AD16A74E560}"/>
    <cellStyle name="40% - Accent6 3 7" xfId="2357" xr:uid="{00000000-0005-0000-0000-000057070000}"/>
    <cellStyle name="40% - Accent6 3 7 2" xfId="6663" xr:uid="{00000000-0005-0000-0000-000058070000}"/>
    <cellStyle name="40% - Accent6 3 7 2 2" xfId="23554" xr:uid="{537874CE-145E-49B6-A162-D20E2B5DEE96}"/>
    <cellStyle name="40% - Accent6 3 7 2 3" xfId="15113" xr:uid="{AA8C306D-0A2D-4D05-A604-0B6DBAFF98DC}"/>
    <cellStyle name="40% - Accent6 3 7 3" xfId="19336" xr:uid="{87014965-A9A8-44DC-9D35-8FB0D5ABDA49}"/>
    <cellStyle name="40% - Accent6 3 7 4" xfId="10895" xr:uid="{3E8BE09B-756F-4AA1-855B-8F7A95342112}"/>
    <cellStyle name="40% - Accent6 3 8" xfId="4597" xr:uid="{00000000-0005-0000-0000-000059070000}"/>
    <cellStyle name="40% - Accent6 3 8 2" xfId="21488" xr:uid="{1D25E8BF-42ED-43AC-AB75-7B53291AF2C9}"/>
    <cellStyle name="40% - Accent6 3 8 3" xfId="13047" xr:uid="{D6ED4417-B42A-4432-8259-D24A32ABDA9A}"/>
    <cellStyle name="40% - Accent6 3 9" xfId="17270" xr:uid="{438BA4E2-3EBB-4F2B-948A-8F96F4E722C4}"/>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2 2 2" xfId="24049" xr:uid="{B48E5684-3802-470F-81FE-B94A049F093B}"/>
    <cellStyle name="40% - Accent6 4 2 2 2 3" xfId="15608" xr:uid="{B10E58B1-1351-467E-A869-A72171E61CD7}"/>
    <cellStyle name="40% - Accent6 4 2 2 3" xfId="19831" xr:uid="{F96CD5EF-C4AC-4F26-8A09-8C423D772289}"/>
    <cellStyle name="40% - Accent6 4 2 2 4" xfId="11390" xr:uid="{AF879E37-903A-45A2-9277-4A16E8A14749}"/>
    <cellStyle name="40% - Accent6 4 2 3" xfId="5013" xr:uid="{00000000-0005-0000-0000-00005E070000}"/>
    <cellStyle name="40% - Accent6 4 2 3 2" xfId="21904" xr:uid="{6588284E-A81F-463E-AC23-F54FBD9D4EAD}"/>
    <cellStyle name="40% - Accent6 4 2 3 3" xfId="13463" xr:uid="{E7EF6E80-FBEA-4CD0-A214-7A9555C5290B}"/>
    <cellStyle name="40% - Accent6 4 2 4" xfId="17686" xr:uid="{490D856B-BC52-4E7E-9671-B04290999206}"/>
    <cellStyle name="40% - Accent6 4 2 5" xfId="9245" xr:uid="{C114510B-27ED-4FA0-87FE-F63EAE2296D8}"/>
    <cellStyle name="40% - Accent6 4 3" xfId="1118" xr:uid="{00000000-0005-0000-0000-00005F070000}"/>
    <cellStyle name="40% - Accent6 4 3 2" xfId="3349" xr:uid="{00000000-0005-0000-0000-000060070000}"/>
    <cellStyle name="40% - Accent6 4 3 2 2" xfId="7571" xr:uid="{00000000-0005-0000-0000-000061070000}"/>
    <cellStyle name="40% - Accent6 4 3 2 2 2" xfId="24462" xr:uid="{75591A59-6BF4-4817-B2B4-7CB0AB884EFA}"/>
    <cellStyle name="40% - Accent6 4 3 2 2 3" xfId="16021" xr:uid="{59EE3A81-080A-445C-8F19-CDEE1B8D5172}"/>
    <cellStyle name="40% - Accent6 4 3 2 3" xfId="20244" xr:uid="{069E88B6-7BE2-4AA1-ABEE-FB2326DDC1D4}"/>
    <cellStyle name="40% - Accent6 4 3 2 4" xfId="11803" xr:uid="{68C5CE99-B8B6-4BF5-B5CE-87FE8C54DEE2}"/>
    <cellStyle name="40% - Accent6 4 3 3" xfId="5426" xr:uid="{00000000-0005-0000-0000-000062070000}"/>
    <cellStyle name="40% - Accent6 4 3 3 2" xfId="22317" xr:uid="{EAA4B358-D65D-4611-8EFF-BC5D3BA2ABFC}"/>
    <cellStyle name="40% - Accent6 4 3 3 3" xfId="13876" xr:uid="{78B4DE0D-7997-4CB4-82A7-AE04245AEAB4}"/>
    <cellStyle name="40% - Accent6 4 3 4" xfId="18099" xr:uid="{17207049-F012-41DD-9DB3-73193982B666}"/>
    <cellStyle name="40% - Accent6 4 3 5" xfId="9658" xr:uid="{C47A0F56-4B92-4629-B724-22B05EED2A5F}"/>
    <cellStyle name="40% - Accent6 4 4" xfId="1532" xr:uid="{00000000-0005-0000-0000-000063070000}"/>
    <cellStyle name="40% - Accent6 4 4 2" xfId="3762" xr:uid="{00000000-0005-0000-0000-000064070000}"/>
    <cellStyle name="40% - Accent6 4 4 2 2" xfId="7984" xr:uid="{00000000-0005-0000-0000-000065070000}"/>
    <cellStyle name="40% - Accent6 4 4 2 2 2" xfId="24875" xr:uid="{5F75517D-8D8B-4352-B053-7CE4DC090BC9}"/>
    <cellStyle name="40% - Accent6 4 4 2 2 3" xfId="16434" xr:uid="{AFD233F0-874A-4C42-9044-8DFB7F0828A1}"/>
    <cellStyle name="40% - Accent6 4 4 2 3" xfId="20657" xr:uid="{87FA8C50-2EB4-4037-9BF3-5271E3CAE9CF}"/>
    <cellStyle name="40% - Accent6 4 4 2 4" xfId="12216" xr:uid="{22A66DA6-D150-4DC7-B0F9-6566C3C1C39A}"/>
    <cellStyle name="40% - Accent6 4 4 3" xfId="5839" xr:uid="{00000000-0005-0000-0000-000066070000}"/>
    <cellStyle name="40% - Accent6 4 4 3 2" xfId="22730" xr:uid="{B044AD35-6E93-4EAA-9C25-32EE5465E6E4}"/>
    <cellStyle name="40% - Accent6 4 4 3 3" xfId="14289" xr:uid="{619582AE-44D3-47E1-A481-F8509321FB6A}"/>
    <cellStyle name="40% - Accent6 4 4 4" xfId="18512" xr:uid="{BAD60BF0-F94F-4E35-9F68-8B8CF593F99D}"/>
    <cellStyle name="40% - Accent6 4 4 5" xfId="10071" xr:uid="{1403D16E-9801-42A0-B0CF-B289727BE146}"/>
    <cellStyle name="40% - Accent6 4 5" xfId="1946" xr:uid="{00000000-0005-0000-0000-000067070000}"/>
    <cellStyle name="40% - Accent6 4 5 2" xfId="4175" xr:uid="{00000000-0005-0000-0000-000068070000}"/>
    <cellStyle name="40% - Accent6 4 5 2 2" xfId="8397" xr:uid="{00000000-0005-0000-0000-000069070000}"/>
    <cellStyle name="40% - Accent6 4 5 2 2 2" xfId="25288" xr:uid="{258EA0C5-63BC-42B7-93A5-93BA08048DC9}"/>
    <cellStyle name="40% - Accent6 4 5 2 2 3" xfId="16847" xr:uid="{E5D876CF-A1B4-467B-9B8B-F38EE280AFA3}"/>
    <cellStyle name="40% - Accent6 4 5 2 3" xfId="21070" xr:uid="{F10B2376-8288-4C07-80B3-724D5683A944}"/>
    <cellStyle name="40% - Accent6 4 5 2 4" xfId="12629" xr:uid="{CAABFB8B-CFCB-44DE-AFEF-C0205AC7AD9D}"/>
    <cellStyle name="40% - Accent6 4 5 3" xfId="6252" xr:uid="{00000000-0005-0000-0000-00006A070000}"/>
    <cellStyle name="40% - Accent6 4 5 3 2" xfId="23143" xr:uid="{784BB64A-FDF5-470A-88D7-7A73AFA63E23}"/>
    <cellStyle name="40% - Accent6 4 5 3 3" xfId="14702" xr:uid="{B8CCF894-D2F8-49F4-A532-9E4E9B6CD2AE}"/>
    <cellStyle name="40% - Accent6 4 5 4" xfId="18925" xr:uid="{8D1B83C2-1F04-4655-9411-BFE36FFB8D04}"/>
    <cellStyle name="40% - Accent6 4 5 5" xfId="10484" xr:uid="{EAD2B9A7-1F82-4E5A-AE63-07D81FA95A9E}"/>
    <cellStyle name="40% - Accent6 4 6" xfId="2359" xr:uid="{00000000-0005-0000-0000-00006B070000}"/>
    <cellStyle name="40% - Accent6 4 6 2" xfId="6665" xr:uid="{00000000-0005-0000-0000-00006C070000}"/>
    <cellStyle name="40% - Accent6 4 6 2 2" xfId="23556" xr:uid="{A70F992B-7E6C-4590-B1E2-0B47EC346AAA}"/>
    <cellStyle name="40% - Accent6 4 6 2 3" xfId="15115" xr:uid="{B097B524-BACC-480D-A210-EC6A4E08F16E}"/>
    <cellStyle name="40% - Accent6 4 6 3" xfId="19338" xr:uid="{8D1387A0-E5AC-4293-8499-FA6FA5CD8CA1}"/>
    <cellStyle name="40% - Accent6 4 6 4" xfId="10897" xr:uid="{7A8DE143-AA18-4CA1-A19C-AABF03A34E69}"/>
    <cellStyle name="40% - Accent6 4 7" xfId="4599" xr:uid="{00000000-0005-0000-0000-00006D070000}"/>
    <cellStyle name="40% - Accent6 4 7 2" xfId="21490" xr:uid="{8DB7D7DC-349E-4B89-925E-F4DF1C845143}"/>
    <cellStyle name="40% - Accent6 4 7 3" xfId="13049" xr:uid="{8309251B-210C-464F-A6DD-6390985604A8}"/>
    <cellStyle name="40% - Accent6 4 8" xfId="17272" xr:uid="{45F7EF78-B4FD-43CD-AB89-346461C79206}"/>
    <cellStyle name="40% - Accent6 4 9" xfId="8831" xr:uid="{854EB9CD-85EF-4186-9379-DF28C9C67A37}"/>
    <cellStyle name="40% - Accent6 5" xfId="658" xr:uid="{00000000-0005-0000-0000-00006E070000}"/>
    <cellStyle name="40% - Accent6 5 2" xfId="2929" xr:uid="{00000000-0005-0000-0000-00006F070000}"/>
    <cellStyle name="40% - Accent6 5 2 2" xfId="7151" xr:uid="{00000000-0005-0000-0000-000070070000}"/>
    <cellStyle name="40% - Accent6 5 2 2 2" xfId="24042" xr:uid="{D8E7A8BC-1250-460D-8E7D-B84AAE7C8464}"/>
    <cellStyle name="40% - Accent6 5 2 2 3" xfId="15601" xr:uid="{D572753F-F92C-4698-A5FC-9A1163593C74}"/>
    <cellStyle name="40% - Accent6 5 2 3" xfId="19824" xr:uid="{B1001456-1899-4267-A03F-2ECDF8960FE4}"/>
    <cellStyle name="40% - Accent6 5 2 4" xfId="11383" xr:uid="{6D01270D-1534-450C-AC0E-33C52F09F937}"/>
    <cellStyle name="40% - Accent6 5 3" xfId="5006" xr:uid="{00000000-0005-0000-0000-000071070000}"/>
    <cellStyle name="40% - Accent6 5 3 2" xfId="21897" xr:uid="{5C06A35F-5741-4337-81E4-F80C435BA2CA}"/>
    <cellStyle name="40% - Accent6 5 3 3" xfId="13456" xr:uid="{70210EF3-7D52-4043-8E0B-04D255421648}"/>
    <cellStyle name="40% - Accent6 5 4" xfId="17679" xr:uid="{0C71D4DD-9986-48E8-8C28-1B6CC6B3C102}"/>
    <cellStyle name="40% - Accent6 5 5" xfId="9238" xr:uid="{02F32C81-5114-47CB-8A1F-66CB8E02E71E}"/>
    <cellStyle name="40% - Accent6 6" xfId="1111" xr:uid="{00000000-0005-0000-0000-000072070000}"/>
    <cellStyle name="40% - Accent6 6 2" xfId="3342" xr:uid="{00000000-0005-0000-0000-000073070000}"/>
    <cellStyle name="40% - Accent6 6 2 2" xfId="7564" xr:uid="{00000000-0005-0000-0000-000074070000}"/>
    <cellStyle name="40% - Accent6 6 2 2 2" xfId="24455" xr:uid="{198925DF-46B5-424A-A3B4-2215D92B60D8}"/>
    <cellStyle name="40% - Accent6 6 2 2 3" xfId="16014" xr:uid="{182AE24B-B0B6-4034-9B96-7F5600FC0992}"/>
    <cellStyle name="40% - Accent6 6 2 3" xfId="20237" xr:uid="{B8023567-0AC2-47FD-BDEA-56F5A8020822}"/>
    <cellStyle name="40% - Accent6 6 2 4" xfId="11796" xr:uid="{E7926B28-C281-4A51-B0A5-F85901B502B5}"/>
    <cellStyle name="40% - Accent6 6 3" xfId="5419" xr:uid="{00000000-0005-0000-0000-000075070000}"/>
    <cellStyle name="40% - Accent6 6 3 2" xfId="22310" xr:uid="{741CD969-276A-45D1-B4C9-4FF7AFB0E911}"/>
    <cellStyle name="40% - Accent6 6 3 3" xfId="13869" xr:uid="{8F962A49-63E7-4027-BD80-0D431F553C9E}"/>
    <cellStyle name="40% - Accent6 6 4" xfId="18092" xr:uid="{37B377AE-6D88-4777-BAF8-A0B528A6EDB7}"/>
    <cellStyle name="40% - Accent6 6 5" xfId="9651" xr:uid="{37A7D169-1645-40BF-A121-DD3B40FBF4AE}"/>
    <cellStyle name="40% - Accent6 7" xfId="1525" xr:uid="{00000000-0005-0000-0000-000076070000}"/>
    <cellStyle name="40% - Accent6 7 2" xfId="3755" xr:uid="{00000000-0005-0000-0000-000077070000}"/>
    <cellStyle name="40% - Accent6 7 2 2" xfId="7977" xr:uid="{00000000-0005-0000-0000-000078070000}"/>
    <cellStyle name="40% - Accent6 7 2 2 2" xfId="24868" xr:uid="{E4CF21CE-3597-4580-94D0-D9B9429398DF}"/>
    <cellStyle name="40% - Accent6 7 2 2 3" xfId="16427" xr:uid="{F95036E6-D060-4E0E-95B0-5AB46865165F}"/>
    <cellStyle name="40% - Accent6 7 2 3" xfId="20650" xr:uid="{A9134883-72BF-4AB2-B206-586A2878663C}"/>
    <cellStyle name="40% - Accent6 7 2 4" xfId="12209" xr:uid="{2D28D23C-065D-435C-A40B-3BD2A73B369B}"/>
    <cellStyle name="40% - Accent6 7 3" xfId="5832" xr:uid="{00000000-0005-0000-0000-000079070000}"/>
    <cellStyle name="40% - Accent6 7 3 2" xfId="22723" xr:uid="{90993BC4-EB2B-4F58-A16D-85E2A6B25094}"/>
    <cellStyle name="40% - Accent6 7 3 3" xfId="14282" xr:uid="{6EDED34B-D303-4C58-98F8-2D1327B316A7}"/>
    <cellStyle name="40% - Accent6 7 4" xfId="18505" xr:uid="{56ECD9CD-7F4E-4708-97F3-FB0D3965352B}"/>
    <cellStyle name="40% - Accent6 7 5" xfId="10064" xr:uid="{5924C5D1-C34D-4C1F-AF53-982B9BB83B7F}"/>
    <cellStyle name="40% - Accent6 8" xfId="1939" xr:uid="{00000000-0005-0000-0000-00007A070000}"/>
    <cellStyle name="40% - Accent6 8 2" xfId="4168" xr:uid="{00000000-0005-0000-0000-00007B070000}"/>
    <cellStyle name="40% - Accent6 8 2 2" xfId="8390" xr:uid="{00000000-0005-0000-0000-00007C070000}"/>
    <cellStyle name="40% - Accent6 8 2 2 2" xfId="25281" xr:uid="{448E2628-2C83-44FF-B40E-3866DCE120D2}"/>
    <cellStyle name="40% - Accent6 8 2 2 3" xfId="16840" xr:uid="{3F5A5C2C-C86F-46B2-8A26-99259130FA82}"/>
    <cellStyle name="40% - Accent6 8 2 3" xfId="21063" xr:uid="{BE3A3F88-5780-47E2-9306-904EBD4B4C87}"/>
    <cellStyle name="40% - Accent6 8 2 4" xfId="12622" xr:uid="{A51FBEB5-5AB5-4FEB-8437-601AE2BB97D0}"/>
    <cellStyle name="40% - Accent6 8 3" xfId="6245" xr:uid="{00000000-0005-0000-0000-00007D070000}"/>
    <cellStyle name="40% - Accent6 8 3 2" xfId="23136" xr:uid="{1A26DF9B-C20B-4618-BB5A-F73A7C0AE2C4}"/>
    <cellStyle name="40% - Accent6 8 3 3" xfId="14695" xr:uid="{24827A75-248F-4814-9884-68018BB2986C}"/>
    <cellStyle name="40% - Accent6 8 4" xfId="18918" xr:uid="{1CFA2446-D779-46D3-B963-F03FD5E5CBA3}"/>
    <cellStyle name="40% - Accent6 8 5" xfId="10477" xr:uid="{1810A7BA-7CA4-432A-98FC-04BD87833D6C}"/>
    <cellStyle name="40% - Accent6 9" xfId="2352" xr:uid="{00000000-0005-0000-0000-00007E070000}"/>
    <cellStyle name="40% - Accent6 9 2" xfId="6658" xr:uid="{00000000-0005-0000-0000-00007F070000}"/>
    <cellStyle name="40% - Accent6 9 2 2" xfId="23549" xr:uid="{C62B4271-FBF1-481D-8162-9EAFB5EAB3F2}"/>
    <cellStyle name="40% - Accent6 9 2 3" xfId="15108" xr:uid="{F4B3FA32-6BC7-4B12-A225-D87457E2B1A8}"/>
    <cellStyle name="40% - Accent6 9 3" xfId="19331" xr:uid="{3AA94B25-0627-4FD1-AF07-21AAB4DD841D}"/>
    <cellStyle name="40% - Accent6 9 4" xfId="10890" xr:uid="{C976D91A-9D39-4A68-97C4-AAEBF553FCED}"/>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Bad 2 2" xfId="25639" xr:uid="{E1835AE4-76C8-4B09-BED7-3F610959E44D}"/>
    <cellStyle name="Calculation" xfId="119" builtinId="22" customBuiltin="1"/>
    <cellStyle name="Calculation 2" xfId="120" xr:uid="{00000000-0005-0000-0000-000097070000}"/>
    <cellStyle name="Check Cell" xfId="121" builtinId="23" customBuiltin="1"/>
    <cellStyle name="Comma" xfId="4503" builtinId="3"/>
    <cellStyle name="Comma 10" xfId="25789" xr:uid="{54F24FE9-D478-459C-85CE-FA37CE663492}"/>
    <cellStyle name="Comma 10 2" xfId="25873" xr:uid="{40AAA040-C78A-4937-850D-84466EF7200E}"/>
    <cellStyle name="Comma 11" xfId="25791" xr:uid="{75AC855A-3870-4335-8152-BCC3B3E6F26F}"/>
    <cellStyle name="Comma 11 2" xfId="25875" xr:uid="{86758016-E841-4517-908D-881E87EDB03A}"/>
    <cellStyle name="Comma 2" xfId="122" xr:uid="{00000000-0005-0000-0000-00009A070000}"/>
    <cellStyle name="Comma 2 2" xfId="123" xr:uid="{00000000-0005-0000-0000-00009B070000}"/>
    <cellStyle name="Comma 2 3" xfId="25661" xr:uid="{5E64DD09-14CC-459E-ABE9-E895355FABB2}"/>
    <cellStyle name="Comma 3" xfId="124" xr:uid="{00000000-0005-0000-0000-00009C070000}"/>
    <cellStyle name="Comma 3 2" xfId="25831" xr:uid="{DDAD3AF1-86AC-43A8-A342-A3BF49738ED5}"/>
    <cellStyle name="Comma 3 3" xfId="25678" xr:uid="{7D16D71F-C999-4B3E-BC91-D4AA73BF0D17}"/>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23874" xr:uid="{87224101-11C5-4FE4-AA4C-4A1B130584C3}"/>
    <cellStyle name="Comma 4 2 2 2 10 2 3" xfId="15433" xr:uid="{5879599A-7CD3-47BB-A219-6EEA1D04F7C9}"/>
    <cellStyle name="Comma 4 2 2 2 10 3" xfId="19656" xr:uid="{2F1F166F-7346-44A8-866F-4AB81B9ED721}"/>
    <cellStyle name="Comma 4 2 2 2 10 4" xfId="11215" xr:uid="{EB58E702-5CDA-4D75-B02D-2BF35152BC16}"/>
    <cellStyle name="Comma 4 2 2 2 11" xfId="4600" xr:uid="{00000000-0005-0000-0000-0000A3070000}"/>
    <cellStyle name="Comma 4 2 2 2 11 2" xfId="21491" xr:uid="{41350FD0-8805-4E16-9717-E1D2796B6506}"/>
    <cellStyle name="Comma 4 2 2 2 11 3" xfId="13050" xr:uid="{3E7CB647-7F4B-43EF-B0EB-C8C2973990F2}"/>
    <cellStyle name="Comma 4 2 2 2 12" xfId="17273" xr:uid="{CD896183-B637-41E5-A4F1-CC69E46A3F04}"/>
    <cellStyle name="Comma 4 2 2 2 13" xfId="8832" xr:uid="{84A53298-9698-4624-A3E6-FA15F03820C1}"/>
    <cellStyle name="Comma 4 2 2 2 2" xfId="129" xr:uid="{00000000-0005-0000-0000-0000A4070000}"/>
    <cellStyle name="Comma 4 2 2 2 2 10" xfId="4601" xr:uid="{00000000-0005-0000-0000-0000A5070000}"/>
    <cellStyle name="Comma 4 2 2 2 2 10 2" xfId="21492" xr:uid="{9FF0BE31-4BB8-4891-95F5-68481A3BAF9E}"/>
    <cellStyle name="Comma 4 2 2 2 2 10 3" xfId="13051" xr:uid="{67B6F7DD-3884-4A54-B3C5-ABD6C3CA0BDD}"/>
    <cellStyle name="Comma 4 2 2 2 2 11" xfId="17274" xr:uid="{7A40C804-2EF0-414F-96C0-52EA195ED891}"/>
    <cellStyle name="Comma 4 2 2 2 2 12" xfId="8833" xr:uid="{950AC0CD-E458-4169-95D7-D152503F5780}"/>
    <cellStyle name="Comma 4 2 2 2 2 2" xfId="130" xr:uid="{00000000-0005-0000-0000-0000A6070000}"/>
    <cellStyle name="Comma 4 2 2 2 2 2 10" xfId="17275" xr:uid="{F5509D31-56D6-43CE-9997-CF6747E152B2}"/>
    <cellStyle name="Comma 4 2 2 2 2 2 11" xfId="8834" xr:uid="{7A3D6735-5179-463D-8A0F-05DDBCB7910F}"/>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24052" xr:uid="{B9DD842D-0C52-4515-B529-C49F60FA7BEF}"/>
    <cellStyle name="Comma 4 2 2 2 2 2 2 2 2 3" xfId="15611" xr:uid="{58661700-704F-4DA1-BB44-1CE9AD146034}"/>
    <cellStyle name="Comma 4 2 2 2 2 2 2 2 3" xfId="19834" xr:uid="{6454C57D-5BFA-4CE3-AD5B-D7AD7DA32A54}"/>
    <cellStyle name="Comma 4 2 2 2 2 2 2 2 4" xfId="11393" xr:uid="{399BCC00-1EEB-41E1-B397-D31DF98DC81A}"/>
    <cellStyle name="Comma 4 2 2 2 2 2 2 3" xfId="5016" xr:uid="{00000000-0005-0000-0000-0000AA070000}"/>
    <cellStyle name="Comma 4 2 2 2 2 2 2 3 2" xfId="21907" xr:uid="{1EFD0423-0BA0-46F7-B22A-011A8A947154}"/>
    <cellStyle name="Comma 4 2 2 2 2 2 2 3 3" xfId="13466" xr:uid="{B9030F55-4C36-4F3D-8394-5595F85390E7}"/>
    <cellStyle name="Comma 4 2 2 2 2 2 2 4" xfId="17689" xr:uid="{3321B913-0573-4C60-A5B5-F989E7BC2C26}"/>
    <cellStyle name="Comma 4 2 2 2 2 2 2 5" xfId="9248" xr:uid="{F9163EFB-DC78-4E09-AB45-D96C4ECE6151}"/>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24465" xr:uid="{458CE422-F855-460E-8445-B653A5E598BE}"/>
    <cellStyle name="Comma 4 2 2 2 2 2 3 2 2 3" xfId="16024" xr:uid="{AEEF8ED1-8009-4646-ABA6-53D1B4C69E04}"/>
    <cellStyle name="Comma 4 2 2 2 2 2 3 2 3" xfId="20247" xr:uid="{3AB4A649-1C04-4F24-972D-98A75F2E733D}"/>
    <cellStyle name="Comma 4 2 2 2 2 2 3 2 4" xfId="11806" xr:uid="{8C703151-1BE3-4FB2-99B8-C5A1373F707D}"/>
    <cellStyle name="Comma 4 2 2 2 2 2 3 3" xfId="5429" xr:uid="{00000000-0005-0000-0000-0000AE070000}"/>
    <cellStyle name="Comma 4 2 2 2 2 2 3 3 2" xfId="22320" xr:uid="{85B4B227-9E6C-4A01-9CA0-66EE974FB806}"/>
    <cellStyle name="Comma 4 2 2 2 2 2 3 3 3" xfId="13879" xr:uid="{71D1DF4F-9DC9-4FE3-A273-89B771BBC7FD}"/>
    <cellStyle name="Comma 4 2 2 2 2 2 3 4" xfId="18102" xr:uid="{028FD044-BD6F-464F-A24C-EB055554909C}"/>
    <cellStyle name="Comma 4 2 2 2 2 2 3 5" xfId="9661" xr:uid="{16F4F0CB-307B-4826-86A3-F91A4711B39E}"/>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24878" xr:uid="{E24FC348-82DF-4872-9532-D7B0D247DFD3}"/>
    <cellStyle name="Comma 4 2 2 2 2 2 4 2 2 3" xfId="16437" xr:uid="{D3E550CA-E121-4965-938A-C37838949E23}"/>
    <cellStyle name="Comma 4 2 2 2 2 2 4 2 3" xfId="20660" xr:uid="{B1F0F958-3E0A-4EE2-B8EA-220A4A2F4D26}"/>
    <cellStyle name="Comma 4 2 2 2 2 2 4 2 4" xfId="12219" xr:uid="{D2BD8D2B-42D7-40D9-B3C7-E27E7B8DEC0A}"/>
    <cellStyle name="Comma 4 2 2 2 2 2 4 3" xfId="5842" xr:uid="{00000000-0005-0000-0000-0000B2070000}"/>
    <cellStyle name="Comma 4 2 2 2 2 2 4 3 2" xfId="22733" xr:uid="{919EC10E-8DEF-41B1-BFF5-0538FC493054}"/>
    <cellStyle name="Comma 4 2 2 2 2 2 4 3 3" xfId="14292" xr:uid="{8CDB4E0E-9587-4F0F-AD20-24DD61C045E7}"/>
    <cellStyle name="Comma 4 2 2 2 2 2 4 4" xfId="18515" xr:uid="{D4264889-2E89-4794-A9AE-C78937B82479}"/>
    <cellStyle name="Comma 4 2 2 2 2 2 4 5" xfId="10074" xr:uid="{48926D81-61FB-445A-9E30-41E4D538D9B5}"/>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25291" xr:uid="{9D8C6732-BB3D-478E-9372-7446319879CB}"/>
    <cellStyle name="Comma 4 2 2 2 2 2 5 2 2 3" xfId="16850" xr:uid="{2C5E77AE-736D-4428-89A8-D0020EAA2D79}"/>
    <cellStyle name="Comma 4 2 2 2 2 2 5 2 3" xfId="21073" xr:uid="{B2FDF0C9-D3E5-4539-AA08-07F4B59860F3}"/>
    <cellStyle name="Comma 4 2 2 2 2 2 5 2 4" xfId="12632" xr:uid="{3DE6E744-B47C-4927-A5B4-7AFB35CBC8A4}"/>
    <cellStyle name="Comma 4 2 2 2 2 2 5 3" xfId="6255" xr:uid="{00000000-0005-0000-0000-0000B6070000}"/>
    <cellStyle name="Comma 4 2 2 2 2 2 5 3 2" xfId="23146" xr:uid="{55FEFB08-BB67-4928-97AC-13BF38D8644D}"/>
    <cellStyle name="Comma 4 2 2 2 2 2 5 3 3" xfId="14705" xr:uid="{B00D4F8D-64FD-4916-8155-B98CFF23348E}"/>
    <cellStyle name="Comma 4 2 2 2 2 2 5 4" xfId="18928" xr:uid="{52456849-115A-44C3-96A4-B483FC90DD6A}"/>
    <cellStyle name="Comma 4 2 2 2 2 2 5 5" xfId="10487" xr:uid="{98A1D488-2768-4480-B09C-6EA053A53BB0}"/>
    <cellStyle name="Comma 4 2 2 2 2 2 6" xfId="2384" xr:uid="{00000000-0005-0000-0000-0000B7070000}"/>
    <cellStyle name="Comma 4 2 2 2 2 2 6 2" xfId="6668" xr:uid="{00000000-0005-0000-0000-0000B8070000}"/>
    <cellStyle name="Comma 4 2 2 2 2 2 6 2 2" xfId="23559" xr:uid="{ACE5D87B-ABBE-4517-A4BC-1A55C2292BF0}"/>
    <cellStyle name="Comma 4 2 2 2 2 2 6 2 3" xfId="15118" xr:uid="{2BC660CB-C838-4E88-A342-20FBAF6DAC9F}"/>
    <cellStyle name="Comma 4 2 2 2 2 2 6 3" xfId="19341" xr:uid="{3E5C481D-3F05-44D7-BE2F-D838BDE5F308}"/>
    <cellStyle name="Comma 4 2 2 2 2 2 6 4" xfId="10900" xr:uid="{6FC6C434-9D7D-4598-90BE-E6A56EB05518}"/>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23876" xr:uid="{8BF13278-98D1-4334-B037-005E326B8286}"/>
    <cellStyle name="Comma 4 2 2 2 2 2 8 2 3" xfId="15435" xr:uid="{A5C2D316-20AE-47B3-B7CE-D687B7578F7D}"/>
    <cellStyle name="Comma 4 2 2 2 2 2 8 3" xfId="19658" xr:uid="{6254DFE6-83CE-455E-BFC4-7C30FEBE7BE8}"/>
    <cellStyle name="Comma 4 2 2 2 2 2 8 4" xfId="11217" xr:uid="{77703917-0D55-4F7B-8F49-E2531CB418FA}"/>
    <cellStyle name="Comma 4 2 2 2 2 2 9" xfId="4602" xr:uid="{00000000-0005-0000-0000-0000BC070000}"/>
    <cellStyle name="Comma 4 2 2 2 2 2 9 2" xfId="21493" xr:uid="{35270989-11FB-4EF6-BE1D-B99BE4606385}"/>
    <cellStyle name="Comma 4 2 2 2 2 2 9 3" xfId="13052" xr:uid="{E568AE76-21C7-4B0F-A31D-7466010D4168}"/>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24051" xr:uid="{EFFC08E3-3C6D-490E-8A9D-9B34A237A3DC}"/>
    <cellStyle name="Comma 4 2 2 2 2 3 2 2 3" xfId="15610" xr:uid="{D8B3AF82-F22C-4D74-8AAC-C4281D66B7C5}"/>
    <cellStyle name="Comma 4 2 2 2 2 3 2 3" xfId="19833" xr:uid="{CBFF6DB5-81B0-4180-8003-A5E74D13B069}"/>
    <cellStyle name="Comma 4 2 2 2 2 3 2 4" xfId="11392" xr:uid="{93ADAD0A-6EE3-41E9-AE2D-E7103031D9BA}"/>
    <cellStyle name="Comma 4 2 2 2 2 3 3" xfId="5015" xr:uid="{00000000-0005-0000-0000-0000C0070000}"/>
    <cellStyle name="Comma 4 2 2 2 2 3 3 2" xfId="21906" xr:uid="{3981682D-E4F7-49B6-BD5E-E3B5D8C4F495}"/>
    <cellStyle name="Comma 4 2 2 2 2 3 3 3" xfId="13465" xr:uid="{F6FA6C37-2F0F-4C5A-AEE6-5B98BAB29C18}"/>
    <cellStyle name="Comma 4 2 2 2 2 3 4" xfId="17688" xr:uid="{D3B0E90E-6E75-4D71-B18C-70D299A0551B}"/>
    <cellStyle name="Comma 4 2 2 2 2 3 5" xfId="9247" xr:uid="{4E4F4CBF-F62F-45C1-94F6-507A438253F9}"/>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24464" xr:uid="{F0137ECD-26F3-456B-AD01-E605B9B78721}"/>
    <cellStyle name="Comma 4 2 2 2 2 4 2 2 3" xfId="16023" xr:uid="{8DD95274-0F65-4E17-A7C7-E7898356468B}"/>
    <cellStyle name="Comma 4 2 2 2 2 4 2 3" xfId="20246" xr:uid="{160953BB-6BE1-406E-B6DD-C6686D225FEF}"/>
    <cellStyle name="Comma 4 2 2 2 2 4 2 4" xfId="11805" xr:uid="{06FCAAFD-D0D9-41E2-9AF6-404AF5494AED}"/>
    <cellStyle name="Comma 4 2 2 2 2 4 3" xfId="5428" xr:uid="{00000000-0005-0000-0000-0000C4070000}"/>
    <cellStyle name="Comma 4 2 2 2 2 4 3 2" xfId="22319" xr:uid="{CE29F9A8-D389-492C-8E55-11D9CCF6E556}"/>
    <cellStyle name="Comma 4 2 2 2 2 4 3 3" xfId="13878" xr:uid="{ABC99C72-CFEF-4758-90F1-1F8F31D990B3}"/>
    <cellStyle name="Comma 4 2 2 2 2 4 4" xfId="18101" xr:uid="{8859B2B9-F053-4287-9E54-391E556A3616}"/>
    <cellStyle name="Comma 4 2 2 2 2 4 5" xfId="9660" xr:uid="{1D52E2A1-2519-4259-AC3D-41A888A026BF}"/>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24877" xr:uid="{F011C023-9490-4940-A9AB-B30A87C51786}"/>
    <cellStyle name="Comma 4 2 2 2 2 5 2 2 3" xfId="16436" xr:uid="{3368A32A-D8BE-4601-8A32-04ECDE5DA7E3}"/>
    <cellStyle name="Comma 4 2 2 2 2 5 2 3" xfId="20659" xr:uid="{9D7C2F4B-1A48-4A76-8739-EFA926E398B2}"/>
    <cellStyle name="Comma 4 2 2 2 2 5 2 4" xfId="12218" xr:uid="{24B7105A-9A08-4A4C-B7CB-032048762C2B}"/>
    <cellStyle name="Comma 4 2 2 2 2 5 3" xfId="5841" xr:uid="{00000000-0005-0000-0000-0000C8070000}"/>
    <cellStyle name="Comma 4 2 2 2 2 5 3 2" xfId="22732" xr:uid="{7CAD3CB2-A04A-4CF3-B7F5-7D873B96FC32}"/>
    <cellStyle name="Comma 4 2 2 2 2 5 3 3" xfId="14291" xr:uid="{0DD5D02D-72F4-4D10-8B53-60A35EA04600}"/>
    <cellStyle name="Comma 4 2 2 2 2 5 4" xfId="18514" xr:uid="{184E67CD-B3AD-4DFC-B0C2-D06D48EF2BC4}"/>
    <cellStyle name="Comma 4 2 2 2 2 5 5" xfId="10073" xr:uid="{86A83411-929A-4E3B-A06F-7F663F63A705}"/>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25290" xr:uid="{F83DA916-23FE-4465-A3CF-1C4BD55855FF}"/>
    <cellStyle name="Comma 4 2 2 2 2 6 2 2 3" xfId="16849" xr:uid="{4AAEA07D-B2DF-4528-B7FA-3DB5D77F2A52}"/>
    <cellStyle name="Comma 4 2 2 2 2 6 2 3" xfId="21072" xr:uid="{4EA4D7A7-4250-4B7E-859A-8DF6CE652137}"/>
    <cellStyle name="Comma 4 2 2 2 2 6 2 4" xfId="12631" xr:uid="{A0657F61-3DAE-4CB5-B696-DE3E473E6132}"/>
    <cellStyle name="Comma 4 2 2 2 2 6 3" xfId="6254" xr:uid="{00000000-0005-0000-0000-0000CC070000}"/>
    <cellStyle name="Comma 4 2 2 2 2 6 3 2" xfId="23145" xr:uid="{A00D2C3A-8258-4944-BE5A-FEB30C9419B7}"/>
    <cellStyle name="Comma 4 2 2 2 2 6 3 3" xfId="14704" xr:uid="{815C0982-BA12-4301-B71E-AB9DB3021E74}"/>
    <cellStyle name="Comma 4 2 2 2 2 6 4" xfId="18927" xr:uid="{2C1F7232-498E-4660-BBA1-DABD0458EC4F}"/>
    <cellStyle name="Comma 4 2 2 2 2 6 5" xfId="10486" xr:uid="{41ABC9A6-A51C-45C5-A00B-2DA0A84B9345}"/>
    <cellStyle name="Comma 4 2 2 2 2 7" xfId="2383" xr:uid="{00000000-0005-0000-0000-0000CD070000}"/>
    <cellStyle name="Comma 4 2 2 2 2 7 2" xfId="6667" xr:uid="{00000000-0005-0000-0000-0000CE070000}"/>
    <cellStyle name="Comma 4 2 2 2 2 7 2 2" xfId="23558" xr:uid="{D426DC6A-801F-4B78-912B-685592116109}"/>
    <cellStyle name="Comma 4 2 2 2 2 7 2 3" xfId="15117" xr:uid="{70515FD3-C6CF-41FF-BFD0-1BCDC2AE499D}"/>
    <cellStyle name="Comma 4 2 2 2 2 7 3" xfId="19340" xr:uid="{8DBC2A15-2894-413F-9BAF-0F5250AFE531}"/>
    <cellStyle name="Comma 4 2 2 2 2 7 4" xfId="10899" xr:uid="{54B8D8BE-65B4-445B-A873-77BD1877152A}"/>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23875" xr:uid="{FD5ED089-3B5E-4D5A-B5A6-78AC49DAA27E}"/>
    <cellStyle name="Comma 4 2 2 2 2 9 2 3" xfId="15434" xr:uid="{360E1C3F-F970-407C-8132-7E39701DE5AC}"/>
    <cellStyle name="Comma 4 2 2 2 2 9 3" xfId="19657" xr:uid="{812190B3-98BF-41CB-9D79-4D3C8E7FF94F}"/>
    <cellStyle name="Comma 4 2 2 2 2 9 4" xfId="11216" xr:uid="{4AE87ED8-BE7D-41E5-A653-E8B6E3CD38FE}"/>
    <cellStyle name="Comma 4 2 2 2 3" xfId="131" xr:uid="{00000000-0005-0000-0000-0000D2070000}"/>
    <cellStyle name="Comma 4 2 2 2 3 10" xfId="17276" xr:uid="{70766D3A-474A-445A-80DE-87B96EBD4EE4}"/>
    <cellStyle name="Comma 4 2 2 2 3 11" xfId="8835" xr:uid="{ED5EA23B-E51C-4BD8-A4C2-902DBD948489}"/>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24053" xr:uid="{F6BBD273-44CA-45F2-883E-1E03EF28027F}"/>
    <cellStyle name="Comma 4 2 2 2 3 2 2 2 3" xfId="15612" xr:uid="{E9471605-BBB3-4557-A628-4054574FAE07}"/>
    <cellStyle name="Comma 4 2 2 2 3 2 2 3" xfId="19835" xr:uid="{A384E798-E780-4001-996C-A18DC191C71F}"/>
    <cellStyle name="Comma 4 2 2 2 3 2 2 4" xfId="11394" xr:uid="{2395B3F2-5E2D-45FA-ACC4-BFD2720E1266}"/>
    <cellStyle name="Comma 4 2 2 2 3 2 3" xfId="5017" xr:uid="{00000000-0005-0000-0000-0000D6070000}"/>
    <cellStyle name="Comma 4 2 2 2 3 2 3 2" xfId="21908" xr:uid="{4F671A77-AAC6-4501-B570-EDF446F40083}"/>
    <cellStyle name="Comma 4 2 2 2 3 2 3 3" xfId="13467" xr:uid="{27C067FD-DD81-4A23-9A57-F18643BAC037}"/>
    <cellStyle name="Comma 4 2 2 2 3 2 4" xfId="17690" xr:uid="{69C59143-956A-46E5-A0D7-E2CCB30F7B00}"/>
    <cellStyle name="Comma 4 2 2 2 3 2 5" xfId="9249" xr:uid="{FF38C8C2-5222-47B6-B541-1972B282D464}"/>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24466" xr:uid="{58290292-BF97-4586-8526-7E50BA37873B}"/>
    <cellStyle name="Comma 4 2 2 2 3 3 2 2 3" xfId="16025" xr:uid="{510E26DD-65AD-4D32-B912-212A5338B1C2}"/>
    <cellStyle name="Comma 4 2 2 2 3 3 2 3" xfId="20248" xr:uid="{826D3D0E-F2DF-41E4-A4CC-F47EBE692DFE}"/>
    <cellStyle name="Comma 4 2 2 2 3 3 2 4" xfId="11807" xr:uid="{632032E8-FEA9-4ECA-BA5F-2AE1AF03B0A5}"/>
    <cellStyle name="Comma 4 2 2 2 3 3 3" xfId="5430" xr:uid="{00000000-0005-0000-0000-0000DA070000}"/>
    <cellStyle name="Comma 4 2 2 2 3 3 3 2" xfId="22321" xr:uid="{005E6DED-B74B-412F-98AC-4BD11FB78C84}"/>
    <cellStyle name="Comma 4 2 2 2 3 3 3 3" xfId="13880" xr:uid="{CA8FC8E1-9C30-44A1-83D9-82FC818C2D77}"/>
    <cellStyle name="Comma 4 2 2 2 3 3 4" xfId="18103" xr:uid="{66C2C4A8-2625-4811-BD04-5A4A1067E798}"/>
    <cellStyle name="Comma 4 2 2 2 3 3 5" xfId="9662" xr:uid="{F0599A6A-1D1C-4211-BA39-3F567AB2BC41}"/>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24879" xr:uid="{DA337959-A851-448D-BB4A-A675873759E1}"/>
    <cellStyle name="Comma 4 2 2 2 3 4 2 2 3" xfId="16438" xr:uid="{65502208-CF7F-485D-949C-9740E5F7C920}"/>
    <cellStyle name="Comma 4 2 2 2 3 4 2 3" xfId="20661" xr:uid="{BA9D39F6-EE36-4DB0-99E5-C9E127EC5B31}"/>
    <cellStyle name="Comma 4 2 2 2 3 4 2 4" xfId="12220" xr:uid="{6D035C55-BF0C-41F1-95BA-942738974D0C}"/>
    <cellStyle name="Comma 4 2 2 2 3 4 3" xfId="5843" xr:uid="{00000000-0005-0000-0000-0000DE070000}"/>
    <cellStyle name="Comma 4 2 2 2 3 4 3 2" xfId="22734" xr:uid="{19594338-F9DA-4F2F-9EF5-9C57E0770C87}"/>
    <cellStyle name="Comma 4 2 2 2 3 4 3 3" xfId="14293" xr:uid="{9DEA09B9-E019-4719-914F-42045F53AC20}"/>
    <cellStyle name="Comma 4 2 2 2 3 4 4" xfId="18516" xr:uid="{8D5C6AF8-824C-495B-AD68-2CF433A8DF80}"/>
    <cellStyle name="Comma 4 2 2 2 3 4 5" xfId="10075" xr:uid="{A9562AF9-3048-444F-A3B0-644ED1258446}"/>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25292" xr:uid="{1AF0EB9B-0B2D-4965-A2E5-0D414FE8ED6F}"/>
    <cellStyle name="Comma 4 2 2 2 3 5 2 2 3" xfId="16851" xr:uid="{690E510E-7C4E-4A84-9C5D-56CF97771871}"/>
    <cellStyle name="Comma 4 2 2 2 3 5 2 3" xfId="21074" xr:uid="{87D5BC3C-D827-4B68-BFC3-419E8A1EEB50}"/>
    <cellStyle name="Comma 4 2 2 2 3 5 2 4" xfId="12633" xr:uid="{33156398-95EC-48B1-B18F-8D8179C66487}"/>
    <cellStyle name="Comma 4 2 2 2 3 5 3" xfId="6256" xr:uid="{00000000-0005-0000-0000-0000E2070000}"/>
    <cellStyle name="Comma 4 2 2 2 3 5 3 2" xfId="23147" xr:uid="{CD171A55-DE49-4C71-AC64-C91F99D97E93}"/>
    <cellStyle name="Comma 4 2 2 2 3 5 3 3" xfId="14706" xr:uid="{9028EA4B-BF1B-4DE8-A4FC-89F14C299937}"/>
    <cellStyle name="Comma 4 2 2 2 3 5 4" xfId="18929" xr:uid="{9D07A03C-594F-4D0C-9700-BEACA1C5BEDB}"/>
    <cellStyle name="Comma 4 2 2 2 3 5 5" xfId="10488" xr:uid="{A2206005-F103-485A-94B9-AA2F679851B0}"/>
    <cellStyle name="Comma 4 2 2 2 3 6" xfId="2385" xr:uid="{00000000-0005-0000-0000-0000E3070000}"/>
    <cellStyle name="Comma 4 2 2 2 3 6 2" xfId="6669" xr:uid="{00000000-0005-0000-0000-0000E4070000}"/>
    <cellStyle name="Comma 4 2 2 2 3 6 2 2" xfId="23560" xr:uid="{C7E8CC54-E76D-43A5-B8CA-F5062D89DDFA}"/>
    <cellStyle name="Comma 4 2 2 2 3 6 2 3" xfId="15119" xr:uid="{1109FDBB-C59F-472C-B3CC-681791B48768}"/>
    <cellStyle name="Comma 4 2 2 2 3 6 3" xfId="19342" xr:uid="{0A9AE863-5F03-4D99-9BE2-390BDF31511E}"/>
    <cellStyle name="Comma 4 2 2 2 3 6 4" xfId="10901" xr:uid="{0E859C49-2FD5-4CF0-9852-4E53F7245959}"/>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23877" xr:uid="{1075B50D-4EF1-4EAC-A0AE-3DA7FAEA74DC}"/>
    <cellStyle name="Comma 4 2 2 2 3 8 2 3" xfId="15436" xr:uid="{47973B72-5E45-4013-880C-6CBE79A41A3D}"/>
    <cellStyle name="Comma 4 2 2 2 3 8 3" xfId="19659" xr:uid="{CAC8E2CB-076A-4022-9294-C064D4D5322D}"/>
    <cellStyle name="Comma 4 2 2 2 3 8 4" xfId="11218" xr:uid="{7AAD8458-3733-43DD-852B-AEE0510A7DDB}"/>
    <cellStyle name="Comma 4 2 2 2 3 9" xfId="4603" xr:uid="{00000000-0005-0000-0000-0000E8070000}"/>
    <cellStyle name="Comma 4 2 2 2 3 9 2" xfId="21494" xr:uid="{4D95171C-B4A1-4362-AF63-40AE3F30998B}"/>
    <cellStyle name="Comma 4 2 2 2 3 9 3" xfId="13053" xr:uid="{C93F642B-59EA-4E84-9404-1FFA1AC19540}"/>
    <cellStyle name="Comma 4 2 2 2 4" xfId="666" xr:uid="{00000000-0005-0000-0000-0000E9070000}"/>
    <cellStyle name="Comma 4 2 2 2 4 2" xfId="2937" xr:uid="{00000000-0005-0000-0000-0000EA070000}"/>
    <cellStyle name="Comma 4 2 2 2 4 2 2" xfId="7159" xr:uid="{00000000-0005-0000-0000-0000EB070000}"/>
    <cellStyle name="Comma 4 2 2 2 4 2 2 2" xfId="24050" xr:uid="{F54E86E4-9CA3-46B8-ABCF-D327D9E4F6DF}"/>
    <cellStyle name="Comma 4 2 2 2 4 2 2 3" xfId="15609" xr:uid="{60C375C3-E4C5-40DA-B3E8-B0F65965A5A0}"/>
    <cellStyle name="Comma 4 2 2 2 4 2 3" xfId="19832" xr:uid="{6BC6BF69-609D-46A5-BCA8-EA31A8E6FD0D}"/>
    <cellStyle name="Comma 4 2 2 2 4 2 4" xfId="11391" xr:uid="{4630B81E-F777-461A-852F-DD62BC50519E}"/>
    <cellStyle name="Comma 4 2 2 2 4 3" xfId="5014" xr:uid="{00000000-0005-0000-0000-0000EC070000}"/>
    <cellStyle name="Comma 4 2 2 2 4 3 2" xfId="21905" xr:uid="{6F75D7D6-B1B5-4F57-8447-28F72F94CC17}"/>
    <cellStyle name="Comma 4 2 2 2 4 3 3" xfId="13464" xr:uid="{CC9C48CE-3D5C-421E-B231-5D8756D3E04C}"/>
    <cellStyle name="Comma 4 2 2 2 4 4" xfId="17687" xr:uid="{9D7E1744-E23F-4958-AF35-B796538BE4B3}"/>
    <cellStyle name="Comma 4 2 2 2 4 5" xfId="9246" xr:uid="{D7F3B3BD-573F-49BE-BCFC-19D07B1D25BE}"/>
    <cellStyle name="Comma 4 2 2 2 5" xfId="1119" xr:uid="{00000000-0005-0000-0000-0000ED070000}"/>
    <cellStyle name="Comma 4 2 2 2 5 2" xfId="3350" xr:uid="{00000000-0005-0000-0000-0000EE070000}"/>
    <cellStyle name="Comma 4 2 2 2 5 2 2" xfId="7572" xr:uid="{00000000-0005-0000-0000-0000EF070000}"/>
    <cellStyle name="Comma 4 2 2 2 5 2 2 2" xfId="24463" xr:uid="{198E76FE-3750-4EFC-93CD-2D3EBC5F13C3}"/>
    <cellStyle name="Comma 4 2 2 2 5 2 2 3" xfId="16022" xr:uid="{4A7ED0B8-AB60-41D3-8F9A-C3375464DC39}"/>
    <cellStyle name="Comma 4 2 2 2 5 2 3" xfId="20245" xr:uid="{DF19E76D-BFD2-41CE-B6C5-CFD74C23C580}"/>
    <cellStyle name="Comma 4 2 2 2 5 2 4" xfId="11804" xr:uid="{195A4BBD-B123-4FCA-B3DF-8793338A5D7D}"/>
    <cellStyle name="Comma 4 2 2 2 5 3" xfId="5427" xr:uid="{00000000-0005-0000-0000-0000F0070000}"/>
    <cellStyle name="Comma 4 2 2 2 5 3 2" xfId="22318" xr:uid="{88056DCC-42CF-444F-888B-BA5E84CE848D}"/>
    <cellStyle name="Comma 4 2 2 2 5 3 3" xfId="13877" xr:uid="{8670C769-A840-4069-9426-F903CC43C270}"/>
    <cellStyle name="Comma 4 2 2 2 5 4" xfId="18100" xr:uid="{052132BD-7690-4186-9693-43B564743DEE}"/>
    <cellStyle name="Comma 4 2 2 2 5 5" xfId="9659" xr:uid="{2B796636-1CCB-469D-B073-4C001C9E939B}"/>
    <cellStyle name="Comma 4 2 2 2 6" xfId="1533" xr:uid="{00000000-0005-0000-0000-0000F1070000}"/>
    <cellStyle name="Comma 4 2 2 2 6 2" xfId="3763" xr:uid="{00000000-0005-0000-0000-0000F2070000}"/>
    <cellStyle name="Comma 4 2 2 2 6 2 2" xfId="7985" xr:uid="{00000000-0005-0000-0000-0000F3070000}"/>
    <cellStyle name="Comma 4 2 2 2 6 2 2 2" xfId="24876" xr:uid="{F0CE2DA9-8C37-46C5-A0FE-7E9F665FAE34}"/>
    <cellStyle name="Comma 4 2 2 2 6 2 2 3" xfId="16435" xr:uid="{A048E1D1-977D-4C2D-BACB-0E72E961539D}"/>
    <cellStyle name="Comma 4 2 2 2 6 2 3" xfId="20658" xr:uid="{B1DEC24F-3C99-4733-9B5C-556D66FB89B5}"/>
    <cellStyle name="Comma 4 2 2 2 6 2 4" xfId="12217" xr:uid="{31DA4DC6-4DBB-42D2-AA55-DA8FAB677F84}"/>
    <cellStyle name="Comma 4 2 2 2 6 3" xfId="5840" xr:uid="{00000000-0005-0000-0000-0000F4070000}"/>
    <cellStyle name="Comma 4 2 2 2 6 3 2" xfId="22731" xr:uid="{43D810CC-51C3-42F2-B4F2-7CF13BF78C5A}"/>
    <cellStyle name="Comma 4 2 2 2 6 3 3" xfId="14290" xr:uid="{B785D8DE-67A2-4380-A21F-C10CE2045E5D}"/>
    <cellStyle name="Comma 4 2 2 2 6 4" xfId="18513" xr:uid="{7BC61668-39A0-40E0-88D5-470AF16E4D13}"/>
    <cellStyle name="Comma 4 2 2 2 6 5" xfId="10072" xr:uid="{3E70481D-FD9C-44BA-AD0F-2E48E60BCC53}"/>
    <cellStyle name="Comma 4 2 2 2 7" xfId="1947" xr:uid="{00000000-0005-0000-0000-0000F5070000}"/>
    <cellStyle name="Comma 4 2 2 2 7 2" xfId="4176" xr:uid="{00000000-0005-0000-0000-0000F6070000}"/>
    <cellStyle name="Comma 4 2 2 2 7 2 2" xfId="8398" xr:uid="{00000000-0005-0000-0000-0000F7070000}"/>
    <cellStyle name="Comma 4 2 2 2 7 2 2 2" xfId="25289" xr:uid="{A75822DE-96D6-4141-89E9-C4AFC06BB4AF}"/>
    <cellStyle name="Comma 4 2 2 2 7 2 2 3" xfId="16848" xr:uid="{3FE1C51F-700E-4B2C-A435-9791DD560930}"/>
    <cellStyle name="Comma 4 2 2 2 7 2 3" xfId="21071" xr:uid="{AC1D3A92-4FB0-44EC-AB5F-8BDE5F273073}"/>
    <cellStyle name="Comma 4 2 2 2 7 2 4" xfId="12630" xr:uid="{EA6058A0-D9C5-44ED-82E4-0B7D4D34E456}"/>
    <cellStyle name="Comma 4 2 2 2 7 3" xfId="6253" xr:uid="{00000000-0005-0000-0000-0000F8070000}"/>
    <cellStyle name="Comma 4 2 2 2 7 3 2" xfId="23144" xr:uid="{CF431B43-6F31-42EC-8A17-A57F2062363A}"/>
    <cellStyle name="Comma 4 2 2 2 7 3 3" xfId="14703" xr:uid="{8624BCD7-C2C3-4D10-AB76-90216EB2785C}"/>
    <cellStyle name="Comma 4 2 2 2 7 4" xfId="18926" xr:uid="{312B170E-5D4B-4AC5-8E71-A9B074BBAD25}"/>
    <cellStyle name="Comma 4 2 2 2 7 5" xfId="10485" xr:uid="{B4F07775-CBF5-4B81-BAB3-8DDA3EB5552A}"/>
    <cellStyle name="Comma 4 2 2 2 8" xfId="2382" xr:uid="{00000000-0005-0000-0000-0000F9070000}"/>
    <cellStyle name="Comma 4 2 2 2 8 2" xfId="6666" xr:uid="{00000000-0005-0000-0000-0000FA070000}"/>
    <cellStyle name="Comma 4 2 2 2 8 2 2" xfId="23557" xr:uid="{764A846B-F10D-4622-A793-8D34645A36DA}"/>
    <cellStyle name="Comma 4 2 2 2 8 2 3" xfId="15116" xr:uid="{DE283E8E-C399-45CD-9A00-744FA329B002}"/>
    <cellStyle name="Comma 4 2 2 2 8 3" xfId="19339" xr:uid="{99DC0111-4F99-4310-8C29-6AB214C7D0C4}"/>
    <cellStyle name="Comma 4 2 2 2 8 4" xfId="10898" xr:uid="{1E0EFFE4-E5E1-470F-B1EB-EBA1C3DF59B3}"/>
    <cellStyle name="Comma 4 2 2 2 9" xfId="2381" xr:uid="{00000000-0005-0000-0000-0000FB070000}"/>
    <cellStyle name="Comma 4 2 2 3" xfId="132" xr:uid="{00000000-0005-0000-0000-0000FC070000}"/>
    <cellStyle name="Comma 4 2 2 3 10" xfId="4604" xr:uid="{00000000-0005-0000-0000-0000FD070000}"/>
    <cellStyle name="Comma 4 2 2 3 10 2" xfId="21495" xr:uid="{051DF20B-E330-408A-A7AE-F368983E933B}"/>
    <cellStyle name="Comma 4 2 2 3 10 3" xfId="13054" xr:uid="{8F6DDB66-254D-4FEA-BCE1-872641823F62}"/>
    <cellStyle name="Comma 4 2 2 3 11" xfId="17277" xr:uid="{8BCC6364-36F3-4851-80B9-66D5D43836F2}"/>
    <cellStyle name="Comma 4 2 2 3 12" xfId="8836" xr:uid="{50A4D1A4-7B7D-40B2-A5C3-C5ECCD4FF2B2}"/>
    <cellStyle name="Comma 4 2 2 3 2" xfId="133" xr:uid="{00000000-0005-0000-0000-0000FE070000}"/>
    <cellStyle name="Comma 4 2 2 3 2 10" xfId="17278" xr:uid="{75D223F4-862E-47EA-94F8-AA40E11AC84F}"/>
    <cellStyle name="Comma 4 2 2 3 2 11" xfId="8837" xr:uid="{D470CD1F-EC9F-4507-B33E-84DD9C44BEBE}"/>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24055" xr:uid="{6350285D-5A53-4ED8-89A6-DFA862F1EFEF}"/>
    <cellStyle name="Comma 4 2 2 3 2 2 2 2 3" xfId="15614" xr:uid="{4DB6DDAC-7541-421E-9BA6-E5C30A1F96AA}"/>
    <cellStyle name="Comma 4 2 2 3 2 2 2 3" xfId="19837" xr:uid="{92735214-6FA1-4174-8B83-585EA0A36A4D}"/>
    <cellStyle name="Comma 4 2 2 3 2 2 2 4" xfId="11396" xr:uid="{B5D26C75-1BB0-4B23-BFC2-69D5AF44649C}"/>
    <cellStyle name="Comma 4 2 2 3 2 2 3" xfId="5019" xr:uid="{00000000-0005-0000-0000-000002080000}"/>
    <cellStyle name="Comma 4 2 2 3 2 2 3 2" xfId="21910" xr:uid="{DBFF0741-6904-4B40-B3CF-5ADA0EEE3CB5}"/>
    <cellStyle name="Comma 4 2 2 3 2 2 3 3" xfId="13469" xr:uid="{E84F354B-95B0-4FA5-8163-95C0A468A212}"/>
    <cellStyle name="Comma 4 2 2 3 2 2 4" xfId="17692" xr:uid="{709D56F4-794D-4F26-B47A-A30E35E4C8E9}"/>
    <cellStyle name="Comma 4 2 2 3 2 2 5" xfId="9251" xr:uid="{E0526F23-4836-463B-866F-2766DB62A9DE}"/>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24468" xr:uid="{DE39DC41-591B-4283-A037-CC426BF7443C}"/>
    <cellStyle name="Comma 4 2 2 3 2 3 2 2 3" xfId="16027" xr:uid="{14B07EC8-F65A-4FC4-BB0C-89E6206498DF}"/>
    <cellStyle name="Comma 4 2 2 3 2 3 2 3" xfId="20250" xr:uid="{A623C7A4-D714-4C71-BE8D-BB2E2FE4CF84}"/>
    <cellStyle name="Comma 4 2 2 3 2 3 2 4" xfId="11809" xr:uid="{FB6C1B1E-D568-440B-9516-AC86F90D16B8}"/>
    <cellStyle name="Comma 4 2 2 3 2 3 3" xfId="5432" xr:uid="{00000000-0005-0000-0000-000006080000}"/>
    <cellStyle name="Comma 4 2 2 3 2 3 3 2" xfId="22323" xr:uid="{46ABEB3E-5C30-4D15-A24B-4BDA0B7A7493}"/>
    <cellStyle name="Comma 4 2 2 3 2 3 3 3" xfId="13882" xr:uid="{CD7E3557-55F3-46A3-B968-C6A9911B1ACC}"/>
    <cellStyle name="Comma 4 2 2 3 2 3 4" xfId="18105" xr:uid="{DEF4F910-415A-48BB-9222-5AA922F0FE62}"/>
    <cellStyle name="Comma 4 2 2 3 2 3 5" xfId="9664" xr:uid="{C0B352E3-470E-41D1-8EE1-D59C5116C336}"/>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24881" xr:uid="{511AB61A-67B5-4850-AE46-AC904BEED571}"/>
    <cellStyle name="Comma 4 2 2 3 2 4 2 2 3" xfId="16440" xr:uid="{1573DAE5-C02E-4CAD-B9F6-50B4A30776F8}"/>
    <cellStyle name="Comma 4 2 2 3 2 4 2 3" xfId="20663" xr:uid="{A076CAF7-FC0D-48EC-9DD4-ABA5A04F738D}"/>
    <cellStyle name="Comma 4 2 2 3 2 4 2 4" xfId="12222" xr:uid="{F432139B-B5E8-439D-B545-C624B2AD65E6}"/>
    <cellStyle name="Comma 4 2 2 3 2 4 3" xfId="5845" xr:uid="{00000000-0005-0000-0000-00000A080000}"/>
    <cellStyle name="Comma 4 2 2 3 2 4 3 2" xfId="22736" xr:uid="{853347E8-58C6-4F8C-BE54-A76516760E39}"/>
    <cellStyle name="Comma 4 2 2 3 2 4 3 3" xfId="14295" xr:uid="{35840D18-571F-4A5A-B6EA-6D333F13BFBD}"/>
    <cellStyle name="Comma 4 2 2 3 2 4 4" xfId="18518" xr:uid="{51FF8DE4-7A05-486B-AEE0-9B010B867968}"/>
    <cellStyle name="Comma 4 2 2 3 2 4 5" xfId="10077" xr:uid="{37C8A025-86AB-43D4-A6CF-9CA37F9180E8}"/>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25294" xr:uid="{8C308DB5-D978-4205-9E72-5E979A6CD5EB}"/>
    <cellStyle name="Comma 4 2 2 3 2 5 2 2 3" xfId="16853" xr:uid="{03F180B3-1F93-41AC-9C08-E6757310DB8C}"/>
    <cellStyle name="Comma 4 2 2 3 2 5 2 3" xfId="21076" xr:uid="{8D38B11F-B3ED-4180-BE78-FB1FC85FA0CF}"/>
    <cellStyle name="Comma 4 2 2 3 2 5 2 4" xfId="12635" xr:uid="{CC8DAEE5-9F80-40F3-A7A1-8D7F883AA9DB}"/>
    <cellStyle name="Comma 4 2 2 3 2 5 3" xfId="6258" xr:uid="{00000000-0005-0000-0000-00000E080000}"/>
    <cellStyle name="Comma 4 2 2 3 2 5 3 2" xfId="23149" xr:uid="{A35CB028-B741-4B1B-871F-D8FA951B16F8}"/>
    <cellStyle name="Comma 4 2 2 3 2 5 3 3" xfId="14708" xr:uid="{AE03DBE4-15A6-466F-B2ED-519B04D45417}"/>
    <cellStyle name="Comma 4 2 2 3 2 5 4" xfId="18931" xr:uid="{D34F81AA-BB1C-44E7-B385-0AC6B3B066AA}"/>
    <cellStyle name="Comma 4 2 2 3 2 5 5" xfId="10490" xr:uid="{251A6DBD-A8DC-4967-A15C-62C9F3BDDBF8}"/>
    <cellStyle name="Comma 4 2 2 3 2 6" xfId="2387" xr:uid="{00000000-0005-0000-0000-00000F080000}"/>
    <cellStyle name="Comma 4 2 2 3 2 6 2" xfId="6671" xr:uid="{00000000-0005-0000-0000-000010080000}"/>
    <cellStyle name="Comma 4 2 2 3 2 6 2 2" xfId="23562" xr:uid="{58BAF695-C768-4680-A3B1-8756ED92F393}"/>
    <cellStyle name="Comma 4 2 2 3 2 6 2 3" xfId="15121" xr:uid="{D7394D12-6AE1-48B8-BD7F-2665A30DBE09}"/>
    <cellStyle name="Comma 4 2 2 3 2 6 3" xfId="19344" xr:uid="{2A391E7A-3FF8-4743-A9CF-F6A5B43B427F}"/>
    <cellStyle name="Comma 4 2 2 3 2 6 4" xfId="10903" xr:uid="{07D9308A-BC0F-4D25-83D6-E64508D9C8E5}"/>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23879" xr:uid="{F0EFB3F3-B6BD-46B2-A7A6-12784A3530A2}"/>
    <cellStyle name="Comma 4 2 2 3 2 8 2 3" xfId="15438" xr:uid="{1CD12DF5-3C00-4388-BAB3-5998CBE07C09}"/>
    <cellStyle name="Comma 4 2 2 3 2 8 3" xfId="19661" xr:uid="{3F771581-0EBC-4620-9425-666446D75ECA}"/>
    <cellStyle name="Comma 4 2 2 3 2 8 4" xfId="11220" xr:uid="{D73D00ED-E1C6-4531-A762-8A9253F497C3}"/>
    <cellStyle name="Comma 4 2 2 3 2 9" xfId="4605" xr:uid="{00000000-0005-0000-0000-000014080000}"/>
    <cellStyle name="Comma 4 2 2 3 2 9 2" xfId="21496" xr:uid="{462332F5-97BC-44F6-9C46-BF8660F4F44A}"/>
    <cellStyle name="Comma 4 2 2 3 2 9 3" xfId="13055" xr:uid="{DF20CAE6-9DC6-4C57-A091-6FEAFF12F400}"/>
    <cellStyle name="Comma 4 2 2 3 3" xfId="670" xr:uid="{00000000-0005-0000-0000-000015080000}"/>
    <cellStyle name="Comma 4 2 2 3 3 2" xfId="2941" xr:uid="{00000000-0005-0000-0000-000016080000}"/>
    <cellStyle name="Comma 4 2 2 3 3 2 2" xfId="7163" xr:uid="{00000000-0005-0000-0000-000017080000}"/>
    <cellStyle name="Comma 4 2 2 3 3 2 2 2" xfId="24054" xr:uid="{C2C70940-71FD-4C75-80D1-D9E4EEAC8ACC}"/>
    <cellStyle name="Comma 4 2 2 3 3 2 2 3" xfId="15613" xr:uid="{2CB21783-7E46-4995-B71E-5D4575E4DBAA}"/>
    <cellStyle name="Comma 4 2 2 3 3 2 3" xfId="19836" xr:uid="{65CF5264-56C4-4770-83FC-E8DEDA0636DD}"/>
    <cellStyle name="Comma 4 2 2 3 3 2 4" xfId="11395" xr:uid="{C1E71F48-8C8E-40D7-81F3-FBBFC32B8499}"/>
    <cellStyle name="Comma 4 2 2 3 3 3" xfId="5018" xr:uid="{00000000-0005-0000-0000-000018080000}"/>
    <cellStyle name="Comma 4 2 2 3 3 3 2" xfId="21909" xr:uid="{301A5C3D-C435-4509-B7F4-EA17514455C1}"/>
    <cellStyle name="Comma 4 2 2 3 3 3 3" xfId="13468" xr:uid="{AF201E7F-C946-4B17-B13C-F49DA55D2D33}"/>
    <cellStyle name="Comma 4 2 2 3 3 4" xfId="17691" xr:uid="{8B031DBD-B56B-4263-86E0-120E8911432A}"/>
    <cellStyle name="Comma 4 2 2 3 3 5" xfId="9250" xr:uid="{ECA65C89-30DD-4FFD-9452-DC8F06224A54}"/>
    <cellStyle name="Comma 4 2 2 3 4" xfId="1123" xr:uid="{00000000-0005-0000-0000-000019080000}"/>
    <cellStyle name="Comma 4 2 2 3 4 2" xfId="3354" xr:uid="{00000000-0005-0000-0000-00001A080000}"/>
    <cellStyle name="Comma 4 2 2 3 4 2 2" xfId="7576" xr:uid="{00000000-0005-0000-0000-00001B080000}"/>
    <cellStyle name="Comma 4 2 2 3 4 2 2 2" xfId="24467" xr:uid="{75534D45-8BA7-4C80-BE2C-495214083C07}"/>
    <cellStyle name="Comma 4 2 2 3 4 2 2 3" xfId="16026" xr:uid="{F81A0598-842B-405D-A9CA-7D00064F9373}"/>
    <cellStyle name="Comma 4 2 2 3 4 2 3" xfId="20249" xr:uid="{7E5D326B-062F-4EE7-A0D8-B2F30414B3F6}"/>
    <cellStyle name="Comma 4 2 2 3 4 2 4" xfId="11808" xr:uid="{2EE1D946-A9C3-48C3-92AD-07633B82B3E2}"/>
    <cellStyle name="Comma 4 2 2 3 4 3" xfId="5431" xr:uid="{00000000-0005-0000-0000-00001C080000}"/>
    <cellStyle name="Comma 4 2 2 3 4 3 2" xfId="22322" xr:uid="{AF99E143-57F4-4910-9374-413A239EEA9D}"/>
    <cellStyle name="Comma 4 2 2 3 4 3 3" xfId="13881" xr:uid="{726B934E-C6CD-4D43-9B06-954AB0284583}"/>
    <cellStyle name="Comma 4 2 2 3 4 4" xfId="18104" xr:uid="{568BBC78-09F4-4E40-9325-D735559D4141}"/>
    <cellStyle name="Comma 4 2 2 3 4 5" xfId="9663" xr:uid="{4F2C1B67-6250-4C07-841B-2AC683ECC782}"/>
    <cellStyle name="Comma 4 2 2 3 5" xfId="1537" xr:uid="{00000000-0005-0000-0000-00001D080000}"/>
    <cellStyle name="Comma 4 2 2 3 5 2" xfId="3767" xr:uid="{00000000-0005-0000-0000-00001E080000}"/>
    <cellStyle name="Comma 4 2 2 3 5 2 2" xfId="7989" xr:uid="{00000000-0005-0000-0000-00001F080000}"/>
    <cellStyle name="Comma 4 2 2 3 5 2 2 2" xfId="24880" xr:uid="{A7DDE04B-04FA-4FBE-B9FF-9EB46F8B2CB3}"/>
    <cellStyle name="Comma 4 2 2 3 5 2 2 3" xfId="16439" xr:uid="{716872B9-A1D3-4566-91E3-EBC03F33D849}"/>
    <cellStyle name="Comma 4 2 2 3 5 2 3" xfId="20662" xr:uid="{AE2FD4A1-DC90-4634-A06F-4AE486D8BE0A}"/>
    <cellStyle name="Comma 4 2 2 3 5 2 4" xfId="12221" xr:uid="{3BCD9597-ADB4-42C0-9FE4-C3EF2EC91CD1}"/>
    <cellStyle name="Comma 4 2 2 3 5 3" xfId="5844" xr:uid="{00000000-0005-0000-0000-000020080000}"/>
    <cellStyle name="Comma 4 2 2 3 5 3 2" xfId="22735" xr:uid="{BBBAC9BB-D8FD-426D-AAFE-97285BC715EC}"/>
    <cellStyle name="Comma 4 2 2 3 5 3 3" xfId="14294" xr:uid="{B7660F63-F651-4341-BD4D-31F36A6054A9}"/>
    <cellStyle name="Comma 4 2 2 3 5 4" xfId="18517" xr:uid="{D631778C-A339-47BF-823D-549ED02CF46A}"/>
    <cellStyle name="Comma 4 2 2 3 5 5" xfId="10076" xr:uid="{36F74DE7-3A93-4B48-8D81-17D315FF39A1}"/>
    <cellStyle name="Comma 4 2 2 3 6" xfId="1951" xr:uid="{00000000-0005-0000-0000-000021080000}"/>
    <cellStyle name="Comma 4 2 2 3 6 2" xfId="4180" xr:uid="{00000000-0005-0000-0000-000022080000}"/>
    <cellStyle name="Comma 4 2 2 3 6 2 2" xfId="8402" xr:uid="{00000000-0005-0000-0000-000023080000}"/>
    <cellStyle name="Comma 4 2 2 3 6 2 2 2" xfId="25293" xr:uid="{37B78B94-38B9-4E9B-B4BD-1F5D6FF85AB2}"/>
    <cellStyle name="Comma 4 2 2 3 6 2 2 3" xfId="16852" xr:uid="{56959403-EF85-4434-975A-0F410BC88EEA}"/>
    <cellStyle name="Comma 4 2 2 3 6 2 3" xfId="21075" xr:uid="{27BC69A2-71C7-4A8D-8931-193873AFD571}"/>
    <cellStyle name="Comma 4 2 2 3 6 2 4" xfId="12634" xr:uid="{6DB83B22-E300-4956-9E46-4A607B2CEDB7}"/>
    <cellStyle name="Comma 4 2 2 3 6 3" xfId="6257" xr:uid="{00000000-0005-0000-0000-000024080000}"/>
    <cellStyle name="Comma 4 2 2 3 6 3 2" xfId="23148" xr:uid="{D8BB4B94-F0C6-4388-98A4-096D0C90D4A6}"/>
    <cellStyle name="Comma 4 2 2 3 6 3 3" xfId="14707" xr:uid="{CFC2EDEF-E0D3-4D75-9689-307BAE045A25}"/>
    <cellStyle name="Comma 4 2 2 3 6 4" xfId="18930" xr:uid="{B9F91D2E-9386-494B-BC96-34ED35FC647D}"/>
    <cellStyle name="Comma 4 2 2 3 6 5" xfId="10489" xr:uid="{6B2B706D-B099-441A-97E0-911C7F1978FF}"/>
    <cellStyle name="Comma 4 2 2 3 7" xfId="2386" xr:uid="{00000000-0005-0000-0000-000025080000}"/>
    <cellStyle name="Comma 4 2 2 3 7 2" xfId="6670" xr:uid="{00000000-0005-0000-0000-000026080000}"/>
    <cellStyle name="Comma 4 2 2 3 7 2 2" xfId="23561" xr:uid="{8194EC60-9514-41C8-B712-36896B59BBD3}"/>
    <cellStyle name="Comma 4 2 2 3 7 2 3" xfId="15120" xr:uid="{6488F273-BBD5-4937-A42E-2EA0E7F44AF0}"/>
    <cellStyle name="Comma 4 2 2 3 7 3" xfId="19343" xr:uid="{55A08AB4-3870-420A-B052-1B66A2893660}"/>
    <cellStyle name="Comma 4 2 2 3 7 4" xfId="10902" xr:uid="{8DB44F5F-ED58-4C8F-8004-2ECB60293945}"/>
    <cellStyle name="Comma 4 2 2 3 8" xfId="2377" xr:uid="{00000000-0005-0000-0000-000027080000}"/>
    <cellStyle name="Comma 4 2 2 3 9" xfId="2764" xr:uid="{00000000-0005-0000-0000-000028080000}"/>
    <cellStyle name="Comma 4 2 2 3 9 2" xfId="6987" xr:uid="{00000000-0005-0000-0000-000029080000}"/>
    <cellStyle name="Comma 4 2 2 3 9 2 2" xfId="23878" xr:uid="{61D032D1-CDF9-4769-B616-8F39044D4F31}"/>
    <cellStyle name="Comma 4 2 2 3 9 2 3" xfId="15437" xr:uid="{097EADBD-28A5-4D67-8F99-0935757C2110}"/>
    <cellStyle name="Comma 4 2 2 3 9 3" xfId="19660" xr:uid="{AD425731-803A-43C4-A77B-61F4B0FD8AB0}"/>
    <cellStyle name="Comma 4 2 2 3 9 4" xfId="11219" xr:uid="{136691F2-B5CC-4D66-910B-F00336697665}"/>
    <cellStyle name="Comma 4 2 2 4" xfId="134" xr:uid="{00000000-0005-0000-0000-00002A080000}"/>
    <cellStyle name="Comma 4 2 2 4 10" xfId="17279" xr:uid="{BDE3FEF2-DA58-451B-B0F4-07C45ACFA8E7}"/>
    <cellStyle name="Comma 4 2 2 4 11" xfId="8838" xr:uid="{9A526D42-3A63-4A81-B38E-2A9C0CEB372F}"/>
    <cellStyle name="Comma 4 2 2 4 2" xfId="672" xr:uid="{00000000-0005-0000-0000-00002B080000}"/>
    <cellStyle name="Comma 4 2 2 4 2 2" xfId="2943" xr:uid="{00000000-0005-0000-0000-00002C080000}"/>
    <cellStyle name="Comma 4 2 2 4 2 2 2" xfId="7165" xr:uid="{00000000-0005-0000-0000-00002D080000}"/>
    <cellStyle name="Comma 4 2 2 4 2 2 2 2" xfId="24056" xr:uid="{79DF418C-6065-4F51-A82B-B1DFCC1401AF}"/>
    <cellStyle name="Comma 4 2 2 4 2 2 2 3" xfId="15615" xr:uid="{E8031206-2C76-48E4-9ACB-820DA0D013BC}"/>
    <cellStyle name="Comma 4 2 2 4 2 2 3" xfId="19838" xr:uid="{794EDAA5-7DBE-42DF-B845-7A37CADF2C5C}"/>
    <cellStyle name="Comma 4 2 2 4 2 2 4" xfId="11397" xr:uid="{E5AD9F2D-6526-4F57-B421-583C42DA4E5C}"/>
    <cellStyle name="Comma 4 2 2 4 2 3" xfId="5020" xr:uid="{00000000-0005-0000-0000-00002E080000}"/>
    <cellStyle name="Comma 4 2 2 4 2 3 2" xfId="21911" xr:uid="{79E83476-2EC3-4727-B861-453461F30B9E}"/>
    <cellStyle name="Comma 4 2 2 4 2 3 3" xfId="13470" xr:uid="{801458B5-6AD9-4245-B59C-E6D1C2ED8605}"/>
    <cellStyle name="Comma 4 2 2 4 2 4" xfId="17693" xr:uid="{579C3980-66F9-4D52-A792-A5FE70FA9B4C}"/>
    <cellStyle name="Comma 4 2 2 4 2 5" xfId="9252" xr:uid="{5169FE2D-690D-4809-9790-953755746683}"/>
    <cellStyle name="Comma 4 2 2 4 3" xfId="1125" xr:uid="{00000000-0005-0000-0000-00002F080000}"/>
    <cellStyle name="Comma 4 2 2 4 3 2" xfId="3356" xr:uid="{00000000-0005-0000-0000-000030080000}"/>
    <cellStyle name="Comma 4 2 2 4 3 2 2" xfId="7578" xr:uid="{00000000-0005-0000-0000-000031080000}"/>
    <cellStyle name="Comma 4 2 2 4 3 2 2 2" xfId="24469" xr:uid="{C8C98455-2626-4A9C-8568-E387C67383AF}"/>
    <cellStyle name="Comma 4 2 2 4 3 2 2 3" xfId="16028" xr:uid="{1BF210EE-31A8-464F-9708-309FF3DC078B}"/>
    <cellStyle name="Comma 4 2 2 4 3 2 3" xfId="20251" xr:uid="{C05EF558-895E-47FA-B5A0-B7D33570397F}"/>
    <cellStyle name="Comma 4 2 2 4 3 2 4" xfId="11810" xr:uid="{2FC96108-7AE0-4F56-871F-754A9CA27831}"/>
    <cellStyle name="Comma 4 2 2 4 3 3" xfId="5433" xr:uid="{00000000-0005-0000-0000-000032080000}"/>
    <cellStyle name="Comma 4 2 2 4 3 3 2" xfId="22324" xr:uid="{0988A244-DFB6-4AB3-AAD2-D4627A11B64E}"/>
    <cellStyle name="Comma 4 2 2 4 3 3 3" xfId="13883" xr:uid="{18979F93-DEC1-4183-9C79-DB9C7F522190}"/>
    <cellStyle name="Comma 4 2 2 4 3 4" xfId="18106" xr:uid="{11EE51C3-DF96-4A1D-86A8-8FCB9FB7333A}"/>
    <cellStyle name="Comma 4 2 2 4 3 5" xfId="9665" xr:uid="{27677457-521E-40E2-965C-A882F45EB541}"/>
    <cellStyle name="Comma 4 2 2 4 4" xfId="1539" xr:uid="{00000000-0005-0000-0000-000033080000}"/>
    <cellStyle name="Comma 4 2 2 4 4 2" xfId="3769" xr:uid="{00000000-0005-0000-0000-000034080000}"/>
    <cellStyle name="Comma 4 2 2 4 4 2 2" xfId="7991" xr:uid="{00000000-0005-0000-0000-000035080000}"/>
    <cellStyle name="Comma 4 2 2 4 4 2 2 2" xfId="24882" xr:uid="{8F38E369-8AAD-4E19-95C5-6121CF18B4DA}"/>
    <cellStyle name="Comma 4 2 2 4 4 2 2 3" xfId="16441" xr:uid="{FF3538C2-A896-4CC7-9DCB-F43C8C7FFE3E}"/>
    <cellStyle name="Comma 4 2 2 4 4 2 3" xfId="20664" xr:uid="{8E290EA9-F2DA-4577-9819-0EC2C8697EDA}"/>
    <cellStyle name="Comma 4 2 2 4 4 2 4" xfId="12223" xr:uid="{359391C4-A474-4074-87BD-69BA843D494C}"/>
    <cellStyle name="Comma 4 2 2 4 4 3" xfId="5846" xr:uid="{00000000-0005-0000-0000-000036080000}"/>
    <cellStyle name="Comma 4 2 2 4 4 3 2" xfId="22737" xr:uid="{269201EA-92A4-42C0-8373-F151E616AED5}"/>
    <cellStyle name="Comma 4 2 2 4 4 3 3" xfId="14296" xr:uid="{12CC5298-A4F9-4A01-AC92-FB310375E4C4}"/>
    <cellStyle name="Comma 4 2 2 4 4 4" xfId="18519" xr:uid="{217503A9-6E81-41FA-833E-ABFE5C6745CF}"/>
    <cellStyle name="Comma 4 2 2 4 4 5" xfId="10078" xr:uid="{44B2C033-862D-4020-BFED-FF3F5BC1A806}"/>
    <cellStyle name="Comma 4 2 2 4 5" xfId="1953" xr:uid="{00000000-0005-0000-0000-000037080000}"/>
    <cellStyle name="Comma 4 2 2 4 5 2" xfId="4182" xr:uid="{00000000-0005-0000-0000-000038080000}"/>
    <cellStyle name="Comma 4 2 2 4 5 2 2" xfId="8404" xr:uid="{00000000-0005-0000-0000-000039080000}"/>
    <cellStyle name="Comma 4 2 2 4 5 2 2 2" xfId="25295" xr:uid="{D55F670D-BD5C-4380-A615-33FB007BE4CD}"/>
    <cellStyle name="Comma 4 2 2 4 5 2 2 3" xfId="16854" xr:uid="{DE625FB2-D2AD-4F50-9998-11AE2BB48CB7}"/>
    <cellStyle name="Comma 4 2 2 4 5 2 3" xfId="21077" xr:uid="{2D069511-E54A-416B-A3CA-10CBA5B330AA}"/>
    <cellStyle name="Comma 4 2 2 4 5 2 4" xfId="12636" xr:uid="{D783F10C-863B-409B-BB43-4F0EF3634075}"/>
    <cellStyle name="Comma 4 2 2 4 5 3" xfId="6259" xr:uid="{00000000-0005-0000-0000-00003A080000}"/>
    <cellStyle name="Comma 4 2 2 4 5 3 2" xfId="23150" xr:uid="{38AEB6FB-A6D8-4669-9D5E-8CA5D5562C6D}"/>
    <cellStyle name="Comma 4 2 2 4 5 3 3" xfId="14709" xr:uid="{F19EF986-0523-4E4F-8A80-2A9D9FD6E9F0}"/>
    <cellStyle name="Comma 4 2 2 4 5 4" xfId="18932" xr:uid="{F4259FAF-0547-47A1-BE81-7B72FA801CDE}"/>
    <cellStyle name="Comma 4 2 2 4 5 5" xfId="10491" xr:uid="{DBCE1207-DDE5-4B0B-9CDD-3C856F8313B7}"/>
    <cellStyle name="Comma 4 2 2 4 6" xfId="2388" xr:uid="{00000000-0005-0000-0000-00003B080000}"/>
    <cellStyle name="Comma 4 2 2 4 6 2" xfId="6672" xr:uid="{00000000-0005-0000-0000-00003C080000}"/>
    <cellStyle name="Comma 4 2 2 4 6 2 2" xfId="23563" xr:uid="{ED473F58-9820-46B4-A290-0589CE5B2AF4}"/>
    <cellStyle name="Comma 4 2 2 4 6 2 3" xfId="15122" xr:uid="{CF3253DA-4F77-427C-9167-79F59FD847D3}"/>
    <cellStyle name="Comma 4 2 2 4 6 3" xfId="19345" xr:uid="{3DC95030-7B70-4D56-89FA-BA13B5FD38F0}"/>
    <cellStyle name="Comma 4 2 2 4 6 4" xfId="10904" xr:uid="{1F60E536-30D5-430A-AE42-19DC57B0A16A}"/>
    <cellStyle name="Comma 4 2 2 4 7" xfId="2375" xr:uid="{00000000-0005-0000-0000-00003D080000}"/>
    <cellStyle name="Comma 4 2 2 4 8" xfId="2766" xr:uid="{00000000-0005-0000-0000-00003E080000}"/>
    <cellStyle name="Comma 4 2 2 4 8 2" xfId="6989" xr:uid="{00000000-0005-0000-0000-00003F080000}"/>
    <cellStyle name="Comma 4 2 2 4 8 2 2" xfId="23880" xr:uid="{B38FFAF8-E36D-458C-9BA7-F654A35DE01D}"/>
    <cellStyle name="Comma 4 2 2 4 8 2 3" xfId="15439" xr:uid="{EB576346-6F6C-4E2A-8175-E59127897BB7}"/>
    <cellStyle name="Comma 4 2 2 4 8 3" xfId="19662" xr:uid="{B0FBD990-8AEA-4358-9599-B944CA498DC3}"/>
    <cellStyle name="Comma 4 2 2 4 8 4" xfId="11221" xr:uid="{11684329-5A0B-4F05-99E3-C7B6495AE702}"/>
    <cellStyle name="Comma 4 2 2 4 9" xfId="4606" xr:uid="{00000000-0005-0000-0000-000040080000}"/>
    <cellStyle name="Comma 4 2 2 4 9 2" xfId="21497" xr:uid="{E81EFD28-C593-4ED2-8B4A-752643E1FFFB}"/>
    <cellStyle name="Comma 4 2 2 4 9 3" xfId="13056" xr:uid="{F9A20009-8506-45DA-8627-D75014923C45}"/>
    <cellStyle name="Comma 4 2 2 5" xfId="135" xr:uid="{00000000-0005-0000-0000-000041080000}"/>
    <cellStyle name="Comma 4 2 2 5 10" xfId="17280" xr:uid="{70192C6C-7217-470A-8150-0C89A96D0515}"/>
    <cellStyle name="Comma 4 2 2 5 11" xfId="8839" xr:uid="{DED7B9A2-4140-4D49-899D-18A104DC7A7F}"/>
    <cellStyle name="Comma 4 2 2 5 2" xfId="673" xr:uid="{00000000-0005-0000-0000-000042080000}"/>
    <cellStyle name="Comma 4 2 2 5 2 2" xfId="2944" xr:uid="{00000000-0005-0000-0000-000043080000}"/>
    <cellStyle name="Comma 4 2 2 5 2 2 2" xfId="7166" xr:uid="{00000000-0005-0000-0000-000044080000}"/>
    <cellStyle name="Comma 4 2 2 5 2 2 2 2" xfId="24057" xr:uid="{5C7C45E4-1B32-4522-94D3-4A629E5A3C5E}"/>
    <cellStyle name="Comma 4 2 2 5 2 2 2 3" xfId="15616" xr:uid="{8D667D16-4113-4EB2-9466-49D286E99492}"/>
    <cellStyle name="Comma 4 2 2 5 2 2 3" xfId="19839" xr:uid="{0C41D743-D09B-4702-9C2A-7CCF911B0167}"/>
    <cellStyle name="Comma 4 2 2 5 2 2 4" xfId="11398" xr:uid="{FC4EA27A-11C1-4ED6-8825-042352871D01}"/>
    <cellStyle name="Comma 4 2 2 5 2 3" xfId="5021" xr:uid="{00000000-0005-0000-0000-000045080000}"/>
    <cellStyle name="Comma 4 2 2 5 2 3 2" xfId="21912" xr:uid="{7290256D-9772-4844-B31B-FC3A98353678}"/>
    <cellStyle name="Comma 4 2 2 5 2 3 3" xfId="13471" xr:uid="{5F145BE4-D75A-4020-89F7-85B9C59F360B}"/>
    <cellStyle name="Comma 4 2 2 5 2 4" xfId="17694" xr:uid="{6FF1DFBF-EA24-4611-AE3D-1978C2C25AF1}"/>
    <cellStyle name="Comma 4 2 2 5 2 5" xfId="9253" xr:uid="{641CB9C3-D6EA-43D1-B8D5-11E50BE4FACA}"/>
    <cellStyle name="Comma 4 2 2 5 3" xfId="1126" xr:uid="{00000000-0005-0000-0000-000046080000}"/>
    <cellStyle name="Comma 4 2 2 5 3 2" xfId="3357" xr:uid="{00000000-0005-0000-0000-000047080000}"/>
    <cellStyle name="Comma 4 2 2 5 3 2 2" xfId="7579" xr:uid="{00000000-0005-0000-0000-000048080000}"/>
    <cellStyle name="Comma 4 2 2 5 3 2 2 2" xfId="24470" xr:uid="{9CC74B62-AEB6-48C1-95B4-F7B0F50E3DA1}"/>
    <cellStyle name="Comma 4 2 2 5 3 2 2 3" xfId="16029" xr:uid="{4A15ADEA-7FD6-4C0D-9A7B-05AA1DD23F8B}"/>
    <cellStyle name="Comma 4 2 2 5 3 2 3" xfId="20252" xr:uid="{C9D4C051-6476-41B0-90F2-433021B36BCB}"/>
    <cellStyle name="Comma 4 2 2 5 3 2 4" xfId="11811" xr:uid="{D02984B8-4051-478A-B23D-A9EFD2A08267}"/>
    <cellStyle name="Comma 4 2 2 5 3 3" xfId="5434" xr:uid="{00000000-0005-0000-0000-000049080000}"/>
    <cellStyle name="Comma 4 2 2 5 3 3 2" xfId="22325" xr:uid="{DB023B40-7815-4653-8F76-112C8481F121}"/>
    <cellStyle name="Comma 4 2 2 5 3 3 3" xfId="13884" xr:uid="{7364744F-E86A-467A-848F-E6314F399365}"/>
    <cellStyle name="Comma 4 2 2 5 3 4" xfId="18107" xr:uid="{9BEAD4D2-BA30-4556-9923-3083E7CC5F2E}"/>
    <cellStyle name="Comma 4 2 2 5 3 5" xfId="9666" xr:uid="{3F9AC17E-EEAA-4C39-9644-D8EF7A584D2F}"/>
    <cellStyle name="Comma 4 2 2 5 4" xfId="1540" xr:uid="{00000000-0005-0000-0000-00004A080000}"/>
    <cellStyle name="Comma 4 2 2 5 4 2" xfId="3770" xr:uid="{00000000-0005-0000-0000-00004B080000}"/>
    <cellStyle name="Comma 4 2 2 5 4 2 2" xfId="7992" xr:uid="{00000000-0005-0000-0000-00004C080000}"/>
    <cellStyle name="Comma 4 2 2 5 4 2 2 2" xfId="24883" xr:uid="{E6A50423-8F82-4A37-9214-C7FA0589A61C}"/>
    <cellStyle name="Comma 4 2 2 5 4 2 2 3" xfId="16442" xr:uid="{D9C1FB40-8E26-437E-87B1-C29036866C99}"/>
    <cellStyle name="Comma 4 2 2 5 4 2 3" xfId="20665" xr:uid="{9F877B99-CAE8-4BD2-A1D7-3E0C73613B8D}"/>
    <cellStyle name="Comma 4 2 2 5 4 2 4" xfId="12224" xr:uid="{8822AA89-8691-4E67-A434-2BB8957A4D44}"/>
    <cellStyle name="Comma 4 2 2 5 4 3" xfId="5847" xr:uid="{00000000-0005-0000-0000-00004D080000}"/>
    <cellStyle name="Comma 4 2 2 5 4 3 2" xfId="22738" xr:uid="{E8E9AA97-A037-4F38-BE79-7AFE70A8B286}"/>
    <cellStyle name="Comma 4 2 2 5 4 3 3" xfId="14297" xr:uid="{824EFB94-0152-435D-9DC4-BF8F11C232E4}"/>
    <cellStyle name="Comma 4 2 2 5 4 4" xfId="18520" xr:uid="{5D5E4FB5-760E-40F3-B2E3-3DA3AAC5CDC5}"/>
    <cellStyle name="Comma 4 2 2 5 4 5" xfId="10079" xr:uid="{82AC9284-25A4-4076-A14D-6C3414A871B0}"/>
    <cellStyle name="Comma 4 2 2 5 5" xfId="1954" xr:uid="{00000000-0005-0000-0000-00004E080000}"/>
    <cellStyle name="Comma 4 2 2 5 5 2" xfId="4183" xr:uid="{00000000-0005-0000-0000-00004F080000}"/>
    <cellStyle name="Comma 4 2 2 5 5 2 2" xfId="8405" xr:uid="{00000000-0005-0000-0000-000050080000}"/>
    <cellStyle name="Comma 4 2 2 5 5 2 2 2" xfId="25296" xr:uid="{B7CBA33D-24FE-43AD-8D2E-72ED5C006BF4}"/>
    <cellStyle name="Comma 4 2 2 5 5 2 2 3" xfId="16855" xr:uid="{069B81D9-3A81-459D-BC4C-EAEE055C6862}"/>
    <cellStyle name="Comma 4 2 2 5 5 2 3" xfId="21078" xr:uid="{16945E2C-F278-422A-87BF-5254C6107238}"/>
    <cellStyle name="Comma 4 2 2 5 5 2 4" xfId="12637" xr:uid="{04626C0B-9FA5-47D7-812E-A48D8EBA8595}"/>
    <cellStyle name="Comma 4 2 2 5 5 3" xfId="6260" xr:uid="{00000000-0005-0000-0000-000051080000}"/>
    <cellStyle name="Comma 4 2 2 5 5 3 2" xfId="23151" xr:uid="{60BDE4FA-34E5-422F-989C-BD082BB75782}"/>
    <cellStyle name="Comma 4 2 2 5 5 3 3" xfId="14710" xr:uid="{85996D1B-5088-4854-AAE4-9BFB7E1606DF}"/>
    <cellStyle name="Comma 4 2 2 5 5 4" xfId="18933" xr:uid="{C1F8838D-B2CE-4E11-8494-57FAF2707381}"/>
    <cellStyle name="Comma 4 2 2 5 5 5" xfId="10492" xr:uid="{A10ED38E-2110-4C38-92EE-A4EE6201D438}"/>
    <cellStyle name="Comma 4 2 2 5 6" xfId="2389" xr:uid="{00000000-0005-0000-0000-000052080000}"/>
    <cellStyle name="Comma 4 2 2 5 6 2" xfId="6673" xr:uid="{00000000-0005-0000-0000-000053080000}"/>
    <cellStyle name="Comma 4 2 2 5 6 2 2" xfId="23564" xr:uid="{AD328686-4DEE-4FE7-AB5A-939350B40FC5}"/>
    <cellStyle name="Comma 4 2 2 5 6 2 3" xfId="15123" xr:uid="{3A7F6A08-F016-407D-ADA3-E7083C285904}"/>
    <cellStyle name="Comma 4 2 2 5 6 3" xfId="19346" xr:uid="{FCB9A9B2-3E49-4CC7-BCCE-4D720577B9C0}"/>
    <cellStyle name="Comma 4 2 2 5 6 4" xfId="10905" xr:uid="{FD326323-200E-47EF-8780-AA786180C699}"/>
    <cellStyle name="Comma 4 2 2 5 7" xfId="2374" xr:uid="{00000000-0005-0000-0000-000054080000}"/>
    <cellStyle name="Comma 4 2 2 5 8" xfId="2767" xr:uid="{00000000-0005-0000-0000-000055080000}"/>
    <cellStyle name="Comma 4 2 2 5 8 2" xfId="6990" xr:uid="{00000000-0005-0000-0000-000056080000}"/>
    <cellStyle name="Comma 4 2 2 5 8 2 2" xfId="23881" xr:uid="{4F0BBBA4-C2A3-4682-8F06-867BE4B6E2FD}"/>
    <cellStyle name="Comma 4 2 2 5 8 2 3" xfId="15440" xr:uid="{6E7396B7-9539-4941-8122-D244AC610A44}"/>
    <cellStyle name="Comma 4 2 2 5 8 3" xfId="19663" xr:uid="{2E86C97F-A507-489F-A572-3196DC558653}"/>
    <cellStyle name="Comma 4 2 2 5 8 4" xfId="11222" xr:uid="{0580902E-0B33-4050-B6EA-671D9E787F24}"/>
    <cellStyle name="Comma 4 2 2 5 9" xfId="4607" xr:uid="{00000000-0005-0000-0000-000057080000}"/>
    <cellStyle name="Comma 4 2 2 5 9 2" xfId="21498" xr:uid="{F869BEB7-3F5F-4B67-ACFB-73C571EF97F4}"/>
    <cellStyle name="Comma 4 2 2 5 9 3" xfId="13057" xr:uid="{5DFCC007-FA05-41EF-8B78-33A1839C7623}"/>
    <cellStyle name="Comma 4 2 3" xfId="136" xr:uid="{00000000-0005-0000-0000-000058080000}"/>
    <cellStyle name="Comma 4 2 3 10" xfId="2768" xr:uid="{00000000-0005-0000-0000-000059080000}"/>
    <cellStyle name="Comma 4 2 3 10 2" xfId="6991" xr:uid="{00000000-0005-0000-0000-00005A080000}"/>
    <cellStyle name="Comma 4 2 3 10 2 2" xfId="23882" xr:uid="{D0FCE702-D911-4705-90C9-CA4C27D42ED9}"/>
    <cellStyle name="Comma 4 2 3 10 2 3" xfId="15441" xr:uid="{8A3FBD15-0389-4C23-A98B-8E5FFA544067}"/>
    <cellStyle name="Comma 4 2 3 10 3" xfId="19664" xr:uid="{20D2102E-A13E-4DA8-81ED-C80220B3BD6D}"/>
    <cellStyle name="Comma 4 2 3 10 4" xfId="11223" xr:uid="{1019BB9D-5937-4185-9505-8F6D25D94692}"/>
    <cellStyle name="Comma 4 2 3 11" xfId="4608" xr:uid="{00000000-0005-0000-0000-00005B080000}"/>
    <cellStyle name="Comma 4 2 3 11 2" xfId="21499" xr:uid="{23A973A9-2DC8-4B7F-B299-BFE71371DC97}"/>
    <cellStyle name="Comma 4 2 3 11 3" xfId="13058" xr:uid="{172AEA69-D569-4910-BB16-22DB2360536A}"/>
    <cellStyle name="Comma 4 2 3 12" xfId="17281" xr:uid="{6D81213E-C1EE-43AA-A079-61057958D66C}"/>
    <cellStyle name="Comma 4 2 3 13" xfId="8840" xr:uid="{71D3FB3B-4572-4E91-80F1-FE878E989E24}"/>
    <cellStyle name="Comma 4 2 3 2" xfId="137" xr:uid="{00000000-0005-0000-0000-00005C080000}"/>
    <cellStyle name="Comma 4 2 3 2 10" xfId="4609" xr:uid="{00000000-0005-0000-0000-00005D080000}"/>
    <cellStyle name="Comma 4 2 3 2 10 2" xfId="21500" xr:uid="{815F71AC-2521-4E76-A921-5063D1932027}"/>
    <cellStyle name="Comma 4 2 3 2 10 3" xfId="13059" xr:uid="{935414FC-F613-4412-96A2-BDF30AA6C9D0}"/>
    <cellStyle name="Comma 4 2 3 2 11" xfId="17282" xr:uid="{54F9ACF5-0A48-42D5-9840-BB2F87DBF99F}"/>
    <cellStyle name="Comma 4 2 3 2 12" xfId="8841" xr:uid="{919923CD-E06C-4F17-8EAE-A0708561953F}"/>
    <cellStyle name="Comma 4 2 3 2 2" xfId="138" xr:uid="{00000000-0005-0000-0000-00005E080000}"/>
    <cellStyle name="Comma 4 2 3 2 2 10" xfId="17283" xr:uid="{77731B5E-3AF6-4211-9461-A6154FBBE206}"/>
    <cellStyle name="Comma 4 2 3 2 2 11" xfId="8842" xr:uid="{7DC54D82-6C54-43D6-8A63-D7609C58A53C}"/>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24060" xr:uid="{31083CD9-4C63-4B87-9829-FBBA569D5915}"/>
    <cellStyle name="Comma 4 2 3 2 2 2 2 2 3" xfId="15619" xr:uid="{A410DD46-B87B-42D6-8A57-8912043E9D26}"/>
    <cellStyle name="Comma 4 2 3 2 2 2 2 3" xfId="19842" xr:uid="{DE6FE5B0-78B6-48D4-BB8E-908168CB84F2}"/>
    <cellStyle name="Comma 4 2 3 2 2 2 2 4" xfId="11401" xr:uid="{34CC5D05-4C63-4C0A-A2B8-C92C8845C3F7}"/>
    <cellStyle name="Comma 4 2 3 2 2 2 3" xfId="5024" xr:uid="{00000000-0005-0000-0000-000062080000}"/>
    <cellStyle name="Comma 4 2 3 2 2 2 3 2" xfId="21915" xr:uid="{5C2096C3-5EAB-4A07-AA98-82394124D954}"/>
    <cellStyle name="Comma 4 2 3 2 2 2 3 3" xfId="13474" xr:uid="{2D95D3B8-24FD-42E6-8B1F-2B079FEC1004}"/>
    <cellStyle name="Comma 4 2 3 2 2 2 4" xfId="17697" xr:uid="{98D8D868-E55E-4CDB-8E96-EDF8D9388D52}"/>
    <cellStyle name="Comma 4 2 3 2 2 2 5" xfId="9256" xr:uid="{446BA01F-D3EB-4AC5-8B45-296AF266F07D}"/>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24473" xr:uid="{BB5E1545-1EE2-452B-A2E5-8EB41895C72E}"/>
    <cellStyle name="Comma 4 2 3 2 2 3 2 2 3" xfId="16032" xr:uid="{9DBD7CF6-D86A-43EA-A707-3857DAEF4337}"/>
    <cellStyle name="Comma 4 2 3 2 2 3 2 3" xfId="20255" xr:uid="{8A3737C7-94B0-46E6-9051-DD8BF6DFF788}"/>
    <cellStyle name="Comma 4 2 3 2 2 3 2 4" xfId="11814" xr:uid="{4B3D407D-7482-4195-870A-882C0BED657D}"/>
    <cellStyle name="Comma 4 2 3 2 2 3 3" xfId="5437" xr:uid="{00000000-0005-0000-0000-000066080000}"/>
    <cellStyle name="Comma 4 2 3 2 2 3 3 2" xfId="22328" xr:uid="{72EA5F44-5F43-4EC0-904E-533FFBE62F60}"/>
    <cellStyle name="Comma 4 2 3 2 2 3 3 3" xfId="13887" xr:uid="{C348FC6E-BB81-4768-B01C-C04FA4B7A6DE}"/>
    <cellStyle name="Comma 4 2 3 2 2 3 4" xfId="18110" xr:uid="{E64E4571-4229-47BD-BDC2-B33D41588EE2}"/>
    <cellStyle name="Comma 4 2 3 2 2 3 5" xfId="9669" xr:uid="{09096146-518C-4FE9-995A-4D5BBC57D79E}"/>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24886" xr:uid="{0C0C5415-AEBF-46EB-8A4A-F6197DF8247A}"/>
    <cellStyle name="Comma 4 2 3 2 2 4 2 2 3" xfId="16445" xr:uid="{38A031F9-5EEC-4D9D-8583-ACFE7D790526}"/>
    <cellStyle name="Comma 4 2 3 2 2 4 2 3" xfId="20668" xr:uid="{4000F5A4-68DB-46C0-8672-15F868C5B8A7}"/>
    <cellStyle name="Comma 4 2 3 2 2 4 2 4" xfId="12227" xr:uid="{81351358-5E9B-4FD8-9ED3-74DC1E714DDB}"/>
    <cellStyle name="Comma 4 2 3 2 2 4 3" xfId="5850" xr:uid="{00000000-0005-0000-0000-00006A080000}"/>
    <cellStyle name="Comma 4 2 3 2 2 4 3 2" xfId="22741" xr:uid="{EEC998C1-1C31-4FE4-83E2-6BB27EAEE676}"/>
    <cellStyle name="Comma 4 2 3 2 2 4 3 3" xfId="14300" xr:uid="{8654C09A-C933-47D1-8477-B7D2C1616B99}"/>
    <cellStyle name="Comma 4 2 3 2 2 4 4" xfId="18523" xr:uid="{E26AAE43-B961-4FD8-B5F0-99019EDB55E9}"/>
    <cellStyle name="Comma 4 2 3 2 2 4 5" xfId="10082" xr:uid="{14B0AF04-9B5E-4F89-9820-62DE3A560AED}"/>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25299" xr:uid="{2B533170-3CC0-404E-BC34-0D6A2A1E3848}"/>
    <cellStyle name="Comma 4 2 3 2 2 5 2 2 3" xfId="16858" xr:uid="{F359770B-B6AF-415B-A3CF-D1B8B4761F19}"/>
    <cellStyle name="Comma 4 2 3 2 2 5 2 3" xfId="21081" xr:uid="{86A1D0E4-F87F-4B5F-AA38-1CB56D714656}"/>
    <cellStyle name="Comma 4 2 3 2 2 5 2 4" xfId="12640" xr:uid="{4DD488E9-C9D4-4657-A396-43EA91F14EFA}"/>
    <cellStyle name="Comma 4 2 3 2 2 5 3" xfId="6263" xr:uid="{00000000-0005-0000-0000-00006E080000}"/>
    <cellStyle name="Comma 4 2 3 2 2 5 3 2" xfId="23154" xr:uid="{96BCD2C8-8B23-40E5-B6E4-E2811D021D50}"/>
    <cellStyle name="Comma 4 2 3 2 2 5 3 3" xfId="14713" xr:uid="{1F3B5771-3249-4ACE-9E92-D9AF18006531}"/>
    <cellStyle name="Comma 4 2 3 2 2 5 4" xfId="18936" xr:uid="{5FF44775-A538-4D61-87E4-A4358C268505}"/>
    <cellStyle name="Comma 4 2 3 2 2 5 5" xfId="10495" xr:uid="{96150EEE-F68E-4EC7-A43F-12DAF97AD015}"/>
    <cellStyle name="Comma 4 2 3 2 2 6" xfId="2392" xr:uid="{00000000-0005-0000-0000-00006F080000}"/>
    <cellStyle name="Comma 4 2 3 2 2 6 2" xfId="6676" xr:uid="{00000000-0005-0000-0000-000070080000}"/>
    <cellStyle name="Comma 4 2 3 2 2 6 2 2" xfId="23567" xr:uid="{5A0BC01B-7D8C-45A2-9A83-CF537B18927E}"/>
    <cellStyle name="Comma 4 2 3 2 2 6 2 3" xfId="15126" xr:uid="{9410DC02-51DD-4655-AB1B-CD10E52FAF11}"/>
    <cellStyle name="Comma 4 2 3 2 2 6 3" xfId="19349" xr:uid="{5513A731-B6F3-40BF-A860-7C385230007B}"/>
    <cellStyle name="Comma 4 2 3 2 2 6 4" xfId="10908" xr:uid="{2F11FFFC-3C34-49D7-91BB-23D31333F930}"/>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23884" xr:uid="{6D467701-F0EF-47D2-8205-0A6DC0EA9E2A}"/>
    <cellStyle name="Comma 4 2 3 2 2 8 2 3" xfId="15443" xr:uid="{1864B5B0-37B6-4F6A-B6AD-6A676303AD69}"/>
    <cellStyle name="Comma 4 2 3 2 2 8 3" xfId="19666" xr:uid="{3029461B-C5CF-4D6A-BAF6-772CC5A57B18}"/>
    <cellStyle name="Comma 4 2 3 2 2 8 4" xfId="11225" xr:uid="{D607AAEE-C748-4A8F-A3BC-60C030CF5D1F}"/>
    <cellStyle name="Comma 4 2 3 2 2 9" xfId="4610" xr:uid="{00000000-0005-0000-0000-000074080000}"/>
    <cellStyle name="Comma 4 2 3 2 2 9 2" xfId="21501" xr:uid="{B8F3C185-6EC6-40A7-A98B-A33B5CC21079}"/>
    <cellStyle name="Comma 4 2 3 2 2 9 3" xfId="13060" xr:uid="{79C26FCC-1CDB-4959-95D7-72881922F456}"/>
    <cellStyle name="Comma 4 2 3 2 3" xfId="675" xr:uid="{00000000-0005-0000-0000-000075080000}"/>
    <cellStyle name="Comma 4 2 3 2 3 2" xfId="2946" xr:uid="{00000000-0005-0000-0000-000076080000}"/>
    <cellStyle name="Comma 4 2 3 2 3 2 2" xfId="7168" xr:uid="{00000000-0005-0000-0000-000077080000}"/>
    <cellStyle name="Comma 4 2 3 2 3 2 2 2" xfId="24059" xr:uid="{710899D6-11C0-45EF-9B84-4DF8E5933AFC}"/>
    <cellStyle name="Comma 4 2 3 2 3 2 2 3" xfId="15618" xr:uid="{C547E47D-D431-46A3-843B-B5CEB2E965CC}"/>
    <cellStyle name="Comma 4 2 3 2 3 2 3" xfId="19841" xr:uid="{6C402C9C-8B72-4963-91B6-EC1CDACE0285}"/>
    <cellStyle name="Comma 4 2 3 2 3 2 4" xfId="11400" xr:uid="{D4CEEA4F-BA73-418D-8C5C-FE219668B168}"/>
    <cellStyle name="Comma 4 2 3 2 3 3" xfId="5023" xr:uid="{00000000-0005-0000-0000-000078080000}"/>
    <cellStyle name="Comma 4 2 3 2 3 3 2" xfId="21914" xr:uid="{874C28B0-0769-45F8-AD5D-1BBC3F4E4F5A}"/>
    <cellStyle name="Comma 4 2 3 2 3 3 3" xfId="13473" xr:uid="{3ABB727D-4A22-425E-BFF6-59339D285A3D}"/>
    <cellStyle name="Comma 4 2 3 2 3 4" xfId="17696" xr:uid="{B600D253-56F2-4D52-BA9C-8E0646E404EE}"/>
    <cellStyle name="Comma 4 2 3 2 3 5" xfId="9255" xr:uid="{097AC965-A7A3-4828-AE99-D11107C41C28}"/>
    <cellStyle name="Comma 4 2 3 2 4" xfId="1128" xr:uid="{00000000-0005-0000-0000-000079080000}"/>
    <cellStyle name="Comma 4 2 3 2 4 2" xfId="3359" xr:uid="{00000000-0005-0000-0000-00007A080000}"/>
    <cellStyle name="Comma 4 2 3 2 4 2 2" xfId="7581" xr:uid="{00000000-0005-0000-0000-00007B080000}"/>
    <cellStyle name="Comma 4 2 3 2 4 2 2 2" xfId="24472" xr:uid="{442BC4F9-D438-4E99-8274-206EAA1C7719}"/>
    <cellStyle name="Comma 4 2 3 2 4 2 2 3" xfId="16031" xr:uid="{62A14283-0417-48F3-878C-E84EA8A42CE4}"/>
    <cellStyle name="Comma 4 2 3 2 4 2 3" xfId="20254" xr:uid="{B6A58535-A98B-4742-8B22-DA685C96BE8B}"/>
    <cellStyle name="Comma 4 2 3 2 4 2 4" xfId="11813" xr:uid="{FE6332EE-9403-41DC-A1CA-46ECF1A42708}"/>
    <cellStyle name="Comma 4 2 3 2 4 3" xfId="5436" xr:uid="{00000000-0005-0000-0000-00007C080000}"/>
    <cellStyle name="Comma 4 2 3 2 4 3 2" xfId="22327" xr:uid="{11E8E468-642F-469D-A9DF-51DB8BCAA9A0}"/>
    <cellStyle name="Comma 4 2 3 2 4 3 3" xfId="13886" xr:uid="{50E459C8-45C7-44B7-8AF5-A81585872BDB}"/>
    <cellStyle name="Comma 4 2 3 2 4 4" xfId="18109" xr:uid="{8B39D14C-2EFC-4D66-BC29-EBBACDE87B8B}"/>
    <cellStyle name="Comma 4 2 3 2 4 5" xfId="9668" xr:uid="{CC6C18C8-D541-4C66-9506-59681A966288}"/>
    <cellStyle name="Comma 4 2 3 2 5" xfId="1542" xr:uid="{00000000-0005-0000-0000-00007D080000}"/>
    <cellStyle name="Comma 4 2 3 2 5 2" xfId="3772" xr:uid="{00000000-0005-0000-0000-00007E080000}"/>
    <cellStyle name="Comma 4 2 3 2 5 2 2" xfId="7994" xr:uid="{00000000-0005-0000-0000-00007F080000}"/>
    <cellStyle name="Comma 4 2 3 2 5 2 2 2" xfId="24885" xr:uid="{520FC6FE-635D-4B5D-A58E-973E25F06962}"/>
    <cellStyle name="Comma 4 2 3 2 5 2 2 3" xfId="16444" xr:uid="{51D642DB-9C8D-4DBE-BD95-92D50298CA3B}"/>
    <cellStyle name="Comma 4 2 3 2 5 2 3" xfId="20667" xr:uid="{EBA02F65-D78A-440A-B597-B1F7159CADC6}"/>
    <cellStyle name="Comma 4 2 3 2 5 2 4" xfId="12226" xr:uid="{E6464C81-C4A5-46AE-8E22-B264D1538028}"/>
    <cellStyle name="Comma 4 2 3 2 5 3" xfId="5849" xr:uid="{00000000-0005-0000-0000-000080080000}"/>
    <cellStyle name="Comma 4 2 3 2 5 3 2" xfId="22740" xr:uid="{66DF1BE2-687D-498A-807B-1DEF5681D909}"/>
    <cellStyle name="Comma 4 2 3 2 5 3 3" xfId="14299" xr:uid="{5C7497EA-D96E-4F30-BC27-C192D3D76F2E}"/>
    <cellStyle name="Comma 4 2 3 2 5 4" xfId="18522" xr:uid="{0821BF6B-DD24-4436-934E-AC6696A15AFE}"/>
    <cellStyle name="Comma 4 2 3 2 5 5" xfId="10081" xr:uid="{1BF58C62-3D8E-409D-B472-B7763462E42E}"/>
    <cellStyle name="Comma 4 2 3 2 6" xfId="1956" xr:uid="{00000000-0005-0000-0000-000081080000}"/>
    <cellStyle name="Comma 4 2 3 2 6 2" xfId="4185" xr:uid="{00000000-0005-0000-0000-000082080000}"/>
    <cellStyle name="Comma 4 2 3 2 6 2 2" xfId="8407" xr:uid="{00000000-0005-0000-0000-000083080000}"/>
    <cellStyle name="Comma 4 2 3 2 6 2 2 2" xfId="25298" xr:uid="{4BC1956D-15AB-4ED2-B7B3-A3B476B106FD}"/>
    <cellStyle name="Comma 4 2 3 2 6 2 2 3" xfId="16857" xr:uid="{9D6ACCC6-57F3-4A4F-81AF-BE3B39F24B4E}"/>
    <cellStyle name="Comma 4 2 3 2 6 2 3" xfId="21080" xr:uid="{9367E521-56CE-460F-BBD7-0C1FDA8DDD15}"/>
    <cellStyle name="Comma 4 2 3 2 6 2 4" xfId="12639" xr:uid="{7863378D-3E3B-46AD-9F5A-DD8199590284}"/>
    <cellStyle name="Comma 4 2 3 2 6 3" xfId="6262" xr:uid="{00000000-0005-0000-0000-000084080000}"/>
    <cellStyle name="Comma 4 2 3 2 6 3 2" xfId="23153" xr:uid="{C2DE2D5F-D997-4B4B-98DD-B2A3722DF02C}"/>
    <cellStyle name="Comma 4 2 3 2 6 3 3" xfId="14712" xr:uid="{19ADFD88-4C4C-436F-904E-88D96FFBC21C}"/>
    <cellStyle name="Comma 4 2 3 2 6 4" xfId="18935" xr:uid="{C44E3628-47E6-4BA1-9372-64232CA7961F}"/>
    <cellStyle name="Comma 4 2 3 2 6 5" xfId="10494" xr:uid="{A31E1191-E2E6-4BE5-A6F0-3D2139E4BC0E}"/>
    <cellStyle name="Comma 4 2 3 2 7" xfId="2391" xr:uid="{00000000-0005-0000-0000-000085080000}"/>
    <cellStyle name="Comma 4 2 3 2 7 2" xfId="6675" xr:uid="{00000000-0005-0000-0000-000086080000}"/>
    <cellStyle name="Comma 4 2 3 2 7 2 2" xfId="23566" xr:uid="{0B18494B-AC2F-4FFB-B923-1F2A87EF3A21}"/>
    <cellStyle name="Comma 4 2 3 2 7 2 3" xfId="15125" xr:uid="{F53DE2F3-18A6-43A7-B0C2-663C773BAC17}"/>
    <cellStyle name="Comma 4 2 3 2 7 3" xfId="19348" xr:uid="{95FFEAA3-6D96-4DA6-97CE-0FCCB302AE86}"/>
    <cellStyle name="Comma 4 2 3 2 7 4" xfId="10907" xr:uid="{12CB3FE0-FA07-4251-AC61-9364B54D8520}"/>
    <cellStyle name="Comma 4 2 3 2 8" xfId="2372" xr:uid="{00000000-0005-0000-0000-000087080000}"/>
    <cellStyle name="Comma 4 2 3 2 9" xfId="2769" xr:uid="{00000000-0005-0000-0000-000088080000}"/>
    <cellStyle name="Comma 4 2 3 2 9 2" xfId="6992" xr:uid="{00000000-0005-0000-0000-000089080000}"/>
    <cellStyle name="Comma 4 2 3 2 9 2 2" xfId="23883" xr:uid="{F0FEB73C-48EE-49D7-B3FB-1A9EB75C83D0}"/>
    <cellStyle name="Comma 4 2 3 2 9 2 3" xfId="15442" xr:uid="{74F2C05B-4933-444D-95C4-67312A10DDF1}"/>
    <cellStyle name="Comma 4 2 3 2 9 3" xfId="19665" xr:uid="{A51582A4-89D1-4A0D-94E0-830121126075}"/>
    <cellStyle name="Comma 4 2 3 2 9 4" xfId="11224" xr:uid="{5121C0D0-6737-40FC-9B4B-425C27EC5CEA}"/>
    <cellStyle name="Comma 4 2 3 3" xfId="139" xr:uid="{00000000-0005-0000-0000-00008A080000}"/>
    <cellStyle name="Comma 4 2 3 3 10" xfId="17284" xr:uid="{46326CE7-EE27-4A2B-A1CA-80BAFF44EC8D}"/>
    <cellStyle name="Comma 4 2 3 3 11" xfId="8843" xr:uid="{E8E309F1-F200-404E-99E1-714E75044A5E}"/>
    <cellStyle name="Comma 4 2 3 3 2" xfId="677" xr:uid="{00000000-0005-0000-0000-00008B080000}"/>
    <cellStyle name="Comma 4 2 3 3 2 2" xfId="2948" xr:uid="{00000000-0005-0000-0000-00008C080000}"/>
    <cellStyle name="Comma 4 2 3 3 2 2 2" xfId="7170" xr:uid="{00000000-0005-0000-0000-00008D080000}"/>
    <cellStyle name="Comma 4 2 3 3 2 2 2 2" xfId="24061" xr:uid="{39D1AE8E-6A6A-49FC-9F29-EB490AEE82DE}"/>
    <cellStyle name="Comma 4 2 3 3 2 2 2 3" xfId="15620" xr:uid="{E40A5899-A11A-44EE-8DE6-E67205A13423}"/>
    <cellStyle name="Comma 4 2 3 3 2 2 3" xfId="19843" xr:uid="{CFB0C9B6-2249-4384-A6D4-FE5FB9F87D4E}"/>
    <cellStyle name="Comma 4 2 3 3 2 2 4" xfId="11402" xr:uid="{0A9AB7C7-7E61-4A34-B5FB-94544879E649}"/>
    <cellStyle name="Comma 4 2 3 3 2 3" xfId="5025" xr:uid="{00000000-0005-0000-0000-00008E080000}"/>
    <cellStyle name="Comma 4 2 3 3 2 3 2" xfId="21916" xr:uid="{6D88FFC9-840B-4E03-94E1-08A1CA898F1B}"/>
    <cellStyle name="Comma 4 2 3 3 2 3 3" xfId="13475" xr:uid="{F9C482D6-917D-47ED-A0A1-CF92CAA88EFE}"/>
    <cellStyle name="Comma 4 2 3 3 2 4" xfId="17698" xr:uid="{20F71601-C863-4C38-AE7F-89F893348220}"/>
    <cellStyle name="Comma 4 2 3 3 2 5" xfId="9257" xr:uid="{9F0FD3D1-F142-4261-A8CD-A4EE1F972E87}"/>
    <cellStyle name="Comma 4 2 3 3 3" xfId="1130" xr:uid="{00000000-0005-0000-0000-00008F080000}"/>
    <cellStyle name="Comma 4 2 3 3 3 2" xfId="3361" xr:uid="{00000000-0005-0000-0000-000090080000}"/>
    <cellStyle name="Comma 4 2 3 3 3 2 2" xfId="7583" xr:uid="{00000000-0005-0000-0000-000091080000}"/>
    <cellStyle name="Comma 4 2 3 3 3 2 2 2" xfId="24474" xr:uid="{913C902E-B3FB-4E49-8806-F11A79012A03}"/>
    <cellStyle name="Comma 4 2 3 3 3 2 2 3" xfId="16033" xr:uid="{23820CF7-BC70-422E-90F9-A40ADA3B0A3D}"/>
    <cellStyle name="Comma 4 2 3 3 3 2 3" xfId="20256" xr:uid="{BCCE5DF2-704A-4365-9CFD-81375018CA0F}"/>
    <cellStyle name="Comma 4 2 3 3 3 2 4" xfId="11815" xr:uid="{32DB5D7B-D161-4F9F-B2CB-9A5312E05D70}"/>
    <cellStyle name="Comma 4 2 3 3 3 3" xfId="5438" xr:uid="{00000000-0005-0000-0000-000092080000}"/>
    <cellStyle name="Comma 4 2 3 3 3 3 2" xfId="22329" xr:uid="{07602D4C-31CC-44E0-A3A1-E8EFE9903F98}"/>
    <cellStyle name="Comma 4 2 3 3 3 3 3" xfId="13888" xr:uid="{0FC346D3-9451-480A-A602-9D827DE55719}"/>
    <cellStyle name="Comma 4 2 3 3 3 4" xfId="18111" xr:uid="{B14C1C22-7DA7-4CA1-8D05-4F524280BF5F}"/>
    <cellStyle name="Comma 4 2 3 3 3 5" xfId="9670" xr:uid="{DBF1D7FE-36FA-4390-8AA5-5B51CC7EB2F5}"/>
    <cellStyle name="Comma 4 2 3 3 4" xfId="1544" xr:uid="{00000000-0005-0000-0000-000093080000}"/>
    <cellStyle name="Comma 4 2 3 3 4 2" xfId="3774" xr:uid="{00000000-0005-0000-0000-000094080000}"/>
    <cellStyle name="Comma 4 2 3 3 4 2 2" xfId="7996" xr:uid="{00000000-0005-0000-0000-000095080000}"/>
    <cellStyle name="Comma 4 2 3 3 4 2 2 2" xfId="24887" xr:uid="{F7ED7048-FA02-4187-AA6A-C8409807B1B5}"/>
    <cellStyle name="Comma 4 2 3 3 4 2 2 3" xfId="16446" xr:uid="{CE7FD3FD-D9CE-449C-9A1D-6E80375EED58}"/>
    <cellStyle name="Comma 4 2 3 3 4 2 3" xfId="20669" xr:uid="{3E25078A-660A-4D42-9EA8-70BA072677F2}"/>
    <cellStyle name="Comma 4 2 3 3 4 2 4" xfId="12228" xr:uid="{1AA6E834-7DC3-4862-A59E-A42A0D5AA194}"/>
    <cellStyle name="Comma 4 2 3 3 4 3" xfId="5851" xr:uid="{00000000-0005-0000-0000-000096080000}"/>
    <cellStyle name="Comma 4 2 3 3 4 3 2" xfId="22742" xr:uid="{AF972421-5730-4BA6-8184-9DAF0214D8B3}"/>
    <cellStyle name="Comma 4 2 3 3 4 3 3" xfId="14301" xr:uid="{E7D6C8C6-A1A2-4140-8ACD-EF388F6A0D6E}"/>
    <cellStyle name="Comma 4 2 3 3 4 4" xfId="18524" xr:uid="{5BC32BC3-7F50-49D9-AE8D-A233DF50A9D5}"/>
    <cellStyle name="Comma 4 2 3 3 4 5" xfId="10083" xr:uid="{A1690C3D-70E8-4C14-B3E4-D57D93472970}"/>
    <cellStyle name="Comma 4 2 3 3 5" xfId="1958" xr:uid="{00000000-0005-0000-0000-000097080000}"/>
    <cellStyle name="Comma 4 2 3 3 5 2" xfId="4187" xr:uid="{00000000-0005-0000-0000-000098080000}"/>
    <cellStyle name="Comma 4 2 3 3 5 2 2" xfId="8409" xr:uid="{00000000-0005-0000-0000-000099080000}"/>
    <cellStyle name="Comma 4 2 3 3 5 2 2 2" xfId="25300" xr:uid="{31746271-CDE5-4CB9-8368-E5092C144528}"/>
    <cellStyle name="Comma 4 2 3 3 5 2 2 3" xfId="16859" xr:uid="{DC202550-40CB-4B2A-8867-03F1A3FE360D}"/>
    <cellStyle name="Comma 4 2 3 3 5 2 3" xfId="21082" xr:uid="{496DCCEE-6352-452B-BB97-95713436F5EA}"/>
    <cellStyle name="Comma 4 2 3 3 5 2 4" xfId="12641" xr:uid="{AA3669CF-D176-4E53-8BAD-F2E0F81F986B}"/>
    <cellStyle name="Comma 4 2 3 3 5 3" xfId="6264" xr:uid="{00000000-0005-0000-0000-00009A080000}"/>
    <cellStyle name="Comma 4 2 3 3 5 3 2" xfId="23155" xr:uid="{D0A41381-68A5-456C-8DBE-4F7D36DC0B7E}"/>
    <cellStyle name="Comma 4 2 3 3 5 3 3" xfId="14714" xr:uid="{4AA12F24-456D-4C63-BDD9-2996FD7851F0}"/>
    <cellStyle name="Comma 4 2 3 3 5 4" xfId="18937" xr:uid="{9C4196D7-2F4C-42D5-87AF-84C94ADB886E}"/>
    <cellStyle name="Comma 4 2 3 3 5 5" xfId="10496" xr:uid="{B86C25CE-D913-4AB3-BB3D-B54CA8CFB712}"/>
    <cellStyle name="Comma 4 2 3 3 6" xfId="2393" xr:uid="{00000000-0005-0000-0000-00009B080000}"/>
    <cellStyle name="Comma 4 2 3 3 6 2" xfId="6677" xr:uid="{00000000-0005-0000-0000-00009C080000}"/>
    <cellStyle name="Comma 4 2 3 3 6 2 2" xfId="23568" xr:uid="{90F20E79-5B27-4DDD-90EA-0712961D8E4E}"/>
    <cellStyle name="Comma 4 2 3 3 6 2 3" xfId="15127" xr:uid="{5B7D71EC-5E6D-471B-9ED1-79DA31C5AC1A}"/>
    <cellStyle name="Comma 4 2 3 3 6 3" xfId="19350" xr:uid="{C7F0DD46-742E-45C9-8D31-AB1B326A35D8}"/>
    <cellStyle name="Comma 4 2 3 3 6 4" xfId="10909" xr:uid="{1C2BB4FD-33E9-47FF-918E-FFBEF14AE6BC}"/>
    <cellStyle name="Comma 4 2 3 3 7" xfId="2370" xr:uid="{00000000-0005-0000-0000-00009D080000}"/>
    <cellStyle name="Comma 4 2 3 3 8" xfId="2771" xr:uid="{00000000-0005-0000-0000-00009E080000}"/>
    <cellStyle name="Comma 4 2 3 3 8 2" xfId="6994" xr:uid="{00000000-0005-0000-0000-00009F080000}"/>
    <cellStyle name="Comma 4 2 3 3 8 2 2" xfId="23885" xr:uid="{A04735B1-23D6-4C92-A7B7-CEAC3308244C}"/>
    <cellStyle name="Comma 4 2 3 3 8 2 3" xfId="15444" xr:uid="{1EAEB663-1149-46CF-960A-5CB191D97691}"/>
    <cellStyle name="Comma 4 2 3 3 8 3" xfId="19667" xr:uid="{D54C69A9-443B-4C9E-8FBD-B91E8332CC78}"/>
    <cellStyle name="Comma 4 2 3 3 8 4" xfId="11226" xr:uid="{4066B7C1-8BD3-4C7F-BC29-2595AAA6CAF1}"/>
    <cellStyle name="Comma 4 2 3 3 9" xfId="4611" xr:uid="{00000000-0005-0000-0000-0000A0080000}"/>
    <cellStyle name="Comma 4 2 3 3 9 2" xfId="21502" xr:uid="{6FF7BAE2-9DBC-4D55-BDCC-78369B342633}"/>
    <cellStyle name="Comma 4 2 3 3 9 3" xfId="13061" xr:uid="{F3E8A20C-9B1A-44BA-B377-FBC9CEFDEEDE}"/>
    <cellStyle name="Comma 4 2 3 4" xfId="674" xr:uid="{00000000-0005-0000-0000-0000A1080000}"/>
    <cellStyle name="Comma 4 2 3 4 2" xfId="2945" xr:uid="{00000000-0005-0000-0000-0000A2080000}"/>
    <cellStyle name="Comma 4 2 3 4 2 2" xfId="7167" xr:uid="{00000000-0005-0000-0000-0000A3080000}"/>
    <cellStyle name="Comma 4 2 3 4 2 2 2" xfId="24058" xr:uid="{7A799F95-4603-461D-B913-6E436C187223}"/>
    <cellStyle name="Comma 4 2 3 4 2 2 3" xfId="15617" xr:uid="{4FD0782B-2C69-463D-9959-2BEA6E5062EF}"/>
    <cellStyle name="Comma 4 2 3 4 2 3" xfId="19840" xr:uid="{D39FD823-3EA5-422D-A03D-2BC1A6F19696}"/>
    <cellStyle name="Comma 4 2 3 4 2 4" xfId="11399" xr:uid="{A3AB0A37-C03C-4B0E-9003-2E9DA546A16D}"/>
    <cellStyle name="Comma 4 2 3 4 3" xfId="5022" xr:uid="{00000000-0005-0000-0000-0000A4080000}"/>
    <cellStyle name="Comma 4 2 3 4 3 2" xfId="21913" xr:uid="{2FE1B9A2-B2EB-45BF-8A76-7BCC184DE0F8}"/>
    <cellStyle name="Comma 4 2 3 4 3 3" xfId="13472" xr:uid="{71109588-4E4B-4C0B-83CB-733A16BBCDCE}"/>
    <cellStyle name="Comma 4 2 3 4 4" xfId="17695" xr:uid="{ADCE650F-A05C-4FA9-958B-070A92EF87C7}"/>
    <cellStyle name="Comma 4 2 3 4 5" xfId="9254" xr:uid="{FBE28A9B-6675-4ADA-B417-2F9BA6779918}"/>
    <cellStyle name="Comma 4 2 3 5" xfId="1127" xr:uid="{00000000-0005-0000-0000-0000A5080000}"/>
    <cellStyle name="Comma 4 2 3 5 2" xfId="3358" xr:uid="{00000000-0005-0000-0000-0000A6080000}"/>
    <cellStyle name="Comma 4 2 3 5 2 2" xfId="7580" xr:uid="{00000000-0005-0000-0000-0000A7080000}"/>
    <cellStyle name="Comma 4 2 3 5 2 2 2" xfId="24471" xr:uid="{2993A3AF-535F-4F74-8A17-CF19998C24EA}"/>
    <cellStyle name="Comma 4 2 3 5 2 2 3" xfId="16030" xr:uid="{2C531495-3055-4B7D-98A9-21F86428AA33}"/>
    <cellStyle name="Comma 4 2 3 5 2 3" xfId="20253" xr:uid="{0BD9CA46-3967-47A0-92BB-F94F6D7E7D09}"/>
    <cellStyle name="Comma 4 2 3 5 2 4" xfId="11812" xr:uid="{5197C22B-8A3F-4847-9B71-24268DF75C94}"/>
    <cellStyle name="Comma 4 2 3 5 3" xfId="5435" xr:uid="{00000000-0005-0000-0000-0000A8080000}"/>
    <cellStyle name="Comma 4 2 3 5 3 2" xfId="22326" xr:uid="{7D5E879A-2E4A-4007-A3D8-CD171A1CD145}"/>
    <cellStyle name="Comma 4 2 3 5 3 3" xfId="13885" xr:uid="{97B12F88-FE5A-4F35-AC71-7C7644503856}"/>
    <cellStyle name="Comma 4 2 3 5 4" xfId="18108" xr:uid="{7F2AE081-505B-485A-B8E6-4CAE0EB32869}"/>
    <cellStyle name="Comma 4 2 3 5 5" xfId="9667" xr:uid="{A42E9BF9-D1E9-4BB6-8FA0-3A4317900B64}"/>
    <cellStyle name="Comma 4 2 3 6" xfId="1541" xr:uid="{00000000-0005-0000-0000-0000A9080000}"/>
    <cellStyle name="Comma 4 2 3 6 2" xfId="3771" xr:uid="{00000000-0005-0000-0000-0000AA080000}"/>
    <cellStyle name="Comma 4 2 3 6 2 2" xfId="7993" xr:uid="{00000000-0005-0000-0000-0000AB080000}"/>
    <cellStyle name="Comma 4 2 3 6 2 2 2" xfId="24884" xr:uid="{84899F9B-6CA7-4E6C-B562-B24000F18CFD}"/>
    <cellStyle name="Comma 4 2 3 6 2 2 3" xfId="16443" xr:uid="{AFD848DB-0F59-4CB1-AF70-508EB4993A28}"/>
    <cellStyle name="Comma 4 2 3 6 2 3" xfId="20666" xr:uid="{C607212A-1634-4C50-912C-78D2C282462C}"/>
    <cellStyle name="Comma 4 2 3 6 2 4" xfId="12225" xr:uid="{E382F517-1A8F-44D1-A277-2108B64F3FA8}"/>
    <cellStyle name="Comma 4 2 3 6 3" xfId="5848" xr:uid="{00000000-0005-0000-0000-0000AC080000}"/>
    <cellStyle name="Comma 4 2 3 6 3 2" xfId="22739" xr:uid="{CBA6381A-323E-44FC-9313-64142BB5142C}"/>
    <cellStyle name="Comma 4 2 3 6 3 3" xfId="14298" xr:uid="{245A4751-417B-4EE6-A241-9C1D6904894E}"/>
    <cellStyle name="Comma 4 2 3 6 4" xfId="18521" xr:uid="{DA6E9B70-223F-46AE-93CE-2B4E6A2197F2}"/>
    <cellStyle name="Comma 4 2 3 6 5" xfId="10080" xr:uid="{5FE1AD93-DDB3-45F0-ABB8-9816383F6FEA}"/>
    <cellStyle name="Comma 4 2 3 7" xfId="1955" xr:uid="{00000000-0005-0000-0000-0000AD080000}"/>
    <cellStyle name="Comma 4 2 3 7 2" xfId="4184" xr:uid="{00000000-0005-0000-0000-0000AE080000}"/>
    <cellStyle name="Comma 4 2 3 7 2 2" xfId="8406" xr:uid="{00000000-0005-0000-0000-0000AF080000}"/>
    <cellStyle name="Comma 4 2 3 7 2 2 2" xfId="25297" xr:uid="{FE68BE82-7471-4BDE-B648-7355DE24AC68}"/>
    <cellStyle name="Comma 4 2 3 7 2 2 3" xfId="16856" xr:uid="{D15FE679-AC4C-40D2-9286-402BC92BDFEA}"/>
    <cellStyle name="Comma 4 2 3 7 2 3" xfId="21079" xr:uid="{D77BCD68-B998-4B37-9DBA-FAF1AE42F060}"/>
    <cellStyle name="Comma 4 2 3 7 2 4" xfId="12638" xr:uid="{94B8C3C0-549D-4AD0-AD02-D5DE483EDAE1}"/>
    <cellStyle name="Comma 4 2 3 7 3" xfId="6261" xr:uid="{00000000-0005-0000-0000-0000B0080000}"/>
    <cellStyle name="Comma 4 2 3 7 3 2" xfId="23152" xr:uid="{4ECE38CA-4460-4AE6-87B6-2164425CAC44}"/>
    <cellStyle name="Comma 4 2 3 7 3 3" xfId="14711" xr:uid="{0ECD2AB6-EB71-4891-8CDA-6E3F88730A45}"/>
    <cellStyle name="Comma 4 2 3 7 4" xfId="18934" xr:uid="{FD8E0372-993F-4F7F-A61E-28F1BEB1B29A}"/>
    <cellStyle name="Comma 4 2 3 7 5" xfId="10493" xr:uid="{65B2FACE-5B2F-46AD-AE8A-D3296FC6CC35}"/>
    <cellStyle name="Comma 4 2 3 8" xfId="2390" xr:uid="{00000000-0005-0000-0000-0000B1080000}"/>
    <cellStyle name="Comma 4 2 3 8 2" xfId="6674" xr:uid="{00000000-0005-0000-0000-0000B2080000}"/>
    <cellStyle name="Comma 4 2 3 8 2 2" xfId="23565" xr:uid="{F7475BB2-A5C2-4C04-8DB6-28A091F35D17}"/>
    <cellStyle name="Comma 4 2 3 8 2 3" xfId="15124" xr:uid="{32F71953-D5FC-4CCE-99D8-3A44E225D787}"/>
    <cellStyle name="Comma 4 2 3 8 3" xfId="19347" xr:uid="{DD234DE4-5F5A-4B5C-BCD0-E98C25444FA6}"/>
    <cellStyle name="Comma 4 2 3 8 4" xfId="10906" xr:uid="{64F474CC-2086-4FF9-9AD4-CB2F0F170D3F}"/>
    <cellStyle name="Comma 4 2 3 9" xfId="2373" xr:uid="{00000000-0005-0000-0000-0000B3080000}"/>
    <cellStyle name="Comma 4 2 4" xfId="140" xr:uid="{00000000-0005-0000-0000-0000B4080000}"/>
    <cellStyle name="Comma 4 2 4 10" xfId="4612" xr:uid="{00000000-0005-0000-0000-0000B5080000}"/>
    <cellStyle name="Comma 4 2 4 10 2" xfId="21503" xr:uid="{3AB6E61C-F831-471E-84D0-1B66B84DB3BB}"/>
    <cellStyle name="Comma 4 2 4 10 3" xfId="13062" xr:uid="{11F0B881-D8C7-48A6-862B-CC1344FF8551}"/>
    <cellStyle name="Comma 4 2 4 11" xfId="17285" xr:uid="{F28BDB80-58C5-4A16-B9D1-1D05B09DE07C}"/>
    <cellStyle name="Comma 4 2 4 12" xfId="8844" xr:uid="{96C5214D-EB86-4C71-B062-F2E710D8D8B7}"/>
    <cellStyle name="Comma 4 2 4 2" xfId="141" xr:uid="{00000000-0005-0000-0000-0000B6080000}"/>
    <cellStyle name="Comma 4 2 4 2 10" xfId="17286" xr:uid="{73CCBE90-9688-42D6-ACC1-228194694B30}"/>
    <cellStyle name="Comma 4 2 4 2 11" xfId="8845" xr:uid="{F6506B36-3CB8-48EE-ADB3-C1BBA1338832}"/>
    <cellStyle name="Comma 4 2 4 2 2" xfId="679" xr:uid="{00000000-0005-0000-0000-0000B7080000}"/>
    <cellStyle name="Comma 4 2 4 2 2 2" xfId="2950" xr:uid="{00000000-0005-0000-0000-0000B8080000}"/>
    <cellStyle name="Comma 4 2 4 2 2 2 2" xfId="7172" xr:uid="{00000000-0005-0000-0000-0000B9080000}"/>
    <cellStyle name="Comma 4 2 4 2 2 2 2 2" xfId="24063" xr:uid="{A3807349-7ECA-42BD-815A-85FC0794DF75}"/>
    <cellStyle name="Comma 4 2 4 2 2 2 2 3" xfId="15622" xr:uid="{7F7BE6E8-04BF-455E-960E-543AB25C4AA4}"/>
    <cellStyle name="Comma 4 2 4 2 2 2 3" xfId="19845" xr:uid="{7CA0B6F4-00CC-423F-AD8A-54E97DDDCA97}"/>
    <cellStyle name="Comma 4 2 4 2 2 2 4" xfId="11404" xr:uid="{A39C4069-BDC8-480E-900A-12492B949754}"/>
    <cellStyle name="Comma 4 2 4 2 2 3" xfId="5027" xr:uid="{00000000-0005-0000-0000-0000BA080000}"/>
    <cellStyle name="Comma 4 2 4 2 2 3 2" xfId="21918" xr:uid="{E42CFC09-EB43-4FE5-84D1-AE3A63E3C6CE}"/>
    <cellStyle name="Comma 4 2 4 2 2 3 3" xfId="13477" xr:uid="{24A1872C-0561-40D4-94C5-97EBB3E1729A}"/>
    <cellStyle name="Comma 4 2 4 2 2 4" xfId="17700" xr:uid="{271BDF37-DA38-428B-8AA8-D7B717D3345F}"/>
    <cellStyle name="Comma 4 2 4 2 2 5" xfId="9259" xr:uid="{DA0FD3AA-D834-43EF-B6DC-0241BC1823F3}"/>
    <cellStyle name="Comma 4 2 4 2 3" xfId="1132" xr:uid="{00000000-0005-0000-0000-0000BB080000}"/>
    <cellStyle name="Comma 4 2 4 2 3 2" xfId="3363" xr:uid="{00000000-0005-0000-0000-0000BC080000}"/>
    <cellStyle name="Comma 4 2 4 2 3 2 2" xfId="7585" xr:uid="{00000000-0005-0000-0000-0000BD080000}"/>
    <cellStyle name="Comma 4 2 4 2 3 2 2 2" xfId="24476" xr:uid="{9B03FF02-8F1D-40F8-B119-AD6CBD92DDA1}"/>
    <cellStyle name="Comma 4 2 4 2 3 2 2 3" xfId="16035" xr:uid="{5F8CD904-5E85-40D2-8F73-B243DBBE2C62}"/>
    <cellStyle name="Comma 4 2 4 2 3 2 3" xfId="20258" xr:uid="{04ECBAE4-D7D3-4443-8662-7C5117A49F2B}"/>
    <cellStyle name="Comma 4 2 4 2 3 2 4" xfId="11817" xr:uid="{0E5F77B4-9241-4628-ABCC-B0E57D3F977A}"/>
    <cellStyle name="Comma 4 2 4 2 3 3" xfId="5440" xr:uid="{00000000-0005-0000-0000-0000BE080000}"/>
    <cellStyle name="Comma 4 2 4 2 3 3 2" xfId="22331" xr:uid="{9C7559C8-2627-473F-84DE-98F5435B9671}"/>
    <cellStyle name="Comma 4 2 4 2 3 3 3" xfId="13890" xr:uid="{27585F57-A47C-47BC-AA76-89430EE09945}"/>
    <cellStyle name="Comma 4 2 4 2 3 4" xfId="18113" xr:uid="{2562D5ED-CCA6-4E13-8D59-11AC5CEA5C08}"/>
    <cellStyle name="Comma 4 2 4 2 3 5" xfId="9672" xr:uid="{62CFD48A-3987-41C7-90CE-385F16DF32DF}"/>
    <cellStyle name="Comma 4 2 4 2 4" xfId="1546" xr:uid="{00000000-0005-0000-0000-0000BF080000}"/>
    <cellStyle name="Comma 4 2 4 2 4 2" xfId="3776" xr:uid="{00000000-0005-0000-0000-0000C0080000}"/>
    <cellStyle name="Comma 4 2 4 2 4 2 2" xfId="7998" xr:uid="{00000000-0005-0000-0000-0000C1080000}"/>
    <cellStyle name="Comma 4 2 4 2 4 2 2 2" xfId="24889" xr:uid="{C0E78E78-CB38-44F5-B483-83AF5C4B0D8B}"/>
    <cellStyle name="Comma 4 2 4 2 4 2 2 3" xfId="16448" xr:uid="{FC980DC5-AB6D-4E50-A255-6F00C961A66A}"/>
    <cellStyle name="Comma 4 2 4 2 4 2 3" xfId="20671" xr:uid="{0212298A-A231-406D-A8D5-E200C823E1D5}"/>
    <cellStyle name="Comma 4 2 4 2 4 2 4" xfId="12230" xr:uid="{E4EF6BE8-8797-4564-B996-33768DA06734}"/>
    <cellStyle name="Comma 4 2 4 2 4 3" xfId="5853" xr:uid="{00000000-0005-0000-0000-0000C2080000}"/>
    <cellStyle name="Comma 4 2 4 2 4 3 2" xfId="22744" xr:uid="{84B94854-6088-4CF9-8547-04BEC4989B1A}"/>
    <cellStyle name="Comma 4 2 4 2 4 3 3" xfId="14303" xr:uid="{EFBBA3F8-B787-4057-9BEC-BD636632DDB8}"/>
    <cellStyle name="Comma 4 2 4 2 4 4" xfId="18526" xr:uid="{8AFBC5AB-8064-4D71-8C6F-F84A01DF6A2E}"/>
    <cellStyle name="Comma 4 2 4 2 4 5" xfId="10085" xr:uid="{BD9FA992-9717-4256-84E5-DE2BD4652E37}"/>
    <cellStyle name="Comma 4 2 4 2 5" xfId="1960" xr:uid="{00000000-0005-0000-0000-0000C3080000}"/>
    <cellStyle name="Comma 4 2 4 2 5 2" xfId="4189" xr:uid="{00000000-0005-0000-0000-0000C4080000}"/>
    <cellStyle name="Comma 4 2 4 2 5 2 2" xfId="8411" xr:uid="{00000000-0005-0000-0000-0000C5080000}"/>
    <cellStyle name="Comma 4 2 4 2 5 2 2 2" xfId="25302" xr:uid="{7962E3A1-14BB-4748-9D59-AEDFA50F0B1D}"/>
    <cellStyle name="Comma 4 2 4 2 5 2 2 3" xfId="16861" xr:uid="{A99C5992-99DF-4113-8E86-8094A9BBD56C}"/>
    <cellStyle name="Comma 4 2 4 2 5 2 3" xfId="21084" xr:uid="{04DF9F93-C772-4903-80B3-4B4AD765BF01}"/>
    <cellStyle name="Comma 4 2 4 2 5 2 4" xfId="12643" xr:uid="{5F5CDDF2-68C2-4921-9250-E94BFEA922F2}"/>
    <cellStyle name="Comma 4 2 4 2 5 3" xfId="6266" xr:uid="{00000000-0005-0000-0000-0000C6080000}"/>
    <cellStyle name="Comma 4 2 4 2 5 3 2" xfId="23157" xr:uid="{E7989158-0AE2-41DE-9943-B3648448783A}"/>
    <cellStyle name="Comma 4 2 4 2 5 3 3" xfId="14716" xr:uid="{9D292679-AA96-4E2D-9235-400F07F1890B}"/>
    <cellStyle name="Comma 4 2 4 2 5 4" xfId="18939" xr:uid="{883E318D-3E75-4C5A-BE33-4CAFA0E19086}"/>
    <cellStyle name="Comma 4 2 4 2 5 5" xfId="10498" xr:uid="{8BB794AD-737F-4431-B3A3-AFA5CADCD1CA}"/>
    <cellStyle name="Comma 4 2 4 2 6" xfId="2395" xr:uid="{00000000-0005-0000-0000-0000C7080000}"/>
    <cellStyle name="Comma 4 2 4 2 6 2" xfId="6679" xr:uid="{00000000-0005-0000-0000-0000C8080000}"/>
    <cellStyle name="Comma 4 2 4 2 6 2 2" xfId="23570" xr:uid="{659681D9-B858-42D9-BBAF-02641B51A160}"/>
    <cellStyle name="Comma 4 2 4 2 6 2 3" xfId="15129" xr:uid="{0D21702A-1F8A-44DD-8BB6-522046536491}"/>
    <cellStyle name="Comma 4 2 4 2 6 3" xfId="19352" xr:uid="{873A5AC4-6806-431F-8C8D-FC2DE6A71D55}"/>
    <cellStyle name="Comma 4 2 4 2 6 4" xfId="10911" xr:uid="{F1046E79-7491-4E91-B212-52505E7081F1}"/>
    <cellStyle name="Comma 4 2 4 2 7" xfId="2368" xr:uid="{00000000-0005-0000-0000-0000C9080000}"/>
    <cellStyle name="Comma 4 2 4 2 8" xfId="2773" xr:uid="{00000000-0005-0000-0000-0000CA080000}"/>
    <cellStyle name="Comma 4 2 4 2 8 2" xfId="6996" xr:uid="{00000000-0005-0000-0000-0000CB080000}"/>
    <cellStyle name="Comma 4 2 4 2 8 2 2" xfId="23887" xr:uid="{95F85CB7-AB3E-45FA-B02E-56B342DAF1C4}"/>
    <cellStyle name="Comma 4 2 4 2 8 2 3" xfId="15446" xr:uid="{57B1190C-DA1F-4E5D-B781-F237FE19FC2D}"/>
    <cellStyle name="Comma 4 2 4 2 8 3" xfId="19669" xr:uid="{3781A2C2-18CA-4F75-BA5A-975C4548269C}"/>
    <cellStyle name="Comma 4 2 4 2 8 4" xfId="11228" xr:uid="{178B933D-EA7F-480A-B48E-A35A1CFBA447}"/>
    <cellStyle name="Comma 4 2 4 2 9" xfId="4613" xr:uid="{00000000-0005-0000-0000-0000CC080000}"/>
    <cellStyle name="Comma 4 2 4 2 9 2" xfId="21504" xr:uid="{25C738CB-CC9B-411C-BDE8-DE3BB5F53539}"/>
    <cellStyle name="Comma 4 2 4 2 9 3" xfId="13063" xr:uid="{13A8C857-CA14-4E42-A1A8-23EE92D3AB28}"/>
    <cellStyle name="Comma 4 2 4 3" xfId="678" xr:uid="{00000000-0005-0000-0000-0000CD080000}"/>
    <cellStyle name="Comma 4 2 4 3 2" xfId="2949" xr:uid="{00000000-0005-0000-0000-0000CE080000}"/>
    <cellStyle name="Comma 4 2 4 3 2 2" xfId="7171" xr:uid="{00000000-0005-0000-0000-0000CF080000}"/>
    <cellStyle name="Comma 4 2 4 3 2 2 2" xfId="24062" xr:uid="{5C3627FB-71C1-4AB0-8DC9-9F6ED576D55D}"/>
    <cellStyle name="Comma 4 2 4 3 2 2 3" xfId="15621" xr:uid="{C48FC058-7177-4745-A551-D62F18367A78}"/>
    <cellStyle name="Comma 4 2 4 3 2 3" xfId="19844" xr:uid="{F13D4A64-7D5E-4924-97C8-3641E48F5656}"/>
    <cellStyle name="Comma 4 2 4 3 2 4" xfId="11403" xr:uid="{116C977F-EC22-48A2-99E8-FA8B79B37E5C}"/>
    <cellStyle name="Comma 4 2 4 3 3" xfId="5026" xr:uid="{00000000-0005-0000-0000-0000D0080000}"/>
    <cellStyle name="Comma 4 2 4 3 3 2" xfId="21917" xr:uid="{EEC7D06F-37DB-4B07-80B8-E3479AB23DB3}"/>
    <cellStyle name="Comma 4 2 4 3 3 3" xfId="13476" xr:uid="{BEFD4CC3-92C4-41A2-9393-7A9A2A79D8B5}"/>
    <cellStyle name="Comma 4 2 4 3 4" xfId="17699" xr:uid="{9A220FF9-9F4F-46E7-8CA2-2D6D2E318CAF}"/>
    <cellStyle name="Comma 4 2 4 3 5" xfId="9258" xr:uid="{D8D74218-235F-464E-8904-F5DB668700CA}"/>
    <cellStyle name="Comma 4 2 4 4" xfId="1131" xr:uid="{00000000-0005-0000-0000-0000D1080000}"/>
    <cellStyle name="Comma 4 2 4 4 2" xfId="3362" xr:uid="{00000000-0005-0000-0000-0000D2080000}"/>
    <cellStyle name="Comma 4 2 4 4 2 2" xfId="7584" xr:uid="{00000000-0005-0000-0000-0000D3080000}"/>
    <cellStyle name="Comma 4 2 4 4 2 2 2" xfId="24475" xr:uid="{1F7486ED-8ABD-4787-BD6B-F2AB0D3EB90F}"/>
    <cellStyle name="Comma 4 2 4 4 2 2 3" xfId="16034" xr:uid="{04EE2008-037C-4C41-A0E4-7AA83F3D5B3B}"/>
    <cellStyle name="Comma 4 2 4 4 2 3" xfId="20257" xr:uid="{326FD979-FF83-4EB8-A459-9EF10506AB4F}"/>
    <cellStyle name="Comma 4 2 4 4 2 4" xfId="11816" xr:uid="{E617401C-C963-42A7-AA86-5451A5D2E4F1}"/>
    <cellStyle name="Comma 4 2 4 4 3" xfId="5439" xr:uid="{00000000-0005-0000-0000-0000D4080000}"/>
    <cellStyle name="Comma 4 2 4 4 3 2" xfId="22330" xr:uid="{CB1305C2-96F9-4566-B833-FF9B7D81F928}"/>
    <cellStyle name="Comma 4 2 4 4 3 3" xfId="13889" xr:uid="{4DC2477D-4DA1-42E4-A5F7-7B0013F51241}"/>
    <cellStyle name="Comma 4 2 4 4 4" xfId="18112" xr:uid="{C57FD4C2-8D29-4DCC-BA58-7320B13D1CD2}"/>
    <cellStyle name="Comma 4 2 4 4 5" xfId="9671" xr:uid="{594909BF-93FA-4FE5-BDC5-1F8F45D843CB}"/>
    <cellStyle name="Comma 4 2 4 5" xfId="1545" xr:uid="{00000000-0005-0000-0000-0000D5080000}"/>
    <cellStyle name="Comma 4 2 4 5 2" xfId="3775" xr:uid="{00000000-0005-0000-0000-0000D6080000}"/>
    <cellStyle name="Comma 4 2 4 5 2 2" xfId="7997" xr:uid="{00000000-0005-0000-0000-0000D7080000}"/>
    <cellStyle name="Comma 4 2 4 5 2 2 2" xfId="24888" xr:uid="{04FB2D89-F63E-4856-8957-31F228C97F07}"/>
    <cellStyle name="Comma 4 2 4 5 2 2 3" xfId="16447" xr:uid="{4E10CB52-93E4-4B30-9DBE-AB9D9019967C}"/>
    <cellStyle name="Comma 4 2 4 5 2 3" xfId="20670" xr:uid="{F48F9B77-5A63-41BE-9194-25FE8CAF4417}"/>
    <cellStyle name="Comma 4 2 4 5 2 4" xfId="12229" xr:uid="{10460987-1025-4ED3-810B-A490BA5153B3}"/>
    <cellStyle name="Comma 4 2 4 5 3" xfId="5852" xr:uid="{00000000-0005-0000-0000-0000D8080000}"/>
    <cellStyle name="Comma 4 2 4 5 3 2" xfId="22743" xr:uid="{075AB479-FE5A-4AD7-AB82-0D22B2F0172B}"/>
    <cellStyle name="Comma 4 2 4 5 3 3" xfId="14302" xr:uid="{BAA2E778-AA97-4F7F-9D36-B34C9FE03FFC}"/>
    <cellStyle name="Comma 4 2 4 5 4" xfId="18525" xr:uid="{ECCF5094-18B1-4E0B-99EA-5EAD584A211D}"/>
    <cellStyle name="Comma 4 2 4 5 5" xfId="10084" xr:uid="{0E9A43DE-2E17-4E72-B0E3-77216CD6D4EE}"/>
    <cellStyle name="Comma 4 2 4 6" xfId="1959" xr:uid="{00000000-0005-0000-0000-0000D9080000}"/>
    <cellStyle name="Comma 4 2 4 6 2" xfId="4188" xr:uid="{00000000-0005-0000-0000-0000DA080000}"/>
    <cellStyle name="Comma 4 2 4 6 2 2" xfId="8410" xr:uid="{00000000-0005-0000-0000-0000DB080000}"/>
    <cellStyle name="Comma 4 2 4 6 2 2 2" xfId="25301" xr:uid="{5281B999-1698-4C90-8C6F-392E92F61DF0}"/>
    <cellStyle name="Comma 4 2 4 6 2 2 3" xfId="16860" xr:uid="{D19023DC-3B42-49F8-8B5F-0809489D972D}"/>
    <cellStyle name="Comma 4 2 4 6 2 3" xfId="21083" xr:uid="{9B7F7585-A320-4025-BE90-26DA201AECB4}"/>
    <cellStyle name="Comma 4 2 4 6 2 4" xfId="12642" xr:uid="{A80C10F2-E57C-4288-A596-7C504104D37E}"/>
    <cellStyle name="Comma 4 2 4 6 3" xfId="6265" xr:uid="{00000000-0005-0000-0000-0000DC080000}"/>
    <cellStyle name="Comma 4 2 4 6 3 2" xfId="23156" xr:uid="{A254A6E9-C695-4430-ADA3-E9C9793E2411}"/>
    <cellStyle name="Comma 4 2 4 6 3 3" xfId="14715" xr:uid="{AAC799A5-C911-4617-9115-34BA2109EBBA}"/>
    <cellStyle name="Comma 4 2 4 6 4" xfId="18938" xr:uid="{CC359ACE-65ED-49D1-A533-FFA7BDF43379}"/>
    <cellStyle name="Comma 4 2 4 6 5" xfId="10497" xr:uid="{677D4A2E-F428-4FFF-9176-F3413A9E788D}"/>
    <cellStyle name="Comma 4 2 4 7" xfId="2394" xr:uid="{00000000-0005-0000-0000-0000DD080000}"/>
    <cellStyle name="Comma 4 2 4 7 2" xfId="6678" xr:uid="{00000000-0005-0000-0000-0000DE080000}"/>
    <cellStyle name="Comma 4 2 4 7 2 2" xfId="23569" xr:uid="{B49F41F7-5270-4BDC-B97C-71BDADDD7632}"/>
    <cellStyle name="Comma 4 2 4 7 2 3" xfId="15128" xr:uid="{BB3D8805-A04A-4AB8-B69A-3D9B48BB392C}"/>
    <cellStyle name="Comma 4 2 4 7 3" xfId="19351" xr:uid="{9BD000CE-3D37-48F8-8B32-A16313E937E6}"/>
    <cellStyle name="Comma 4 2 4 7 4" xfId="10910" xr:uid="{12B20736-3591-43E3-AE47-80C3F4F95240}"/>
    <cellStyle name="Comma 4 2 4 8" xfId="2369" xr:uid="{00000000-0005-0000-0000-0000DF080000}"/>
    <cellStyle name="Comma 4 2 4 9" xfId="2772" xr:uid="{00000000-0005-0000-0000-0000E0080000}"/>
    <cellStyle name="Comma 4 2 4 9 2" xfId="6995" xr:uid="{00000000-0005-0000-0000-0000E1080000}"/>
    <cellStyle name="Comma 4 2 4 9 2 2" xfId="23886" xr:uid="{17FFB176-ACAE-4569-8ABA-8089DE15D9C2}"/>
    <cellStyle name="Comma 4 2 4 9 2 3" xfId="15445" xr:uid="{217922FD-327B-458C-BF68-B8026C5CDC22}"/>
    <cellStyle name="Comma 4 2 4 9 3" xfId="19668" xr:uid="{79718DA4-CFF9-4960-AFD5-5BD96679BDA4}"/>
    <cellStyle name="Comma 4 2 4 9 4" xfId="11227" xr:uid="{255D01EB-1CCF-41B3-B2C2-AED6FDCE7B36}"/>
    <cellStyle name="Comma 4 2 5" xfId="142" xr:uid="{00000000-0005-0000-0000-0000E2080000}"/>
    <cellStyle name="Comma 4 2 5 10" xfId="17287" xr:uid="{52FEA463-AADA-4A5A-8362-C5DF8DFB1A61}"/>
    <cellStyle name="Comma 4 2 5 11" xfId="8846" xr:uid="{D7DC7C8D-7C06-4239-A5F8-C1D500797CE4}"/>
    <cellStyle name="Comma 4 2 5 2" xfId="680" xr:uid="{00000000-0005-0000-0000-0000E3080000}"/>
    <cellStyle name="Comma 4 2 5 2 2" xfId="2951" xr:uid="{00000000-0005-0000-0000-0000E4080000}"/>
    <cellStyle name="Comma 4 2 5 2 2 2" xfId="7173" xr:uid="{00000000-0005-0000-0000-0000E5080000}"/>
    <cellStyle name="Comma 4 2 5 2 2 2 2" xfId="24064" xr:uid="{4C0E4DD5-4EB3-4684-A4D9-40F2D51C51BD}"/>
    <cellStyle name="Comma 4 2 5 2 2 2 3" xfId="15623" xr:uid="{AF6748F5-ECA6-47E5-B86E-1A2518017A30}"/>
    <cellStyle name="Comma 4 2 5 2 2 3" xfId="19846" xr:uid="{945A341C-A5AD-45A2-8320-9D87ADFAE736}"/>
    <cellStyle name="Comma 4 2 5 2 2 4" xfId="11405" xr:uid="{62FAEA52-FA96-4A50-9451-E1AD2624982D}"/>
    <cellStyle name="Comma 4 2 5 2 3" xfId="5028" xr:uid="{00000000-0005-0000-0000-0000E6080000}"/>
    <cellStyle name="Comma 4 2 5 2 3 2" xfId="21919" xr:uid="{9C67E2C1-C410-4507-9EB8-B34ED0739AA2}"/>
    <cellStyle name="Comma 4 2 5 2 3 3" xfId="13478" xr:uid="{00905CE5-A425-409B-AF26-9CA59F837A79}"/>
    <cellStyle name="Comma 4 2 5 2 4" xfId="17701" xr:uid="{66A05441-DE2F-411C-A482-9748FC08E482}"/>
    <cellStyle name="Comma 4 2 5 2 5" xfId="9260" xr:uid="{45B3F441-7999-4A50-8C06-4FFB78D2AB16}"/>
    <cellStyle name="Comma 4 2 5 3" xfId="1133" xr:uid="{00000000-0005-0000-0000-0000E7080000}"/>
    <cellStyle name="Comma 4 2 5 3 2" xfId="3364" xr:uid="{00000000-0005-0000-0000-0000E8080000}"/>
    <cellStyle name="Comma 4 2 5 3 2 2" xfId="7586" xr:uid="{00000000-0005-0000-0000-0000E9080000}"/>
    <cellStyle name="Comma 4 2 5 3 2 2 2" xfId="24477" xr:uid="{A0784366-2F81-4058-975D-EE11643C91B7}"/>
    <cellStyle name="Comma 4 2 5 3 2 2 3" xfId="16036" xr:uid="{FCAC6435-B1F8-4EA3-A50D-E53A2FF64464}"/>
    <cellStyle name="Comma 4 2 5 3 2 3" xfId="20259" xr:uid="{E9AFA186-550D-4390-85A7-99F4D7E887FF}"/>
    <cellStyle name="Comma 4 2 5 3 2 4" xfId="11818" xr:uid="{0D1DF1E4-92CE-449B-A8F7-BD5D18838F3A}"/>
    <cellStyle name="Comma 4 2 5 3 3" xfId="5441" xr:uid="{00000000-0005-0000-0000-0000EA080000}"/>
    <cellStyle name="Comma 4 2 5 3 3 2" xfId="22332" xr:uid="{D4D86DF3-EA3B-471D-B886-2A179D9B2817}"/>
    <cellStyle name="Comma 4 2 5 3 3 3" xfId="13891" xr:uid="{052A0491-C677-4C26-807D-5A6244E73080}"/>
    <cellStyle name="Comma 4 2 5 3 4" xfId="18114" xr:uid="{976FFF08-FB54-4E61-AAF3-6EFF5252F7CA}"/>
    <cellStyle name="Comma 4 2 5 3 5" xfId="9673" xr:uid="{4236E4AE-4AFB-4D3C-8C64-92A6E07B545E}"/>
    <cellStyle name="Comma 4 2 5 4" xfId="1547" xr:uid="{00000000-0005-0000-0000-0000EB080000}"/>
    <cellStyle name="Comma 4 2 5 4 2" xfId="3777" xr:uid="{00000000-0005-0000-0000-0000EC080000}"/>
    <cellStyle name="Comma 4 2 5 4 2 2" xfId="7999" xr:uid="{00000000-0005-0000-0000-0000ED080000}"/>
    <cellStyle name="Comma 4 2 5 4 2 2 2" xfId="24890" xr:uid="{964AA4FD-9EDC-469A-A7B9-08D458B93726}"/>
    <cellStyle name="Comma 4 2 5 4 2 2 3" xfId="16449" xr:uid="{2350F0EB-D460-4E29-A165-732BA5AF7BDE}"/>
    <cellStyle name="Comma 4 2 5 4 2 3" xfId="20672" xr:uid="{9EEA27BD-60C3-4F3A-9C6B-CB121012B5ED}"/>
    <cellStyle name="Comma 4 2 5 4 2 4" xfId="12231" xr:uid="{D65F5382-F35B-4EC2-8B93-B4DDC9FD283B}"/>
    <cellStyle name="Comma 4 2 5 4 3" xfId="5854" xr:uid="{00000000-0005-0000-0000-0000EE080000}"/>
    <cellStyle name="Comma 4 2 5 4 3 2" xfId="22745" xr:uid="{4598A358-04F6-4384-B4F8-CF48DB9D5165}"/>
    <cellStyle name="Comma 4 2 5 4 3 3" xfId="14304" xr:uid="{FED76CD1-0B44-4C31-825D-D312DA482BEF}"/>
    <cellStyle name="Comma 4 2 5 4 4" xfId="18527" xr:uid="{6EE0D3E4-66D2-4913-812F-F8D4FCA036F4}"/>
    <cellStyle name="Comma 4 2 5 4 5" xfId="10086" xr:uid="{0646A315-3FEC-4400-8599-9F6A929A4592}"/>
    <cellStyle name="Comma 4 2 5 5" xfId="1961" xr:uid="{00000000-0005-0000-0000-0000EF080000}"/>
    <cellStyle name="Comma 4 2 5 5 2" xfId="4190" xr:uid="{00000000-0005-0000-0000-0000F0080000}"/>
    <cellStyle name="Comma 4 2 5 5 2 2" xfId="8412" xr:uid="{00000000-0005-0000-0000-0000F1080000}"/>
    <cellStyle name="Comma 4 2 5 5 2 2 2" xfId="25303" xr:uid="{0AF14F45-DC1D-4C91-9057-B2639D06F797}"/>
    <cellStyle name="Comma 4 2 5 5 2 2 3" xfId="16862" xr:uid="{91BD30B9-7ADB-442F-98DF-9EDC6ECD3262}"/>
    <cellStyle name="Comma 4 2 5 5 2 3" xfId="21085" xr:uid="{99ECC763-3A83-49F7-A5E5-BC6530FEFD49}"/>
    <cellStyle name="Comma 4 2 5 5 2 4" xfId="12644" xr:uid="{BE19829A-BA2C-40E6-8CFC-23C0175AF2D2}"/>
    <cellStyle name="Comma 4 2 5 5 3" xfId="6267" xr:uid="{00000000-0005-0000-0000-0000F2080000}"/>
    <cellStyle name="Comma 4 2 5 5 3 2" xfId="23158" xr:uid="{48786009-F840-489A-84B5-5763123E8CE8}"/>
    <cellStyle name="Comma 4 2 5 5 3 3" xfId="14717" xr:uid="{1C61F0F8-EF81-40CD-AB77-186EC9447C76}"/>
    <cellStyle name="Comma 4 2 5 5 4" xfId="18940" xr:uid="{53D32D3C-1B91-4952-910E-C21B7FEFBD7A}"/>
    <cellStyle name="Comma 4 2 5 5 5" xfId="10499" xr:uid="{91213D44-920F-4DB4-828A-AB85C1EE9FD1}"/>
    <cellStyle name="Comma 4 2 5 6" xfId="2396" xr:uid="{00000000-0005-0000-0000-0000F3080000}"/>
    <cellStyle name="Comma 4 2 5 6 2" xfId="6680" xr:uid="{00000000-0005-0000-0000-0000F4080000}"/>
    <cellStyle name="Comma 4 2 5 6 2 2" xfId="23571" xr:uid="{A5C4DA05-4FF0-4B96-A2F2-A74DCA4755E0}"/>
    <cellStyle name="Comma 4 2 5 6 2 3" xfId="15130" xr:uid="{646D5319-15FC-436D-9DFA-DCA975132BA5}"/>
    <cellStyle name="Comma 4 2 5 6 3" xfId="19353" xr:uid="{F04760FC-CAB0-4FC0-8452-55A7CD0D2460}"/>
    <cellStyle name="Comma 4 2 5 6 4" xfId="10912" xr:uid="{CDAD4CF4-17B8-43F8-AC1F-12FD0E01992A}"/>
    <cellStyle name="Comma 4 2 5 7" xfId="2367" xr:uid="{00000000-0005-0000-0000-0000F5080000}"/>
    <cellStyle name="Comma 4 2 5 8" xfId="2774" xr:uid="{00000000-0005-0000-0000-0000F6080000}"/>
    <cellStyle name="Comma 4 2 5 8 2" xfId="6997" xr:uid="{00000000-0005-0000-0000-0000F7080000}"/>
    <cellStyle name="Comma 4 2 5 8 2 2" xfId="23888" xr:uid="{D8149CF3-D58F-46C4-940F-47ABEA16E7A9}"/>
    <cellStyle name="Comma 4 2 5 8 2 3" xfId="15447" xr:uid="{9F119CD5-5A73-4EB1-AC7B-7C767D532F49}"/>
    <cellStyle name="Comma 4 2 5 8 3" xfId="19670" xr:uid="{96651824-E40B-437C-BE00-7C09CC042B30}"/>
    <cellStyle name="Comma 4 2 5 8 4" xfId="11229" xr:uid="{2549C2E0-6224-474A-AAE5-9CCA56879BB5}"/>
    <cellStyle name="Comma 4 2 5 9" xfId="4614" xr:uid="{00000000-0005-0000-0000-0000F8080000}"/>
    <cellStyle name="Comma 4 2 5 9 2" xfId="21505" xr:uid="{9A294D41-9F1D-428B-AFE3-C884AA4AFA26}"/>
    <cellStyle name="Comma 4 2 5 9 3" xfId="13064" xr:uid="{92CFACD9-D10E-488E-8AB6-70F0210D44BC}"/>
    <cellStyle name="Comma 4 2 6" xfId="143" xr:uid="{00000000-0005-0000-0000-0000F9080000}"/>
    <cellStyle name="Comma 4 2 6 10" xfId="17288" xr:uid="{070D47EE-6751-49FA-97F8-750ACA9CCAA9}"/>
    <cellStyle name="Comma 4 2 6 11" xfId="8847" xr:uid="{C1C02ADE-4A0D-43BE-BF73-5B8C8973A910}"/>
    <cellStyle name="Comma 4 2 6 2" xfId="681" xr:uid="{00000000-0005-0000-0000-0000FA080000}"/>
    <cellStyle name="Comma 4 2 6 2 2" xfId="2952" xr:uid="{00000000-0005-0000-0000-0000FB080000}"/>
    <cellStyle name="Comma 4 2 6 2 2 2" xfId="7174" xr:uid="{00000000-0005-0000-0000-0000FC080000}"/>
    <cellStyle name="Comma 4 2 6 2 2 2 2" xfId="24065" xr:uid="{71CDADB5-A912-4EE7-A68A-0BBDBD664CE5}"/>
    <cellStyle name="Comma 4 2 6 2 2 2 3" xfId="15624" xr:uid="{1753CF03-52A5-49D6-969F-A0DF5F2AB2E9}"/>
    <cellStyle name="Comma 4 2 6 2 2 3" xfId="19847" xr:uid="{9BEB48B9-BD27-420E-A121-A8CC8A89820D}"/>
    <cellStyle name="Comma 4 2 6 2 2 4" xfId="11406" xr:uid="{76DCC6E4-B97A-4013-99D3-38C58F1CF260}"/>
    <cellStyle name="Comma 4 2 6 2 3" xfId="5029" xr:uid="{00000000-0005-0000-0000-0000FD080000}"/>
    <cellStyle name="Comma 4 2 6 2 3 2" xfId="21920" xr:uid="{D068F2E3-F2B4-4B4D-890E-CB768187C0B0}"/>
    <cellStyle name="Comma 4 2 6 2 3 3" xfId="13479" xr:uid="{A641DCAB-012C-482B-A03B-AA15F354B0A3}"/>
    <cellStyle name="Comma 4 2 6 2 4" xfId="17702" xr:uid="{5DDC94C9-6044-4D9D-84D4-75691A0D1133}"/>
    <cellStyle name="Comma 4 2 6 2 5" xfId="9261" xr:uid="{AE570032-2BA1-4B58-989A-36A1FAB92B9C}"/>
    <cellStyle name="Comma 4 2 6 3" xfId="1134" xr:uid="{00000000-0005-0000-0000-0000FE080000}"/>
    <cellStyle name="Comma 4 2 6 3 2" xfId="3365" xr:uid="{00000000-0005-0000-0000-0000FF080000}"/>
    <cellStyle name="Comma 4 2 6 3 2 2" xfId="7587" xr:uid="{00000000-0005-0000-0000-000000090000}"/>
    <cellStyle name="Comma 4 2 6 3 2 2 2" xfId="24478" xr:uid="{CCF6D47C-F348-4133-B5D7-CB04B1461C5A}"/>
    <cellStyle name="Comma 4 2 6 3 2 2 3" xfId="16037" xr:uid="{C56FE0B4-DA32-4D28-A930-69170DAD044A}"/>
    <cellStyle name="Comma 4 2 6 3 2 3" xfId="20260" xr:uid="{BC82A267-C3C9-4E9A-B38B-FAF70C6B14FA}"/>
    <cellStyle name="Comma 4 2 6 3 2 4" xfId="11819" xr:uid="{6DC6F8C8-B49D-4809-B7DF-D319841AAD29}"/>
    <cellStyle name="Comma 4 2 6 3 3" xfId="5442" xr:uid="{00000000-0005-0000-0000-000001090000}"/>
    <cellStyle name="Comma 4 2 6 3 3 2" xfId="22333" xr:uid="{0187F6D7-3C8F-4DE0-94D8-70B3639A6D4D}"/>
    <cellStyle name="Comma 4 2 6 3 3 3" xfId="13892" xr:uid="{24D20B30-5CA0-4A96-9AE6-F5F14DC93350}"/>
    <cellStyle name="Comma 4 2 6 3 4" xfId="18115" xr:uid="{B87AAFAD-F5C0-4BB2-88E7-353ACAB74C80}"/>
    <cellStyle name="Comma 4 2 6 3 5" xfId="9674" xr:uid="{49687269-820E-4357-AC27-EF6579FA73DD}"/>
    <cellStyle name="Comma 4 2 6 4" xfId="1548" xr:uid="{00000000-0005-0000-0000-000002090000}"/>
    <cellStyle name="Comma 4 2 6 4 2" xfId="3778" xr:uid="{00000000-0005-0000-0000-000003090000}"/>
    <cellStyle name="Comma 4 2 6 4 2 2" xfId="8000" xr:uid="{00000000-0005-0000-0000-000004090000}"/>
    <cellStyle name="Comma 4 2 6 4 2 2 2" xfId="24891" xr:uid="{8C218F85-8696-4D62-A46B-9205ACFE2406}"/>
    <cellStyle name="Comma 4 2 6 4 2 2 3" xfId="16450" xr:uid="{89A0721A-801C-4A2C-828B-0833FFDF2E7C}"/>
    <cellStyle name="Comma 4 2 6 4 2 3" xfId="20673" xr:uid="{656FA5A1-B78A-4BD6-BDAA-8FCA87EEF089}"/>
    <cellStyle name="Comma 4 2 6 4 2 4" xfId="12232" xr:uid="{85CA1E6B-ECD9-40F6-A77D-ED0769D0E97A}"/>
    <cellStyle name="Comma 4 2 6 4 3" xfId="5855" xr:uid="{00000000-0005-0000-0000-000005090000}"/>
    <cellStyle name="Comma 4 2 6 4 3 2" xfId="22746" xr:uid="{E4F06B60-440B-46D6-9FCE-71E7C7ABE128}"/>
    <cellStyle name="Comma 4 2 6 4 3 3" xfId="14305" xr:uid="{2A843789-26C7-46B5-9D3F-6C7EF1F7D729}"/>
    <cellStyle name="Comma 4 2 6 4 4" xfId="18528" xr:uid="{323C1A15-7719-41F9-AACE-E670A0007103}"/>
    <cellStyle name="Comma 4 2 6 4 5" xfId="10087" xr:uid="{06AAE3BE-03FD-461C-8AD9-1A8F86ACFBBD}"/>
    <cellStyle name="Comma 4 2 6 5" xfId="1962" xr:uid="{00000000-0005-0000-0000-000006090000}"/>
    <cellStyle name="Comma 4 2 6 5 2" xfId="4191" xr:uid="{00000000-0005-0000-0000-000007090000}"/>
    <cellStyle name="Comma 4 2 6 5 2 2" xfId="8413" xr:uid="{00000000-0005-0000-0000-000008090000}"/>
    <cellStyle name="Comma 4 2 6 5 2 2 2" xfId="25304" xr:uid="{14E08D2F-5E40-44CC-9022-BFB4AC79EAC8}"/>
    <cellStyle name="Comma 4 2 6 5 2 2 3" xfId="16863" xr:uid="{11BBB5DB-2B2B-414D-8F5E-65622D138C2E}"/>
    <cellStyle name="Comma 4 2 6 5 2 3" xfId="21086" xr:uid="{941B813C-8E8C-4446-AE62-6565540696B9}"/>
    <cellStyle name="Comma 4 2 6 5 2 4" xfId="12645" xr:uid="{73EFEFDB-19E3-48EC-9BAA-99D337194F4B}"/>
    <cellStyle name="Comma 4 2 6 5 3" xfId="6268" xr:uid="{00000000-0005-0000-0000-000009090000}"/>
    <cellStyle name="Comma 4 2 6 5 3 2" xfId="23159" xr:uid="{C53348BB-9E1B-4E8D-95D2-6F8DF40C90B4}"/>
    <cellStyle name="Comma 4 2 6 5 3 3" xfId="14718" xr:uid="{0B8934CF-BD84-4E44-8809-250EDAA388F4}"/>
    <cellStyle name="Comma 4 2 6 5 4" xfId="18941" xr:uid="{644C5600-AB63-4430-8773-7DE933B39A14}"/>
    <cellStyle name="Comma 4 2 6 5 5" xfId="10500" xr:uid="{EAC85FAC-A167-44F3-B796-AAA58AB70A28}"/>
    <cellStyle name="Comma 4 2 6 6" xfId="2397" xr:uid="{00000000-0005-0000-0000-00000A090000}"/>
    <cellStyle name="Comma 4 2 6 6 2" xfId="6681" xr:uid="{00000000-0005-0000-0000-00000B090000}"/>
    <cellStyle name="Comma 4 2 6 6 2 2" xfId="23572" xr:uid="{57699CA3-CBBD-43EB-A213-9AD5E4680A80}"/>
    <cellStyle name="Comma 4 2 6 6 2 3" xfId="15131" xr:uid="{71D12B06-0493-45E6-8B44-68F8CF235487}"/>
    <cellStyle name="Comma 4 2 6 6 3" xfId="19354" xr:uid="{B917B14B-F473-4E66-AD1A-55C47AFF5812}"/>
    <cellStyle name="Comma 4 2 6 6 4" xfId="10913" xr:uid="{1AB7C9C1-2A86-42E6-B139-8685E65AAAB0}"/>
    <cellStyle name="Comma 4 2 6 7" xfId="2366" xr:uid="{00000000-0005-0000-0000-00000C090000}"/>
    <cellStyle name="Comma 4 2 6 8" xfId="2775" xr:uid="{00000000-0005-0000-0000-00000D090000}"/>
    <cellStyle name="Comma 4 2 6 8 2" xfId="6998" xr:uid="{00000000-0005-0000-0000-00000E090000}"/>
    <cellStyle name="Comma 4 2 6 8 2 2" xfId="23889" xr:uid="{FCD0226F-8A3D-4F73-AF7B-2C5446F86D3D}"/>
    <cellStyle name="Comma 4 2 6 8 2 3" xfId="15448" xr:uid="{C19A3F57-94F8-4F9E-B34E-605A6B7020A5}"/>
    <cellStyle name="Comma 4 2 6 8 3" xfId="19671" xr:uid="{7E5EA11E-3915-486A-8C41-1B7C9D892EF3}"/>
    <cellStyle name="Comma 4 2 6 8 4" xfId="11230" xr:uid="{D2D3DAF9-5D01-4E9A-9E42-87498BF6AF4E}"/>
    <cellStyle name="Comma 4 2 6 9" xfId="4615" xr:uid="{00000000-0005-0000-0000-00000F090000}"/>
    <cellStyle name="Comma 4 2 6 9 2" xfId="21506" xr:uid="{66B6F3F2-55C1-4CC5-936D-8982E111D09A}"/>
    <cellStyle name="Comma 4 2 6 9 3" xfId="13065" xr:uid="{E86FCBAF-EECF-48CC-82FA-610BA6493939}"/>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23890" xr:uid="{BF086EC8-0206-4C0F-9004-AAD013503537}"/>
    <cellStyle name="Comma 4 3 2 10 2 3" xfId="15449" xr:uid="{6689767F-80EF-4A32-994F-712318DFA0BA}"/>
    <cellStyle name="Comma 4 3 2 10 3" xfId="19672" xr:uid="{B57938D7-0180-4C38-A575-957BC29C73BF}"/>
    <cellStyle name="Comma 4 3 2 10 4" xfId="11231" xr:uid="{36AD77A2-5E32-4309-8BD2-6187E54E1046}"/>
    <cellStyle name="Comma 4 3 2 11" xfId="4616" xr:uid="{00000000-0005-0000-0000-000014090000}"/>
    <cellStyle name="Comma 4 3 2 11 2" xfId="21507" xr:uid="{2DCBD50A-AFBC-4849-AC95-501E60BD5B13}"/>
    <cellStyle name="Comma 4 3 2 11 3" xfId="13066" xr:uid="{E5A2153C-6FEF-4480-83BD-BB475F6E66AE}"/>
    <cellStyle name="Comma 4 3 2 12" xfId="17289" xr:uid="{A2C81783-6A52-418D-A5CD-A701255FB08E}"/>
    <cellStyle name="Comma 4 3 2 13" xfId="8848" xr:uid="{CA9260CD-EB46-4DCC-B62E-008E537806C8}"/>
    <cellStyle name="Comma 4 3 2 2" xfId="146" xr:uid="{00000000-0005-0000-0000-000015090000}"/>
    <cellStyle name="Comma 4 3 2 2 10" xfId="4617" xr:uid="{00000000-0005-0000-0000-000016090000}"/>
    <cellStyle name="Comma 4 3 2 2 10 2" xfId="21508" xr:uid="{85416060-7B3A-47C1-A29B-A406D78D9FFD}"/>
    <cellStyle name="Comma 4 3 2 2 10 3" xfId="13067" xr:uid="{13894D71-8EE7-4F76-AF61-6A85FCCFAF75}"/>
    <cellStyle name="Comma 4 3 2 2 11" xfId="17290" xr:uid="{C174C1AC-E91C-4A27-947C-E00F52ABCB85}"/>
    <cellStyle name="Comma 4 3 2 2 12" xfId="8849" xr:uid="{A87E270E-40EF-480F-A46A-D8411B5F08B8}"/>
    <cellStyle name="Comma 4 3 2 2 2" xfId="147" xr:uid="{00000000-0005-0000-0000-000017090000}"/>
    <cellStyle name="Comma 4 3 2 2 2 10" xfId="17291" xr:uid="{E1FF88E7-4AC2-4E53-899E-D6E1B863D0C6}"/>
    <cellStyle name="Comma 4 3 2 2 2 11" xfId="8850" xr:uid="{1347ACBF-6F1E-437E-87B1-6C2DF29E359B}"/>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24068" xr:uid="{A301BDFC-D8EE-4E53-B376-9341FECDCAD8}"/>
    <cellStyle name="Comma 4 3 2 2 2 2 2 2 3" xfId="15627" xr:uid="{ACFE9AA0-C452-4AB1-950A-EF083131A85B}"/>
    <cellStyle name="Comma 4 3 2 2 2 2 2 3" xfId="19850" xr:uid="{92DDEA84-3012-49C5-8B0C-C921AE22B514}"/>
    <cellStyle name="Comma 4 3 2 2 2 2 2 4" xfId="11409" xr:uid="{F4C2BF04-3C5B-4F85-9182-57525DF9D203}"/>
    <cellStyle name="Comma 4 3 2 2 2 2 3" xfId="5032" xr:uid="{00000000-0005-0000-0000-00001B090000}"/>
    <cellStyle name="Comma 4 3 2 2 2 2 3 2" xfId="21923" xr:uid="{4FC38AC8-0916-47BA-AB42-EB07B4F8D9E2}"/>
    <cellStyle name="Comma 4 3 2 2 2 2 3 3" xfId="13482" xr:uid="{20813162-568B-42A9-98B5-435BD567E624}"/>
    <cellStyle name="Comma 4 3 2 2 2 2 4" xfId="17705" xr:uid="{65B2E4EA-2724-4D5D-9E49-C1089F30C31B}"/>
    <cellStyle name="Comma 4 3 2 2 2 2 5" xfId="9264" xr:uid="{BCC5E67E-4695-419A-BE8C-C6939A9769D0}"/>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24481" xr:uid="{A5F3C5BB-FE64-4B52-9570-FF8345D85AFD}"/>
    <cellStyle name="Comma 4 3 2 2 2 3 2 2 3" xfId="16040" xr:uid="{5216CB9D-CC71-4828-8339-9FCB1CCAF4E1}"/>
    <cellStyle name="Comma 4 3 2 2 2 3 2 3" xfId="20263" xr:uid="{772FFB27-0853-4DD9-AC90-03A45CD799B1}"/>
    <cellStyle name="Comma 4 3 2 2 2 3 2 4" xfId="11822" xr:uid="{93D6EBB6-5435-416E-9E01-1C01290B4E52}"/>
    <cellStyle name="Comma 4 3 2 2 2 3 3" xfId="5445" xr:uid="{00000000-0005-0000-0000-00001F090000}"/>
    <cellStyle name="Comma 4 3 2 2 2 3 3 2" xfId="22336" xr:uid="{607544A8-54A1-4286-8359-249201618AFE}"/>
    <cellStyle name="Comma 4 3 2 2 2 3 3 3" xfId="13895" xr:uid="{62E08E21-9AE5-432D-A055-657ECB8235E8}"/>
    <cellStyle name="Comma 4 3 2 2 2 3 4" xfId="18118" xr:uid="{CC4295A7-A365-4ECB-8040-580641C434ED}"/>
    <cellStyle name="Comma 4 3 2 2 2 3 5" xfId="9677" xr:uid="{95136C8F-6CAC-43BF-B004-6E378CEA8D14}"/>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24894" xr:uid="{05FBA196-8148-412E-819B-5FAFBE9406FA}"/>
    <cellStyle name="Comma 4 3 2 2 2 4 2 2 3" xfId="16453" xr:uid="{78BA8010-CE6C-47B1-B472-D628E5DFAF95}"/>
    <cellStyle name="Comma 4 3 2 2 2 4 2 3" xfId="20676" xr:uid="{80E8DE8A-31E1-489B-8C0A-6A03B6A34D83}"/>
    <cellStyle name="Comma 4 3 2 2 2 4 2 4" xfId="12235" xr:uid="{D3B33507-C4DF-42DF-AA8A-EF3B47701730}"/>
    <cellStyle name="Comma 4 3 2 2 2 4 3" xfId="5858" xr:uid="{00000000-0005-0000-0000-000023090000}"/>
    <cellStyle name="Comma 4 3 2 2 2 4 3 2" xfId="22749" xr:uid="{D69585E2-3358-4AE9-962E-CBBBD54F98AD}"/>
    <cellStyle name="Comma 4 3 2 2 2 4 3 3" xfId="14308" xr:uid="{DF4D4B15-FA3C-48BD-AFD9-3B38B354250F}"/>
    <cellStyle name="Comma 4 3 2 2 2 4 4" xfId="18531" xr:uid="{C50F030F-9E99-43DE-B190-D401F3FEC843}"/>
    <cellStyle name="Comma 4 3 2 2 2 4 5" xfId="10090" xr:uid="{901FCC3D-3BC7-47BC-B3FE-A4A44DAA682B}"/>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25307" xr:uid="{9397EE5A-1D8C-4863-A186-D8B0CF62F7F0}"/>
    <cellStyle name="Comma 4 3 2 2 2 5 2 2 3" xfId="16866" xr:uid="{59E061E1-0838-4504-A694-E97A32583A3F}"/>
    <cellStyle name="Comma 4 3 2 2 2 5 2 3" xfId="21089" xr:uid="{A36AA5EA-4F05-4B36-8D44-725085E21354}"/>
    <cellStyle name="Comma 4 3 2 2 2 5 2 4" xfId="12648" xr:uid="{72A0AE0D-DF7C-4522-B7EB-69D6C9D831DF}"/>
    <cellStyle name="Comma 4 3 2 2 2 5 3" xfId="6271" xr:uid="{00000000-0005-0000-0000-000027090000}"/>
    <cellStyle name="Comma 4 3 2 2 2 5 3 2" xfId="23162" xr:uid="{B629A8F2-AF5F-47F8-A751-6B4C99991B14}"/>
    <cellStyle name="Comma 4 3 2 2 2 5 3 3" xfId="14721" xr:uid="{74415144-28FD-4B1E-A7AA-4167AAC63635}"/>
    <cellStyle name="Comma 4 3 2 2 2 5 4" xfId="18944" xr:uid="{FD2056B7-244C-43DF-AF50-167008808B42}"/>
    <cellStyle name="Comma 4 3 2 2 2 5 5" xfId="10503" xr:uid="{53021E42-EFFE-44E3-A7C1-A4F7A21EB15D}"/>
    <cellStyle name="Comma 4 3 2 2 2 6" xfId="2400" xr:uid="{00000000-0005-0000-0000-000028090000}"/>
    <cellStyle name="Comma 4 3 2 2 2 6 2" xfId="6684" xr:uid="{00000000-0005-0000-0000-000029090000}"/>
    <cellStyle name="Comma 4 3 2 2 2 6 2 2" xfId="23575" xr:uid="{BFB6BB48-8407-4892-A2D4-8D458592F420}"/>
    <cellStyle name="Comma 4 3 2 2 2 6 2 3" xfId="15134" xr:uid="{1155AA0D-608F-4374-8988-5B4053E1BBBC}"/>
    <cellStyle name="Comma 4 3 2 2 2 6 3" xfId="19357" xr:uid="{FA50E82F-42F0-433F-8A85-1F38073A2AAE}"/>
    <cellStyle name="Comma 4 3 2 2 2 6 4" xfId="10916" xr:uid="{80A04A9B-CDE6-4D41-963A-9EC91659B2D9}"/>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23892" xr:uid="{351B128F-98AD-482F-AF78-E9CDD51AE730}"/>
    <cellStyle name="Comma 4 3 2 2 2 8 2 3" xfId="15451" xr:uid="{566D6788-CCC9-4E95-ADBF-5D9DCD79F7BF}"/>
    <cellStyle name="Comma 4 3 2 2 2 8 3" xfId="19674" xr:uid="{99190B37-9E7C-4A44-9E7C-43A1C7FBCDED}"/>
    <cellStyle name="Comma 4 3 2 2 2 8 4" xfId="11233" xr:uid="{833BC99D-9420-4626-A65A-F1425E0CFBCB}"/>
    <cellStyle name="Comma 4 3 2 2 2 9" xfId="4618" xr:uid="{00000000-0005-0000-0000-00002D090000}"/>
    <cellStyle name="Comma 4 3 2 2 2 9 2" xfId="21509" xr:uid="{E533A921-F24A-4AB8-AD7F-EAA2D79A4147}"/>
    <cellStyle name="Comma 4 3 2 2 2 9 3" xfId="13068" xr:uid="{C094AC4A-28BC-4AAC-ABFD-2B89FCE37876}"/>
    <cellStyle name="Comma 4 3 2 2 3" xfId="683" xr:uid="{00000000-0005-0000-0000-00002E090000}"/>
    <cellStyle name="Comma 4 3 2 2 3 2" xfId="2954" xr:uid="{00000000-0005-0000-0000-00002F090000}"/>
    <cellStyle name="Comma 4 3 2 2 3 2 2" xfId="7176" xr:uid="{00000000-0005-0000-0000-000030090000}"/>
    <cellStyle name="Comma 4 3 2 2 3 2 2 2" xfId="24067" xr:uid="{C2FEF279-D7A6-41F3-A296-BE1C035333DF}"/>
    <cellStyle name="Comma 4 3 2 2 3 2 2 3" xfId="15626" xr:uid="{93666EEC-D50C-4EC4-8E44-231F7DAF6B97}"/>
    <cellStyle name="Comma 4 3 2 2 3 2 3" xfId="19849" xr:uid="{A97ED4A7-1053-4CF5-A57D-57D2EF911832}"/>
    <cellStyle name="Comma 4 3 2 2 3 2 4" xfId="11408" xr:uid="{2874BEC1-B795-4E72-96C7-F30D97494162}"/>
    <cellStyle name="Comma 4 3 2 2 3 3" xfId="5031" xr:uid="{00000000-0005-0000-0000-000031090000}"/>
    <cellStyle name="Comma 4 3 2 2 3 3 2" xfId="21922" xr:uid="{027421CC-14C5-4089-94C5-6AAF38AFC782}"/>
    <cellStyle name="Comma 4 3 2 2 3 3 3" xfId="13481" xr:uid="{E1B51C8E-05C6-4C05-9489-656902DDC364}"/>
    <cellStyle name="Comma 4 3 2 2 3 4" xfId="17704" xr:uid="{5AAEF5CB-BB7B-45FB-BD5A-CE8C1A5F0624}"/>
    <cellStyle name="Comma 4 3 2 2 3 5" xfId="9263" xr:uid="{F132E4D7-47C4-416E-B48A-4D4D4D43230E}"/>
    <cellStyle name="Comma 4 3 2 2 4" xfId="1136" xr:uid="{00000000-0005-0000-0000-000032090000}"/>
    <cellStyle name="Comma 4 3 2 2 4 2" xfId="3367" xr:uid="{00000000-0005-0000-0000-000033090000}"/>
    <cellStyle name="Comma 4 3 2 2 4 2 2" xfId="7589" xr:uid="{00000000-0005-0000-0000-000034090000}"/>
    <cellStyle name="Comma 4 3 2 2 4 2 2 2" xfId="24480" xr:uid="{7A6566B9-2915-4BA4-9891-B8A854B51084}"/>
    <cellStyle name="Comma 4 3 2 2 4 2 2 3" xfId="16039" xr:uid="{68A47945-DE9D-45FD-B02D-707922391A13}"/>
    <cellStyle name="Comma 4 3 2 2 4 2 3" xfId="20262" xr:uid="{1EEC7DD3-8A62-4DAC-BB41-1ADCCE32D1CB}"/>
    <cellStyle name="Comma 4 3 2 2 4 2 4" xfId="11821" xr:uid="{704455C5-09A9-4B80-81D0-95357518E749}"/>
    <cellStyle name="Comma 4 3 2 2 4 3" xfId="5444" xr:uid="{00000000-0005-0000-0000-000035090000}"/>
    <cellStyle name="Comma 4 3 2 2 4 3 2" xfId="22335" xr:uid="{38B0D486-019A-4F6F-BB19-77CC990E34B6}"/>
    <cellStyle name="Comma 4 3 2 2 4 3 3" xfId="13894" xr:uid="{9FC11F6D-2036-408B-A225-6FEB4BB2ED5A}"/>
    <cellStyle name="Comma 4 3 2 2 4 4" xfId="18117" xr:uid="{7321C29D-BEA2-48A6-9FF4-F594880EED55}"/>
    <cellStyle name="Comma 4 3 2 2 4 5" xfId="9676" xr:uid="{B3B611A0-A980-455A-AF35-35261F31F421}"/>
    <cellStyle name="Comma 4 3 2 2 5" xfId="1550" xr:uid="{00000000-0005-0000-0000-000036090000}"/>
    <cellStyle name="Comma 4 3 2 2 5 2" xfId="3780" xr:uid="{00000000-0005-0000-0000-000037090000}"/>
    <cellStyle name="Comma 4 3 2 2 5 2 2" xfId="8002" xr:uid="{00000000-0005-0000-0000-000038090000}"/>
    <cellStyle name="Comma 4 3 2 2 5 2 2 2" xfId="24893" xr:uid="{7A8FFC2A-EF54-426B-87E0-EE550C1A863F}"/>
    <cellStyle name="Comma 4 3 2 2 5 2 2 3" xfId="16452" xr:uid="{B0323F99-6657-4A87-B15B-450F248B4507}"/>
    <cellStyle name="Comma 4 3 2 2 5 2 3" xfId="20675" xr:uid="{AA3DD2D0-99D4-4C32-AAAB-8A6DECD7117A}"/>
    <cellStyle name="Comma 4 3 2 2 5 2 4" xfId="12234" xr:uid="{5D2B3479-2C34-4787-A136-2D3FDEADFC3F}"/>
    <cellStyle name="Comma 4 3 2 2 5 3" xfId="5857" xr:uid="{00000000-0005-0000-0000-000039090000}"/>
    <cellStyle name="Comma 4 3 2 2 5 3 2" xfId="22748" xr:uid="{8B129A59-1DB8-44B4-84E5-B711FDE449C6}"/>
    <cellStyle name="Comma 4 3 2 2 5 3 3" xfId="14307" xr:uid="{174EDDB0-B724-448B-8D09-40172EA31E63}"/>
    <cellStyle name="Comma 4 3 2 2 5 4" xfId="18530" xr:uid="{850B10D3-BB81-4094-8390-31270A116D66}"/>
    <cellStyle name="Comma 4 3 2 2 5 5" xfId="10089" xr:uid="{BC54DE6A-E77B-4EB1-A066-8A8D6C54CA26}"/>
    <cellStyle name="Comma 4 3 2 2 6" xfId="1964" xr:uid="{00000000-0005-0000-0000-00003A090000}"/>
    <cellStyle name="Comma 4 3 2 2 6 2" xfId="4193" xr:uid="{00000000-0005-0000-0000-00003B090000}"/>
    <cellStyle name="Comma 4 3 2 2 6 2 2" xfId="8415" xr:uid="{00000000-0005-0000-0000-00003C090000}"/>
    <cellStyle name="Comma 4 3 2 2 6 2 2 2" xfId="25306" xr:uid="{526EBEBE-DA98-418C-A1C9-B033022B3EB0}"/>
    <cellStyle name="Comma 4 3 2 2 6 2 2 3" xfId="16865" xr:uid="{E12A0740-0A9C-4D28-B7D1-94DCCDCCC65C}"/>
    <cellStyle name="Comma 4 3 2 2 6 2 3" xfId="21088" xr:uid="{8D04CDBB-FCA1-4E77-8A6D-7735BDE52DA4}"/>
    <cellStyle name="Comma 4 3 2 2 6 2 4" xfId="12647" xr:uid="{4F8270DE-8F03-449D-8A01-AEEC337ED2BA}"/>
    <cellStyle name="Comma 4 3 2 2 6 3" xfId="6270" xr:uid="{00000000-0005-0000-0000-00003D090000}"/>
    <cellStyle name="Comma 4 3 2 2 6 3 2" xfId="23161" xr:uid="{D295FDB9-2F7F-4FD4-835D-8A6A281BF7A4}"/>
    <cellStyle name="Comma 4 3 2 2 6 3 3" xfId="14720" xr:uid="{49F72A0F-0D6C-4F9A-B0A3-E8F852339AA9}"/>
    <cellStyle name="Comma 4 3 2 2 6 4" xfId="18943" xr:uid="{468B3673-DDD0-4DF8-A75A-0D84D78AE7B0}"/>
    <cellStyle name="Comma 4 3 2 2 6 5" xfId="10502" xr:uid="{E98F16BA-0BBB-446A-B9F5-D0A940A8FA14}"/>
    <cellStyle name="Comma 4 3 2 2 7" xfId="2399" xr:uid="{00000000-0005-0000-0000-00003E090000}"/>
    <cellStyle name="Comma 4 3 2 2 7 2" xfId="6683" xr:uid="{00000000-0005-0000-0000-00003F090000}"/>
    <cellStyle name="Comma 4 3 2 2 7 2 2" xfId="23574" xr:uid="{F7640D74-82CD-43D2-ABFB-7C64113A3A13}"/>
    <cellStyle name="Comma 4 3 2 2 7 2 3" xfId="15133" xr:uid="{3E36404B-D15F-47B0-9367-DA11E08CCBDB}"/>
    <cellStyle name="Comma 4 3 2 2 7 3" xfId="19356" xr:uid="{568AA0BA-7D86-46A6-AA12-AE8DE702A25C}"/>
    <cellStyle name="Comma 4 3 2 2 7 4" xfId="10915" xr:uid="{8D659E08-2EAE-48FD-99A5-38F1CDDD7A28}"/>
    <cellStyle name="Comma 4 3 2 2 8" xfId="2364" xr:uid="{00000000-0005-0000-0000-000040090000}"/>
    <cellStyle name="Comma 4 3 2 2 9" xfId="2777" xr:uid="{00000000-0005-0000-0000-000041090000}"/>
    <cellStyle name="Comma 4 3 2 2 9 2" xfId="7000" xr:uid="{00000000-0005-0000-0000-000042090000}"/>
    <cellStyle name="Comma 4 3 2 2 9 2 2" xfId="23891" xr:uid="{2795422D-BBA8-45D7-AE0A-A7C73925AA5F}"/>
    <cellStyle name="Comma 4 3 2 2 9 2 3" xfId="15450" xr:uid="{46EEEEA8-313D-4EE7-9B80-C9878C686980}"/>
    <cellStyle name="Comma 4 3 2 2 9 3" xfId="19673" xr:uid="{7E29FFE2-8176-442F-8629-214ED8A7C733}"/>
    <cellStyle name="Comma 4 3 2 2 9 4" xfId="11232" xr:uid="{64F621B4-DE0B-4DBC-8016-8CA8B8CD7BC3}"/>
    <cellStyle name="Comma 4 3 2 3" xfId="148" xr:uid="{00000000-0005-0000-0000-000043090000}"/>
    <cellStyle name="Comma 4 3 2 3 10" xfId="17292" xr:uid="{77EF3480-7694-4B6A-B208-AC79F34A2AD9}"/>
    <cellStyle name="Comma 4 3 2 3 11" xfId="8851" xr:uid="{B294A7FD-FF85-4844-A24D-C9A6B6EA2F75}"/>
    <cellStyle name="Comma 4 3 2 3 2" xfId="685" xr:uid="{00000000-0005-0000-0000-000044090000}"/>
    <cellStyle name="Comma 4 3 2 3 2 2" xfId="2956" xr:uid="{00000000-0005-0000-0000-000045090000}"/>
    <cellStyle name="Comma 4 3 2 3 2 2 2" xfId="7178" xr:uid="{00000000-0005-0000-0000-000046090000}"/>
    <cellStyle name="Comma 4 3 2 3 2 2 2 2" xfId="24069" xr:uid="{8043209C-8F8D-4D8E-B3EA-AC284B84294E}"/>
    <cellStyle name="Comma 4 3 2 3 2 2 2 3" xfId="15628" xr:uid="{44FBF63C-9E33-48B5-9A97-351694B2A7F0}"/>
    <cellStyle name="Comma 4 3 2 3 2 2 3" xfId="19851" xr:uid="{6F968B46-0448-4D67-B5C5-97467CBE1BAD}"/>
    <cellStyle name="Comma 4 3 2 3 2 2 4" xfId="11410" xr:uid="{C9DFB3E1-EB67-4662-872E-2B0278A94157}"/>
    <cellStyle name="Comma 4 3 2 3 2 3" xfId="5033" xr:uid="{00000000-0005-0000-0000-000047090000}"/>
    <cellStyle name="Comma 4 3 2 3 2 3 2" xfId="21924" xr:uid="{0BE452B5-5BC6-4B7E-AD59-842794100C84}"/>
    <cellStyle name="Comma 4 3 2 3 2 3 3" xfId="13483" xr:uid="{606896F8-E60C-4B2E-AE73-9111763413B6}"/>
    <cellStyle name="Comma 4 3 2 3 2 4" xfId="17706" xr:uid="{922A6BA2-8812-412F-BDFD-C085989E810C}"/>
    <cellStyle name="Comma 4 3 2 3 2 5" xfId="9265" xr:uid="{B1F7DA36-810D-491F-AD81-EB2608668B83}"/>
    <cellStyle name="Comma 4 3 2 3 3" xfId="1138" xr:uid="{00000000-0005-0000-0000-000048090000}"/>
    <cellStyle name="Comma 4 3 2 3 3 2" xfId="3369" xr:uid="{00000000-0005-0000-0000-000049090000}"/>
    <cellStyle name="Comma 4 3 2 3 3 2 2" xfId="7591" xr:uid="{00000000-0005-0000-0000-00004A090000}"/>
    <cellStyle name="Comma 4 3 2 3 3 2 2 2" xfId="24482" xr:uid="{D73D07A9-14A4-4272-870E-E1E7C540A350}"/>
    <cellStyle name="Comma 4 3 2 3 3 2 2 3" xfId="16041" xr:uid="{D1050307-6A5E-4E23-912C-4E2D1547C3CA}"/>
    <cellStyle name="Comma 4 3 2 3 3 2 3" xfId="20264" xr:uid="{9D5CEB41-9329-4389-A4C6-6F6D8726B240}"/>
    <cellStyle name="Comma 4 3 2 3 3 2 4" xfId="11823" xr:uid="{71139112-00D6-48BC-AB97-E707EB43A9EB}"/>
    <cellStyle name="Comma 4 3 2 3 3 3" xfId="5446" xr:uid="{00000000-0005-0000-0000-00004B090000}"/>
    <cellStyle name="Comma 4 3 2 3 3 3 2" xfId="22337" xr:uid="{118654D9-9095-48BD-A4F2-0CA3F8159AC1}"/>
    <cellStyle name="Comma 4 3 2 3 3 3 3" xfId="13896" xr:uid="{05CB8345-2226-45FE-9E2F-1D81240B53BB}"/>
    <cellStyle name="Comma 4 3 2 3 3 4" xfId="18119" xr:uid="{FB8D9792-3F0C-4BEE-9F22-A70A888B03DC}"/>
    <cellStyle name="Comma 4 3 2 3 3 5" xfId="9678" xr:uid="{4800CF60-4B33-4FE6-BEEF-A003D5BF394D}"/>
    <cellStyle name="Comma 4 3 2 3 4" xfId="1552" xr:uid="{00000000-0005-0000-0000-00004C090000}"/>
    <cellStyle name="Comma 4 3 2 3 4 2" xfId="3782" xr:uid="{00000000-0005-0000-0000-00004D090000}"/>
    <cellStyle name="Comma 4 3 2 3 4 2 2" xfId="8004" xr:uid="{00000000-0005-0000-0000-00004E090000}"/>
    <cellStyle name="Comma 4 3 2 3 4 2 2 2" xfId="24895" xr:uid="{985DA812-196F-467A-97D2-B0834DD02C14}"/>
    <cellStyle name="Comma 4 3 2 3 4 2 2 3" xfId="16454" xr:uid="{C4116BC3-FE0D-43C4-8F9C-19A0F0935910}"/>
    <cellStyle name="Comma 4 3 2 3 4 2 3" xfId="20677" xr:uid="{FB9DCC71-168D-4604-BE6A-38E8A1438F47}"/>
    <cellStyle name="Comma 4 3 2 3 4 2 4" xfId="12236" xr:uid="{6C323D8C-9F87-4BD9-AF00-D7DECDA4605F}"/>
    <cellStyle name="Comma 4 3 2 3 4 3" xfId="5859" xr:uid="{00000000-0005-0000-0000-00004F090000}"/>
    <cellStyle name="Comma 4 3 2 3 4 3 2" xfId="22750" xr:uid="{2640048A-6839-46BB-828D-54A57B5F4DDC}"/>
    <cellStyle name="Comma 4 3 2 3 4 3 3" xfId="14309" xr:uid="{181984C3-5633-4418-81F0-AAE55DE0C4DE}"/>
    <cellStyle name="Comma 4 3 2 3 4 4" xfId="18532" xr:uid="{9B293387-CE65-4F75-BEA2-BC301950B18B}"/>
    <cellStyle name="Comma 4 3 2 3 4 5" xfId="10091" xr:uid="{2ABE7351-2BEE-47D0-9212-7F641C9EF113}"/>
    <cellStyle name="Comma 4 3 2 3 5" xfId="1966" xr:uid="{00000000-0005-0000-0000-000050090000}"/>
    <cellStyle name="Comma 4 3 2 3 5 2" xfId="4195" xr:uid="{00000000-0005-0000-0000-000051090000}"/>
    <cellStyle name="Comma 4 3 2 3 5 2 2" xfId="8417" xr:uid="{00000000-0005-0000-0000-000052090000}"/>
    <cellStyle name="Comma 4 3 2 3 5 2 2 2" xfId="25308" xr:uid="{0444D1EB-098A-4067-8A88-64518BBA40C6}"/>
    <cellStyle name="Comma 4 3 2 3 5 2 2 3" xfId="16867" xr:uid="{B734D6D9-781C-4D29-BFDF-F8AB6DD22670}"/>
    <cellStyle name="Comma 4 3 2 3 5 2 3" xfId="21090" xr:uid="{D47BA4A8-C72A-4BF5-B60C-4242FDBF5819}"/>
    <cellStyle name="Comma 4 3 2 3 5 2 4" xfId="12649" xr:uid="{46EEB370-FDF7-4693-A72E-E706AFE96D68}"/>
    <cellStyle name="Comma 4 3 2 3 5 3" xfId="6272" xr:uid="{00000000-0005-0000-0000-000053090000}"/>
    <cellStyle name="Comma 4 3 2 3 5 3 2" xfId="23163" xr:uid="{066AAE8A-5224-45D0-96BF-C71FE42D4C63}"/>
    <cellStyle name="Comma 4 3 2 3 5 3 3" xfId="14722" xr:uid="{00BF30AD-BA31-4D45-B3CF-8E482C655AF9}"/>
    <cellStyle name="Comma 4 3 2 3 5 4" xfId="18945" xr:uid="{E4133F32-2D9E-4257-B6BF-CE586C4A0569}"/>
    <cellStyle name="Comma 4 3 2 3 5 5" xfId="10504" xr:uid="{52407AC1-7E7C-42EF-88EE-CD8E862EE2E1}"/>
    <cellStyle name="Comma 4 3 2 3 6" xfId="2401" xr:uid="{00000000-0005-0000-0000-000054090000}"/>
    <cellStyle name="Comma 4 3 2 3 6 2" xfId="6685" xr:uid="{00000000-0005-0000-0000-000055090000}"/>
    <cellStyle name="Comma 4 3 2 3 6 2 2" xfId="23576" xr:uid="{FBD91347-CA81-49E7-85CE-3D26E47DE07D}"/>
    <cellStyle name="Comma 4 3 2 3 6 2 3" xfId="15135" xr:uid="{17F59F1C-645D-4902-A9B6-1CBA15ECE40B}"/>
    <cellStyle name="Comma 4 3 2 3 6 3" xfId="19358" xr:uid="{ACB4B220-A0DF-4C1A-B9A0-8A023992AD87}"/>
    <cellStyle name="Comma 4 3 2 3 6 4" xfId="10917" xr:uid="{1C24D3D9-941A-4AE4-8BF4-0ADDD800E715}"/>
    <cellStyle name="Comma 4 3 2 3 7" xfId="2362" xr:uid="{00000000-0005-0000-0000-000056090000}"/>
    <cellStyle name="Comma 4 3 2 3 8" xfId="2779" xr:uid="{00000000-0005-0000-0000-000057090000}"/>
    <cellStyle name="Comma 4 3 2 3 8 2" xfId="7002" xr:uid="{00000000-0005-0000-0000-000058090000}"/>
    <cellStyle name="Comma 4 3 2 3 8 2 2" xfId="23893" xr:uid="{4B7775A8-967D-4EE7-9857-4793B35963F1}"/>
    <cellStyle name="Comma 4 3 2 3 8 2 3" xfId="15452" xr:uid="{CE71E902-F71E-4E31-89AB-F0ACB64C0AD6}"/>
    <cellStyle name="Comma 4 3 2 3 8 3" xfId="19675" xr:uid="{EC296CE1-2D87-4BB8-A37E-8F36198AC2EF}"/>
    <cellStyle name="Comma 4 3 2 3 8 4" xfId="11234" xr:uid="{A2EA2426-054D-4ECE-BB7F-46F0077EBB3A}"/>
    <cellStyle name="Comma 4 3 2 3 9" xfId="4619" xr:uid="{00000000-0005-0000-0000-000059090000}"/>
    <cellStyle name="Comma 4 3 2 3 9 2" xfId="21510" xr:uid="{57AF6E0A-36A6-4060-93AE-CB404B78F8AC}"/>
    <cellStyle name="Comma 4 3 2 3 9 3" xfId="13069" xr:uid="{BBD97CC4-2464-445F-909E-0FCE06783C00}"/>
    <cellStyle name="Comma 4 3 2 4" xfId="682" xr:uid="{00000000-0005-0000-0000-00005A090000}"/>
    <cellStyle name="Comma 4 3 2 4 2" xfId="2953" xr:uid="{00000000-0005-0000-0000-00005B090000}"/>
    <cellStyle name="Comma 4 3 2 4 2 2" xfId="7175" xr:uid="{00000000-0005-0000-0000-00005C090000}"/>
    <cellStyle name="Comma 4 3 2 4 2 2 2" xfId="24066" xr:uid="{D4FF4F20-504D-4FCD-B2DB-9F4FE04CECF3}"/>
    <cellStyle name="Comma 4 3 2 4 2 2 3" xfId="15625" xr:uid="{05B41C4D-C6C4-43B8-9F7B-DB1EE756F35B}"/>
    <cellStyle name="Comma 4 3 2 4 2 3" xfId="19848" xr:uid="{F77E11FE-4A09-4EE6-AEB3-728751A217BB}"/>
    <cellStyle name="Comma 4 3 2 4 2 4" xfId="11407" xr:uid="{9424B8DD-4D40-48A4-BC90-71B45F3F5DE6}"/>
    <cellStyle name="Comma 4 3 2 4 3" xfId="5030" xr:uid="{00000000-0005-0000-0000-00005D090000}"/>
    <cellStyle name="Comma 4 3 2 4 3 2" xfId="21921" xr:uid="{DB3E0F31-F116-4EA2-8DE7-ABAA6807F727}"/>
    <cellStyle name="Comma 4 3 2 4 3 3" xfId="13480" xr:uid="{FD01211E-2A79-4FC2-A866-1738492147C7}"/>
    <cellStyle name="Comma 4 3 2 4 4" xfId="17703" xr:uid="{9B6495D9-0C0B-427A-9468-037C43CED414}"/>
    <cellStyle name="Comma 4 3 2 4 5" xfId="9262" xr:uid="{B7F341E1-7249-41A6-B7CB-2533F762F5E1}"/>
    <cellStyle name="Comma 4 3 2 5" xfId="1135" xr:uid="{00000000-0005-0000-0000-00005E090000}"/>
    <cellStyle name="Comma 4 3 2 5 2" xfId="3366" xr:uid="{00000000-0005-0000-0000-00005F090000}"/>
    <cellStyle name="Comma 4 3 2 5 2 2" xfId="7588" xr:uid="{00000000-0005-0000-0000-000060090000}"/>
    <cellStyle name="Comma 4 3 2 5 2 2 2" xfId="24479" xr:uid="{CD9831F8-0788-48E1-B924-8DC1C6F485B6}"/>
    <cellStyle name="Comma 4 3 2 5 2 2 3" xfId="16038" xr:uid="{DD98D6E3-313D-411C-88FC-791C11A1B2CE}"/>
    <cellStyle name="Comma 4 3 2 5 2 3" xfId="20261" xr:uid="{75837D38-F390-47E4-BF06-D2B1B53D3803}"/>
    <cellStyle name="Comma 4 3 2 5 2 4" xfId="11820" xr:uid="{B3D43565-D709-4D39-B421-AD4E386A75F8}"/>
    <cellStyle name="Comma 4 3 2 5 3" xfId="5443" xr:uid="{00000000-0005-0000-0000-000061090000}"/>
    <cellStyle name="Comma 4 3 2 5 3 2" xfId="22334" xr:uid="{22C215A0-CD74-46CB-AB9B-E27BFCB397D4}"/>
    <cellStyle name="Comma 4 3 2 5 3 3" xfId="13893" xr:uid="{A81DE85D-19DD-4EF0-AC7A-421AA52214F0}"/>
    <cellStyle name="Comma 4 3 2 5 4" xfId="18116" xr:uid="{CB79A531-C350-4497-BBF9-F4BCB42BA5E1}"/>
    <cellStyle name="Comma 4 3 2 5 5" xfId="9675" xr:uid="{B6CD5CC8-C549-4F1B-A52D-C2B2FE7A8792}"/>
    <cellStyle name="Comma 4 3 2 6" xfId="1549" xr:uid="{00000000-0005-0000-0000-000062090000}"/>
    <cellStyle name="Comma 4 3 2 6 2" xfId="3779" xr:uid="{00000000-0005-0000-0000-000063090000}"/>
    <cellStyle name="Comma 4 3 2 6 2 2" xfId="8001" xr:uid="{00000000-0005-0000-0000-000064090000}"/>
    <cellStyle name="Comma 4 3 2 6 2 2 2" xfId="24892" xr:uid="{72B5C025-A112-4242-9CF4-4330D2BCA1C9}"/>
    <cellStyle name="Comma 4 3 2 6 2 2 3" xfId="16451" xr:uid="{97AEB1B5-394B-42D7-B585-6358B0DCD2B2}"/>
    <cellStyle name="Comma 4 3 2 6 2 3" xfId="20674" xr:uid="{50F83977-4B64-4BCF-BBEB-F6AA62FA51A7}"/>
    <cellStyle name="Comma 4 3 2 6 2 4" xfId="12233" xr:uid="{4E3D5369-C210-487D-A6B3-CE7BD6C30B62}"/>
    <cellStyle name="Comma 4 3 2 6 3" xfId="5856" xr:uid="{00000000-0005-0000-0000-000065090000}"/>
    <cellStyle name="Comma 4 3 2 6 3 2" xfId="22747" xr:uid="{76F574FE-A1E4-42EE-B333-3212B48C41A2}"/>
    <cellStyle name="Comma 4 3 2 6 3 3" xfId="14306" xr:uid="{F2350494-FE13-44DD-BA8D-7FFB6A323D5F}"/>
    <cellStyle name="Comma 4 3 2 6 4" xfId="18529" xr:uid="{F1016B4A-BC76-4089-B79B-B5AB36D0028B}"/>
    <cellStyle name="Comma 4 3 2 6 5" xfId="10088" xr:uid="{D7D1F888-26DB-4E34-B66E-8040C8AF5478}"/>
    <cellStyle name="Comma 4 3 2 7" xfId="1963" xr:uid="{00000000-0005-0000-0000-000066090000}"/>
    <cellStyle name="Comma 4 3 2 7 2" xfId="4192" xr:uid="{00000000-0005-0000-0000-000067090000}"/>
    <cellStyle name="Comma 4 3 2 7 2 2" xfId="8414" xr:uid="{00000000-0005-0000-0000-000068090000}"/>
    <cellStyle name="Comma 4 3 2 7 2 2 2" xfId="25305" xr:uid="{3D8CADBF-8554-42B6-93BE-35901E6A4E90}"/>
    <cellStyle name="Comma 4 3 2 7 2 2 3" xfId="16864" xr:uid="{BF8234EB-7413-4166-A935-3EFA9E60076E}"/>
    <cellStyle name="Comma 4 3 2 7 2 3" xfId="21087" xr:uid="{A082DC34-EA76-4D30-92B2-B567A975DC27}"/>
    <cellStyle name="Comma 4 3 2 7 2 4" xfId="12646" xr:uid="{1A6B14E3-27FB-4F1F-8099-18BAFBA50DEA}"/>
    <cellStyle name="Comma 4 3 2 7 3" xfId="6269" xr:uid="{00000000-0005-0000-0000-000069090000}"/>
    <cellStyle name="Comma 4 3 2 7 3 2" xfId="23160" xr:uid="{58F1CDE5-1E3B-4FF8-A150-620DFF41B08F}"/>
    <cellStyle name="Comma 4 3 2 7 3 3" xfId="14719" xr:uid="{22F994C9-05FC-43C3-BC43-5E66FAC4DDD1}"/>
    <cellStyle name="Comma 4 3 2 7 4" xfId="18942" xr:uid="{8015654F-F8A1-4B05-9FF8-66C72D342C69}"/>
    <cellStyle name="Comma 4 3 2 7 5" xfId="10501" xr:uid="{2303FF84-9392-4A0D-A65B-0BAD583424D1}"/>
    <cellStyle name="Comma 4 3 2 8" xfId="2398" xr:uid="{00000000-0005-0000-0000-00006A090000}"/>
    <cellStyle name="Comma 4 3 2 8 2" xfId="6682" xr:uid="{00000000-0005-0000-0000-00006B090000}"/>
    <cellStyle name="Comma 4 3 2 8 2 2" xfId="23573" xr:uid="{7EF02F2A-AD42-4F67-AE4D-5651B50E6E26}"/>
    <cellStyle name="Comma 4 3 2 8 2 3" xfId="15132" xr:uid="{16AE712A-2D2B-4083-9462-F47820B04876}"/>
    <cellStyle name="Comma 4 3 2 8 3" xfId="19355" xr:uid="{F383022F-9E28-42FF-9C92-E8885B75B4D0}"/>
    <cellStyle name="Comma 4 3 2 8 4" xfId="10914" xr:uid="{89C4FB19-87A8-4C21-8790-02EC5F888B76}"/>
    <cellStyle name="Comma 4 3 2 9" xfId="2365" xr:uid="{00000000-0005-0000-0000-00006C090000}"/>
    <cellStyle name="Comma 4 3 3" xfId="149" xr:uid="{00000000-0005-0000-0000-00006D090000}"/>
    <cellStyle name="Comma 4 3 3 10" xfId="4620" xr:uid="{00000000-0005-0000-0000-00006E090000}"/>
    <cellStyle name="Comma 4 3 3 10 2" xfId="21511" xr:uid="{0409F682-A478-46A6-BB97-1FD651402D65}"/>
    <cellStyle name="Comma 4 3 3 10 3" xfId="13070" xr:uid="{79F4EE47-1F00-4E1B-B989-06CC978DE363}"/>
    <cellStyle name="Comma 4 3 3 11" xfId="17293" xr:uid="{4E59EE99-BE12-4112-BCB2-77776D475804}"/>
    <cellStyle name="Comma 4 3 3 12" xfId="8852" xr:uid="{B22285CB-A074-4727-BC34-A1B65B40379E}"/>
    <cellStyle name="Comma 4 3 3 2" xfId="150" xr:uid="{00000000-0005-0000-0000-00006F090000}"/>
    <cellStyle name="Comma 4 3 3 2 10" xfId="17294" xr:uid="{6D262061-3AB2-4D0F-9363-32597206E5A2}"/>
    <cellStyle name="Comma 4 3 3 2 11" xfId="8853" xr:uid="{1F9DF2BD-BCDD-4920-A9CA-C5271BA4542A}"/>
    <cellStyle name="Comma 4 3 3 2 2" xfId="687" xr:uid="{00000000-0005-0000-0000-000070090000}"/>
    <cellStyle name="Comma 4 3 3 2 2 2" xfId="2958" xr:uid="{00000000-0005-0000-0000-000071090000}"/>
    <cellStyle name="Comma 4 3 3 2 2 2 2" xfId="7180" xr:uid="{00000000-0005-0000-0000-000072090000}"/>
    <cellStyle name="Comma 4 3 3 2 2 2 2 2" xfId="24071" xr:uid="{68EE1351-23EF-40EB-AEBA-5A6EA05A1354}"/>
    <cellStyle name="Comma 4 3 3 2 2 2 2 3" xfId="15630" xr:uid="{FABA5F6F-1140-434E-95C0-217D7A130F67}"/>
    <cellStyle name="Comma 4 3 3 2 2 2 3" xfId="19853" xr:uid="{990757BA-9078-4DCE-AC81-C5E8E52208CC}"/>
    <cellStyle name="Comma 4 3 3 2 2 2 4" xfId="11412" xr:uid="{167141A2-6327-4B89-865F-9E973E934D0F}"/>
    <cellStyle name="Comma 4 3 3 2 2 3" xfId="5035" xr:uid="{00000000-0005-0000-0000-000073090000}"/>
    <cellStyle name="Comma 4 3 3 2 2 3 2" xfId="21926" xr:uid="{28F6157B-3EC5-4329-95DD-457187BFCBF1}"/>
    <cellStyle name="Comma 4 3 3 2 2 3 3" xfId="13485" xr:uid="{A0DF5E18-0BDD-4AFE-A4A4-9EFEC85360D9}"/>
    <cellStyle name="Comma 4 3 3 2 2 4" xfId="17708" xr:uid="{48002B4D-0B5C-468F-B863-10C10DB8F621}"/>
    <cellStyle name="Comma 4 3 3 2 2 5" xfId="9267" xr:uid="{C8FE1B3D-5DC6-4EFF-8DED-00870BBA60BE}"/>
    <cellStyle name="Comma 4 3 3 2 3" xfId="1140" xr:uid="{00000000-0005-0000-0000-000074090000}"/>
    <cellStyle name="Comma 4 3 3 2 3 2" xfId="3371" xr:uid="{00000000-0005-0000-0000-000075090000}"/>
    <cellStyle name="Comma 4 3 3 2 3 2 2" xfId="7593" xr:uid="{00000000-0005-0000-0000-000076090000}"/>
    <cellStyle name="Comma 4 3 3 2 3 2 2 2" xfId="24484" xr:uid="{DF8F4C3E-75B2-46DC-B2E8-5247C096160A}"/>
    <cellStyle name="Comma 4 3 3 2 3 2 2 3" xfId="16043" xr:uid="{D5E9FCF6-E680-4C32-86D2-7088327C5684}"/>
    <cellStyle name="Comma 4 3 3 2 3 2 3" xfId="20266" xr:uid="{AC5A567B-BFFC-465E-843F-2E24047A1B39}"/>
    <cellStyle name="Comma 4 3 3 2 3 2 4" xfId="11825" xr:uid="{1BBA0EDB-B8D3-40C8-9E02-AE8B9A622CCF}"/>
    <cellStyle name="Comma 4 3 3 2 3 3" xfId="5448" xr:uid="{00000000-0005-0000-0000-000077090000}"/>
    <cellStyle name="Comma 4 3 3 2 3 3 2" xfId="22339" xr:uid="{4E805CA8-BC22-424A-9499-22DB6671762B}"/>
    <cellStyle name="Comma 4 3 3 2 3 3 3" xfId="13898" xr:uid="{5B912B3E-BEB8-4B75-95F7-C889B8478F24}"/>
    <cellStyle name="Comma 4 3 3 2 3 4" xfId="18121" xr:uid="{BC19017F-808B-4685-97E3-62927A655806}"/>
    <cellStyle name="Comma 4 3 3 2 3 5" xfId="9680" xr:uid="{13CFCA04-4041-4E70-B9AC-BA90BDC7D86E}"/>
    <cellStyle name="Comma 4 3 3 2 4" xfId="1554" xr:uid="{00000000-0005-0000-0000-000078090000}"/>
    <cellStyle name="Comma 4 3 3 2 4 2" xfId="3784" xr:uid="{00000000-0005-0000-0000-000079090000}"/>
    <cellStyle name="Comma 4 3 3 2 4 2 2" xfId="8006" xr:uid="{00000000-0005-0000-0000-00007A090000}"/>
    <cellStyle name="Comma 4 3 3 2 4 2 2 2" xfId="24897" xr:uid="{14862150-1695-41A4-AA30-21D71B20BE04}"/>
    <cellStyle name="Comma 4 3 3 2 4 2 2 3" xfId="16456" xr:uid="{1ADA3682-9C5E-4AFA-BB85-6F9BCEA44551}"/>
    <cellStyle name="Comma 4 3 3 2 4 2 3" xfId="20679" xr:uid="{EC648AC6-C437-4B03-89E6-C306827C463B}"/>
    <cellStyle name="Comma 4 3 3 2 4 2 4" xfId="12238" xr:uid="{BA1353BB-4D16-4C79-B36C-56BAFAF86ADF}"/>
    <cellStyle name="Comma 4 3 3 2 4 3" xfId="5861" xr:uid="{00000000-0005-0000-0000-00007B090000}"/>
    <cellStyle name="Comma 4 3 3 2 4 3 2" xfId="22752" xr:uid="{88434215-A2B1-49C6-9D87-38FAD93E7326}"/>
    <cellStyle name="Comma 4 3 3 2 4 3 3" xfId="14311" xr:uid="{A17D8529-7BAA-47C6-B7B1-7889B49FAEEA}"/>
    <cellStyle name="Comma 4 3 3 2 4 4" xfId="18534" xr:uid="{10930CC7-635B-404E-94FD-974288E94351}"/>
    <cellStyle name="Comma 4 3 3 2 4 5" xfId="10093" xr:uid="{DDB5FAA8-1DD5-45B1-AC4C-7D862599CD83}"/>
    <cellStyle name="Comma 4 3 3 2 5" xfId="1968" xr:uid="{00000000-0005-0000-0000-00007C090000}"/>
    <cellStyle name="Comma 4 3 3 2 5 2" xfId="4197" xr:uid="{00000000-0005-0000-0000-00007D090000}"/>
    <cellStyle name="Comma 4 3 3 2 5 2 2" xfId="8419" xr:uid="{00000000-0005-0000-0000-00007E090000}"/>
    <cellStyle name="Comma 4 3 3 2 5 2 2 2" xfId="25310" xr:uid="{9BC53A83-4637-4E82-95A9-1228843A5679}"/>
    <cellStyle name="Comma 4 3 3 2 5 2 2 3" xfId="16869" xr:uid="{921D0FD6-0B92-4CFA-9372-5BDB76DD2DEA}"/>
    <cellStyle name="Comma 4 3 3 2 5 2 3" xfId="21092" xr:uid="{906FC0D3-E42D-469C-A3A4-B63726C1FFBA}"/>
    <cellStyle name="Comma 4 3 3 2 5 2 4" xfId="12651" xr:uid="{29370415-A6B8-4F23-B2CC-968BE4EA4058}"/>
    <cellStyle name="Comma 4 3 3 2 5 3" xfId="6274" xr:uid="{00000000-0005-0000-0000-00007F090000}"/>
    <cellStyle name="Comma 4 3 3 2 5 3 2" xfId="23165" xr:uid="{A028B657-E315-422B-9A7E-814DAC1EEEFD}"/>
    <cellStyle name="Comma 4 3 3 2 5 3 3" xfId="14724" xr:uid="{AB41E8DD-6CE5-4991-8859-3806E17C2F6A}"/>
    <cellStyle name="Comma 4 3 3 2 5 4" xfId="18947" xr:uid="{47CB588F-871D-462E-B106-B189A6C2D561}"/>
    <cellStyle name="Comma 4 3 3 2 5 5" xfId="10506" xr:uid="{3C5A5FCE-E24A-4F7F-A9F2-229C447B3E7D}"/>
    <cellStyle name="Comma 4 3 3 2 6" xfId="2403" xr:uid="{00000000-0005-0000-0000-000080090000}"/>
    <cellStyle name="Comma 4 3 3 2 6 2" xfId="6687" xr:uid="{00000000-0005-0000-0000-000081090000}"/>
    <cellStyle name="Comma 4 3 3 2 6 2 2" xfId="23578" xr:uid="{91EEB3BF-DF9C-4F3D-B6B5-8349AF6C21C4}"/>
    <cellStyle name="Comma 4 3 3 2 6 2 3" xfId="15137" xr:uid="{36A71619-B74D-4BD4-9756-02B18104FECA}"/>
    <cellStyle name="Comma 4 3 3 2 6 3" xfId="19360" xr:uid="{3E7A0031-7539-42E2-8627-B09B06972AF2}"/>
    <cellStyle name="Comma 4 3 3 2 6 4" xfId="10919" xr:uid="{3D3B50C4-7A64-4F81-8BE4-ED38ED64E340}"/>
    <cellStyle name="Comma 4 3 3 2 7" xfId="2360" xr:uid="{00000000-0005-0000-0000-000082090000}"/>
    <cellStyle name="Comma 4 3 3 2 8" xfId="2781" xr:uid="{00000000-0005-0000-0000-000083090000}"/>
    <cellStyle name="Comma 4 3 3 2 8 2" xfId="7004" xr:uid="{00000000-0005-0000-0000-000084090000}"/>
    <cellStyle name="Comma 4 3 3 2 8 2 2" xfId="23895" xr:uid="{5A7F6D5C-F94E-4A95-A157-4CBB7F092A81}"/>
    <cellStyle name="Comma 4 3 3 2 8 2 3" xfId="15454" xr:uid="{A95E18BB-ECED-446D-9B09-71F8B8600624}"/>
    <cellStyle name="Comma 4 3 3 2 8 3" xfId="19677" xr:uid="{C13D3ACC-A81B-40FB-ACE2-78BBF030A90B}"/>
    <cellStyle name="Comma 4 3 3 2 8 4" xfId="11236" xr:uid="{2E24AD1B-2F60-45F4-90DA-29BC87A218F1}"/>
    <cellStyle name="Comma 4 3 3 2 9" xfId="4621" xr:uid="{00000000-0005-0000-0000-000085090000}"/>
    <cellStyle name="Comma 4 3 3 2 9 2" xfId="21512" xr:uid="{A75DC6A1-FE03-4117-A021-BE90C8008BE8}"/>
    <cellStyle name="Comma 4 3 3 2 9 3" xfId="13071" xr:uid="{25EA9D50-86C3-41EE-BB32-22E86A1715B7}"/>
    <cellStyle name="Comma 4 3 3 3" xfId="686" xr:uid="{00000000-0005-0000-0000-000086090000}"/>
    <cellStyle name="Comma 4 3 3 3 2" xfId="2957" xr:uid="{00000000-0005-0000-0000-000087090000}"/>
    <cellStyle name="Comma 4 3 3 3 2 2" xfId="7179" xr:uid="{00000000-0005-0000-0000-000088090000}"/>
    <cellStyle name="Comma 4 3 3 3 2 2 2" xfId="24070" xr:uid="{69B7A819-17CE-4007-A878-C7ECC0184354}"/>
    <cellStyle name="Comma 4 3 3 3 2 2 3" xfId="15629" xr:uid="{95AC5D82-C7CD-4BCE-A61F-6DB9230D7527}"/>
    <cellStyle name="Comma 4 3 3 3 2 3" xfId="19852" xr:uid="{596062AE-8633-443B-981E-E58ABA9FD687}"/>
    <cellStyle name="Comma 4 3 3 3 2 4" xfId="11411" xr:uid="{EED6209D-653F-41F9-B368-98B88840CFC9}"/>
    <cellStyle name="Comma 4 3 3 3 3" xfId="5034" xr:uid="{00000000-0005-0000-0000-000089090000}"/>
    <cellStyle name="Comma 4 3 3 3 3 2" xfId="21925" xr:uid="{72650738-D462-4AF8-BBA1-A71087824523}"/>
    <cellStyle name="Comma 4 3 3 3 3 3" xfId="13484" xr:uid="{224C85FC-1D4D-4459-A553-87BA96C9A884}"/>
    <cellStyle name="Comma 4 3 3 3 4" xfId="17707" xr:uid="{4BA312DA-0D34-45EE-882F-409123D47C6A}"/>
    <cellStyle name="Comma 4 3 3 3 5" xfId="9266" xr:uid="{6C5391C7-71F6-4612-886D-F6DA386CA2AB}"/>
    <cellStyle name="Comma 4 3 3 4" xfId="1139" xr:uid="{00000000-0005-0000-0000-00008A090000}"/>
    <cellStyle name="Comma 4 3 3 4 2" xfId="3370" xr:uid="{00000000-0005-0000-0000-00008B090000}"/>
    <cellStyle name="Comma 4 3 3 4 2 2" xfId="7592" xr:uid="{00000000-0005-0000-0000-00008C090000}"/>
    <cellStyle name="Comma 4 3 3 4 2 2 2" xfId="24483" xr:uid="{F546D0D5-AA94-49F3-9ECC-B9421C33C90D}"/>
    <cellStyle name="Comma 4 3 3 4 2 2 3" xfId="16042" xr:uid="{71A19914-BA0F-49F0-A493-AAB766CE9BBC}"/>
    <cellStyle name="Comma 4 3 3 4 2 3" xfId="20265" xr:uid="{F4104767-D16A-4BC1-A260-22968982792E}"/>
    <cellStyle name="Comma 4 3 3 4 2 4" xfId="11824" xr:uid="{41E0D7CD-E2D2-46AE-9690-6C97A4D31809}"/>
    <cellStyle name="Comma 4 3 3 4 3" xfId="5447" xr:uid="{00000000-0005-0000-0000-00008D090000}"/>
    <cellStyle name="Comma 4 3 3 4 3 2" xfId="22338" xr:uid="{FEFA5BDF-AD2A-494B-91C0-4099883646B7}"/>
    <cellStyle name="Comma 4 3 3 4 3 3" xfId="13897" xr:uid="{24118336-D663-45C4-8429-440DC9EF8815}"/>
    <cellStyle name="Comma 4 3 3 4 4" xfId="18120" xr:uid="{ADDB5DB1-EE48-4783-9F7B-6C1339B35D9C}"/>
    <cellStyle name="Comma 4 3 3 4 5" xfId="9679" xr:uid="{F27FF2D0-0639-4894-8C2A-BE0E4BE4C0EC}"/>
    <cellStyle name="Comma 4 3 3 5" xfId="1553" xr:uid="{00000000-0005-0000-0000-00008E090000}"/>
    <cellStyle name="Comma 4 3 3 5 2" xfId="3783" xr:uid="{00000000-0005-0000-0000-00008F090000}"/>
    <cellStyle name="Comma 4 3 3 5 2 2" xfId="8005" xr:uid="{00000000-0005-0000-0000-000090090000}"/>
    <cellStyle name="Comma 4 3 3 5 2 2 2" xfId="24896" xr:uid="{A932BC2D-E971-476E-98EC-B6ADA7496FCF}"/>
    <cellStyle name="Comma 4 3 3 5 2 2 3" xfId="16455" xr:uid="{8FECCBC8-EF18-4029-8E26-4EC5DCBD22C7}"/>
    <cellStyle name="Comma 4 3 3 5 2 3" xfId="20678" xr:uid="{39F13CF9-B9B9-44D2-A268-8DF9D657C42A}"/>
    <cellStyle name="Comma 4 3 3 5 2 4" xfId="12237" xr:uid="{391CF1B2-B454-40E2-A9DE-9CAB8CB8FB9F}"/>
    <cellStyle name="Comma 4 3 3 5 3" xfId="5860" xr:uid="{00000000-0005-0000-0000-000091090000}"/>
    <cellStyle name="Comma 4 3 3 5 3 2" xfId="22751" xr:uid="{10405875-231D-48A1-ADAC-38CD2CB9D20C}"/>
    <cellStyle name="Comma 4 3 3 5 3 3" xfId="14310" xr:uid="{11CCC9ED-EE3D-486A-9A6E-0EEA7758ACC1}"/>
    <cellStyle name="Comma 4 3 3 5 4" xfId="18533" xr:uid="{A580D984-EB1D-4546-87C7-A23B4BBA28C4}"/>
    <cellStyle name="Comma 4 3 3 5 5" xfId="10092" xr:uid="{E935D738-C89B-4740-84A8-A93525EA409E}"/>
    <cellStyle name="Comma 4 3 3 6" xfId="1967" xr:uid="{00000000-0005-0000-0000-000092090000}"/>
    <cellStyle name="Comma 4 3 3 6 2" xfId="4196" xr:uid="{00000000-0005-0000-0000-000093090000}"/>
    <cellStyle name="Comma 4 3 3 6 2 2" xfId="8418" xr:uid="{00000000-0005-0000-0000-000094090000}"/>
    <cellStyle name="Comma 4 3 3 6 2 2 2" xfId="25309" xr:uid="{1EB11C8A-3499-4F97-A918-47EAE7C82502}"/>
    <cellStyle name="Comma 4 3 3 6 2 2 3" xfId="16868" xr:uid="{F88E688F-FFDB-4A42-B729-0C3E120B6AD4}"/>
    <cellStyle name="Comma 4 3 3 6 2 3" xfId="21091" xr:uid="{11F9698C-93FF-4CAA-A688-F62A063CA147}"/>
    <cellStyle name="Comma 4 3 3 6 2 4" xfId="12650" xr:uid="{884777EB-5362-4309-9B4C-41C96055B8A1}"/>
    <cellStyle name="Comma 4 3 3 6 3" xfId="6273" xr:uid="{00000000-0005-0000-0000-000095090000}"/>
    <cellStyle name="Comma 4 3 3 6 3 2" xfId="23164" xr:uid="{D9CD87D4-4B76-43E0-8065-8D4F54E54676}"/>
    <cellStyle name="Comma 4 3 3 6 3 3" xfId="14723" xr:uid="{3B65E0E5-9BA1-4EBC-9B59-22EC0587F4B1}"/>
    <cellStyle name="Comma 4 3 3 6 4" xfId="18946" xr:uid="{099BADA7-7DB5-467E-A040-BC1A7253B56A}"/>
    <cellStyle name="Comma 4 3 3 6 5" xfId="10505" xr:uid="{ECA21753-4435-4EC1-8614-E6BA489AB8EF}"/>
    <cellStyle name="Comma 4 3 3 7" xfId="2402" xr:uid="{00000000-0005-0000-0000-000096090000}"/>
    <cellStyle name="Comma 4 3 3 7 2" xfId="6686" xr:uid="{00000000-0005-0000-0000-000097090000}"/>
    <cellStyle name="Comma 4 3 3 7 2 2" xfId="23577" xr:uid="{4329FFCE-72E1-4A77-ADC5-7D2189EFE707}"/>
    <cellStyle name="Comma 4 3 3 7 2 3" xfId="15136" xr:uid="{1177628A-1B9D-4F5C-B927-158482ECB13A}"/>
    <cellStyle name="Comma 4 3 3 7 3" xfId="19359" xr:uid="{1A900ABB-B329-4BB1-9DAA-8A87ACF77B1A}"/>
    <cellStyle name="Comma 4 3 3 7 4" xfId="10918" xr:uid="{016CB8C7-DC58-4227-A9D4-B24609974A40}"/>
    <cellStyle name="Comma 4 3 3 8" xfId="2361" xr:uid="{00000000-0005-0000-0000-000098090000}"/>
    <cellStyle name="Comma 4 3 3 9" xfId="2780" xr:uid="{00000000-0005-0000-0000-000099090000}"/>
    <cellStyle name="Comma 4 3 3 9 2" xfId="7003" xr:uid="{00000000-0005-0000-0000-00009A090000}"/>
    <cellStyle name="Comma 4 3 3 9 2 2" xfId="23894" xr:uid="{49FCB221-86EB-499C-ADC5-F35107E9B4B6}"/>
    <cellStyle name="Comma 4 3 3 9 2 3" xfId="15453" xr:uid="{D2425358-F2BF-48ED-900F-C7E0E02642D7}"/>
    <cellStyle name="Comma 4 3 3 9 3" xfId="19676" xr:uid="{0657928F-D544-403D-8B00-A2DC40B79E69}"/>
    <cellStyle name="Comma 4 3 3 9 4" xfId="11235" xr:uid="{9CA2149D-B3DA-4575-BEEB-A19DD7212AA9}"/>
    <cellStyle name="Comma 4 3 4" xfId="151" xr:uid="{00000000-0005-0000-0000-00009B090000}"/>
    <cellStyle name="Comma 4 3 4 10" xfId="17295" xr:uid="{4133A189-8206-46E8-8908-7FACF6A0063A}"/>
    <cellStyle name="Comma 4 3 4 11" xfId="8854" xr:uid="{6F6DF57D-16B1-485B-809B-56AD7C2C27D1}"/>
    <cellStyle name="Comma 4 3 4 2" xfId="688" xr:uid="{00000000-0005-0000-0000-00009C090000}"/>
    <cellStyle name="Comma 4 3 4 2 2" xfId="2959" xr:uid="{00000000-0005-0000-0000-00009D090000}"/>
    <cellStyle name="Comma 4 3 4 2 2 2" xfId="7181" xr:uid="{00000000-0005-0000-0000-00009E090000}"/>
    <cellStyle name="Comma 4 3 4 2 2 2 2" xfId="24072" xr:uid="{0CF13FB1-297B-4D9D-BAC7-B04E2A64E64F}"/>
    <cellStyle name="Comma 4 3 4 2 2 2 3" xfId="15631" xr:uid="{4D14D39F-125D-4EC1-B0A5-0B1DD9BE936F}"/>
    <cellStyle name="Comma 4 3 4 2 2 3" xfId="19854" xr:uid="{40054FD5-4E9F-47A3-8CE4-4387346F1C83}"/>
    <cellStyle name="Comma 4 3 4 2 2 4" xfId="11413" xr:uid="{3B80BE82-2D90-498C-89B3-B06AEDB1BC7F}"/>
    <cellStyle name="Comma 4 3 4 2 3" xfId="5036" xr:uid="{00000000-0005-0000-0000-00009F090000}"/>
    <cellStyle name="Comma 4 3 4 2 3 2" xfId="21927" xr:uid="{4DAADFA0-102A-4D87-9F22-11C6467FBFBD}"/>
    <cellStyle name="Comma 4 3 4 2 3 3" xfId="13486" xr:uid="{66A6F4B9-BC7A-46FA-BDEA-850F52B7289C}"/>
    <cellStyle name="Comma 4 3 4 2 4" xfId="17709" xr:uid="{E79DD3D8-FFA6-45A1-AAF5-C3E95581DF3F}"/>
    <cellStyle name="Comma 4 3 4 2 5" xfId="9268" xr:uid="{B5F227FA-89C2-493B-8E1A-018E546FA4C2}"/>
    <cellStyle name="Comma 4 3 4 3" xfId="1141" xr:uid="{00000000-0005-0000-0000-0000A0090000}"/>
    <cellStyle name="Comma 4 3 4 3 2" xfId="3372" xr:uid="{00000000-0005-0000-0000-0000A1090000}"/>
    <cellStyle name="Comma 4 3 4 3 2 2" xfId="7594" xr:uid="{00000000-0005-0000-0000-0000A2090000}"/>
    <cellStyle name="Comma 4 3 4 3 2 2 2" xfId="24485" xr:uid="{4C6E916B-742D-41E4-BA47-C038459A75C0}"/>
    <cellStyle name="Comma 4 3 4 3 2 2 3" xfId="16044" xr:uid="{89F224C9-6BDE-47EB-B170-16EBC42C0857}"/>
    <cellStyle name="Comma 4 3 4 3 2 3" xfId="20267" xr:uid="{88F75EDD-DE06-413D-B3F1-F75CEE20FF3E}"/>
    <cellStyle name="Comma 4 3 4 3 2 4" xfId="11826" xr:uid="{7CF1FEE5-AF2D-415B-ACF5-1E5F86FE9932}"/>
    <cellStyle name="Comma 4 3 4 3 3" xfId="5449" xr:uid="{00000000-0005-0000-0000-0000A3090000}"/>
    <cellStyle name="Comma 4 3 4 3 3 2" xfId="22340" xr:uid="{FD066799-2361-47C1-83F6-B9F410CAA163}"/>
    <cellStyle name="Comma 4 3 4 3 3 3" xfId="13899" xr:uid="{5B4D9E44-01E7-4DC6-97B1-70C9276E6EFE}"/>
    <cellStyle name="Comma 4 3 4 3 4" xfId="18122" xr:uid="{5C7B2F3A-42B8-4C41-8C98-0A887AEBCC7E}"/>
    <cellStyle name="Comma 4 3 4 3 5" xfId="9681" xr:uid="{F0221BD0-4745-49A0-9CF3-887E4F2CC4B2}"/>
    <cellStyle name="Comma 4 3 4 4" xfId="1555" xr:uid="{00000000-0005-0000-0000-0000A4090000}"/>
    <cellStyle name="Comma 4 3 4 4 2" xfId="3785" xr:uid="{00000000-0005-0000-0000-0000A5090000}"/>
    <cellStyle name="Comma 4 3 4 4 2 2" xfId="8007" xr:uid="{00000000-0005-0000-0000-0000A6090000}"/>
    <cellStyle name="Comma 4 3 4 4 2 2 2" xfId="24898" xr:uid="{36D25BE7-C2FD-4B90-AEFD-300CEB91F44F}"/>
    <cellStyle name="Comma 4 3 4 4 2 2 3" xfId="16457" xr:uid="{5231A269-C9EE-463F-85A3-54AF22FBF4FF}"/>
    <cellStyle name="Comma 4 3 4 4 2 3" xfId="20680" xr:uid="{9466CCB1-CA6D-461B-AC8F-2E76F206B40E}"/>
    <cellStyle name="Comma 4 3 4 4 2 4" xfId="12239" xr:uid="{76DA9619-D6E9-4B48-AC29-2E124483A49C}"/>
    <cellStyle name="Comma 4 3 4 4 3" xfId="5862" xr:uid="{00000000-0005-0000-0000-0000A7090000}"/>
    <cellStyle name="Comma 4 3 4 4 3 2" xfId="22753" xr:uid="{CEE881F4-DF10-4621-BC04-921898BF2981}"/>
    <cellStyle name="Comma 4 3 4 4 3 3" xfId="14312" xr:uid="{D27D0D0D-83E5-42CF-8069-6FEF4EE7F02D}"/>
    <cellStyle name="Comma 4 3 4 4 4" xfId="18535" xr:uid="{3E5447A5-5349-4F78-849E-5677CB49B96D}"/>
    <cellStyle name="Comma 4 3 4 4 5" xfId="10094" xr:uid="{67F7389E-15A5-4CB3-AAA0-BE57911C1D06}"/>
    <cellStyle name="Comma 4 3 4 5" xfId="1969" xr:uid="{00000000-0005-0000-0000-0000A8090000}"/>
    <cellStyle name="Comma 4 3 4 5 2" xfId="4198" xr:uid="{00000000-0005-0000-0000-0000A9090000}"/>
    <cellStyle name="Comma 4 3 4 5 2 2" xfId="8420" xr:uid="{00000000-0005-0000-0000-0000AA090000}"/>
    <cellStyle name="Comma 4 3 4 5 2 2 2" xfId="25311" xr:uid="{7101A5E3-7CF3-419B-A5EE-B4199A162376}"/>
    <cellStyle name="Comma 4 3 4 5 2 2 3" xfId="16870" xr:uid="{091F9564-291D-472A-96D6-5C43A8DB93A5}"/>
    <cellStyle name="Comma 4 3 4 5 2 3" xfId="21093" xr:uid="{373A81D9-69D5-4ADA-84BA-0D2BF3681AFC}"/>
    <cellStyle name="Comma 4 3 4 5 2 4" xfId="12652" xr:uid="{74A2598E-EBD3-4A21-A5F7-E81BEA2238C9}"/>
    <cellStyle name="Comma 4 3 4 5 3" xfId="6275" xr:uid="{00000000-0005-0000-0000-0000AB090000}"/>
    <cellStyle name="Comma 4 3 4 5 3 2" xfId="23166" xr:uid="{FCC42348-BB4C-490E-9313-9051CC66F917}"/>
    <cellStyle name="Comma 4 3 4 5 3 3" xfId="14725" xr:uid="{6F26B260-B3F4-4550-A4AB-73614B63F5EB}"/>
    <cellStyle name="Comma 4 3 4 5 4" xfId="18948" xr:uid="{BA588D70-995E-4559-BD4B-3B8D70C3B092}"/>
    <cellStyle name="Comma 4 3 4 5 5" xfId="10507" xr:uid="{170040B1-00A1-44FA-9968-DE6A60C985F9}"/>
    <cellStyle name="Comma 4 3 4 6" xfId="2404" xr:uid="{00000000-0005-0000-0000-0000AC090000}"/>
    <cellStyle name="Comma 4 3 4 6 2" xfId="6688" xr:uid="{00000000-0005-0000-0000-0000AD090000}"/>
    <cellStyle name="Comma 4 3 4 6 2 2" xfId="23579" xr:uid="{B8459CCB-833A-4A6E-8A90-7F77F54854F9}"/>
    <cellStyle name="Comma 4 3 4 6 2 3" xfId="15138" xr:uid="{F8CEEF60-421A-4990-A5A2-43480A2CA255}"/>
    <cellStyle name="Comma 4 3 4 6 3" xfId="19361" xr:uid="{9BBB796B-D132-426F-86B3-120373C3976E}"/>
    <cellStyle name="Comma 4 3 4 6 4" xfId="10920" xr:uid="{215F2823-2395-4DCD-B31C-1288E2A89D1C}"/>
    <cellStyle name="Comma 4 3 4 7" xfId="2700" xr:uid="{00000000-0005-0000-0000-0000AE090000}"/>
    <cellStyle name="Comma 4 3 4 8" xfId="2782" xr:uid="{00000000-0005-0000-0000-0000AF090000}"/>
    <cellStyle name="Comma 4 3 4 8 2" xfId="7005" xr:uid="{00000000-0005-0000-0000-0000B0090000}"/>
    <cellStyle name="Comma 4 3 4 8 2 2" xfId="23896" xr:uid="{5264FACA-BB79-4933-9CE2-EBB63943C292}"/>
    <cellStyle name="Comma 4 3 4 8 2 3" xfId="15455" xr:uid="{0DEE5A70-FD73-4F8A-9FAD-7BC615EDF087}"/>
    <cellStyle name="Comma 4 3 4 8 3" xfId="19678" xr:uid="{07B7C848-60B0-47C0-8CDB-42955766B907}"/>
    <cellStyle name="Comma 4 3 4 8 4" xfId="11237" xr:uid="{8111A759-0D4C-4ABC-9FA1-600CCD102F38}"/>
    <cellStyle name="Comma 4 3 4 9" xfId="4622" xr:uid="{00000000-0005-0000-0000-0000B1090000}"/>
    <cellStyle name="Comma 4 3 4 9 2" xfId="21513" xr:uid="{E3554868-940C-4F5F-9BE8-29DF2C9AD2A1}"/>
    <cellStyle name="Comma 4 3 4 9 3" xfId="13072" xr:uid="{69C7933E-8E95-4FC3-BA38-60835BE3BC39}"/>
    <cellStyle name="Comma 4 3 5" xfId="152" xr:uid="{00000000-0005-0000-0000-0000B2090000}"/>
    <cellStyle name="Comma 4 3 5 10" xfId="17296" xr:uid="{66E904A5-EABA-4B1F-BB9E-465A291EEE89}"/>
    <cellStyle name="Comma 4 3 5 11" xfId="8855" xr:uid="{11163A7B-1186-4CAC-8235-43CBBA58E618}"/>
    <cellStyle name="Comma 4 3 5 2" xfId="689" xr:uid="{00000000-0005-0000-0000-0000B3090000}"/>
    <cellStyle name="Comma 4 3 5 2 2" xfId="2960" xr:uid="{00000000-0005-0000-0000-0000B4090000}"/>
    <cellStyle name="Comma 4 3 5 2 2 2" xfId="7182" xr:uid="{00000000-0005-0000-0000-0000B5090000}"/>
    <cellStyle name="Comma 4 3 5 2 2 2 2" xfId="24073" xr:uid="{75C672C1-05F4-40D9-9B27-E0DE43C40B00}"/>
    <cellStyle name="Comma 4 3 5 2 2 2 3" xfId="15632" xr:uid="{05D0E547-EECD-4C2D-8C1D-A3BA5B4AF712}"/>
    <cellStyle name="Comma 4 3 5 2 2 3" xfId="19855" xr:uid="{8AE9A2B8-3F2C-407B-9FA0-16CB4080746D}"/>
    <cellStyle name="Comma 4 3 5 2 2 4" xfId="11414" xr:uid="{AB53F22C-5B28-44C1-90C8-DD612BBA4079}"/>
    <cellStyle name="Comma 4 3 5 2 3" xfId="5037" xr:uid="{00000000-0005-0000-0000-0000B6090000}"/>
    <cellStyle name="Comma 4 3 5 2 3 2" xfId="21928" xr:uid="{A49320C7-8142-4AAE-8C02-B3359AAEDE40}"/>
    <cellStyle name="Comma 4 3 5 2 3 3" xfId="13487" xr:uid="{115E9278-5233-43E7-AF8E-D19EFADA7AF4}"/>
    <cellStyle name="Comma 4 3 5 2 4" xfId="17710" xr:uid="{19D049D4-E842-4783-834D-BFC5B7B00D5F}"/>
    <cellStyle name="Comma 4 3 5 2 5" xfId="9269" xr:uid="{A1B2BFE0-F005-476A-847D-9593619A0859}"/>
    <cellStyle name="Comma 4 3 5 3" xfId="1142" xr:uid="{00000000-0005-0000-0000-0000B7090000}"/>
    <cellStyle name="Comma 4 3 5 3 2" xfId="3373" xr:uid="{00000000-0005-0000-0000-0000B8090000}"/>
    <cellStyle name="Comma 4 3 5 3 2 2" xfId="7595" xr:uid="{00000000-0005-0000-0000-0000B9090000}"/>
    <cellStyle name="Comma 4 3 5 3 2 2 2" xfId="24486" xr:uid="{2F033598-9829-4BFE-B97E-6CE7F353D66A}"/>
    <cellStyle name="Comma 4 3 5 3 2 2 3" xfId="16045" xr:uid="{A2E22069-42A9-476B-B2EC-663B447AC010}"/>
    <cellStyle name="Comma 4 3 5 3 2 3" xfId="20268" xr:uid="{036722A6-9C54-4136-83D7-AA0F16505641}"/>
    <cellStyle name="Comma 4 3 5 3 2 4" xfId="11827" xr:uid="{22308248-0CBE-49FB-BF35-E25D680D3D3B}"/>
    <cellStyle name="Comma 4 3 5 3 3" xfId="5450" xr:uid="{00000000-0005-0000-0000-0000BA090000}"/>
    <cellStyle name="Comma 4 3 5 3 3 2" xfId="22341" xr:uid="{CADAF999-2D5D-4882-9620-B2D4B1BA9574}"/>
    <cellStyle name="Comma 4 3 5 3 3 3" xfId="13900" xr:uid="{DF6719EF-BB42-4167-84B5-73AD9B3F1313}"/>
    <cellStyle name="Comma 4 3 5 3 4" xfId="18123" xr:uid="{0928D07F-DB21-4043-97B8-43F9163BFBD9}"/>
    <cellStyle name="Comma 4 3 5 3 5" xfId="9682" xr:uid="{B541B122-A11E-43B9-BFFC-8FCCDBD0E1BF}"/>
    <cellStyle name="Comma 4 3 5 4" xfId="1556" xr:uid="{00000000-0005-0000-0000-0000BB090000}"/>
    <cellStyle name="Comma 4 3 5 4 2" xfId="3786" xr:uid="{00000000-0005-0000-0000-0000BC090000}"/>
    <cellStyle name="Comma 4 3 5 4 2 2" xfId="8008" xr:uid="{00000000-0005-0000-0000-0000BD090000}"/>
    <cellStyle name="Comma 4 3 5 4 2 2 2" xfId="24899" xr:uid="{85407FE9-A1C4-4A49-ADD3-15C21A56EAA6}"/>
    <cellStyle name="Comma 4 3 5 4 2 2 3" xfId="16458" xr:uid="{0AB2ED9C-FA71-4714-A535-4FAADC83E126}"/>
    <cellStyle name="Comma 4 3 5 4 2 3" xfId="20681" xr:uid="{B5E1F3BB-EB94-4FAE-8343-D7A3D8D0E537}"/>
    <cellStyle name="Comma 4 3 5 4 2 4" xfId="12240" xr:uid="{1BF99E36-5D8B-475E-AF38-2FB673F81D0B}"/>
    <cellStyle name="Comma 4 3 5 4 3" xfId="5863" xr:uid="{00000000-0005-0000-0000-0000BE090000}"/>
    <cellStyle name="Comma 4 3 5 4 3 2" xfId="22754" xr:uid="{40C4BD8D-8258-4155-9592-39D858691803}"/>
    <cellStyle name="Comma 4 3 5 4 3 3" xfId="14313" xr:uid="{B474C85B-1CDB-4613-89EE-33635AA0ACCD}"/>
    <cellStyle name="Comma 4 3 5 4 4" xfId="18536" xr:uid="{BE62677C-67AE-43BA-A29E-B497F0D054C6}"/>
    <cellStyle name="Comma 4 3 5 4 5" xfId="10095" xr:uid="{B4C46916-FEBB-4A51-9ABD-4A00FC737B46}"/>
    <cellStyle name="Comma 4 3 5 5" xfId="1970" xr:uid="{00000000-0005-0000-0000-0000BF090000}"/>
    <cellStyle name="Comma 4 3 5 5 2" xfId="4199" xr:uid="{00000000-0005-0000-0000-0000C0090000}"/>
    <cellStyle name="Comma 4 3 5 5 2 2" xfId="8421" xr:uid="{00000000-0005-0000-0000-0000C1090000}"/>
    <cellStyle name="Comma 4 3 5 5 2 2 2" xfId="25312" xr:uid="{B5D76B55-4129-46CF-A7EC-C561E46CF9B5}"/>
    <cellStyle name="Comma 4 3 5 5 2 2 3" xfId="16871" xr:uid="{8905BFB7-58C2-417B-AA11-515B61B5718A}"/>
    <cellStyle name="Comma 4 3 5 5 2 3" xfId="21094" xr:uid="{F863313B-EDC0-487D-9C33-AE48383B8BB7}"/>
    <cellStyle name="Comma 4 3 5 5 2 4" xfId="12653" xr:uid="{61EAF502-0879-48D2-AD7E-1D2B4C858088}"/>
    <cellStyle name="Comma 4 3 5 5 3" xfId="6276" xr:uid="{00000000-0005-0000-0000-0000C2090000}"/>
    <cellStyle name="Comma 4 3 5 5 3 2" xfId="23167" xr:uid="{B9F1DE16-5F8E-418E-ACE6-0A53B58985B3}"/>
    <cellStyle name="Comma 4 3 5 5 3 3" xfId="14726" xr:uid="{D4A8C2A6-9007-4A21-9C4C-526B6377D6AE}"/>
    <cellStyle name="Comma 4 3 5 5 4" xfId="18949" xr:uid="{2E00DFE5-B008-43C7-A573-A051A3834540}"/>
    <cellStyle name="Comma 4 3 5 5 5" xfId="10508" xr:uid="{F2350EB4-E1AE-42A9-9F62-94AA8FCA0764}"/>
    <cellStyle name="Comma 4 3 5 6" xfId="2405" xr:uid="{00000000-0005-0000-0000-0000C3090000}"/>
    <cellStyle name="Comma 4 3 5 6 2" xfId="6689" xr:uid="{00000000-0005-0000-0000-0000C4090000}"/>
    <cellStyle name="Comma 4 3 5 6 2 2" xfId="23580" xr:uid="{22027F0B-68A0-462B-B424-217ED02E534F}"/>
    <cellStyle name="Comma 4 3 5 6 2 3" xfId="15139" xr:uid="{32B62D93-DE1F-49B0-8D93-56DE9BDA7D75}"/>
    <cellStyle name="Comma 4 3 5 6 3" xfId="19362" xr:uid="{401329B6-1A1C-440C-A1DD-325203820F74}"/>
    <cellStyle name="Comma 4 3 5 6 4" xfId="10921" xr:uid="{86491128-A502-4803-B7EF-CC9A58EA7286}"/>
    <cellStyle name="Comma 4 3 5 7" xfId="2701" xr:uid="{00000000-0005-0000-0000-0000C5090000}"/>
    <cellStyle name="Comma 4 3 5 8" xfId="2783" xr:uid="{00000000-0005-0000-0000-0000C6090000}"/>
    <cellStyle name="Comma 4 3 5 8 2" xfId="7006" xr:uid="{00000000-0005-0000-0000-0000C7090000}"/>
    <cellStyle name="Comma 4 3 5 8 2 2" xfId="23897" xr:uid="{36B0DB9B-9B78-4C16-A12F-F4C38DA59891}"/>
    <cellStyle name="Comma 4 3 5 8 2 3" xfId="15456" xr:uid="{EAB217FA-D772-4F29-81A0-7CA1876529F9}"/>
    <cellStyle name="Comma 4 3 5 8 3" xfId="19679" xr:uid="{E4970D06-6DEE-436B-80E0-67ED0E421A67}"/>
    <cellStyle name="Comma 4 3 5 8 4" xfId="11238" xr:uid="{C13B5946-6A21-4844-8FDB-F83E47A93D7D}"/>
    <cellStyle name="Comma 4 3 5 9" xfId="4623" xr:uid="{00000000-0005-0000-0000-0000C8090000}"/>
    <cellStyle name="Comma 4 3 5 9 2" xfId="21514" xr:uid="{361EBB09-A1CB-4690-B6CA-CC7D42418C4C}"/>
    <cellStyle name="Comma 4 3 5 9 3" xfId="13073" xr:uid="{D017DCAC-5655-4452-875A-CA46BF660B13}"/>
    <cellStyle name="Comma 4 4" xfId="153" xr:uid="{00000000-0005-0000-0000-0000C9090000}"/>
    <cellStyle name="Comma 4 4 10" xfId="2784" xr:uid="{00000000-0005-0000-0000-0000CA090000}"/>
    <cellStyle name="Comma 4 4 10 2" xfId="7007" xr:uid="{00000000-0005-0000-0000-0000CB090000}"/>
    <cellStyle name="Comma 4 4 10 2 2" xfId="23898" xr:uid="{0F3367D4-223C-4D5E-82AC-9C6685AD0CF9}"/>
    <cellStyle name="Comma 4 4 10 2 3" xfId="15457" xr:uid="{F56A2EDD-13B5-4397-92ED-83FF86D41A4F}"/>
    <cellStyle name="Comma 4 4 10 3" xfId="19680" xr:uid="{4C38D881-4E2E-41D6-9444-DDFF3B5D99E7}"/>
    <cellStyle name="Comma 4 4 10 4" xfId="11239" xr:uid="{02DB6B95-B6F1-42E8-841C-2667BF7817F0}"/>
    <cellStyle name="Comma 4 4 11" xfId="4624" xr:uid="{00000000-0005-0000-0000-0000CC090000}"/>
    <cellStyle name="Comma 4 4 11 2" xfId="21515" xr:uid="{634F54E6-C93B-4EB3-9A33-C8E125BC9BF9}"/>
    <cellStyle name="Comma 4 4 11 3" xfId="13074" xr:uid="{FEA7A5BD-5D74-4FDA-9DF6-D31974E37253}"/>
    <cellStyle name="Comma 4 4 12" xfId="17297" xr:uid="{31DF172C-A064-49B8-8CE5-D0D82808D201}"/>
    <cellStyle name="Comma 4 4 13" xfId="8856" xr:uid="{3E7278A0-63ED-444F-91C1-339E5C755930}"/>
    <cellStyle name="Comma 4 4 2" xfId="154" xr:uid="{00000000-0005-0000-0000-0000CD090000}"/>
    <cellStyle name="Comma 4 4 2 10" xfId="4625" xr:uid="{00000000-0005-0000-0000-0000CE090000}"/>
    <cellStyle name="Comma 4 4 2 10 2" xfId="21516" xr:uid="{F15E1043-0291-4E2A-8227-C361F63DA8B0}"/>
    <cellStyle name="Comma 4 4 2 10 3" xfId="13075" xr:uid="{9A0BA96C-9FF7-469A-B18C-BBFDA12E80AA}"/>
    <cellStyle name="Comma 4 4 2 11" xfId="17298" xr:uid="{F759A74E-FD04-436F-BEB8-003C5C7A278A}"/>
    <cellStyle name="Comma 4 4 2 12" xfId="8857" xr:uid="{C3B8C6E0-F114-497F-ADC2-D7D49DD87541}"/>
    <cellStyle name="Comma 4 4 2 2" xfId="155" xr:uid="{00000000-0005-0000-0000-0000CF090000}"/>
    <cellStyle name="Comma 4 4 2 2 10" xfId="17299" xr:uid="{1B76F7A0-4C5D-462E-A99A-10D076DE5E7F}"/>
    <cellStyle name="Comma 4 4 2 2 11" xfId="8858" xr:uid="{23575EF1-BBBE-4951-9DA5-D9077B5216B6}"/>
    <cellStyle name="Comma 4 4 2 2 2" xfId="692" xr:uid="{00000000-0005-0000-0000-0000D0090000}"/>
    <cellStyle name="Comma 4 4 2 2 2 2" xfId="2963" xr:uid="{00000000-0005-0000-0000-0000D1090000}"/>
    <cellStyle name="Comma 4 4 2 2 2 2 2" xfId="7185" xr:uid="{00000000-0005-0000-0000-0000D2090000}"/>
    <cellStyle name="Comma 4 4 2 2 2 2 2 2" xfId="24076" xr:uid="{BA5AA82D-663A-4117-A7EC-7A4E82BB11BB}"/>
    <cellStyle name="Comma 4 4 2 2 2 2 2 3" xfId="15635" xr:uid="{DEA07880-DE3F-427A-B9E9-5A2E433B4088}"/>
    <cellStyle name="Comma 4 4 2 2 2 2 3" xfId="19858" xr:uid="{C704EF0E-46EF-41A6-80E5-493330105710}"/>
    <cellStyle name="Comma 4 4 2 2 2 2 4" xfId="11417" xr:uid="{B751D49E-FC4D-4DF8-BA59-1776B313DDC9}"/>
    <cellStyle name="Comma 4 4 2 2 2 3" xfId="5040" xr:uid="{00000000-0005-0000-0000-0000D3090000}"/>
    <cellStyle name="Comma 4 4 2 2 2 3 2" xfId="21931" xr:uid="{502A1D2F-2E1E-44B7-B17E-D67BC5120ED2}"/>
    <cellStyle name="Comma 4 4 2 2 2 3 3" xfId="13490" xr:uid="{AB677A75-D3AB-470B-96F0-4DAF3EB65C1C}"/>
    <cellStyle name="Comma 4 4 2 2 2 4" xfId="17713" xr:uid="{B254972F-1638-4E2A-9E4F-81950717557C}"/>
    <cellStyle name="Comma 4 4 2 2 2 5" xfId="9272" xr:uid="{9AFFF714-3090-4989-B7FB-9BDC59BF9566}"/>
    <cellStyle name="Comma 4 4 2 2 3" xfId="1145" xr:uid="{00000000-0005-0000-0000-0000D4090000}"/>
    <cellStyle name="Comma 4 4 2 2 3 2" xfId="3376" xr:uid="{00000000-0005-0000-0000-0000D5090000}"/>
    <cellStyle name="Comma 4 4 2 2 3 2 2" xfId="7598" xr:uid="{00000000-0005-0000-0000-0000D6090000}"/>
    <cellStyle name="Comma 4 4 2 2 3 2 2 2" xfId="24489" xr:uid="{3BBC098D-52E2-4584-B8F0-993614C3E210}"/>
    <cellStyle name="Comma 4 4 2 2 3 2 2 3" xfId="16048" xr:uid="{7348777D-3204-4AB4-9DAA-EE1055C13EC1}"/>
    <cellStyle name="Comma 4 4 2 2 3 2 3" xfId="20271" xr:uid="{752EF756-3B8F-456A-9784-6F78447C7635}"/>
    <cellStyle name="Comma 4 4 2 2 3 2 4" xfId="11830" xr:uid="{47D14B7A-5C7B-473F-9A51-1B9096410B23}"/>
    <cellStyle name="Comma 4 4 2 2 3 3" xfId="5453" xr:uid="{00000000-0005-0000-0000-0000D7090000}"/>
    <cellStyle name="Comma 4 4 2 2 3 3 2" xfId="22344" xr:uid="{FA4C1512-A627-485D-9FDA-8E7197446761}"/>
    <cellStyle name="Comma 4 4 2 2 3 3 3" xfId="13903" xr:uid="{F11272B3-6917-4F97-9F0A-5597023F31E0}"/>
    <cellStyle name="Comma 4 4 2 2 3 4" xfId="18126" xr:uid="{2CD48762-76C8-45DA-BEE2-601D63D9121E}"/>
    <cellStyle name="Comma 4 4 2 2 3 5" xfId="9685" xr:uid="{16DA0350-52A6-4F6D-81D6-1789631B839A}"/>
    <cellStyle name="Comma 4 4 2 2 4" xfId="1559" xr:uid="{00000000-0005-0000-0000-0000D8090000}"/>
    <cellStyle name="Comma 4 4 2 2 4 2" xfId="3789" xr:uid="{00000000-0005-0000-0000-0000D9090000}"/>
    <cellStyle name="Comma 4 4 2 2 4 2 2" xfId="8011" xr:uid="{00000000-0005-0000-0000-0000DA090000}"/>
    <cellStyle name="Comma 4 4 2 2 4 2 2 2" xfId="24902" xr:uid="{FEBEC837-92EB-4CAB-B6CB-ED607C575CCF}"/>
    <cellStyle name="Comma 4 4 2 2 4 2 2 3" xfId="16461" xr:uid="{139F88B7-C9EA-4105-9200-19AB8B710EB2}"/>
    <cellStyle name="Comma 4 4 2 2 4 2 3" xfId="20684" xr:uid="{2C3F069A-3FF0-4B8E-9EB4-0482E641D69E}"/>
    <cellStyle name="Comma 4 4 2 2 4 2 4" xfId="12243" xr:uid="{94B8CE98-7540-4C9E-B87C-F160F24F9E6C}"/>
    <cellStyle name="Comma 4 4 2 2 4 3" xfId="5866" xr:uid="{00000000-0005-0000-0000-0000DB090000}"/>
    <cellStyle name="Comma 4 4 2 2 4 3 2" xfId="22757" xr:uid="{919D9CFF-A2B7-4AE8-830C-B398FB1BD125}"/>
    <cellStyle name="Comma 4 4 2 2 4 3 3" xfId="14316" xr:uid="{9A7A0B06-8EEF-4602-B2B2-29C5189A2FAE}"/>
    <cellStyle name="Comma 4 4 2 2 4 4" xfId="18539" xr:uid="{18CA5F5F-1B59-4A3B-A62C-87A439C4805F}"/>
    <cellStyle name="Comma 4 4 2 2 4 5" xfId="10098" xr:uid="{00C2DFB3-7EFA-44D1-98BD-E9405D9E08DE}"/>
    <cellStyle name="Comma 4 4 2 2 5" xfId="1973" xr:uid="{00000000-0005-0000-0000-0000DC090000}"/>
    <cellStyle name="Comma 4 4 2 2 5 2" xfId="4202" xr:uid="{00000000-0005-0000-0000-0000DD090000}"/>
    <cellStyle name="Comma 4 4 2 2 5 2 2" xfId="8424" xr:uid="{00000000-0005-0000-0000-0000DE090000}"/>
    <cellStyle name="Comma 4 4 2 2 5 2 2 2" xfId="25315" xr:uid="{07B65F4A-F163-4DE8-A6C5-1D4FF1FF7D0A}"/>
    <cellStyle name="Comma 4 4 2 2 5 2 2 3" xfId="16874" xr:uid="{3741C787-4025-4D55-A237-09FB84E10F70}"/>
    <cellStyle name="Comma 4 4 2 2 5 2 3" xfId="21097" xr:uid="{46F9CECB-7F7C-4DF5-9A82-044414431964}"/>
    <cellStyle name="Comma 4 4 2 2 5 2 4" xfId="12656" xr:uid="{8F85366A-8E19-4DC9-80B9-BC9E1CD716C5}"/>
    <cellStyle name="Comma 4 4 2 2 5 3" xfId="6279" xr:uid="{00000000-0005-0000-0000-0000DF090000}"/>
    <cellStyle name="Comma 4 4 2 2 5 3 2" xfId="23170" xr:uid="{C0597B76-FD15-4115-AE77-975BFD7BA307}"/>
    <cellStyle name="Comma 4 4 2 2 5 3 3" xfId="14729" xr:uid="{C638D907-09DF-4024-BBD5-6D484E5C002E}"/>
    <cellStyle name="Comma 4 4 2 2 5 4" xfId="18952" xr:uid="{B0F65464-81BA-40E9-A49A-DDD2568141C3}"/>
    <cellStyle name="Comma 4 4 2 2 5 5" xfId="10511" xr:uid="{0B2A317E-7EBD-4273-A889-CB2E35B0D629}"/>
    <cellStyle name="Comma 4 4 2 2 6" xfId="2408" xr:uid="{00000000-0005-0000-0000-0000E0090000}"/>
    <cellStyle name="Comma 4 4 2 2 6 2" xfId="6692" xr:uid="{00000000-0005-0000-0000-0000E1090000}"/>
    <cellStyle name="Comma 4 4 2 2 6 2 2" xfId="23583" xr:uid="{BBCD1D6E-CDB5-442C-B179-E138C44F2D6A}"/>
    <cellStyle name="Comma 4 4 2 2 6 2 3" xfId="15142" xr:uid="{C2FCEDFB-CCF0-4515-A0E9-71A3BE2209AD}"/>
    <cellStyle name="Comma 4 4 2 2 6 3" xfId="19365" xr:uid="{5EBBC9AF-0E14-4B54-B2BE-7A58B363E70C}"/>
    <cellStyle name="Comma 4 4 2 2 6 4" xfId="10924" xr:uid="{1405CEB1-37C9-40EE-98B5-52460970FB0C}"/>
    <cellStyle name="Comma 4 4 2 2 7" xfId="2704" xr:uid="{00000000-0005-0000-0000-0000E2090000}"/>
    <cellStyle name="Comma 4 4 2 2 8" xfId="2786" xr:uid="{00000000-0005-0000-0000-0000E3090000}"/>
    <cellStyle name="Comma 4 4 2 2 8 2" xfId="7009" xr:uid="{00000000-0005-0000-0000-0000E4090000}"/>
    <cellStyle name="Comma 4 4 2 2 8 2 2" xfId="23900" xr:uid="{3F487B93-25F9-4EB9-9B53-95E77477C415}"/>
    <cellStyle name="Comma 4 4 2 2 8 2 3" xfId="15459" xr:uid="{66A0030B-5FCC-4631-B0C1-49475D8639DC}"/>
    <cellStyle name="Comma 4 4 2 2 8 3" xfId="19682" xr:uid="{EE1354E1-AB50-48E1-99AA-5CA5A90162FA}"/>
    <cellStyle name="Comma 4 4 2 2 8 4" xfId="11241" xr:uid="{F1BCB052-6D53-4B5E-97F5-5DF25295C734}"/>
    <cellStyle name="Comma 4 4 2 2 9" xfId="4626" xr:uid="{00000000-0005-0000-0000-0000E5090000}"/>
    <cellStyle name="Comma 4 4 2 2 9 2" xfId="21517" xr:uid="{90E70DFF-7425-48D6-AA02-20276D9DDEED}"/>
    <cellStyle name="Comma 4 4 2 2 9 3" xfId="13076" xr:uid="{A2FC62B9-7194-4DE3-A428-B8D9A65630C4}"/>
    <cellStyle name="Comma 4 4 2 3" xfId="691" xr:uid="{00000000-0005-0000-0000-0000E6090000}"/>
    <cellStyle name="Comma 4 4 2 3 2" xfId="2962" xr:uid="{00000000-0005-0000-0000-0000E7090000}"/>
    <cellStyle name="Comma 4 4 2 3 2 2" xfId="7184" xr:uid="{00000000-0005-0000-0000-0000E8090000}"/>
    <cellStyle name="Comma 4 4 2 3 2 2 2" xfId="24075" xr:uid="{4546352D-06C1-4746-9833-A24F2E35CC78}"/>
    <cellStyle name="Comma 4 4 2 3 2 2 3" xfId="15634" xr:uid="{CE85B800-5BA5-4AEB-A586-33E348D6FEAF}"/>
    <cellStyle name="Comma 4 4 2 3 2 3" xfId="19857" xr:uid="{646D1A1E-5B85-4ECC-862B-654991739FE7}"/>
    <cellStyle name="Comma 4 4 2 3 2 4" xfId="11416" xr:uid="{5CDAEC42-FA81-452B-8EC6-B355E144B5EC}"/>
    <cellStyle name="Comma 4 4 2 3 3" xfId="5039" xr:uid="{00000000-0005-0000-0000-0000E9090000}"/>
    <cellStyle name="Comma 4 4 2 3 3 2" xfId="21930" xr:uid="{68947FBC-1B1F-49CB-8F60-57DE264A75A1}"/>
    <cellStyle name="Comma 4 4 2 3 3 3" xfId="13489" xr:uid="{F48E1B41-3AF4-4934-8DC0-BC61AE31D9F2}"/>
    <cellStyle name="Comma 4 4 2 3 4" xfId="17712" xr:uid="{33761974-CB65-480E-BDB1-B7D855F396DD}"/>
    <cellStyle name="Comma 4 4 2 3 5" xfId="9271" xr:uid="{237A15B2-10F0-4088-8D17-3C71F33FC9C5}"/>
    <cellStyle name="Comma 4 4 2 4" xfId="1144" xr:uid="{00000000-0005-0000-0000-0000EA090000}"/>
    <cellStyle name="Comma 4 4 2 4 2" xfId="3375" xr:uid="{00000000-0005-0000-0000-0000EB090000}"/>
    <cellStyle name="Comma 4 4 2 4 2 2" xfId="7597" xr:uid="{00000000-0005-0000-0000-0000EC090000}"/>
    <cellStyle name="Comma 4 4 2 4 2 2 2" xfId="24488" xr:uid="{C27624B7-F78E-4DE8-8F52-8C75F3EC81DA}"/>
    <cellStyle name="Comma 4 4 2 4 2 2 3" xfId="16047" xr:uid="{2CEBE79D-1869-4129-A22C-B201BC948057}"/>
    <cellStyle name="Comma 4 4 2 4 2 3" xfId="20270" xr:uid="{95F43CC6-B1A0-454F-B979-D83908E9E85E}"/>
    <cellStyle name="Comma 4 4 2 4 2 4" xfId="11829" xr:uid="{E856CDF9-B157-4BBF-B7F7-ACECCE7F7876}"/>
    <cellStyle name="Comma 4 4 2 4 3" xfId="5452" xr:uid="{00000000-0005-0000-0000-0000ED090000}"/>
    <cellStyle name="Comma 4 4 2 4 3 2" xfId="22343" xr:uid="{179458A5-0FBC-4CDC-868C-DD3AF1DD0060}"/>
    <cellStyle name="Comma 4 4 2 4 3 3" xfId="13902" xr:uid="{3603F800-4563-4CB8-9A66-40A2E5F97929}"/>
    <cellStyle name="Comma 4 4 2 4 4" xfId="18125" xr:uid="{765D36A3-ACE6-4E04-ADC5-53F8C90D4C62}"/>
    <cellStyle name="Comma 4 4 2 4 5" xfId="9684" xr:uid="{26A674C7-D9DF-434F-90DF-CF4C6DAAE74F}"/>
    <cellStyle name="Comma 4 4 2 5" xfId="1558" xr:uid="{00000000-0005-0000-0000-0000EE090000}"/>
    <cellStyle name="Comma 4 4 2 5 2" xfId="3788" xr:uid="{00000000-0005-0000-0000-0000EF090000}"/>
    <cellStyle name="Comma 4 4 2 5 2 2" xfId="8010" xr:uid="{00000000-0005-0000-0000-0000F0090000}"/>
    <cellStyle name="Comma 4 4 2 5 2 2 2" xfId="24901" xr:uid="{F158995E-800C-4538-8B25-EEEF8ECA86E8}"/>
    <cellStyle name="Comma 4 4 2 5 2 2 3" xfId="16460" xr:uid="{86592108-0189-4355-9F02-7D7EA9CCAA75}"/>
    <cellStyle name="Comma 4 4 2 5 2 3" xfId="20683" xr:uid="{48407695-2D19-4DA8-B30C-D7540493E5E7}"/>
    <cellStyle name="Comma 4 4 2 5 2 4" xfId="12242" xr:uid="{F645CDFA-51C1-491B-9A1D-5711D1ED4296}"/>
    <cellStyle name="Comma 4 4 2 5 3" xfId="5865" xr:uid="{00000000-0005-0000-0000-0000F1090000}"/>
    <cellStyle name="Comma 4 4 2 5 3 2" xfId="22756" xr:uid="{8E3311BF-C1FC-41C3-BFF5-DB8AFFF62FEB}"/>
    <cellStyle name="Comma 4 4 2 5 3 3" xfId="14315" xr:uid="{5DD7F5B9-4578-4802-A298-7E6D01435427}"/>
    <cellStyle name="Comma 4 4 2 5 4" xfId="18538" xr:uid="{1A751E46-F673-4286-8DDF-149D184CD6E2}"/>
    <cellStyle name="Comma 4 4 2 5 5" xfId="10097" xr:uid="{AD521AE9-6735-4274-A4AA-C2E6882473A2}"/>
    <cellStyle name="Comma 4 4 2 6" xfId="1972" xr:uid="{00000000-0005-0000-0000-0000F2090000}"/>
    <cellStyle name="Comma 4 4 2 6 2" xfId="4201" xr:uid="{00000000-0005-0000-0000-0000F3090000}"/>
    <cellStyle name="Comma 4 4 2 6 2 2" xfId="8423" xr:uid="{00000000-0005-0000-0000-0000F4090000}"/>
    <cellStyle name="Comma 4 4 2 6 2 2 2" xfId="25314" xr:uid="{139951B1-9C60-451B-B97E-AA9F7AF7FADA}"/>
    <cellStyle name="Comma 4 4 2 6 2 2 3" xfId="16873" xr:uid="{64D0923E-2CC8-478B-BC0F-4DF6972ECB30}"/>
    <cellStyle name="Comma 4 4 2 6 2 3" xfId="21096" xr:uid="{17623BEC-ECF6-4ECA-A7F4-865657F477E3}"/>
    <cellStyle name="Comma 4 4 2 6 2 4" xfId="12655" xr:uid="{6538D4F1-E925-45D2-AAC5-572092575225}"/>
    <cellStyle name="Comma 4 4 2 6 3" xfId="6278" xr:uid="{00000000-0005-0000-0000-0000F5090000}"/>
    <cellStyle name="Comma 4 4 2 6 3 2" xfId="23169" xr:uid="{9534B9B2-F1FF-41FA-A2EE-B2E4A820594B}"/>
    <cellStyle name="Comma 4 4 2 6 3 3" xfId="14728" xr:uid="{36224D74-A355-4F9F-9FF7-BC9BFE4B0B75}"/>
    <cellStyle name="Comma 4 4 2 6 4" xfId="18951" xr:uid="{4CBF550C-6D40-4476-8A24-69E87A457A6C}"/>
    <cellStyle name="Comma 4 4 2 6 5" xfId="10510" xr:uid="{45611B9E-A716-435D-A18A-A9B59E9F2DE9}"/>
    <cellStyle name="Comma 4 4 2 7" xfId="2407" xr:uid="{00000000-0005-0000-0000-0000F6090000}"/>
    <cellStyle name="Comma 4 4 2 7 2" xfId="6691" xr:uid="{00000000-0005-0000-0000-0000F7090000}"/>
    <cellStyle name="Comma 4 4 2 7 2 2" xfId="23582" xr:uid="{3E5E6DB0-80F9-4202-BDE0-ACD1C8C8B4C6}"/>
    <cellStyle name="Comma 4 4 2 7 2 3" xfId="15141" xr:uid="{066ADC3F-6C1A-4D3E-802A-0306B1CA04F6}"/>
    <cellStyle name="Comma 4 4 2 7 3" xfId="19364" xr:uid="{FBE4DFE7-37FC-4867-A1AC-361BB2F758D7}"/>
    <cellStyle name="Comma 4 4 2 7 4" xfId="10923" xr:uid="{9BD7BE5F-2DA0-42BF-AD14-3A4CFC07DC7F}"/>
    <cellStyle name="Comma 4 4 2 8" xfId="2703" xr:uid="{00000000-0005-0000-0000-0000F8090000}"/>
    <cellStyle name="Comma 4 4 2 9" xfId="2785" xr:uid="{00000000-0005-0000-0000-0000F9090000}"/>
    <cellStyle name="Comma 4 4 2 9 2" xfId="7008" xr:uid="{00000000-0005-0000-0000-0000FA090000}"/>
    <cellStyle name="Comma 4 4 2 9 2 2" xfId="23899" xr:uid="{16999BD4-C5F3-4C18-B916-5B59811D80F3}"/>
    <cellStyle name="Comma 4 4 2 9 2 3" xfId="15458" xr:uid="{9CD84D15-9A7B-49F2-8809-1F9E997D294E}"/>
    <cellStyle name="Comma 4 4 2 9 3" xfId="19681" xr:uid="{D7ECD99E-57FB-41D2-A8C5-1D91F257F7BD}"/>
    <cellStyle name="Comma 4 4 2 9 4" xfId="11240" xr:uid="{37B0BC45-BB06-41DC-A10A-962DF722BA1A}"/>
    <cellStyle name="Comma 4 4 3" xfId="156" xr:uid="{00000000-0005-0000-0000-0000FB090000}"/>
    <cellStyle name="Comma 4 4 3 10" xfId="17300" xr:uid="{FE8549B1-5B89-4481-9C7C-E9910006B327}"/>
    <cellStyle name="Comma 4 4 3 11" xfId="8859" xr:uid="{DD85CA61-749C-4295-95A2-F0594D01D1A2}"/>
    <cellStyle name="Comma 4 4 3 2" xfId="693" xr:uid="{00000000-0005-0000-0000-0000FC090000}"/>
    <cellStyle name="Comma 4 4 3 2 2" xfId="2964" xr:uid="{00000000-0005-0000-0000-0000FD090000}"/>
    <cellStyle name="Comma 4 4 3 2 2 2" xfId="7186" xr:uid="{00000000-0005-0000-0000-0000FE090000}"/>
    <cellStyle name="Comma 4 4 3 2 2 2 2" xfId="24077" xr:uid="{01E53A40-A845-44C7-BBA1-6DBCCAD1C3D8}"/>
    <cellStyle name="Comma 4 4 3 2 2 2 3" xfId="15636" xr:uid="{8115CDA9-F573-4FDF-90F0-2F4BC591C7E6}"/>
    <cellStyle name="Comma 4 4 3 2 2 3" xfId="19859" xr:uid="{A46637B4-359E-4DB3-8E66-DE9D7A7F8C5A}"/>
    <cellStyle name="Comma 4 4 3 2 2 4" xfId="11418" xr:uid="{679A422B-5E2D-41B7-9448-9F587CF4F07D}"/>
    <cellStyle name="Comma 4 4 3 2 3" xfId="5041" xr:uid="{00000000-0005-0000-0000-0000FF090000}"/>
    <cellStyle name="Comma 4 4 3 2 3 2" xfId="21932" xr:uid="{9AD5A303-ED72-4E4F-82F0-83A8E5D058E8}"/>
    <cellStyle name="Comma 4 4 3 2 3 3" xfId="13491" xr:uid="{28D34E2E-B889-405C-8C1C-75C6C1BE7B95}"/>
    <cellStyle name="Comma 4 4 3 2 4" xfId="17714" xr:uid="{931F6521-C8CD-438D-9111-5C63D21AA758}"/>
    <cellStyle name="Comma 4 4 3 2 5" xfId="9273" xr:uid="{DCC62E12-2ECB-4B19-8CAE-958C6CAAF443}"/>
    <cellStyle name="Comma 4 4 3 3" xfId="1146" xr:uid="{00000000-0005-0000-0000-0000000A0000}"/>
    <cellStyle name="Comma 4 4 3 3 2" xfId="3377" xr:uid="{00000000-0005-0000-0000-0000010A0000}"/>
    <cellStyle name="Comma 4 4 3 3 2 2" xfId="7599" xr:uid="{00000000-0005-0000-0000-0000020A0000}"/>
    <cellStyle name="Comma 4 4 3 3 2 2 2" xfId="24490" xr:uid="{21ACD324-A5BB-4379-8045-90FE6F9E232B}"/>
    <cellStyle name="Comma 4 4 3 3 2 2 3" xfId="16049" xr:uid="{F8B31D9D-4CB4-4F35-BC44-4BFDD0406298}"/>
    <cellStyle name="Comma 4 4 3 3 2 3" xfId="20272" xr:uid="{ED0AAF45-3D00-4FE7-A5F5-E4425B1EB704}"/>
    <cellStyle name="Comma 4 4 3 3 2 4" xfId="11831" xr:uid="{2260D2BD-F068-44C4-BDB0-1E5BF4630B9E}"/>
    <cellStyle name="Comma 4 4 3 3 3" xfId="5454" xr:uid="{00000000-0005-0000-0000-0000030A0000}"/>
    <cellStyle name="Comma 4 4 3 3 3 2" xfId="22345" xr:uid="{77EF2746-6325-4502-B0E6-E3200ED7A4B6}"/>
    <cellStyle name="Comma 4 4 3 3 3 3" xfId="13904" xr:uid="{34A36495-3222-4CD1-8B79-BE03F3C79EDE}"/>
    <cellStyle name="Comma 4 4 3 3 4" xfId="18127" xr:uid="{0D48102F-DA15-43A5-8B0F-F931EA2C1620}"/>
    <cellStyle name="Comma 4 4 3 3 5" xfId="9686" xr:uid="{A36E85DB-5344-4325-A7A5-16CB2E6100DE}"/>
    <cellStyle name="Comma 4 4 3 4" xfId="1560" xr:uid="{00000000-0005-0000-0000-0000040A0000}"/>
    <cellStyle name="Comma 4 4 3 4 2" xfId="3790" xr:uid="{00000000-0005-0000-0000-0000050A0000}"/>
    <cellStyle name="Comma 4 4 3 4 2 2" xfId="8012" xr:uid="{00000000-0005-0000-0000-0000060A0000}"/>
    <cellStyle name="Comma 4 4 3 4 2 2 2" xfId="24903" xr:uid="{A2EB1BC0-6D58-449D-B8FB-63B1393B0FF3}"/>
    <cellStyle name="Comma 4 4 3 4 2 2 3" xfId="16462" xr:uid="{01E914BA-F41E-4F2E-B616-4A43B5DF053E}"/>
    <cellStyle name="Comma 4 4 3 4 2 3" xfId="20685" xr:uid="{D703AE70-FFDC-4753-A971-38A70AEBFA9E}"/>
    <cellStyle name="Comma 4 4 3 4 2 4" xfId="12244" xr:uid="{43775423-D290-4837-A3C1-DAAC775D7431}"/>
    <cellStyle name="Comma 4 4 3 4 3" xfId="5867" xr:uid="{00000000-0005-0000-0000-0000070A0000}"/>
    <cellStyle name="Comma 4 4 3 4 3 2" xfId="22758" xr:uid="{EA16FB58-99D6-4D8E-AE77-B657DBCCB009}"/>
    <cellStyle name="Comma 4 4 3 4 3 3" xfId="14317" xr:uid="{A84C7ED8-7883-41A5-BB18-AD991B326C01}"/>
    <cellStyle name="Comma 4 4 3 4 4" xfId="18540" xr:uid="{6959C58B-8621-4218-B89C-69D994625BE8}"/>
    <cellStyle name="Comma 4 4 3 4 5" xfId="10099" xr:uid="{484B8D22-CA9D-44F0-8B6C-E9B97A21DA65}"/>
    <cellStyle name="Comma 4 4 3 5" xfId="1974" xr:uid="{00000000-0005-0000-0000-0000080A0000}"/>
    <cellStyle name="Comma 4 4 3 5 2" xfId="4203" xr:uid="{00000000-0005-0000-0000-0000090A0000}"/>
    <cellStyle name="Comma 4 4 3 5 2 2" xfId="8425" xr:uid="{00000000-0005-0000-0000-00000A0A0000}"/>
    <cellStyle name="Comma 4 4 3 5 2 2 2" xfId="25316" xr:uid="{9B2516BF-CC4C-4B93-9B4F-65E8042AA47B}"/>
    <cellStyle name="Comma 4 4 3 5 2 2 3" xfId="16875" xr:uid="{4B10A9C7-2E74-47FD-A63D-D82BFED1956D}"/>
    <cellStyle name="Comma 4 4 3 5 2 3" xfId="21098" xr:uid="{6702949C-8437-435B-B78E-DFA6277E1F77}"/>
    <cellStyle name="Comma 4 4 3 5 2 4" xfId="12657" xr:uid="{C2B82F39-9C72-49E2-ABE7-2C79F0318CD7}"/>
    <cellStyle name="Comma 4 4 3 5 3" xfId="6280" xr:uid="{00000000-0005-0000-0000-00000B0A0000}"/>
    <cellStyle name="Comma 4 4 3 5 3 2" xfId="23171" xr:uid="{279F1903-C025-4C26-8C40-90BF20E3B998}"/>
    <cellStyle name="Comma 4 4 3 5 3 3" xfId="14730" xr:uid="{576EDF47-761F-476F-97F3-5E48835B6A10}"/>
    <cellStyle name="Comma 4 4 3 5 4" xfId="18953" xr:uid="{D01AD705-9107-4C83-9615-DD9C5CDC83DA}"/>
    <cellStyle name="Comma 4 4 3 5 5" xfId="10512" xr:uid="{6AB19276-DF4A-4A14-B7D7-CB738D2A3EAF}"/>
    <cellStyle name="Comma 4 4 3 6" xfId="2409" xr:uid="{00000000-0005-0000-0000-00000C0A0000}"/>
    <cellStyle name="Comma 4 4 3 6 2" xfId="6693" xr:uid="{00000000-0005-0000-0000-00000D0A0000}"/>
    <cellStyle name="Comma 4 4 3 6 2 2" xfId="23584" xr:uid="{18713F72-76F2-4155-94E6-69A177769C2A}"/>
    <cellStyle name="Comma 4 4 3 6 2 3" xfId="15143" xr:uid="{86799541-070A-4F84-A258-428562593C4E}"/>
    <cellStyle name="Comma 4 4 3 6 3" xfId="19366" xr:uid="{FB5F576B-8038-472D-9CE5-A8EC4B32CE4E}"/>
    <cellStyle name="Comma 4 4 3 6 4" xfId="10925" xr:uid="{3796B591-6F95-495B-80C9-00240F8A3E4E}"/>
    <cellStyle name="Comma 4 4 3 7" xfId="2705" xr:uid="{00000000-0005-0000-0000-00000E0A0000}"/>
    <cellStyle name="Comma 4 4 3 8" xfId="2787" xr:uid="{00000000-0005-0000-0000-00000F0A0000}"/>
    <cellStyle name="Comma 4 4 3 8 2" xfId="7010" xr:uid="{00000000-0005-0000-0000-0000100A0000}"/>
    <cellStyle name="Comma 4 4 3 8 2 2" xfId="23901" xr:uid="{51AFE01C-3F28-41DC-81EE-87BF1820B0D0}"/>
    <cellStyle name="Comma 4 4 3 8 2 3" xfId="15460" xr:uid="{861F3142-8BE3-4331-851D-C45180496D19}"/>
    <cellStyle name="Comma 4 4 3 8 3" xfId="19683" xr:uid="{8E394E1C-0ECE-45DB-A3DF-1B327D68F4CF}"/>
    <cellStyle name="Comma 4 4 3 8 4" xfId="11242" xr:uid="{19F3A1B8-44CD-462A-915F-671FF6A9CEFF}"/>
    <cellStyle name="Comma 4 4 3 9" xfId="4627" xr:uid="{00000000-0005-0000-0000-0000110A0000}"/>
    <cellStyle name="Comma 4 4 3 9 2" xfId="21518" xr:uid="{70C740CF-2BA7-4FCF-8864-C4637CB4CD38}"/>
    <cellStyle name="Comma 4 4 3 9 3" xfId="13077" xr:uid="{D20E1260-5B64-4ED4-899C-B41717BAF532}"/>
    <cellStyle name="Comma 4 4 4" xfId="690" xr:uid="{00000000-0005-0000-0000-0000120A0000}"/>
    <cellStyle name="Comma 4 4 4 2" xfId="2961" xr:uid="{00000000-0005-0000-0000-0000130A0000}"/>
    <cellStyle name="Comma 4 4 4 2 2" xfId="7183" xr:uid="{00000000-0005-0000-0000-0000140A0000}"/>
    <cellStyle name="Comma 4 4 4 2 2 2" xfId="24074" xr:uid="{DAAFD21E-D87A-4FDB-BD36-E1217A0EFF03}"/>
    <cellStyle name="Comma 4 4 4 2 2 3" xfId="15633" xr:uid="{C9456766-FA21-4C47-9FF4-B5680C96306C}"/>
    <cellStyle name="Comma 4 4 4 2 3" xfId="19856" xr:uid="{09B29DF8-0E18-436A-ACD6-FA61FC7DBA03}"/>
    <cellStyle name="Comma 4 4 4 2 4" xfId="11415" xr:uid="{4993F16E-F02A-4D8C-87B3-FC3C00F8EA26}"/>
    <cellStyle name="Comma 4 4 4 3" xfId="5038" xr:uid="{00000000-0005-0000-0000-0000150A0000}"/>
    <cellStyle name="Comma 4 4 4 3 2" xfId="21929" xr:uid="{25EA4ABD-53D9-4C31-9507-BB0A8B5226F6}"/>
    <cellStyle name="Comma 4 4 4 3 3" xfId="13488" xr:uid="{51438F56-DB30-40EC-9FA8-DE9C0E18F5DA}"/>
    <cellStyle name="Comma 4 4 4 4" xfId="17711" xr:uid="{8696782A-D602-4998-B149-7E04DD65F9F5}"/>
    <cellStyle name="Comma 4 4 4 5" xfId="9270" xr:uid="{06CA190C-FBBE-473B-9004-1FA92550FEB9}"/>
    <cellStyle name="Comma 4 4 5" xfId="1143" xr:uid="{00000000-0005-0000-0000-0000160A0000}"/>
    <cellStyle name="Comma 4 4 5 2" xfId="3374" xr:uid="{00000000-0005-0000-0000-0000170A0000}"/>
    <cellStyle name="Comma 4 4 5 2 2" xfId="7596" xr:uid="{00000000-0005-0000-0000-0000180A0000}"/>
    <cellStyle name="Comma 4 4 5 2 2 2" xfId="24487" xr:uid="{E2D6DAC7-7BFF-4892-BE80-3F32EE2A3FB2}"/>
    <cellStyle name="Comma 4 4 5 2 2 3" xfId="16046" xr:uid="{6CC10BF1-48F3-420D-AE72-A0D02565E820}"/>
    <cellStyle name="Comma 4 4 5 2 3" xfId="20269" xr:uid="{0E690BC7-0370-45B3-AC01-C23C75563F57}"/>
    <cellStyle name="Comma 4 4 5 2 4" xfId="11828" xr:uid="{36FF9A99-E0C0-4918-9F7C-3E7CFD191A58}"/>
    <cellStyle name="Comma 4 4 5 3" xfId="5451" xr:uid="{00000000-0005-0000-0000-0000190A0000}"/>
    <cellStyle name="Comma 4 4 5 3 2" xfId="22342" xr:uid="{081552DB-D7F5-4840-AF21-857B64A647BA}"/>
    <cellStyle name="Comma 4 4 5 3 3" xfId="13901" xr:uid="{D9997BCE-83EB-4A17-A435-6A529844F10B}"/>
    <cellStyle name="Comma 4 4 5 4" xfId="18124" xr:uid="{5AD55411-D69C-4F1D-A40D-FA165C5958BC}"/>
    <cellStyle name="Comma 4 4 5 5" xfId="9683" xr:uid="{FD40ED35-77F7-44E2-8A53-750C53A9D87F}"/>
    <cellStyle name="Comma 4 4 6" xfId="1557" xr:uid="{00000000-0005-0000-0000-00001A0A0000}"/>
    <cellStyle name="Comma 4 4 6 2" xfId="3787" xr:uid="{00000000-0005-0000-0000-00001B0A0000}"/>
    <cellStyle name="Comma 4 4 6 2 2" xfId="8009" xr:uid="{00000000-0005-0000-0000-00001C0A0000}"/>
    <cellStyle name="Comma 4 4 6 2 2 2" xfId="24900" xr:uid="{B92E3CA4-3E40-46E3-AA95-0A45225A2CCA}"/>
    <cellStyle name="Comma 4 4 6 2 2 3" xfId="16459" xr:uid="{ECAE94FD-468F-4619-8E7B-9BD1C9B25D90}"/>
    <cellStyle name="Comma 4 4 6 2 3" xfId="20682" xr:uid="{86765691-E73A-4965-96F5-B5C3C617E2C1}"/>
    <cellStyle name="Comma 4 4 6 2 4" xfId="12241" xr:uid="{21417197-3520-4036-9833-B9F58732E384}"/>
    <cellStyle name="Comma 4 4 6 3" xfId="5864" xr:uid="{00000000-0005-0000-0000-00001D0A0000}"/>
    <cellStyle name="Comma 4 4 6 3 2" xfId="22755" xr:uid="{8007F34D-8E67-4ECD-B3F2-EAC8319A7724}"/>
    <cellStyle name="Comma 4 4 6 3 3" xfId="14314" xr:uid="{DC33E01F-A1C9-465D-8860-E1BDF8407BF3}"/>
    <cellStyle name="Comma 4 4 6 4" xfId="18537" xr:uid="{E68739D3-60DE-49F8-BB4B-5E690E21537A}"/>
    <cellStyle name="Comma 4 4 6 5" xfId="10096" xr:uid="{1B44100A-7531-4D4D-92B5-07A4383EF8C3}"/>
    <cellStyle name="Comma 4 4 7" xfId="1971" xr:uid="{00000000-0005-0000-0000-00001E0A0000}"/>
    <cellStyle name="Comma 4 4 7 2" xfId="4200" xr:uid="{00000000-0005-0000-0000-00001F0A0000}"/>
    <cellStyle name="Comma 4 4 7 2 2" xfId="8422" xr:uid="{00000000-0005-0000-0000-0000200A0000}"/>
    <cellStyle name="Comma 4 4 7 2 2 2" xfId="25313" xr:uid="{7800A2A7-D0BA-4BE4-AAC8-D8F9A52D421F}"/>
    <cellStyle name="Comma 4 4 7 2 2 3" xfId="16872" xr:uid="{5FC53A2C-5B4F-4FFB-92E1-2064FD385E84}"/>
    <cellStyle name="Comma 4 4 7 2 3" xfId="21095" xr:uid="{E6C42276-9E59-4B31-95AF-9C0A8CBE3DD1}"/>
    <cellStyle name="Comma 4 4 7 2 4" xfId="12654" xr:uid="{0BCFFE6F-0F10-4E61-8ACC-F82EFBB66323}"/>
    <cellStyle name="Comma 4 4 7 3" xfId="6277" xr:uid="{00000000-0005-0000-0000-0000210A0000}"/>
    <cellStyle name="Comma 4 4 7 3 2" xfId="23168" xr:uid="{617728D0-D448-431C-B406-DB9D6C705191}"/>
    <cellStyle name="Comma 4 4 7 3 3" xfId="14727" xr:uid="{096C289B-BC31-4903-98EB-A4C92FFB5140}"/>
    <cellStyle name="Comma 4 4 7 4" xfId="18950" xr:uid="{04091CA1-22BD-41CC-B385-D5C4E24E76CB}"/>
    <cellStyle name="Comma 4 4 7 5" xfId="10509" xr:uid="{B535C34D-28B8-4A8D-B0CF-FF45F8D4372B}"/>
    <cellStyle name="Comma 4 4 8" xfId="2406" xr:uid="{00000000-0005-0000-0000-0000220A0000}"/>
    <cellStyle name="Comma 4 4 8 2" xfId="6690" xr:uid="{00000000-0005-0000-0000-0000230A0000}"/>
    <cellStyle name="Comma 4 4 8 2 2" xfId="23581" xr:uid="{5F1D6010-929D-4DA0-83DB-BBCA26289AFD}"/>
    <cellStyle name="Comma 4 4 8 2 3" xfId="15140" xr:uid="{0536318E-AA15-4284-B741-348C2EA6DF2A}"/>
    <cellStyle name="Comma 4 4 8 3" xfId="19363" xr:uid="{99AA5D50-3046-47B8-B47A-C205D125D79E}"/>
    <cellStyle name="Comma 4 4 8 4" xfId="10922" xr:uid="{C8AC1606-50E9-4618-8FB7-DD98ED169065}"/>
    <cellStyle name="Comma 4 4 9" xfId="2702" xr:uid="{00000000-0005-0000-0000-0000240A0000}"/>
    <cellStyle name="Comma 4 5" xfId="157" xr:uid="{00000000-0005-0000-0000-0000250A0000}"/>
    <cellStyle name="Comma 4 5 10" xfId="4628" xr:uid="{00000000-0005-0000-0000-0000260A0000}"/>
    <cellStyle name="Comma 4 5 10 2" xfId="21519" xr:uid="{496803CF-13BB-4997-BE10-208D4CA9FDC6}"/>
    <cellStyle name="Comma 4 5 10 3" xfId="13078" xr:uid="{22AC6BDD-1FA4-46A4-ABBA-84DF37FCE256}"/>
    <cellStyle name="Comma 4 5 11" xfId="17301" xr:uid="{CE7A94D7-D8D1-4F11-BC69-E8EA54549D2B}"/>
    <cellStyle name="Comma 4 5 12" xfId="8860" xr:uid="{677D72C1-1072-4ED5-9143-6644C7E59F54}"/>
    <cellStyle name="Comma 4 5 2" xfId="158" xr:uid="{00000000-0005-0000-0000-0000270A0000}"/>
    <cellStyle name="Comma 4 5 2 10" xfId="17302" xr:uid="{1ADE2206-BA28-48CC-B802-79C58FE76F0E}"/>
    <cellStyle name="Comma 4 5 2 11" xfId="8861" xr:uid="{BF33D6E4-975B-4E81-91E6-A5775BE43C76}"/>
    <cellStyle name="Comma 4 5 2 2" xfId="695" xr:uid="{00000000-0005-0000-0000-0000280A0000}"/>
    <cellStyle name="Comma 4 5 2 2 2" xfId="2966" xr:uid="{00000000-0005-0000-0000-0000290A0000}"/>
    <cellStyle name="Comma 4 5 2 2 2 2" xfId="7188" xr:uid="{00000000-0005-0000-0000-00002A0A0000}"/>
    <cellStyle name="Comma 4 5 2 2 2 2 2" xfId="24079" xr:uid="{321074E4-4A90-4C8F-9D7B-505F3EB23147}"/>
    <cellStyle name="Comma 4 5 2 2 2 2 3" xfId="15638" xr:uid="{B03351E4-6434-4A22-A2BF-41AA4F4398A5}"/>
    <cellStyle name="Comma 4 5 2 2 2 3" xfId="19861" xr:uid="{78EE9AFF-5E7C-4ECB-B8E4-FE616E8AD873}"/>
    <cellStyle name="Comma 4 5 2 2 2 4" xfId="11420" xr:uid="{C6919759-3AA6-4146-A1C6-739DA60C1463}"/>
    <cellStyle name="Comma 4 5 2 2 3" xfId="5043" xr:uid="{00000000-0005-0000-0000-00002B0A0000}"/>
    <cellStyle name="Comma 4 5 2 2 3 2" xfId="21934" xr:uid="{55A711F9-D6D0-4748-91A2-D74282E03518}"/>
    <cellStyle name="Comma 4 5 2 2 3 3" xfId="13493" xr:uid="{5F4C2ACF-F18C-44F3-BC60-F710CD837FF4}"/>
    <cellStyle name="Comma 4 5 2 2 4" xfId="17716" xr:uid="{2ADE1498-12C1-4E2C-A76B-6A5196E59E4C}"/>
    <cellStyle name="Comma 4 5 2 2 5" xfId="9275" xr:uid="{2130D006-1318-4949-A361-575A721EE00D}"/>
    <cellStyle name="Comma 4 5 2 3" xfId="1148" xr:uid="{00000000-0005-0000-0000-00002C0A0000}"/>
    <cellStyle name="Comma 4 5 2 3 2" xfId="3379" xr:uid="{00000000-0005-0000-0000-00002D0A0000}"/>
    <cellStyle name="Comma 4 5 2 3 2 2" xfId="7601" xr:uid="{00000000-0005-0000-0000-00002E0A0000}"/>
    <cellStyle name="Comma 4 5 2 3 2 2 2" xfId="24492" xr:uid="{B8924038-0A4D-40B9-8C1C-43D4C72C5F60}"/>
    <cellStyle name="Comma 4 5 2 3 2 2 3" xfId="16051" xr:uid="{2AF64BB8-D2C0-4BE9-A46C-42A4896586F9}"/>
    <cellStyle name="Comma 4 5 2 3 2 3" xfId="20274" xr:uid="{321D4EDF-C0ED-4A97-8FF9-0A91970BBB77}"/>
    <cellStyle name="Comma 4 5 2 3 2 4" xfId="11833" xr:uid="{10A20473-7E7A-4092-AD77-DA28BAB06B37}"/>
    <cellStyle name="Comma 4 5 2 3 3" xfId="5456" xr:uid="{00000000-0005-0000-0000-00002F0A0000}"/>
    <cellStyle name="Comma 4 5 2 3 3 2" xfId="22347" xr:uid="{4869D01A-8741-4835-9275-72F6B8252ABA}"/>
    <cellStyle name="Comma 4 5 2 3 3 3" xfId="13906" xr:uid="{C71003C4-BD23-4BE3-AE79-49B5EC23FCB7}"/>
    <cellStyle name="Comma 4 5 2 3 4" xfId="18129" xr:uid="{860C1E30-B640-49BB-ACB8-60D457141CA0}"/>
    <cellStyle name="Comma 4 5 2 3 5" xfId="9688" xr:uid="{F398A212-7E45-4BC9-A3D3-4D92922E3463}"/>
    <cellStyle name="Comma 4 5 2 4" xfId="1562" xr:uid="{00000000-0005-0000-0000-0000300A0000}"/>
    <cellStyle name="Comma 4 5 2 4 2" xfId="3792" xr:uid="{00000000-0005-0000-0000-0000310A0000}"/>
    <cellStyle name="Comma 4 5 2 4 2 2" xfId="8014" xr:uid="{00000000-0005-0000-0000-0000320A0000}"/>
    <cellStyle name="Comma 4 5 2 4 2 2 2" xfId="24905" xr:uid="{516E4018-C04A-438E-8FD2-7CB7395325E3}"/>
    <cellStyle name="Comma 4 5 2 4 2 2 3" xfId="16464" xr:uid="{181BF329-3E3C-473B-AD44-DFF2CC86A9CC}"/>
    <cellStyle name="Comma 4 5 2 4 2 3" xfId="20687" xr:uid="{6339FC85-AD0D-4B5A-88AA-A1FB4B89BB7D}"/>
    <cellStyle name="Comma 4 5 2 4 2 4" xfId="12246" xr:uid="{500784B9-68C4-4C14-B0F8-89240DFC8676}"/>
    <cellStyle name="Comma 4 5 2 4 3" xfId="5869" xr:uid="{00000000-0005-0000-0000-0000330A0000}"/>
    <cellStyle name="Comma 4 5 2 4 3 2" xfId="22760" xr:uid="{0A4E6F85-6B70-4685-8965-EF956383C220}"/>
    <cellStyle name="Comma 4 5 2 4 3 3" xfId="14319" xr:uid="{BB1582B1-73FF-4AB7-9621-C8843158161E}"/>
    <cellStyle name="Comma 4 5 2 4 4" xfId="18542" xr:uid="{DF313CE6-66BF-4D21-9319-3409DD2365C4}"/>
    <cellStyle name="Comma 4 5 2 4 5" xfId="10101" xr:uid="{94D07988-7040-4714-97F3-F287B0B8EA86}"/>
    <cellStyle name="Comma 4 5 2 5" xfId="1976" xr:uid="{00000000-0005-0000-0000-0000340A0000}"/>
    <cellStyle name="Comma 4 5 2 5 2" xfId="4205" xr:uid="{00000000-0005-0000-0000-0000350A0000}"/>
    <cellStyle name="Comma 4 5 2 5 2 2" xfId="8427" xr:uid="{00000000-0005-0000-0000-0000360A0000}"/>
    <cellStyle name="Comma 4 5 2 5 2 2 2" xfId="25318" xr:uid="{6274D7E5-DB19-44D4-BC83-094B82BCB05B}"/>
    <cellStyle name="Comma 4 5 2 5 2 2 3" xfId="16877" xr:uid="{2207FA35-6786-4C7A-97D9-0EBC2684EC8A}"/>
    <cellStyle name="Comma 4 5 2 5 2 3" xfId="21100" xr:uid="{E8CA201C-CB10-4002-86E6-9F2D4A1C0F3D}"/>
    <cellStyle name="Comma 4 5 2 5 2 4" xfId="12659" xr:uid="{E4199A33-A044-457F-AAA1-6604703B20DB}"/>
    <cellStyle name="Comma 4 5 2 5 3" xfId="6282" xr:uid="{00000000-0005-0000-0000-0000370A0000}"/>
    <cellStyle name="Comma 4 5 2 5 3 2" xfId="23173" xr:uid="{97DC2693-4667-4B22-BCD1-BE47D3EF481B}"/>
    <cellStyle name="Comma 4 5 2 5 3 3" xfId="14732" xr:uid="{A0D9EDB0-5B6C-4881-86BA-420C8F5FC056}"/>
    <cellStyle name="Comma 4 5 2 5 4" xfId="18955" xr:uid="{28E5DD59-F1E4-447F-9795-8F0A1E218850}"/>
    <cellStyle name="Comma 4 5 2 5 5" xfId="10514" xr:uid="{6B1F3ACE-997A-45BC-A001-1511500459B1}"/>
    <cellStyle name="Comma 4 5 2 6" xfId="2411" xr:uid="{00000000-0005-0000-0000-0000380A0000}"/>
    <cellStyle name="Comma 4 5 2 6 2" xfId="6695" xr:uid="{00000000-0005-0000-0000-0000390A0000}"/>
    <cellStyle name="Comma 4 5 2 6 2 2" xfId="23586" xr:uid="{E97A501E-2A13-4C5E-95BF-56816356F38E}"/>
    <cellStyle name="Comma 4 5 2 6 2 3" xfId="15145" xr:uid="{7EC6BE7C-E4DC-4D7B-A68B-134412ADF89E}"/>
    <cellStyle name="Comma 4 5 2 6 3" xfId="19368" xr:uid="{2792949D-4F5C-41AB-AC89-973AD8F1F6CF}"/>
    <cellStyle name="Comma 4 5 2 6 4" xfId="10927" xr:uid="{D9B1C33C-E8BB-4A0A-BE04-0D7490D13088}"/>
    <cellStyle name="Comma 4 5 2 7" xfId="2707" xr:uid="{00000000-0005-0000-0000-00003A0A0000}"/>
    <cellStyle name="Comma 4 5 2 8" xfId="2789" xr:uid="{00000000-0005-0000-0000-00003B0A0000}"/>
    <cellStyle name="Comma 4 5 2 8 2" xfId="7012" xr:uid="{00000000-0005-0000-0000-00003C0A0000}"/>
    <cellStyle name="Comma 4 5 2 8 2 2" xfId="23903" xr:uid="{4C5F02CB-B498-41A2-91B9-8066C2393F28}"/>
    <cellStyle name="Comma 4 5 2 8 2 3" xfId="15462" xr:uid="{A934D85E-9634-4B66-9E00-D4686AD90D5C}"/>
    <cellStyle name="Comma 4 5 2 8 3" xfId="19685" xr:uid="{2C5DC548-CBD6-481E-858A-0BA9D9C41A26}"/>
    <cellStyle name="Comma 4 5 2 8 4" xfId="11244" xr:uid="{A0753B9D-99AE-4AE8-BE63-3C058670B794}"/>
    <cellStyle name="Comma 4 5 2 9" xfId="4629" xr:uid="{00000000-0005-0000-0000-00003D0A0000}"/>
    <cellStyle name="Comma 4 5 2 9 2" xfId="21520" xr:uid="{08C5E421-92AC-441C-9F39-05BF080D94E5}"/>
    <cellStyle name="Comma 4 5 2 9 3" xfId="13079" xr:uid="{A708C952-A271-40ED-8A52-D0AC53EDE291}"/>
    <cellStyle name="Comma 4 5 3" xfId="694" xr:uid="{00000000-0005-0000-0000-00003E0A0000}"/>
    <cellStyle name="Comma 4 5 3 2" xfId="2965" xr:uid="{00000000-0005-0000-0000-00003F0A0000}"/>
    <cellStyle name="Comma 4 5 3 2 2" xfId="7187" xr:uid="{00000000-0005-0000-0000-0000400A0000}"/>
    <cellStyle name="Comma 4 5 3 2 2 2" xfId="24078" xr:uid="{3E6DE653-4A21-414C-9AEF-F56EFBFFB9CD}"/>
    <cellStyle name="Comma 4 5 3 2 2 3" xfId="15637" xr:uid="{F26D651F-932D-4A5E-A6D3-7349F01C84E9}"/>
    <cellStyle name="Comma 4 5 3 2 3" xfId="19860" xr:uid="{3195FC32-2C4A-43CF-9EF6-1C0731FEE636}"/>
    <cellStyle name="Comma 4 5 3 2 4" xfId="11419" xr:uid="{F7A34CA7-9900-4482-B4C8-D273D4220606}"/>
    <cellStyle name="Comma 4 5 3 3" xfId="5042" xr:uid="{00000000-0005-0000-0000-0000410A0000}"/>
    <cellStyle name="Comma 4 5 3 3 2" xfId="21933" xr:uid="{CB302CBD-DFE9-49CF-B558-3B6B85EC72AE}"/>
    <cellStyle name="Comma 4 5 3 3 3" xfId="13492" xr:uid="{856BE238-ABF0-41ED-A50F-1E9DCACEB376}"/>
    <cellStyle name="Comma 4 5 3 4" xfId="17715" xr:uid="{AB2BAF57-8C87-409F-AE11-641696B8E35E}"/>
    <cellStyle name="Comma 4 5 3 5" xfId="9274" xr:uid="{BB8951A4-6E4E-484F-9EB2-7E1BE2986922}"/>
    <cellStyle name="Comma 4 5 4" xfId="1147" xr:uid="{00000000-0005-0000-0000-0000420A0000}"/>
    <cellStyle name="Comma 4 5 4 2" xfId="3378" xr:uid="{00000000-0005-0000-0000-0000430A0000}"/>
    <cellStyle name="Comma 4 5 4 2 2" xfId="7600" xr:uid="{00000000-0005-0000-0000-0000440A0000}"/>
    <cellStyle name="Comma 4 5 4 2 2 2" xfId="24491" xr:uid="{A2C79A2B-3426-4CF9-834C-B980978552E6}"/>
    <cellStyle name="Comma 4 5 4 2 2 3" xfId="16050" xr:uid="{4014BB55-CD4F-45D6-AFA4-ADF84CACCBE8}"/>
    <cellStyle name="Comma 4 5 4 2 3" xfId="20273" xr:uid="{1B396E1C-F25F-4E1C-ABB5-891F89E8CAFF}"/>
    <cellStyle name="Comma 4 5 4 2 4" xfId="11832" xr:uid="{69D13742-9550-4DA7-A0C9-0CE65EB03303}"/>
    <cellStyle name="Comma 4 5 4 3" xfId="5455" xr:uid="{00000000-0005-0000-0000-0000450A0000}"/>
    <cellStyle name="Comma 4 5 4 3 2" xfId="22346" xr:uid="{1B92CF8C-334B-45C2-8F8D-CCA76DEB4A36}"/>
    <cellStyle name="Comma 4 5 4 3 3" xfId="13905" xr:uid="{6FAF50D3-A345-4A3D-BECB-A5218CB4EFD7}"/>
    <cellStyle name="Comma 4 5 4 4" xfId="18128" xr:uid="{6BC3C0D6-4DD2-475F-A9DF-B8AE0464643C}"/>
    <cellStyle name="Comma 4 5 4 5" xfId="9687" xr:uid="{799A411D-9559-431D-AC90-356802FF6A5E}"/>
    <cellStyle name="Comma 4 5 5" xfId="1561" xr:uid="{00000000-0005-0000-0000-0000460A0000}"/>
    <cellStyle name="Comma 4 5 5 2" xfId="3791" xr:uid="{00000000-0005-0000-0000-0000470A0000}"/>
    <cellStyle name="Comma 4 5 5 2 2" xfId="8013" xr:uid="{00000000-0005-0000-0000-0000480A0000}"/>
    <cellStyle name="Comma 4 5 5 2 2 2" xfId="24904" xr:uid="{41B5CBC0-F069-499C-8FA4-FC9C2997134B}"/>
    <cellStyle name="Comma 4 5 5 2 2 3" xfId="16463" xr:uid="{C622B88E-0F8E-4F7D-AB9B-0BC37287CE57}"/>
    <cellStyle name="Comma 4 5 5 2 3" xfId="20686" xr:uid="{3A096C54-9C5D-418F-BDAA-B87470B8C690}"/>
    <cellStyle name="Comma 4 5 5 2 4" xfId="12245" xr:uid="{E86248E1-D61F-4789-B970-66D32FC3030D}"/>
    <cellStyle name="Comma 4 5 5 3" xfId="5868" xr:uid="{00000000-0005-0000-0000-0000490A0000}"/>
    <cellStyle name="Comma 4 5 5 3 2" xfId="22759" xr:uid="{EFB00BC1-AEE6-4808-95FC-305E65EE4BC1}"/>
    <cellStyle name="Comma 4 5 5 3 3" xfId="14318" xr:uid="{B9C7ABDD-775F-40DF-A668-7003E54E0759}"/>
    <cellStyle name="Comma 4 5 5 4" xfId="18541" xr:uid="{1DD75B59-6C2A-4972-B9C0-AD9FB84960E7}"/>
    <cellStyle name="Comma 4 5 5 5" xfId="10100" xr:uid="{E3D3CB02-8F69-4513-96DB-EC9E4CD886CA}"/>
    <cellStyle name="Comma 4 5 6" xfId="1975" xr:uid="{00000000-0005-0000-0000-00004A0A0000}"/>
    <cellStyle name="Comma 4 5 6 2" xfId="4204" xr:uid="{00000000-0005-0000-0000-00004B0A0000}"/>
    <cellStyle name="Comma 4 5 6 2 2" xfId="8426" xr:uid="{00000000-0005-0000-0000-00004C0A0000}"/>
    <cellStyle name="Comma 4 5 6 2 2 2" xfId="25317" xr:uid="{22623AD1-9A18-4638-9E87-3FB107E33C77}"/>
    <cellStyle name="Comma 4 5 6 2 2 3" xfId="16876" xr:uid="{3F5D8CF7-A669-49EC-A22E-648EEA909D5E}"/>
    <cellStyle name="Comma 4 5 6 2 3" xfId="21099" xr:uid="{97B3F8D2-B54F-46BA-9783-88C8A7C82C99}"/>
    <cellStyle name="Comma 4 5 6 2 4" xfId="12658" xr:uid="{D7DADEC8-3C11-4FCC-A3C0-CB8442AADB19}"/>
    <cellStyle name="Comma 4 5 6 3" xfId="6281" xr:uid="{00000000-0005-0000-0000-00004D0A0000}"/>
    <cellStyle name="Comma 4 5 6 3 2" xfId="23172" xr:uid="{7FA8213E-71F6-484E-97B8-4464EDD132DA}"/>
    <cellStyle name="Comma 4 5 6 3 3" xfId="14731" xr:uid="{2BB5FCA6-F680-4014-B9BB-CAC5CCEA8390}"/>
    <cellStyle name="Comma 4 5 6 4" xfId="18954" xr:uid="{235B7537-96B3-4FD3-AC1C-8A148A68FCEA}"/>
    <cellStyle name="Comma 4 5 6 5" xfId="10513" xr:uid="{D89C5EFF-F6FE-451B-8DD0-848B401262AC}"/>
    <cellStyle name="Comma 4 5 7" xfId="2410" xr:uid="{00000000-0005-0000-0000-00004E0A0000}"/>
    <cellStyle name="Comma 4 5 7 2" xfId="6694" xr:uid="{00000000-0005-0000-0000-00004F0A0000}"/>
    <cellStyle name="Comma 4 5 7 2 2" xfId="23585" xr:uid="{17EC9C9A-DBCF-4E4C-A503-7089BF91936C}"/>
    <cellStyle name="Comma 4 5 7 2 3" xfId="15144" xr:uid="{45B63626-4F7A-47A4-87BB-C58DDF76FCC9}"/>
    <cellStyle name="Comma 4 5 7 3" xfId="19367" xr:uid="{BABBD2F5-70DC-4191-A4E6-1B84AD31895A}"/>
    <cellStyle name="Comma 4 5 7 4" xfId="10926" xr:uid="{3BC81817-E8B1-467F-BAE4-FDC011D6C8A5}"/>
    <cellStyle name="Comma 4 5 8" xfId="2706" xr:uid="{00000000-0005-0000-0000-0000500A0000}"/>
    <cellStyle name="Comma 4 5 9" xfId="2788" xr:uid="{00000000-0005-0000-0000-0000510A0000}"/>
    <cellStyle name="Comma 4 5 9 2" xfId="7011" xr:uid="{00000000-0005-0000-0000-0000520A0000}"/>
    <cellStyle name="Comma 4 5 9 2 2" xfId="23902" xr:uid="{4FC6FEF7-3CE0-4C81-BED6-E9CEE59CAB7F}"/>
    <cellStyle name="Comma 4 5 9 2 3" xfId="15461" xr:uid="{2E19BAB6-2753-4A20-99B9-521E021474D9}"/>
    <cellStyle name="Comma 4 5 9 3" xfId="19684" xr:uid="{F93C6BCB-DA0D-46DA-8508-7354FDF05492}"/>
    <cellStyle name="Comma 4 5 9 4" xfId="11243" xr:uid="{F77EFB39-B45F-4430-B18D-77355C6EDA53}"/>
    <cellStyle name="Comma 4 6" xfId="159" xr:uid="{00000000-0005-0000-0000-0000530A0000}"/>
    <cellStyle name="Comma 4 6 10" xfId="17303" xr:uid="{0586B842-6BA1-4787-B3DD-7BFEB043DBFE}"/>
    <cellStyle name="Comma 4 6 11" xfId="8862" xr:uid="{778C3126-2DAC-4B6A-9DE5-638ABB748818}"/>
    <cellStyle name="Comma 4 6 2" xfId="696" xr:uid="{00000000-0005-0000-0000-0000540A0000}"/>
    <cellStyle name="Comma 4 6 2 2" xfId="2967" xr:uid="{00000000-0005-0000-0000-0000550A0000}"/>
    <cellStyle name="Comma 4 6 2 2 2" xfId="7189" xr:uid="{00000000-0005-0000-0000-0000560A0000}"/>
    <cellStyle name="Comma 4 6 2 2 2 2" xfId="24080" xr:uid="{516B9A2B-9BE0-462F-9740-0BFEC2B4A05D}"/>
    <cellStyle name="Comma 4 6 2 2 2 3" xfId="15639" xr:uid="{848402CE-3314-43D6-BAD7-589F8CFDC368}"/>
    <cellStyle name="Comma 4 6 2 2 3" xfId="19862" xr:uid="{9F3DE004-2A36-4FA4-AFA2-7748F8C07CF1}"/>
    <cellStyle name="Comma 4 6 2 2 4" xfId="11421" xr:uid="{694D9913-C1C9-4C42-A0F2-C3EB0D742C97}"/>
    <cellStyle name="Comma 4 6 2 3" xfId="5044" xr:uid="{00000000-0005-0000-0000-0000570A0000}"/>
    <cellStyle name="Comma 4 6 2 3 2" xfId="21935" xr:uid="{1DDA28AC-944B-4FCD-AAA9-D2680C5FA3CC}"/>
    <cellStyle name="Comma 4 6 2 3 3" xfId="13494" xr:uid="{9073302B-C5E6-4A5D-B8B1-4A66B0288919}"/>
    <cellStyle name="Comma 4 6 2 4" xfId="17717" xr:uid="{7C81A8CD-A3D8-4386-B2B6-13352AF58D9A}"/>
    <cellStyle name="Comma 4 6 2 5" xfId="9276" xr:uid="{9BA729B6-8020-48B1-A169-A0492988489A}"/>
    <cellStyle name="Comma 4 6 3" xfId="1149" xr:uid="{00000000-0005-0000-0000-0000580A0000}"/>
    <cellStyle name="Comma 4 6 3 2" xfId="3380" xr:uid="{00000000-0005-0000-0000-0000590A0000}"/>
    <cellStyle name="Comma 4 6 3 2 2" xfId="7602" xr:uid="{00000000-0005-0000-0000-00005A0A0000}"/>
    <cellStyle name="Comma 4 6 3 2 2 2" xfId="24493" xr:uid="{EF7C7E4C-B0FD-4E8C-B8DF-FAAF2D6AD9B2}"/>
    <cellStyle name="Comma 4 6 3 2 2 3" xfId="16052" xr:uid="{AA2557FA-7CB7-453A-BA05-9653AE30D8A0}"/>
    <cellStyle name="Comma 4 6 3 2 3" xfId="20275" xr:uid="{A56A37E5-2AB5-4ADB-8E9E-ADF5B997F0BF}"/>
    <cellStyle name="Comma 4 6 3 2 4" xfId="11834" xr:uid="{F8A304AD-A84A-456F-9250-652E50DB1CDA}"/>
    <cellStyle name="Comma 4 6 3 3" xfId="5457" xr:uid="{00000000-0005-0000-0000-00005B0A0000}"/>
    <cellStyle name="Comma 4 6 3 3 2" xfId="22348" xr:uid="{B55E169F-2EEE-490D-A7B3-604CBC4CB226}"/>
    <cellStyle name="Comma 4 6 3 3 3" xfId="13907" xr:uid="{523A6492-EFB9-46A3-9776-58D001A42959}"/>
    <cellStyle name="Comma 4 6 3 4" xfId="18130" xr:uid="{E9BAFC05-542B-433A-B2D2-5B6EFC6AF12B}"/>
    <cellStyle name="Comma 4 6 3 5" xfId="9689" xr:uid="{0D233E6B-1604-489F-870F-3427F15A2A23}"/>
    <cellStyle name="Comma 4 6 4" xfId="1563" xr:uid="{00000000-0005-0000-0000-00005C0A0000}"/>
    <cellStyle name="Comma 4 6 4 2" xfId="3793" xr:uid="{00000000-0005-0000-0000-00005D0A0000}"/>
    <cellStyle name="Comma 4 6 4 2 2" xfId="8015" xr:uid="{00000000-0005-0000-0000-00005E0A0000}"/>
    <cellStyle name="Comma 4 6 4 2 2 2" xfId="24906" xr:uid="{1B23621E-0196-493A-944E-D4BD745040E4}"/>
    <cellStyle name="Comma 4 6 4 2 2 3" xfId="16465" xr:uid="{110EA873-C237-4916-9253-4BB963820A15}"/>
    <cellStyle name="Comma 4 6 4 2 3" xfId="20688" xr:uid="{8A24C082-141E-4814-AD18-8A183322ECD2}"/>
    <cellStyle name="Comma 4 6 4 2 4" xfId="12247" xr:uid="{4C5E40C2-378E-4863-8B82-A1EDB5231EF2}"/>
    <cellStyle name="Comma 4 6 4 3" xfId="5870" xr:uid="{00000000-0005-0000-0000-00005F0A0000}"/>
    <cellStyle name="Comma 4 6 4 3 2" xfId="22761" xr:uid="{7D919B8E-C5EB-4817-9765-A3E0248A5666}"/>
    <cellStyle name="Comma 4 6 4 3 3" xfId="14320" xr:uid="{06699E72-732C-474B-9B98-FF48A5731941}"/>
    <cellStyle name="Comma 4 6 4 4" xfId="18543" xr:uid="{486B6810-2198-467B-88F6-E3CCFEA76F22}"/>
    <cellStyle name="Comma 4 6 4 5" xfId="10102" xr:uid="{BF890B06-FE79-4CEA-8E94-30D6DA3A9783}"/>
    <cellStyle name="Comma 4 6 5" xfId="1977" xr:uid="{00000000-0005-0000-0000-0000600A0000}"/>
    <cellStyle name="Comma 4 6 5 2" xfId="4206" xr:uid="{00000000-0005-0000-0000-0000610A0000}"/>
    <cellStyle name="Comma 4 6 5 2 2" xfId="8428" xr:uid="{00000000-0005-0000-0000-0000620A0000}"/>
    <cellStyle name="Comma 4 6 5 2 2 2" xfId="25319" xr:uid="{DC3D0A80-F673-45D7-9BF7-B22FB7496C9F}"/>
    <cellStyle name="Comma 4 6 5 2 2 3" xfId="16878" xr:uid="{B9181FAA-472B-4AF7-B2ED-FB8AD7AC9F5A}"/>
    <cellStyle name="Comma 4 6 5 2 3" xfId="21101" xr:uid="{1969E71E-79EE-4BFE-8F02-422B190E9C34}"/>
    <cellStyle name="Comma 4 6 5 2 4" xfId="12660" xr:uid="{C28F0401-2E4D-49FE-946B-8E72807CB0DC}"/>
    <cellStyle name="Comma 4 6 5 3" xfId="6283" xr:uid="{00000000-0005-0000-0000-0000630A0000}"/>
    <cellStyle name="Comma 4 6 5 3 2" xfId="23174" xr:uid="{9CB4CC4E-10CC-4084-BC9F-D2979CFFE433}"/>
    <cellStyle name="Comma 4 6 5 3 3" xfId="14733" xr:uid="{C5C02018-C1AC-4717-95E3-B8A5CA58EEE1}"/>
    <cellStyle name="Comma 4 6 5 4" xfId="18956" xr:uid="{A8800097-79B8-40FC-882D-586515ED03CA}"/>
    <cellStyle name="Comma 4 6 5 5" xfId="10515" xr:uid="{74E47973-403B-455A-8763-1A3DD3154779}"/>
    <cellStyle name="Comma 4 6 6" xfId="2412" xr:uid="{00000000-0005-0000-0000-0000640A0000}"/>
    <cellStyle name="Comma 4 6 6 2" xfId="6696" xr:uid="{00000000-0005-0000-0000-0000650A0000}"/>
    <cellStyle name="Comma 4 6 6 2 2" xfId="23587" xr:uid="{0DF94F12-52DB-493F-AF6B-7FDD7B478FB8}"/>
    <cellStyle name="Comma 4 6 6 2 3" xfId="15146" xr:uid="{A3373564-8B8C-4334-AA0D-E9F63D11CEDF}"/>
    <cellStyle name="Comma 4 6 6 3" xfId="19369" xr:uid="{21524747-2EA2-4953-AB4B-FF96A50D9D53}"/>
    <cellStyle name="Comma 4 6 6 4" xfId="10928" xr:uid="{BE1CAD7E-AD9F-46EA-8563-38AC66600865}"/>
    <cellStyle name="Comma 4 6 7" xfId="2708" xr:uid="{00000000-0005-0000-0000-0000660A0000}"/>
    <cellStyle name="Comma 4 6 8" xfId="2790" xr:uid="{00000000-0005-0000-0000-0000670A0000}"/>
    <cellStyle name="Comma 4 6 8 2" xfId="7013" xr:uid="{00000000-0005-0000-0000-0000680A0000}"/>
    <cellStyle name="Comma 4 6 8 2 2" xfId="23904" xr:uid="{AD711427-8C62-41E2-8C4A-06E9B1A8A5D9}"/>
    <cellStyle name="Comma 4 6 8 2 3" xfId="15463" xr:uid="{3C0D8D1B-A15F-4A6B-8905-00D17F74AD40}"/>
    <cellStyle name="Comma 4 6 8 3" xfId="19686" xr:uid="{6CF85674-B55B-44F0-B597-9F7D905416C2}"/>
    <cellStyle name="Comma 4 6 8 4" xfId="11245" xr:uid="{DED266A8-643D-4C2E-8FC0-F070979CA5EA}"/>
    <cellStyle name="Comma 4 6 9" xfId="4630" xr:uid="{00000000-0005-0000-0000-0000690A0000}"/>
    <cellStyle name="Comma 4 6 9 2" xfId="21521" xr:uid="{06FA3D4C-96D5-4CC7-B6F7-07964294FF6F}"/>
    <cellStyle name="Comma 4 6 9 3" xfId="13080" xr:uid="{241DE8B2-71B4-49D6-82BB-EDE93B57B4EA}"/>
    <cellStyle name="Comma 4 7" xfId="160" xr:uid="{00000000-0005-0000-0000-00006A0A0000}"/>
    <cellStyle name="Comma 4 7 10" xfId="17304" xr:uid="{B37B7F59-E5C7-43AA-B814-3781C5AC68F0}"/>
    <cellStyle name="Comma 4 7 11" xfId="8863" xr:uid="{D4941EC2-90FF-4E05-9DF1-2B0950AC8F1B}"/>
    <cellStyle name="Comma 4 7 2" xfId="697" xr:uid="{00000000-0005-0000-0000-00006B0A0000}"/>
    <cellStyle name="Comma 4 7 2 2" xfId="2968" xr:uid="{00000000-0005-0000-0000-00006C0A0000}"/>
    <cellStyle name="Comma 4 7 2 2 2" xfId="7190" xr:uid="{00000000-0005-0000-0000-00006D0A0000}"/>
    <cellStyle name="Comma 4 7 2 2 2 2" xfId="24081" xr:uid="{D8628C6E-BC7C-4D7B-8034-F2D1652AF207}"/>
    <cellStyle name="Comma 4 7 2 2 2 3" xfId="15640" xr:uid="{72C26FF4-149F-4E4F-8431-56AAD6A1CEDF}"/>
    <cellStyle name="Comma 4 7 2 2 3" xfId="19863" xr:uid="{E37ECCA1-F2A9-4EFF-8937-E78850CFD598}"/>
    <cellStyle name="Comma 4 7 2 2 4" xfId="11422" xr:uid="{AFE5456C-837F-47D0-9396-98CE43407AA0}"/>
    <cellStyle name="Comma 4 7 2 3" xfId="5045" xr:uid="{00000000-0005-0000-0000-00006E0A0000}"/>
    <cellStyle name="Comma 4 7 2 3 2" xfId="21936" xr:uid="{E5DE69D2-5D90-4180-A4BC-85EE9B83FB03}"/>
    <cellStyle name="Comma 4 7 2 3 3" xfId="13495" xr:uid="{3EBA5494-8786-45E7-ADB3-5449C738B3D7}"/>
    <cellStyle name="Comma 4 7 2 4" xfId="17718" xr:uid="{7F0AE1CF-6C79-402D-B38B-1164CC620032}"/>
    <cellStyle name="Comma 4 7 2 5" xfId="9277" xr:uid="{EE88216B-102C-4E7A-AD12-46703DA4396E}"/>
    <cellStyle name="Comma 4 7 3" xfId="1150" xr:uid="{00000000-0005-0000-0000-00006F0A0000}"/>
    <cellStyle name="Comma 4 7 3 2" xfId="3381" xr:uid="{00000000-0005-0000-0000-0000700A0000}"/>
    <cellStyle name="Comma 4 7 3 2 2" xfId="7603" xr:uid="{00000000-0005-0000-0000-0000710A0000}"/>
    <cellStyle name="Comma 4 7 3 2 2 2" xfId="24494" xr:uid="{0767D68A-2F68-4028-BD50-2D5B9B7CF879}"/>
    <cellStyle name="Comma 4 7 3 2 2 3" xfId="16053" xr:uid="{2E4E4A19-4583-480C-9F79-E4A302D79EB5}"/>
    <cellStyle name="Comma 4 7 3 2 3" xfId="20276" xr:uid="{4B8A5508-587E-4B8B-AE8F-7DAF478F2CA8}"/>
    <cellStyle name="Comma 4 7 3 2 4" xfId="11835" xr:uid="{1D7FBC6F-14A6-49B6-9AC9-E06FA5F0F6D5}"/>
    <cellStyle name="Comma 4 7 3 3" xfId="5458" xr:uid="{00000000-0005-0000-0000-0000720A0000}"/>
    <cellStyle name="Comma 4 7 3 3 2" xfId="22349" xr:uid="{370144AD-A1FE-417F-B46F-CF76144D41A0}"/>
    <cellStyle name="Comma 4 7 3 3 3" xfId="13908" xr:uid="{A57EC4F4-21D2-4B45-91AD-3514902D2846}"/>
    <cellStyle name="Comma 4 7 3 4" xfId="18131" xr:uid="{FB22B2B2-4119-47AD-8BB6-CD45A0CCA4A4}"/>
    <cellStyle name="Comma 4 7 3 5" xfId="9690" xr:uid="{319BCB80-4951-4A1A-8562-C0B0681A986A}"/>
    <cellStyle name="Comma 4 7 4" xfId="1564" xr:uid="{00000000-0005-0000-0000-0000730A0000}"/>
    <cellStyle name="Comma 4 7 4 2" xfId="3794" xr:uid="{00000000-0005-0000-0000-0000740A0000}"/>
    <cellStyle name="Comma 4 7 4 2 2" xfId="8016" xr:uid="{00000000-0005-0000-0000-0000750A0000}"/>
    <cellStyle name="Comma 4 7 4 2 2 2" xfId="24907" xr:uid="{8F4F1555-E4F1-447B-A128-0FE1A38D8E52}"/>
    <cellStyle name="Comma 4 7 4 2 2 3" xfId="16466" xr:uid="{63DDB3B0-4D11-44CF-94D7-4CF6753F651D}"/>
    <cellStyle name="Comma 4 7 4 2 3" xfId="20689" xr:uid="{A6D12383-270B-4514-91B4-687A84F59713}"/>
    <cellStyle name="Comma 4 7 4 2 4" xfId="12248" xr:uid="{F57004F3-9B00-41FD-A18F-CD76B75A3DB1}"/>
    <cellStyle name="Comma 4 7 4 3" xfId="5871" xr:uid="{00000000-0005-0000-0000-0000760A0000}"/>
    <cellStyle name="Comma 4 7 4 3 2" xfId="22762" xr:uid="{4321E325-92D3-4F56-8EB9-2A3F918336D9}"/>
    <cellStyle name="Comma 4 7 4 3 3" xfId="14321" xr:uid="{7D716ACD-25EC-4FC3-A3C5-329D7EDE4A2E}"/>
    <cellStyle name="Comma 4 7 4 4" xfId="18544" xr:uid="{A30439CE-4190-4646-87BE-13F105C7B541}"/>
    <cellStyle name="Comma 4 7 4 5" xfId="10103" xr:uid="{83C40DB1-7224-412E-BF64-65E86E5F9C23}"/>
    <cellStyle name="Comma 4 7 5" xfId="1978" xr:uid="{00000000-0005-0000-0000-0000770A0000}"/>
    <cellStyle name="Comma 4 7 5 2" xfId="4207" xr:uid="{00000000-0005-0000-0000-0000780A0000}"/>
    <cellStyle name="Comma 4 7 5 2 2" xfId="8429" xr:uid="{00000000-0005-0000-0000-0000790A0000}"/>
    <cellStyle name="Comma 4 7 5 2 2 2" xfId="25320" xr:uid="{C825267B-C85A-41BA-B8D3-A4187A8EAA95}"/>
    <cellStyle name="Comma 4 7 5 2 2 3" xfId="16879" xr:uid="{439A808E-CAD9-45EE-9060-8039C0869C24}"/>
    <cellStyle name="Comma 4 7 5 2 3" xfId="21102" xr:uid="{E0ED82C1-6005-4079-9508-AB288F5DE8A7}"/>
    <cellStyle name="Comma 4 7 5 2 4" xfId="12661" xr:uid="{470AB0AD-5431-4D57-8F43-E8B49188B065}"/>
    <cellStyle name="Comma 4 7 5 3" xfId="6284" xr:uid="{00000000-0005-0000-0000-00007A0A0000}"/>
    <cellStyle name="Comma 4 7 5 3 2" xfId="23175" xr:uid="{F3E85885-FA05-4FC4-9D4E-4E4E7B04794F}"/>
    <cellStyle name="Comma 4 7 5 3 3" xfId="14734" xr:uid="{94DDF8BD-5028-4106-B923-355F5FA5D61D}"/>
    <cellStyle name="Comma 4 7 5 4" xfId="18957" xr:uid="{4DE3E644-D717-4F94-A060-4945BCEDCFC8}"/>
    <cellStyle name="Comma 4 7 5 5" xfId="10516" xr:uid="{77BDCE4E-A872-4C8B-95F9-441EC862F453}"/>
    <cellStyle name="Comma 4 7 6" xfId="2413" xr:uid="{00000000-0005-0000-0000-00007B0A0000}"/>
    <cellStyle name="Comma 4 7 6 2" xfId="6697" xr:uid="{00000000-0005-0000-0000-00007C0A0000}"/>
    <cellStyle name="Comma 4 7 6 2 2" xfId="23588" xr:uid="{2074F7BE-1492-4274-9930-9BADBCD21AC1}"/>
    <cellStyle name="Comma 4 7 6 2 3" xfId="15147" xr:uid="{6CE7B577-7846-4581-9AFA-A42F780C13CE}"/>
    <cellStyle name="Comma 4 7 6 3" xfId="19370" xr:uid="{73483AE3-85E4-4F59-BB6A-B388DB40BD33}"/>
    <cellStyle name="Comma 4 7 6 4" xfId="10929" xr:uid="{A019E9A9-8ADE-48EF-A20A-B2667CE2D3A8}"/>
    <cellStyle name="Comma 4 7 7" xfId="2709" xr:uid="{00000000-0005-0000-0000-00007D0A0000}"/>
    <cellStyle name="Comma 4 7 8" xfId="2791" xr:uid="{00000000-0005-0000-0000-00007E0A0000}"/>
    <cellStyle name="Comma 4 7 8 2" xfId="7014" xr:uid="{00000000-0005-0000-0000-00007F0A0000}"/>
    <cellStyle name="Comma 4 7 8 2 2" xfId="23905" xr:uid="{0DED0949-402F-4A0D-8BB7-FBE94F9B733B}"/>
    <cellStyle name="Comma 4 7 8 2 3" xfId="15464" xr:uid="{6265DC2E-39E9-42A6-A8D8-3745AD7A381B}"/>
    <cellStyle name="Comma 4 7 8 3" xfId="19687" xr:uid="{0755C417-B516-41DB-B6CE-65FD86413381}"/>
    <cellStyle name="Comma 4 7 8 4" xfId="11246" xr:uid="{F2EB5C74-5526-4715-8C59-E846AD09A575}"/>
    <cellStyle name="Comma 4 7 9" xfId="4631" xr:uid="{00000000-0005-0000-0000-0000800A0000}"/>
    <cellStyle name="Comma 4 7 9 2" xfId="21522" xr:uid="{EB91C21C-A36B-41E1-8688-960184DC0664}"/>
    <cellStyle name="Comma 4 7 9 3" xfId="13081" xr:uid="{90B7D8A7-AB50-4012-9B15-1F07BE42E965}"/>
    <cellStyle name="Comma 4 8" xfId="25704" xr:uid="{F1EC7735-1591-4459-BE58-0AF77C0FFFD3}"/>
    <cellStyle name="Comma 5" xfId="161" xr:uid="{00000000-0005-0000-0000-0000810A0000}"/>
    <cellStyle name="Comma 5 2" xfId="162" xr:uid="{00000000-0005-0000-0000-0000820A0000}"/>
    <cellStyle name="Comma 5 2 2" xfId="698" xr:uid="{00000000-0005-0000-0000-0000830A0000}"/>
    <cellStyle name="Comma 5 3" xfId="25705" xr:uid="{8ECF0FE3-DCF4-4DAE-BC79-0A22A26EB11F}"/>
    <cellStyle name="Comma 6" xfId="163" xr:uid="{00000000-0005-0000-0000-0000840A0000}"/>
    <cellStyle name="Comma 6 2" xfId="25706" xr:uid="{9A6E054B-7E21-4AE0-BB81-98A0B7D06D46}"/>
    <cellStyle name="Comma 7" xfId="4498" xr:uid="{00000000-0005-0000-0000-0000850A0000}"/>
    <cellStyle name="Comma 7 2" xfId="21390" xr:uid="{22675D6C-3F7C-4343-BCF1-D082D0F33B2D}"/>
    <cellStyle name="Comma 7 2 2" xfId="25881" xr:uid="{F799730A-C1B3-402C-99A4-6A4BD85BE5D6}"/>
    <cellStyle name="Comma 7 2 3" xfId="25796" xr:uid="{83B0E70E-0B72-4971-B1E3-AC71C5B73B71}"/>
    <cellStyle name="Comma 7 3" xfId="12949" xr:uid="{CD415B83-B9A3-4FB1-9784-FBE2A0ECE1C4}"/>
    <cellStyle name="Comma 7 4" xfId="25707" xr:uid="{DA2D5B36-6602-4A59-91DF-17F8E5EC74C7}"/>
    <cellStyle name="Comma 8" xfId="25675" xr:uid="{66042C9F-B5E4-4186-A585-295177588AA2}"/>
    <cellStyle name="Comma 8 2" xfId="25829" xr:uid="{C0354EB6-3568-4BD1-A5BC-C51B20AF16B9}"/>
    <cellStyle name="Comma 9" xfId="25782" xr:uid="{D985E018-54C8-4BD6-B282-A6C4C0515E73}"/>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25607" xr:uid="{C8027CB3-604F-4FE2-9B60-64611F88B2D6}"/>
    <cellStyle name="Currency 14 2 3" xfId="17166" xr:uid="{3B49B051-B7C8-4D53-B13C-3761F13E1AD3}"/>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2 3" xfId="25616" xr:uid="{06BA935E-103B-4F34-9BEB-25EE91E4F885}"/>
    <cellStyle name="Currency 14 3 2 2 3" xfId="17175" xr:uid="{89ED36AF-7C43-4A35-8468-5B39E7BCD8E7}"/>
    <cellStyle name="Currency 14 3 2 3" xfId="25613" xr:uid="{B08D2D45-32BB-4982-8DFE-5A877FFAB529}"/>
    <cellStyle name="Currency 14 3 2 4" xfId="17172" xr:uid="{3CD2A730-F47D-4EA4-8A9C-7E2C422DA4A7}"/>
    <cellStyle name="Currency 14 3 2 5" xfId="25878" xr:uid="{558CC03D-7177-4E25-ABB2-BE7C94541DF8}"/>
    <cellStyle name="Currency 14 3 3" xfId="25610" xr:uid="{FCB8FE26-A156-4CBA-BF83-EC29678F7CC6}"/>
    <cellStyle name="Currency 14 3 4" xfId="17169" xr:uid="{B5CA6DAB-7714-4E4F-AC9A-4B6764D4772C}"/>
    <cellStyle name="Currency 14 3 5" xfId="25793" xr:uid="{AF42B67D-E1D8-4CCA-92F4-BE9305F80D0B}"/>
    <cellStyle name="Currency 14 4" xfId="21393" xr:uid="{8BB16F15-A2C6-42D5-AA14-4C39F346C6B8}"/>
    <cellStyle name="Currency 14 5" xfId="12952" xr:uid="{731B4883-1938-45BA-8C80-C0FC0F74C8E8}"/>
    <cellStyle name="Currency 2" xfId="171" xr:uid="{00000000-0005-0000-0000-0000990A0000}"/>
    <cellStyle name="Currency 2 2" xfId="172" xr:uid="{00000000-0005-0000-0000-00009A0A0000}"/>
    <cellStyle name="Currency 2 2 2" xfId="25708" xr:uid="{98CACCF3-30D4-4676-A714-A179613C83C9}"/>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23906" xr:uid="{A69E09BB-C755-4A54-9C33-988B04F0A3F4}"/>
    <cellStyle name="Currency 3 2 2 10 2 3" xfId="15465" xr:uid="{3760C5C0-4B11-4553-AC55-DDC9820FBB04}"/>
    <cellStyle name="Currency 3 2 2 10 3" xfId="19688" xr:uid="{074D91B5-67BD-40B4-BA9B-422EBFBCE027}"/>
    <cellStyle name="Currency 3 2 2 10 4" xfId="11247" xr:uid="{6EC687EC-B329-4FDF-8330-B8464FF0F2E4}"/>
    <cellStyle name="Currency 3 2 2 11" xfId="4632" xr:uid="{00000000-0005-0000-0000-0000A50A0000}"/>
    <cellStyle name="Currency 3 2 2 11 2" xfId="21523" xr:uid="{BA5DDFF5-62F3-4254-9262-55B63987AAA3}"/>
    <cellStyle name="Currency 3 2 2 11 3" xfId="13082" xr:uid="{F6A018C4-CD5B-46C9-8030-6816FBA1CD22}"/>
    <cellStyle name="Currency 3 2 2 12" xfId="17305" xr:uid="{37EAA970-B859-42A6-9743-47E8446EDE4D}"/>
    <cellStyle name="Currency 3 2 2 13" xfId="8864" xr:uid="{49684509-B4F1-455A-AA21-9F88C1223604}"/>
    <cellStyle name="Currency 3 2 2 2" xfId="179" xr:uid="{00000000-0005-0000-0000-0000A60A0000}"/>
    <cellStyle name="Currency 3 2 2 2 10" xfId="4633" xr:uid="{00000000-0005-0000-0000-0000A70A0000}"/>
    <cellStyle name="Currency 3 2 2 2 10 2" xfId="21524" xr:uid="{D1F89201-E6B5-4F5C-AFD4-C1272F166CFE}"/>
    <cellStyle name="Currency 3 2 2 2 10 3" xfId="13083" xr:uid="{592E345D-EF25-429F-A1E8-3258CEA50D31}"/>
    <cellStyle name="Currency 3 2 2 2 11" xfId="17306" xr:uid="{F28CC53B-3508-40B7-A741-1C011F0CC201}"/>
    <cellStyle name="Currency 3 2 2 2 12" xfId="8865" xr:uid="{9B6695C7-1FEE-438F-914E-F6451453679B}"/>
    <cellStyle name="Currency 3 2 2 2 2" xfId="180" xr:uid="{00000000-0005-0000-0000-0000A80A0000}"/>
    <cellStyle name="Currency 3 2 2 2 2 10" xfId="17307" xr:uid="{676D0EB9-C525-4F69-A326-8972566DB59E}"/>
    <cellStyle name="Currency 3 2 2 2 2 11" xfId="8866" xr:uid="{F8DBE33F-A997-4963-917F-406F170778AD}"/>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24084" xr:uid="{20BDC2DA-A042-4A71-9510-409BEECD1E79}"/>
    <cellStyle name="Currency 3 2 2 2 2 2 2 2 3" xfId="15643" xr:uid="{3233FE64-676B-4C36-8D6F-B103AE2AC096}"/>
    <cellStyle name="Currency 3 2 2 2 2 2 2 3" xfId="19866" xr:uid="{63C33940-116A-4FAA-99E3-F32DE76E2C65}"/>
    <cellStyle name="Currency 3 2 2 2 2 2 2 4" xfId="11425" xr:uid="{D29FD2F8-25EB-4AAD-9F68-F248FEE0B9D1}"/>
    <cellStyle name="Currency 3 2 2 2 2 2 3" xfId="5048" xr:uid="{00000000-0005-0000-0000-0000AC0A0000}"/>
    <cellStyle name="Currency 3 2 2 2 2 2 3 2" xfId="21939" xr:uid="{C59540A5-3224-4033-85D1-FEA796858D38}"/>
    <cellStyle name="Currency 3 2 2 2 2 2 3 3" xfId="13498" xr:uid="{A125C01C-EE6F-4DBA-99ED-57030392844A}"/>
    <cellStyle name="Currency 3 2 2 2 2 2 4" xfId="17721" xr:uid="{4C0FF56D-3EE8-423D-A867-990E903217E3}"/>
    <cellStyle name="Currency 3 2 2 2 2 2 5" xfId="9280" xr:uid="{E0B9997A-F231-404E-9E42-5B759CACD81E}"/>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24497" xr:uid="{6FD584C2-9653-49D4-A29F-8D80ADE3F301}"/>
    <cellStyle name="Currency 3 2 2 2 2 3 2 2 3" xfId="16056" xr:uid="{35AC0014-EDA7-44C9-8318-4ADA4FDE2CD9}"/>
    <cellStyle name="Currency 3 2 2 2 2 3 2 3" xfId="20279" xr:uid="{E0DA6114-6DC3-46A0-B53C-AA71AB827465}"/>
    <cellStyle name="Currency 3 2 2 2 2 3 2 4" xfId="11838" xr:uid="{A493A190-40FD-488A-88F1-545BC9754017}"/>
    <cellStyle name="Currency 3 2 2 2 2 3 3" xfId="5461" xr:uid="{00000000-0005-0000-0000-0000B00A0000}"/>
    <cellStyle name="Currency 3 2 2 2 2 3 3 2" xfId="22352" xr:uid="{E9A32597-B2B8-444B-B769-7F28B003E1B1}"/>
    <cellStyle name="Currency 3 2 2 2 2 3 3 3" xfId="13911" xr:uid="{CAD0EFD3-C633-4E84-A504-38C962D414C7}"/>
    <cellStyle name="Currency 3 2 2 2 2 3 4" xfId="18134" xr:uid="{FF4567F5-283F-4DF0-8DBA-A0FA31819EFE}"/>
    <cellStyle name="Currency 3 2 2 2 2 3 5" xfId="9693" xr:uid="{5A7EF130-E3F0-4D04-B17C-1DC7E41F6721}"/>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24910" xr:uid="{4C38B06C-206A-42F8-AA47-F7AF507AD93C}"/>
    <cellStyle name="Currency 3 2 2 2 2 4 2 2 3" xfId="16469" xr:uid="{5F3A328F-E2DC-4F07-962B-4F8444CFB12A}"/>
    <cellStyle name="Currency 3 2 2 2 2 4 2 3" xfId="20692" xr:uid="{4BB88980-5F35-4257-BDB9-9EA434A2B68E}"/>
    <cellStyle name="Currency 3 2 2 2 2 4 2 4" xfId="12251" xr:uid="{C8590DC8-286E-42EE-BCAE-81F9F6CCD74C}"/>
    <cellStyle name="Currency 3 2 2 2 2 4 3" xfId="5874" xr:uid="{00000000-0005-0000-0000-0000B40A0000}"/>
    <cellStyle name="Currency 3 2 2 2 2 4 3 2" xfId="22765" xr:uid="{B088925F-5105-43DE-A199-2D2332450958}"/>
    <cellStyle name="Currency 3 2 2 2 2 4 3 3" xfId="14324" xr:uid="{C2E14630-10B2-4552-A5D7-D16DC7A4FE47}"/>
    <cellStyle name="Currency 3 2 2 2 2 4 4" xfId="18547" xr:uid="{6539788E-69F4-415F-BFF7-7943CA5B0164}"/>
    <cellStyle name="Currency 3 2 2 2 2 4 5" xfId="10106" xr:uid="{647B4DFF-4351-4269-9B54-9FA61AEEEA5C}"/>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25323" xr:uid="{C994D905-5EE6-45D7-9DF6-17D90320C0E1}"/>
    <cellStyle name="Currency 3 2 2 2 2 5 2 2 3" xfId="16882" xr:uid="{C5072168-41C9-4ADA-938B-CADB1081B5F6}"/>
    <cellStyle name="Currency 3 2 2 2 2 5 2 3" xfId="21105" xr:uid="{3EFE3316-5E5C-420B-B63A-20479112B6E8}"/>
    <cellStyle name="Currency 3 2 2 2 2 5 2 4" xfId="12664" xr:uid="{823E1D8E-0D71-4D41-94FD-C3B8D5F0C72E}"/>
    <cellStyle name="Currency 3 2 2 2 2 5 3" xfId="6287" xr:uid="{00000000-0005-0000-0000-0000B80A0000}"/>
    <cellStyle name="Currency 3 2 2 2 2 5 3 2" xfId="23178" xr:uid="{8CD091D8-73DA-45BC-AF50-9CB81BF3BBB4}"/>
    <cellStyle name="Currency 3 2 2 2 2 5 3 3" xfId="14737" xr:uid="{E8564408-F4C0-4B86-B205-82E96F776867}"/>
    <cellStyle name="Currency 3 2 2 2 2 5 4" xfId="18960" xr:uid="{0C42C48E-9B44-4497-A247-423BBBD9DB36}"/>
    <cellStyle name="Currency 3 2 2 2 2 5 5" xfId="10519" xr:uid="{0F4085E7-C95F-4203-93A2-F467A200D6DB}"/>
    <cellStyle name="Currency 3 2 2 2 2 6" xfId="2416" xr:uid="{00000000-0005-0000-0000-0000B90A0000}"/>
    <cellStyle name="Currency 3 2 2 2 2 6 2" xfId="6700" xr:uid="{00000000-0005-0000-0000-0000BA0A0000}"/>
    <cellStyle name="Currency 3 2 2 2 2 6 2 2" xfId="23591" xr:uid="{E1EB738C-A25F-493F-B194-3C44AE1C9ACF}"/>
    <cellStyle name="Currency 3 2 2 2 2 6 2 3" xfId="15150" xr:uid="{6420CAAE-4ACD-4387-8503-00F5C39E9D62}"/>
    <cellStyle name="Currency 3 2 2 2 2 6 3" xfId="19373" xr:uid="{F4328A72-35A4-474D-A396-DCB96E7ED22F}"/>
    <cellStyle name="Currency 3 2 2 2 2 6 4" xfId="10932" xr:uid="{C1A7E682-2914-454E-8BAE-7871ACD49C85}"/>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23908" xr:uid="{BC2436E1-653C-4D84-9056-5ADE4EEE4310}"/>
    <cellStyle name="Currency 3 2 2 2 2 8 2 3" xfId="15467" xr:uid="{6F4B2A05-7DB3-4E2E-9206-5BF48B9149D9}"/>
    <cellStyle name="Currency 3 2 2 2 2 8 3" xfId="19690" xr:uid="{DC5DD615-1889-45EB-9422-CBE81EEF128D}"/>
    <cellStyle name="Currency 3 2 2 2 2 8 4" xfId="11249" xr:uid="{944FB96F-4A8A-488F-8E34-8439C29BA9F8}"/>
    <cellStyle name="Currency 3 2 2 2 2 9" xfId="4634" xr:uid="{00000000-0005-0000-0000-0000BE0A0000}"/>
    <cellStyle name="Currency 3 2 2 2 2 9 2" xfId="21525" xr:uid="{09DDA5CE-944A-4585-AC9E-678B429F7924}"/>
    <cellStyle name="Currency 3 2 2 2 2 9 3" xfId="13084" xr:uid="{35C4FCC6-20F0-4469-8658-4CEDC3D4FEB3}"/>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24083" xr:uid="{C873DDEE-D3F1-4F03-A0DA-7AF5B90A8903}"/>
    <cellStyle name="Currency 3 2 2 2 3 2 2 3" xfId="15642" xr:uid="{D6D4D35E-D2EF-4A99-9327-3A5DFCC2FBBA}"/>
    <cellStyle name="Currency 3 2 2 2 3 2 3" xfId="19865" xr:uid="{9DF54B28-211F-4720-B16A-13D70174BDBC}"/>
    <cellStyle name="Currency 3 2 2 2 3 2 4" xfId="11424" xr:uid="{ECB38250-9210-48A9-A269-DAF008C4A514}"/>
    <cellStyle name="Currency 3 2 2 2 3 3" xfId="5047" xr:uid="{00000000-0005-0000-0000-0000C20A0000}"/>
    <cellStyle name="Currency 3 2 2 2 3 3 2" xfId="21938" xr:uid="{9978A8FC-92B8-4E8C-9F4B-895A44930F8F}"/>
    <cellStyle name="Currency 3 2 2 2 3 3 3" xfId="13497" xr:uid="{A8C0E21A-FB57-4E36-B3A7-F5DDF56D3026}"/>
    <cellStyle name="Currency 3 2 2 2 3 4" xfId="17720" xr:uid="{EAE63615-AA28-4CB0-B39A-D5E428DF426C}"/>
    <cellStyle name="Currency 3 2 2 2 3 5" xfId="9279" xr:uid="{53413036-2CAA-470E-B5B7-465E8D3690E7}"/>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24496" xr:uid="{FD54874E-60D8-4E10-B74A-E2ACCCCA40B8}"/>
    <cellStyle name="Currency 3 2 2 2 4 2 2 3" xfId="16055" xr:uid="{438A08B3-B5F2-4217-A407-2976C64C133D}"/>
    <cellStyle name="Currency 3 2 2 2 4 2 3" xfId="20278" xr:uid="{B2EAF42E-3C3C-4493-B06B-3B15066A1E0E}"/>
    <cellStyle name="Currency 3 2 2 2 4 2 4" xfId="11837" xr:uid="{4EB0BD6A-C746-4C0B-A4F9-AD2CEC04FADF}"/>
    <cellStyle name="Currency 3 2 2 2 4 3" xfId="5460" xr:uid="{00000000-0005-0000-0000-0000C60A0000}"/>
    <cellStyle name="Currency 3 2 2 2 4 3 2" xfId="22351" xr:uid="{7EEE2E91-2FC6-4C5B-85D2-BF3F548C46C2}"/>
    <cellStyle name="Currency 3 2 2 2 4 3 3" xfId="13910" xr:uid="{7B0111AE-58C3-4F3F-94E0-AE238F96F7E1}"/>
    <cellStyle name="Currency 3 2 2 2 4 4" xfId="18133" xr:uid="{F306A539-E24F-4F7C-BB8E-26E03D769964}"/>
    <cellStyle name="Currency 3 2 2 2 4 5" xfId="9692" xr:uid="{477AE41D-3922-4657-ACF3-E6E9F973BD6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24909" xr:uid="{221F5BD3-0143-4DAD-9174-6ADBE11A9EB4}"/>
    <cellStyle name="Currency 3 2 2 2 5 2 2 3" xfId="16468" xr:uid="{FDC94FD5-92DF-4323-BCE0-CB057FD2E3E8}"/>
    <cellStyle name="Currency 3 2 2 2 5 2 3" xfId="20691" xr:uid="{6C524EB5-0D1A-4FE7-8EB5-500994EF7EDD}"/>
    <cellStyle name="Currency 3 2 2 2 5 2 4" xfId="12250" xr:uid="{534F7E8A-60C7-4B89-85C2-5F1293FFE661}"/>
    <cellStyle name="Currency 3 2 2 2 5 3" xfId="5873" xr:uid="{00000000-0005-0000-0000-0000CA0A0000}"/>
    <cellStyle name="Currency 3 2 2 2 5 3 2" xfId="22764" xr:uid="{CC9B6AF9-924E-414E-B990-CCE07DAB6EFB}"/>
    <cellStyle name="Currency 3 2 2 2 5 3 3" xfId="14323" xr:uid="{7762E87C-05BC-4CD4-8D40-C7325B51F3B1}"/>
    <cellStyle name="Currency 3 2 2 2 5 4" xfId="18546" xr:uid="{DE9553B2-E123-45DB-9A41-55849247AA23}"/>
    <cellStyle name="Currency 3 2 2 2 5 5" xfId="10105" xr:uid="{5E9B56DA-883E-4407-BDFB-9A51F7F9BE7B}"/>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25322" xr:uid="{1CAA4544-BDDD-4273-80A0-BF39A45F4D4F}"/>
    <cellStyle name="Currency 3 2 2 2 6 2 2 3" xfId="16881" xr:uid="{CBB12B83-8408-478D-A0B6-28FBA3337EBD}"/>
    <cellStyle name="Currency 3 2 2 2 6 2 3" xfId="21104" xr:uid="{C3D82511-FC6D-4171-9371-8FDE77088426}"/>
    <cellStyle name="Currency 3 2 2 2 6 2 4" xfId="12663" xr:uid="{427D2207-641F-4DA8-9D40-06A7D881BC9A}"/>
    <cellStyle name="Currency 3 2 2 2 6 3" xfId="6286" xr:uid="{00000000-0005-0000-0000-0000CE0A0000}"/>
    <cellStyle name="Currency 3 2 2 2 6 3 2" xfId="23177" xr:uid="{E045FD0E-DAAC-465C-9053-2B60DF45C7E5}"/>
    <cellStyle name="Currency 3 2 2 2 6 3 3" xfId="14736" xr:uid="{C967F2AF-D052-416E-A238-7C1FB8FC45CE}"/>
    <cellStyle name="Currency 3 2 2 2 6 4" xfId="18959" xr:uid="{CCF6844F-F76E-4142-8E27-F9AC47063691}"/>
    <cellStyle name="Currency 3 2 2 2 6 5" xfId="10518" xr:uid="{F9A6841E-D811-4B24-8650-9578C8A50CFC}"/>
    <cellStyle name="Currency 3 2 2 2 7" xfId="2415" xr:uid="{00000000-0005-0000-0000-0000CF0A0000}"/>
    <cellStyle name="Currency 3 2 2 2 7 2" xfId="6699" xr:uid="{00000000-0005-0000-0000-0000D00A0000}"/>
    <cellStyle name="Currency 3 2 2 2 7 2 2" xfId="23590" xr:uid="{4BDC69DB-754D-48E3-A67A-B8E09F7E86F3}"/>
    <cellStyle name="Currency 3 2 2 2 7 2 3" xfId="15149" xr:uid="{FCA563F2-B193-4C39-9B71-19A107D0CF7F}"/>
    <cellStyle name="Currency 3 2 2 2 7 3" xfId="19372" xr:uid="{F37C65C7-7690-482F-8847-B5B5BB88B7B6}"/>
    <cellStyle name="Currency 3 2 2 2 7 4" xfId="10931" xr:uid="{0668B24E-4616-4FAC-82DB-9D012D2C9CEB}"/>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23907" xr:uid="{FC698D9C-8542-4CBA-9454-46EF22AF9B68}"/>
    <cellStyle name="Currency 3 2 2 2 9 2 3" xfId="15466" xr:uid="{DFCCE86A-412F-41BE-B56F-7BB461D414E8}"/>
    <cellStyle name="Currency 3 2 2 2 9 3" xfId="19689" xr:uid="{69E9F37C-F011-4F9B-823B-48BA1A34CCF8}"/>
    <cellStyle name="Currency 3 2 2 2 9 4" xfId="11248" xr:uid="{43D0E9EC-F85A-4CAE-A8FD-46A721A2A328}"/>
    <cellStyle name="Currency 3 2 2 3" xfId="181" xr:uid="{00000000-0005-0000-0000-0000D40A0000}"/>
    <cellStyle name="Currency 3 2 2 3 10" xfId="17308" xr:uid="{34282F9F-A6A3-4C3A-9C34-533A2E513357}"/>
    <cellStyle name="Currency 3 2 2 3 11" xfId="8867" xr:uid="{105658E3-0660-4FAB-8FB3-846F8528E827}"/>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24085" xr:uid="{8CDB04CF-9E2A-4D93-A129-EBDFFC669852}"/>
    <cellStyle name="Currency 3 2 2 3 2 2 2 3" xfId="15644" xr:uid="{C95AA34B-AF7E-4C9B-A0F3-D9AD18DFC916}"/>
    <cellStyle name="Currency 3 2 2 3 2 2 3" xfId="19867" xr:uid="{C71AC24A-36DB-4EBF-B4DA-373BB7EA82BF}"/>
    <cellStyle name="Currency 3 2 2 3 2 2 4" xfId="11426" xr:uid="{708B4361-8EFA-413D-B401-06DEE55FB761}"/>
    <cellStyle name="Currency 3 2 2 3 2 3" xfId="5049" xr:uid="{00000000-0005-0000-0000-0000D80A0000}"/>
    <cellStyle name="Currency 3 2 2 3 2 3 2" xfId="21940" xr:uid="{21FAC2AE-D4EB-4B39-B3E1-137220058E23}"/>
    <cellStyle name="Currency 3 2 2 3 2 3 3" xfId="13499" xr:uid="{CF5DC8B6-77C5-4FB2-B193-1C8441CDD46D}"/>
    <cellStyle name="Currency 3 2 2 3 2 4" xfId="17722" xr:uid="{8A8ADB1F-AFD7-4C7A-B249-F4567CC77E2A}"/>
    <cellStyle name="Currency 3 2 2 3 2 5" xfId="9281" xr:uid="{F86168DB-E45E-4412-854B-B3EBD7EBD14A}"/>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24498" xr:uid="{21BE24DA-4E38-411E-A83B-22C3EECDB716}"/>
    <cellStyle name="Currency 3 2 2 3 3 2 2 3" xfId="16057" xr:uid="{FCCFB86A-F35B-4D5C-91F1-A9E086526C8B}"/>
    <cellStyle name="Currency 3 2 2 3 3 2 3" xfId="20280" xr:uid="{0E0F415F-E148-4A99-99FD-A2421E436168}"/>
    <cellStyle name="Currency 3 2 2 3 3 2 4" xfId="11839" xr:uid="{072E863C-694A-40D9-A2C3-7D06941E299B}"/>
    <cellStyle name="Currency 3 2 2 3 3 3" xfId="5462" xr:uid="{00000000-0005-0000-0000-0000DC0A0000}"/>
    <cellStyle name="Currency 3 2 2 3 3 3 2" xfId="22353" xr:uid="{E646456E-D673-44F4-93E2-0B749446ACE4}"/>
    <cellStyle name="Currency 3 2 2 3 3 3 3" xfId="13912" xr:uid="{043E83B6-F6F5-4E06-8613-8B4F4895A9AD}"/>
    <cellStyle name="Currency 3 2 2 3 3 4" xfId="18135" xr:uid="{78E0DAB3-B33F-4A43-A225-D417DDB5B8C8}"/>
    <cellStyle name="Currency 3 2 2 3 3 5" xfId="9694" xr:uid="{AEE8B86C-697C-425F-B9D0-7D24783AFC96}"/>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24911" xr:uid="{2FAD8E46-F4D3-4411-A71E-23B51CB4F04A}"/>
    <cellStyle name="Currency 3 2 2 3 4 2 2 3" xfId="16470" xr:uid="{66D91CFF-42AF-4640-9953-4FC206892941}"/>
    <cellStyle name="Currency 3 2 2 3 4 2 3" xfId="20693" xr:uid="{CF46B537-9852-4F11-87AF-A2891C6A531B}"/>
    <cellStyle name="Currency 3 2 2 3 4 2 4" xfId="12252" xr:uid="{47B55FE0-5EA3-43A4-B779-D97DF43AE735}"/>
    <cellStyle name="Currency 3 2 2 3 4 3" xfId="5875" xr:uid="{00000000-0005-0000-0000-0000E00A0000}"/>
    <cellStyle name="Currency 3 2 2 3 4 3 2" xfId="22766" xr:uid="{934C63B7-E44E-462F-B5E8-7CA58159A72F}"/>
    <cellStyle name="Currency 3 2 2 3 4 3 3" xfId="14325" xr:uid="{9C48515D-6669-4561-B791-276F83FC0F87}"/>
    <cellStyle name="Currency 3 2 2 3 4 4" xfId="18548" xr:uid="{37DBCCE1-029D-4343-AA93-DA57AC605CE8}"/>
    <cellStyle name="Currency 3 2 2 3 4 5" xfId="10107" xr:uid="{3DDE445F-1BB5-46B2-BABD-E0D1FF0BC924}"/>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25324" xr:uid="{5B832D44-5498-4512-8745-898E3A3F3B04}"/>
    <cellStyle name="Currency 3 2 2 3 5 2 2 3" xfId="16883" xr:uid="{233B5297-BC60-4ED3-8F78-3702CD49E283}"/>
    <cellStyle name="Currency 3 2 2 3 5 2 3" xfId="21106" xr:uid="{A4E38D54-AA69-4707-8724-8AB3D6757F26}"/>
    <cellStyle name="Currency 3 2 2 3 5 2 4" xfId="12665" xr:uid="{DE03C458-C2EF-4CA2-88EB-CE7F647882B0}"/>
    <cellStyle name="Currency 3 2 2 3 5 3" xfId="6288" xr:uid="{00000000-0005-0000-0000-0000E40A0000}"/>
    <cellStyle name="Currency 3 2 2 3 5 3 2" xfId="23179" xr:uid="{6439E5E3-23B6-468A-8413-DDFD64902BA2}"/>
    <cellStyle name="Currency 3 2 2 3 5 3 3" xfId="14738" xr:uid="{532AF37D-2A7F-4514-858F-274A6662B0FA}"/>
    <cellStyle name="Currency 3 2 2 3 5 4" xfId="18961" xr:uid="{978ABDB6-ED1C-4C93-B872-0BBC2EE4E62B}"/>
    <cellStyle name="Currency 3 2 2 3 5 5" xfId="10520" xr:uid="{7E95036F-6B01-4659-A58C-B7BEE25FC1B8}"/>
    <cellStyle name="Currency 3 2 2 3 6" xfId="2417" xr:uid="{00000000-0005-0000-0000-0000E50A0000}"/>
    <cellStyle name="Currency 3 2 2 3 6 2" xfId="6701" xr:uid="{00000000-0005-0000-0000-0000E60A0000}"/>
    <cellStyle name="Currency 3 2 2 3 6 2 2" xfId="23592" xr:uid="{E1603D23-6764-464B-88F8-87439B972974}"/>
    <cellStyle name="Currency 3 2 2 3 6 2 3" xfId="15151" xr:uid="{056D190F-76B0-4636-B671-B991AE2DFAC1}"/>
    <cellStyle name="Currency 3 2 2 3 6 3" xfId="19374" xr:uid="{3BB2D01B-3B8C-4B06-B35D-F4CE8F845978}"/>
    <cellStyle name="Currency 3 2 2 3 6 4" xfId="10933" xr:uid="{15D4F543-253F-4EF3-9EC4-A974E37C4C96}"/>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23909" xr:uid="{B2812435-0D83-4CD7-9B2B-ABDA47F03764}"/>
    <cellStyle name="Currency 3 2 2 3 8 2 3" xfId="15468" xr:uid="{A7E95BA3-2C95-469C-9284-73BEFB741446}"/>
    <cellStyle name="Currency 3 2 2 3 8 3" xfId="19691" xr:uid="{AC19D7DD-D80E-4471-B944-A13F9A94F688}"/>
    <cellStyle name="Currency 3 2 2 3 8 4" xfId="11250" xr:uid="{C45ED6E3-39C8-46CD-A21A-431DDC043086}"/>
    <cellStyle name="Currency 3 2 2 3 9" xfId="4635" xr:uid="{00000000-0005-0000-0000-0000EA0A0000}"/>
    <cellStyle name="Currency 3 2 2 3 9 2" xfId="21526" xr:uid="{0A03815F-0770-4E7B-AB4A-6744EF081602}"/>
    <cellStyle name="Currency 3 2 2 3 9 3" xfId="13085" xr:uid="{F88171E9-20A2-4441-B2E9-0D537BFA9AFC}"/>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24082" xr:uid="{94CF586B-800A-43EC-B65C-296E8976AC8D}"/>
    <cellStyle name="Currency 3 2 2 4 2 2 3" xfId="15641" xr:uid="{6382FBF9-0852-4E50-BBE7-92F10D711909}"/>
    <cellStyle name="Currency 3 2 2 4 2 3" xfId="19864" xr:uid="{38A88AF1-E642-446B-97A3-EE87FACC471A}"/>
    <cellStyle name="Currency 3 2 2 4 2 4" xfId="11423" xr:uid="{AD316FD0-90B5-466E-BAAC-2BB97285B936}"/>
    <cellStyle name="Currency 3 2 2 4 3" xfId="5046" xr:uid="{00000000-0005-0000-0000-0000EE0A0000}"/>
    <cellStyle name="Currency 3 2 2 4 3 2" xfId="21937" xr:uid="{D0229A18-B0EB-43EB-ABE2-946A9FF0A901}"/>
    <cellStyle name="Currency 3 2 2 4 3 3" xfId="13496" xr:uid="{E8E652CD-CFA1-4287-AC07-FBA2C0E6709D}"/>
    <cellStyle name="Currency 3 2 2 4 4" xfId="17719" xr:uid="{C469BAA3-FC4E-4215-97E5-6EC17912D2EF}"/>
    <cellStyle name="Currency 3 2 2 4 5" xfId="9278" xr:uid="{F919FAAB-7D75-48B2-B756-23550642C76B}"/>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24495" xr:uid="{0EB2DAF9-2A99-4F41-B1F8-3AC6ECF73CD0}"/>
    <cellStyle name="Currency 3 2 2 5 2 2 3" xfId="16054" xr:uid="{CDFAA109-BB0B-4C38-AB33-CDF4FBE7FA22}"/>
    <cellStyle name="Currency 3 2 2 5 2 3" xfId="20277" xr:uid="{29134C9A-BF07-4124-846E-3F2C36826273}"/>
    <cellStyle name="Currency 3 2 2 5 2 4" xfId="11836" xr:uid="{88DE81C6-D35D-4132-8554-80E3AB8712AC}"/>
    <cellStyle name="Currency 3 2 2 5 3" xfId="5459" xr:uid="{00000000-0005-0000-0000-0000F20A0000}"/>
    <cellStyle name="Currency 3 2 2 5 3 2" xfId="22350" xr:uid="{AD1BB124-0FA8-4707-8D26-20F87389EB94}"/>
    <cellStyle name="Currency 3 2 2 5 3 3" xfId="13909" xr:uid="{87F4E023-F0A7-41D5-A9E3-FE4CE28D442A}"/>
    <cellStyle name="Currency 3 2 2 5 4" xfId="18132" xr:uid="{A68F90CE-9717-4011-9D17-149BB1F23A0A}"/>
    <cellStyle name="Currency 3 2 2 5 5" xfId="9691" xr:uid="{5B0DD360-42E0-4F87-94B8-4BFC1FD708BF}"/>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24908" xr:uid="{0BDF00A2-5F49-4336-91D6-77DFDE789995}"/>
    <cellStyle name="Currency 3 2 2 6 2 2 3" xfId="16467" xr:uid="{D7B97C06-C713-4CC5-8346-FB28B0890D70}"/>
    <cellStyle name="Currency 3 2 2 6 2 3" xfId="20690" xr:uid="{C57E0268-91F0-458E-B6CD-02905201314F}"/>
    <cellStyle name="Currency 3 2 2 6 2 4" xfId="12249" xr:uid="{369E016A-FC69-4489-8D55-E2D6276941FF}"/>
    <cellStyle name="Currency 3 2 2 6 3" xfId="5872" xr:uid="{00000000-0005-0000-0000-0000F60A0000}"/>
    <cellStyle name="Currency 3 2 2 6 3 2" xfId="22763" xr:uid="{89316C2F-8C43-4CD4-B7D7-22B864F3998E}"/>
    <cellStyle name="Currency 3 2 2 6 3 3" xfId="14322" xr:uid="{69B9EE97-6AF6-43C9-9627-73B55C97AB3E}"/>
    <cellStyle name="Currency 3 2 2 6 4" xfId="18545" xr:uid="{C217EC4E-F387-4824-8007-40367ED75F1D}"/>
    <cellStyle name="Currency 3 2 2 6 5" xfId="10104" xr:uid="{087F25E1-8680-4A70-AC3F-933F9DF016B0}"/>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25321" xr:uid="{CCF1C9F7-8735-4C55-BC43-74F1EFF23AFC}"/>
    <cellStyle name="Currency 3 2 2 7 2 2 3" xfId="16880" xr:uid="{D288364E-9158-431C-98D0-4CDEDD1DAEFA}"/>
    <cellStyle name="Currency 3 2 2 7 2 3" xfId="21103" xr:uid="{773E8060-4865-46CE-A5BC-47B72164899B}"/>
    <cellStyle name="Currency 3 2 2 7 2 4" xfId="12662" xr:uid="{AF24F188-5CD2-4533-BCA3-A99212245323}"/>
    <cellStyle name="Currency 3 2 2 7 3" xfId="6285" xr:uid="{00000000-0005-0000-0000-0000FA0A0000}"/>
    <cellStyle name="Currency 3 2 2 7 3 2" xfId="23176" xr:uid="{8C2FE428-F777-4B76-887F-991BF614E3E6}"/>
    <cellStyle name="Currency 3 2 2 7 3 3" xfId="14735" xr:uid="{717171A1-BAD3-4619-8D80-BEA98BCB81F5}"/>
    <cellStyle name="Currency 3 2 2 7 4" xfId="18958" xr:uid="{D1F0F41A-D04A-4EB8-98D0-674CFFD2CF94}"/>
    <cellStyle name="Currency 3 2 2 7 5" xfId="10517" xr:uid="{1A646172-3AEB-4B50-B5B7-AFCAA0124590}"/>
    <cellStyle name="Currency 3 2 2 8" xfId="2414" xr:uid="{00000000-0005-0000-0000-0000FB0A0000}"/>
    <cellStyle name="Currency 3 2 2 8 2" xfId="6698" xr:uid="{00000000-0005-0000-0000-0000FC0A0000}"/>
    <cellStyle name="Currency 3 2 2 8 2 2" xfId="23589" xr:uid="{67374C59-8C5D-4F2B-A63C-2EEA7EAD4C8D}"/>
    <cellStyle name="Currency 3 2 2 8 2 3" xfId="15148" xr:uid="{674D4792-24CA-480B-9DC7-385EEE507162}"/>
    <cellStyle name="Currency 3 2 2 8 3" xfId="19371" xr:uid="{3E2EDC51-159F-4B67-8A3B-E61A983A29AC}"/>
    <cellStyle name="Currency 3 2 2 8 4" xfId="10930" xr:uid="{2C42F2BC-AC52-4F53-980D-4F6CBDB5B27F}"/>
    <cellStyle name="Currency 3 2 2 9" xfId="2711" xr:uid="{00000000-0005-0000-0000-0000FD0A0000}"/>
    <cellStyle name="Currency 3 2 3" xfId="182" xr:uid="{00000000-0005-0000-0000-0000FE0A0000}"/>
    <cellStyle name="Currency 3 2 3 10" xfId="4636" xr:uid="{00000000-0005-0000-0000-0000FF0A0000}"/>
    <cellStyle name="Currency 3 2 3 10 2" xfId="21527" xr:uid="{2E380FC3-D28E-409E-864F-CCD5E65D8337}"/>
    <cellStyle name="Currency 3 2 3 10 3" xfId="13086" xr:uid="{F41DE6F6-D809-491F-A767-21789E6DF45E}"/>
    <cellStyle name="Currency 3 2 3 11" xfId="17309" xr:uid="{92059951-E7E9-4C16-A0E1-AE966779797D}"/>
    <cellStyle name="Currency 3 2 3 12" xfId="8868" xr:uid="{8CEA1654-B2DD-4510-91D0-0638E925784F}"/>
    <cellStyle name="Currency 3 2 3 2" xfId="183" xr:uid="{00000000-0005-0000-0000-0000000B0000}"/>
    <cellStyle name="Currency 3 2 3 2 10" xfId="17310" xr:uid="{2406C413-7780-4FC4-BBA4-4CF89A55BBB7}"/>
    <cellStyle name="Currency 3 2 3 2 11" xfId="8869" xr:uid="{A95102EA-592B-4566-8D34-6935AF5CDD97}"/>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24087" xr:uid="{2B925C70-E276-4ED3-BE0D-23E4F4A99D30}"/>
    <cellStyle name="Currency 3 2 3 2 2 2 2 3" xfId="15646" xr:uid="{2288C51B-6BC2-4311-AC01-78DDD6577AE6}"/>
    <cellStyle name="Currency 3 2 3 2 2 2 3" xfId="19869" xr:uid="{5D45182F-F0D7-4A68-8C75-7C89BA0E21E4}"/>
    <cellStyle name="Currency 3 2 3 2 2 2 4" xfId="11428" xr:uid="{C351DB04-5B1E-42D8-97C7-F4EBD9D74E56}"/>
    <cellStyle name="Currency 3 2 3 2 2 3" xfId="5051" xr:uid="{00000000-0005-0000-0000-0000040B0000}"/>
    <cellStyle name="Currency 3 2 3 2 2 3 2" xfId="21942" xr:uid="{5FFCDC26-FE64-4B34-8D8B-51B5A36C2F8C}"/>
    <cellStyle name="Currency 3 2 3 2 2 3 3" xfId="13501" xr:uid="{F79BC404-1741-4A18-B211-ABCBFFA8197B}"/>
    <cellStyle name="Currency 3 2 3 2 2 4" xfId="17724" xr:uid="{6335A5C8-CB27-4A10-B77A-0FAD3F9F96AE}"/>
    <cellStyle name="Currency 3 2 3 2 2 5" xfId="9283" xr:uid="{DADB31F5-6A24-4221-A9A4-85ED3C1D0C42}"/>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24500" xr:uid="{0FDD2097-2D4D-4A68-8B30-3FF572E8C116}"/>
    <cellStyle name="Currency 3 2 3 2 3 2 2 3" xfId="16059" xr:uid="{5A42AEAF-D4CA-404E-8DF9-06866E14B351}"/>
    <cellStyle name="Currency 3 2 3 2 3 2 3" xfId="20282" xr:uid="{256CE6C8-C9D1-4E3A-82C3-1538C2283AA9}"/>
    <cellStyle name="Currency 3 2 3 2 3 2 4" xfId="11841" xr:uid="{2D1D68A5-77AD-496B-9596-23CADA716399}"/>
    <cellStyle name="Currency 3 2 3 2 3 3" xfId="5464" xr:uid="{00000000-0005-0000-0000-0000080B0000}"/>
    <cellStyle name="Currency 3 2 3 2 3 3 2" xfId="22355" xr:uid="{B421AD21-8003-46C5-8889-AE053A90E45E}"/>
    <cellStyle name="Currency 3 2 3 2 3 3 3" xfId="13914" xr:uid="{0E5DA6EA-C5D4-40D1-ACD2-3CDBD7AE9A0C}"/>
    <cellStyle name="Currency 3 2 3 2 3 4" xfId="18137" xr:uid="{DC40AB19-0CF9-48C6-A441-CD4FDD608375}"/>
    <cellStyle name="Currency 3 2 3 2 3 5" xfId="9696" xr:uid="{7F94BDF2-38A0-42AF-9931-EF97071B5396}"/>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24913" xr:uid="{9230CABE-42A0-4D6F-93D3-7D73835A9E91}"/>
    <cellStyle name="Currency 3 2 3 2 4 2 2 3" xfId="16472" xr:uid="{099CFB45-12EA-494D-AD76-E64E2C87A957}"/>
    <cellStyle name="Currency 3 2 3 2 4 2 3" xfId="20695" xr:uid="{C37B717C-F771-4A44-8B64-DB3237BCEEE9}"/>
    <cellStyle name="Currency 3 2 3 2 4 2 4" xfId="12254" xr:uid="{7F2C100B-30EC-4B47-936F-3AF0038CDDA2}"/>
    <cellStyle name="Currency 3 2 3 2 4 3" xfId="5877" xr:uid="{00000000-0005-0000-0000-00000C0B0000}"/>
    <cellStyle name="Currency 3 2 3 2 4 3 2" xfId="22768" xr:uid="{6255621A-8093-47DD-9BC3-F1156C61E4FF}"/>
    <cellStyle name="Currency 3 2 3 2 4 3 3" xfId="14327" xr:uid="{03A9CAE4-24A8-40B8-95C5-14832DED60AD}"/>
    <cellStyle name="Currency 3 2 3 2 4 4" xfId="18550" xr:uid="{0893C4F8-4032-4F9B-84A3-D99EC4D4CAE6}"/>
    <cellStyle name="Currency 3 2 3 2 4 5" xfId="10109" xr:uid="{585B9312-2E5A-41E2-8324-30BB5D65CF4A}"/>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25326" xr:uid="{4EFEF4DA-E21F-44CF-B54A-682CB9EF5BD2}"/>
    <cellStyle name="Currency 3 2 3 2 5 2 2 3" xfId="16885" xr:uid="{A5A07BC7-B6B8-486E-AE22-54A1B38EE2FB}"/>
    <cellStyle name="Currency 3 2 3 2 5 2 3" xfId="21108" xr:uid="{C8C4CF47-6BC4-4B19-AC4F-6418EF156FE8}"/>
    <cellStyle name="Currency 3 2 3 2 5 2 4" xfId="12667" xr:uid="{A66F3909-F2E0-48F5-B967-9C39F30BDA70}"/>
    <cellStyle name="Currency 3 2 3 2 5 3" xfId="6290" xr:uid="{00000000-0005-0000-0000-0000100B0000}"/>
    <cellStyle name="Currency 3 2 3 2 5 3 2" xfId="23181" xr:uid="{C15D84C8-6176-45DD-B0B8-AA234B391A13}"/>
    <cellStyle name="Currency 3 2 3 2 5 3 3" xfId="14740" xr:uid="{E7B8EACB-91EF-4705-AE73-BA409EE12AB6}"/>
    <cellStyle name="Currency 3 2 3 2 5 4" xfId="18963" xr:uid="{26047E2A-99BA-4EA7-9BBC-0C016D74816A}"/>
    <cellStyle name="Currency 3 2 3 2 5 5" xfId="10522" xr:uid="{D6C29966-C85F-41AE-B671-DAA4F7233940}"/>
    <cellStyle name="Currency 3 2 3 2 6" xfId="2419" xr:uid="{00000000-0005-0000-0000-0000110B0000}"/>
    <cellStyle name="Currency 3 2 3 2 6 2" xfId="6703" xr:uid="{00000000-0005-0000-0000-0000120B0000}"/>
    <cellStyle name="Currency 3 2 3 2 6 2 2" xfId="23594" xr:uid="{0BB7C65C-4D7E-4F9A-9B97-2AAFCDE6C8D4}"/>
    <cellStyle name="Currency 3 2 3 2 6 2 3" xfId="15153" xr:uid="{6680B693-84ED-4061-A362-4468C75752D4}"/>
    <cellStyle name="Currency 3 2 3 2 6 3" xfId="19376" xr:uid="{73B6610D-C49A-4247-B775-79FFC470F35B}"/>
    <cellStyle name="Currency 3 2 3 2 6 4" xfId="10935" xr:uid="{4549F7F3-9C13-4E3F-8A63-6E14636B847D}"/>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23911" xr:uid="{35F1BF70-6C01-4EEF-906B-184346AF5BCA}"/>
    <cellStyle name="Currency 3 2 3 2 8 2 3" xfId="15470" xr:uid="{04D01B54-C53A-4F12-93C4-B5313D767701}"/>
    <cellStyle name="Currency 3 2 3 2 8 3" xfId="19693" xr:uid="{E1445262-BBF9-4EC2-BCE2-1AA96D1E57F4}"/>
    <cellStyle name="Currency 3 2 3 2 8 4" xfId="11252" xr:uid="{00BAA556-6967-423E-9C15-7F4DA12E0C0A}"/>
    <cellStyle name="Currency 3 2 3 2 9" xfId="4637" xr:uid="{00000000-0005-0000-0000-0000160B0000}"/>
    <cellStyle name="Currency 3 2 3 2 9 2" xfId="21528" xr:uid="{ACAD773C-07E3-4E08-A4FD-638266799E70}"/>
    <cellStyle name="Currency 3 2 3 2 9 3" xfId="13087" xr:uid="{8BC28FE9-C60C-4484-8F3C-D6EDACCAF9BA}"/>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24086" xr:uid="{AE7A296C-D1B9-4DF4-9D28-ABDF38F71BDD}"/>
    <cellStyle name="Currency 3 2 3 3 2 2 3" xfId="15645" xr:uid="{CD87BAD1-308F-454C-AE6A-692BAA14CCF2}"/>
    <cellStyle name="Currency 3 2 3 3 2 3" xfId="19868" xr:uid="{709EAD45-7020-45D1-A564-54F02299D7D9}"/>
    <cellStyle name="Currency 3 2 3 3 2 4" xfId="11427" xr:uid="{2E18942C-837F-486B-B9CF-AC379410DB7D}"/>
    <cellStyle name="Currency 3 2 3 3 3" xfId="5050" xr:uid="{00000000-0005-0000-0000-00001A0B0000}"/>
    <cellStyle name="Currency 3 2 3 3 3 2" xfId="21941" xr:uid="{F95D4326-6EC5-49E8-AD84-43A61D7874DB}"/>
    <cellStyle name="Currency 3 2 3 3 3 3" xfId="13500" xr:uid="{3CE32CFB-E362-4088-91F2-A2356F243AC2}"/>
    <cellStyle name="Currency 3 2 3 3 4" xfId="17723" xr:uid="{69839B25-E5C4-4DE1-8FEA-A6B43DB745A3}"/>
    <cellStyle name="Currency 3 2 3 3 5" xfId="9282" xr:uid="{A618FD94-02FA-4B1A-B50F-C22DF82B2D94}"/>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24499" xr:uid="{33E81A34-3D1B-4EE9-A7E9-2CBA4AE1DE6A}"/>
    <cellStyle name="Currency 3 2 3 4 2 2 3" xfId="16058" xr:uid="{F1A36921-8A47-4F1F-A299-B2F4BF69BEBE}"/>
    <cellStyle name="Currency 3 2 3 4 2 3" xfId="20281" xr:uid="{303B9C2B-8E44-49DD-82AA-10DFD34591E2}"/>
    <cellStyle name="Currency 3 2 3 4 2 4" xfId="11840" xr:uid="{4D28E440-B807-4DF7-9229-DE872235CD33}"/>
    <cellStyle name="Currency 3 2 3 4 3" xfId="5463" xr:uid="{00000000-0005-0000-0000-00001E0B0000}"/>
    <cellStyle name="Currency 3 2 3 4 3 2" xfId="22354" xr:uid="{C79101FA-226C-4CD0-A60E-6168D3D31CD0}"/>
    <cellStyle name="Currency 3 2 3 4 3 3" xfId="13913" xr:uid="{3484FB49-B2CE-4C6D-96D7-BE65175B8E8B}"/>
    <cellStyle name="Currency 3 2 3 4 4" xfId="18136" xr:uid="{B8CBAB8F-18B9-42D9-B292-D89A093DE20E}"/>
    <cellStyle name="Currency 3 2 3 4 5" xfId="9695" xr:uid="{4AFFD87A-77E1-4C3B-A087-F4C2BDBA4EFF}"/>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24912" xr:uid="{19E664F0-2B2E-46F7-8EBB-E383A3CD94F1}"/>
    <cellStyle name="Currency 3 2 3 5 2 2 3" xfId="16471" xr:uid="{63B1AD0F-E019-44FA-AAF2-F619F65575B5}"/>
    <cellStyle name="Currency 3 2 3 5 2 3" xfId="20694" xr:uid="{342C0B27-66A9-4A1C-94A9-D4C15DFD261A}"/>
    <cellStyle name="Currency 3 2 3 5 2 4" xfId="12253" xr:uid="{1E453E6A-20CD-43C2-97CE-56D1FDFE77BE}"/>
    <cellStyle name="Currency 3 2 3 5 3" xfId="5876" xr:uid="{00000000-0005-0000-0000-0000220B0000}"/>
    <cellStyle name="Currency 3 2 3 5 3 2" xfId="22767" xr:uid="{59F714D9-756C-4F51-BD1C-BC20F1211131}"/>
    <cellStyle name="Currency 3 2 3 5 3 3" xfId="14326" xr:uid="{EF850911-20AA-4D84-8F8B-0CCC69983BDD}"/>
    <cellStyle name="Currency 3 2 3 5 4" xfId="18549" xr:uid="{AE3C4DF0-73BC-4796-AE6F-77EC883A29AA}"/>
    <cellStyle name="Currency 3 2 3 5 5" xfId="10108" xr:uid="{4E2C329B-5FA0-4562-911F-BF07F0C0555F}"/>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25325" xr:uid="{705EDCA0-A6DE-432B-86B5-B73ECB6D2D65}"/>
    <cellStyle name="Currency 3 2 3 6 2 2 3" xfId="16884" xr:uid="{9AB86B3D-3B12-4DA0-8386-627AFFB8949F}"/>
    <cellStyle name="Currency 3 2 3 6 2 3" xfId="21107" xr:uid="{22AE5C66-D621-43A4-A475-8D0779505E50}"/>
    <cellStyle name="Currency 3 2 3 6 2 4" xfId="12666" xr:uid="{1EE36540-9057-4D7F-B3AF-6607BF98DCC2}"/>
    <cellStyle name="Currency 3 2 3 6 3" xfId="6289" xr:uid="{00000000-0005-0000-0000-0000260B0000}"/>
    <cellStyle name="Currency 3 2 3 6 3 2" xfId="23180" xr:uid="{ADCE169D-E3E5-4E6F-872E-B768EB5E3757}"/>
    <cellStyle name="Currency 3 2 3 6 3 3" xfId="14739" xr:uid="{5CBDD77A-0654-4C7C-AD96-4EEBCE278F79}"/>
    <cellStyle name="Currency 3 2 3 6 4" xfId="18962" xr:uid="{4008F280-D335-4D6A-907C-8A9C79F0C364}"/>
    <cellStyle name="Currency 3 2 3 6 5" xfId="10521" xr:uid="{AF069618-A2E8-4847-8FE6-BB3B76A59B63}"/>
    <cellStyle name="Currency 3 2 3 7" xfId="2418" xr:uid="{00000000-0005-0000-0000-0000270B0000}"/>
    <cellStyle name="Currency 3 2 3 7 2" xfId="6702" xr:uid="{00000000-0005-0000-0000-0000280B0000}"/>
    <cellStyle name="Currency 3 2 3 7 2 2" xfId="23593" xr:uid="{00B8A369-47A7-4FBF-80F5-7AC334988708}"/>
    <cellStyle name="Currency 3 2 3 7 2 3" xfId="15152" xr:uid="{680E43C1-439B-4969-B385-9C39DE0977CA}"/>
    <cellStyle name="Currency 3 2 3 7 3" xfId="19375" xr:uid="{AD853430-316C-4010-98B8-B50D6C58A28F}"/>
    <cellStyle name="Currency 3 2 3 7 4" xfId="10934" xr:uid="{789485ED-D1B5-4FB9-97BD-76C10EB18B35}"/>
    <cellStyle name="Currency 3 2 3 8" xfId="2715" xr:uid="{00000000-0005-0000-0000-0000290B0000}"/>
    <cellStyle name="Currency 3 2 3 9" xfId="2796" xr:uid="{00000000-0005-0000-0000-00002A0B0000}"/>
    <cellStyle name="Currency 3 2 3 9 2" xfId="7019" xr:uid="{00000000-0005-0000-0000-00002B0B0000}"/>
    <cellStyle name="Currency 3 2 3 9 2 2" xfId="23910" xr:uid="{BE86EBC4-DB4C-40E0-BD78-F94E7B4F658A}"/>
    <cellStyle name="Currency 3 2 3 9 2 3" xfId="15469" xr:uid="{45FD3657-B8E0-423A-A9FC-D269DFFD4F54}"/>
    <cellStyle name="Currency 3 2 3 9 3" xfId="19692" xr:uid="{08775478-C652-4FCC-8592-C942536C8C89}"/>
    <cellStyle name="Currency 3 2 3 9 4" xfId="11251" xr:uid="{765C8633-115B-40B1-BB10-640DB888CDEA}"/>
    <cellStyle name="Currency 3 2 4" xfId="184" xr:uid="{00000000-0005-0000-0000-00002C0B0000}"/>
    <cellStyle name="Currency 3 2 4 10" xfId="17311" xr:uid="{F088BB8B-3092-4958-A0FF-B7185BA32DAB}"/>
    <cellStyle name="Currency 3 2 4 11" xfId="8870" xr:uid="{18036D51-544C-4049-99E9-1566B850319E}"/>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24088" xr:uid="{181F98B8-E828-4376-AC00-6241518DBD1F}"/>
    <cellStyle name="Currency 3 2 4 2 2 2 3" xfId="15647" xr:uid="{A5E9A9C4-5F88-4248-A5DD-764F2B022C40}"/>
    <cellStyle name="Currency 3 2 4 2 2 3" xfId="19870" xr:uid="{EC8BB77C-2CC7-4AF9-8402-A3EC3C3D649B}"/>
    <cellStyle name="Currency 3 2 4 2 2 4" xfId="11429" xr:uid="{5CDB49EB-5856-4345-B442-56255D44DDF8}"/>
    <cellStyle name="Currency 3 2 4 2 3" xfId="5052" xr:uid="{00000000-0005-0000-0000-0000300B0000}"/>
    <cellStyle name="Currency 3 2 4 2 3 2" xfId="21943" xr:uid="{9D7F018F-329A-4336-92F1-7244968F0EF1}"/>
    <cellStyle name="Currency 3 2 4 2 3 3" xfId="13502" xr:uid="{585E9F9F-BDD7-4D8E-94A1-14F840504AC9}"/>
    <cellStyle name="Currency 3 2 4 2 4" xfId="17725" xr:uid="{79E28A66-8D3F-437D-A200-C998DAD3C323}"/>
    <cellStyle name="Currency 3 2 4 2 5" xfId="9284" xr:uid="{892EE277-027A-4486-B5F4-3656FCC1BF01}"/>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24501" xr:uid="{1CFF8B62-139E-41FF-B43D-E7169B60CABF}"/>
    <cellStyle name="Currency 3 2 4 3 2 2 3" xfId="16060" xr:uid="{3E2E8B75-A335-40B1-87B0-EEAA67124617}"/>
    <cellStyle name="Currency 3 2 4 3 2 3" xfId="20283" xr:uid="{D1A2BA4A-41C1-4303-9D5D-965739256CBE}"/>
    <cellStyle name="Currency 3 2 4 3 2 4" xfId="11842" xr:uid="{82E2B6CA-AA14-4063-B3D7-D3068D4D6C2F}"/>
    <cellStyle name="Currency 3 2 4 3 3" xfId="5465" xr:uid="{00000000-0005-0000-0000-0000340B0000}"/>
    <cellStyle name="Currency 3 2 4 3 3 2" xfId="22356" xr:uid="{55A2314E-15E8-4F5C-A26F-595984434C32}"/>
    <cellStyle name="Currency 3 2 4 3 3 3" xfId="13915" xr:uid="{3012EC8D-AF88-48AF-8B46-74E4551D0784}"/>
    <cellStyle name="Currency 3 2 4 3 4" xfId="18138" xr:uid="{CC9C3C45-F03B-4094-AE51-BFFD5B9B935F}"/>
    <cellStyle name="Currency 3 2 4 3 5" xfId="9697" xr:uid="{0F9531A8-81BA-447D-AD4A-C0C0AEA7DE26}"/>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24914" xr:uid="{FC1480A5-93B5-4F86-8274-A4204889E8B2}"/>
    <cellStyle name="Currency 3 2 4 4 2 2 3" xfId="16473" xr:uid="{E4A6F004-7DAF-4E2C-A605-227EEF759B06}"/>
    <cellStyle name="Currency 3 2 4 4 2 3" xfId="20696" xr:uid="{48989483-8FAC-49CB-8805-58B346354A61}"/>
    <cellStyle name="Currency 3 2 4 4 2 4" xfId="12255" xr:uid="{744F2A89-2891-4F02-8BD9-29FCC6795609}"/>
    <cellStyle name="Currency 3 2 4 4 3" xfId="5878" xr:uid="{00000000-0005-0000-0000-0000380B0000}"/>
    <cellStyle name="Currency 3 2 4 4 3 2" xfId="22769" xr:uid="{1B07853F-2286-480E-AA8D-C9C7EB7BA4CC}"/>
    <cellStyle name="Currency 3 2 4 4 3 3" xfId="14328" xr:uid="{A700C21D-CB07-453B-A2CA-0097DE972105}"/>
    <cellStyle name="Currency 3 2 4 4 4" xfId="18551" xr:uid="{F14DB5EC-C149-442F-AA20-DF0FD2E794C4}"/>
    <cellStyle name="Currency 3 2 4 4 5" xfId="10110" xr:uid="{0456277B-2363-4461-8138-6118EFCF56EF}"/>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25327" xr:uid="{7170195D-AFDF-48C9-BBB5-04873218D04B}"/>
    <cellStyle name="Currency 3 2 4 5 2 2 3" xfId="16886" xr:uid="{22371B17-037D-4B84-A33E-CE9476832D4B}"/>
    <cellStyle name="Currency 3 2 4 5 2 3" xfId="21109" xr:uid="{0FD4A384-C6FB-49F1-BF94-93F01DE2BB39}"/>
    <cellStyle name="Currency 3 2 4 5 2 4" xfId="12668" xr:uid="{E1419C58-D70C-48F5-A162-859840B158A7}"/>
    <cellStyle name="Currency 3 2 4 5 3" xfId="6291" xr:uid="{00000000-0005-0000-0000-00003C0B0000}"/>
    <cellStyle name="Currency 3 2 4 5 3 2" xfId="23182" xr:uid="{EC165289-31F9-4303-BCCA-218FD05652D8}"/>
    <cellStyle name="Currency 3 2 4 5 3 3" xfId="14741" xr:uid="{C7710E5B-40F6-43D2-A5FA-C860FEE5DFDF}"/>
    <cellStyle name="Currency 3 2 4 5 4" xfId="18964" xr:uid="{526FF3D9-DE1B-49A2-94BE-1C69DC711384}"/>
    <cellStyle name="Currency 3 2 4 5 5" xfId="10523" xr:uid="{D352C046-B802-4AB6-801E-6C0BDF516A5B}"/>
    <cellStyle name="Currency 3 2 4 6" xfId="2420" xr:uid="{00000000-0005-0000-0000-00003D0B0000}"/>
    <cellStyle name="Currency 3 2 4 6 2" xfId="6704" xr:uid="{00000000-0005-0000-0000-00003E0B0000}"/>
    <cellStyle name="Currency 3 2 4 6 2 2" xfId="23595" xr:uid="{9ED39053-AE61-4A67-B535-CEE6E1269F3E}"/>
    <cellStyle name="Currency 3 2 4 6 2 3" xfId="15154" xr:uid="{EA094266-5C17-4C4D-A6AC-F1B3E18847EB}"/>
    <cellStyle name="Currency 3 2 4 6 3" xfId="19377" xr:uid="{EADF1CD2-0B98-453F-8CCF-356B79844185}"/>
    <cellStyle name="Currency 3 2 4 6 4" xfId="10936" xr:uid="{7F4C7B67-F08D-4FFA-96A8-68CE7069F3DF}"/>
    <cellStyle name="Currency 3 2 4 7" xfId="2717" xr:uid="{00000000-0005-0000-0000-00003F0B0000}"/>
    <cellStyle name="Currency 3 2 4 8" xfId="2798" xr:uid="{00000000-0005-0000-0000-0000400B0000}"/>
    <cellStyle name="Currency 3 2 4 8 2" xfId="7021" xr:uid="{00000000-0005-0000-0000-0000410B0000}"/>
    <cellStyle name="Currency 3 2 4 8 2 2" xfId="23912" xr:uid="{2C1FBB95-FD7A-41F4-83B2-ADC686E538A7}"/>
    <cellStyle name="Currency 3 2 4 8 2 3" xfId="15471" xr:uid="{B8BFD471-4CFF-49F2-B9F0-30B57C5392B7}"/>
    <cellStyle name="Currency 3 2 4 8 3" xfId="19694" xr:uid="{90280972-10A7-4044-867B-CE50C416A23B}"/>
    <cellStyle name="Currency 3 2 4 8 4" xfId="11253" xr:uid="{91068E1C-78E5-4A8D-AEF7-8483B8DD764F}"/>
    <cellStyle name="Currency 3 2 4 9" xfId="4638" xr:uid="{00000000-0005-0000-0000-0000420B0000}"/>
    <cellStyle name="Currency 3 2 4 9 2" xfId="21529" xr:uid="{2420C0F8-F086-4A4F-A8BF-62B22E3521B5}"/>
    <cellStyle name="Currency 3 2 4 9 3" xfId="13088" xr:uid="{DD7348DB-E050-4512-B729-E975BC412231}"/>
    <cellStyle name="Currency 3 2 5" xfId="185" xr:uid="{00000000-0005-0000-0000-0000430B0000}"/>
    <cellStyle name="Currency 3 2 5 10" xfId="17312" xr:uid="{7CCDCF57-828A-492F-B017-228D5B40BFA7}"/>
    <cellStyle name="Currency 3 2 5 11" xfId="8871" xr:uid="{30155B28-83ED-4393-AF42-18B9BECC9C92}"/>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24089" xr:uid="{B987AC5C-369C-41B7-B468-9F77B8230E2E}"/>
    <cellStyle name="Currency 3 2 5 2 2 2 3" xfId="15648" xr:uid="{790E7527-3201-43EE-B3D5-42B52B79E9FC}"/>
    <cellStyle name="Currency 3 2 5 2 2 3" xfId="19871" xr:uid="{ACFE6E72-3F43-40B7-9CFF-BF9EE52EC2FE}"/>
    <cellStyle name="Currency 3 2 5 2 2 4" xfId="11430" xr:uid="{FE1D1D6C-54E2-471A-BF9A-E5ADD4DECE97}"/>
    <cellStyle name="Currency 3 2 5 2 3" xfId="5053" xr:uid="{00000000-0005-0000-0000-0000470B0000}"/>
    <cellStyle name="Currency 3 2 5 2 3 2" xfId="21944" xr:uid="{D64D87E0-5B9C-4D2E-AF81-4F9018D07740}"/>
    <cellStyle name="Currency 3 2 5 2 3 3" xfId="13503" xr:uid="{3D4E1E84-BE4D-4532-B742-1C79689F9B7B}"/>
    <cellStyle name="Currency 3 2 5 2 4" xfId="17726" xr:uid="{D249A406-BB7A-4EDD-A875-2B4B08490397}"/>
    <cellStyle name="Currency 3 2 5 2 5" xfId="9285" xr:uid="{6DD8527D-C2C2-4307-9C1F-42850194DD71}"/>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24502" xr:uid="{DFB1C3F2-5449-4D94-BCC0-1CFA13E7BAA1}"/>
    <cellStyle name="Currency 3 2 5 3 2 2 3" xfId="16061" xr:uid="{1B0D8D0C-1392-49C2-81C5-305214E840C3}"/>
    <cellStyle name="Currency 3 2 5 3 2 3" xfId="20284" xr:uid="{C1064A23-F4B5-49BA-8D4B-EAC5F9730213}"/>
    <cellStyle name="Currency 3 2 5 3 2 4" xfId="11843" xr:uid="{A7324EE7-BBC2-47C4-B364-1D0CBDA7C8CD}"/>
    <cellStyle name="Currency 3 2 5 3 3" xfId="5466" xr:uid="{00000000-0005-0000-0000-00004B0B0000}"/>
    <cellStyle name="Currency 3 2 5 3 3 2" xfId="22357" xr:uid="{5AE10B61-FBB4-40A6-BB6D-6E5D8265CAB0}"/>
    <cellStyle name="Currency 3 2 5 3 3 3" xfId="13916" xr:uid="{585171D4-8CC5-4310-A59A-3EEAA1CBB10F}"/>
    <cellStyle name="Currency 3 2 5 3 4" xfId="18139" xr:uid="{D5FCF195-BDC6-461D-AE10-1AD98A182E7E}"/>
    <cellStyle name="Currency 3 2 5 3 5" xfId="9698" xr:uid="{E2CCB908-3FAD-4A32-A578-33FBD2174632}"/>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24915" xr:uid="{ED93484B-12E9-464B-AB4D-745670D25EE7}"/>
    <cellStyle name="Currency 3 2 5 4 2 2 3" xfId="16474" xr:uid="{76647E9E-DE91-411C-9765-2579142EAC41}"/>
    <cellStyle name="Currency 3 2 5 4 2 3" xfId="20697" xr:uid="{CC60F085-5A2C-45CA-82DD-EB7E44ED296A}"/>
    <cellStyle name="Currency 3 2 5 4 2 4" xfId="12256" xr:uid="{2B472CBD-DDB3-4BBD-912E-B02F7598A49D}"/>
    <cellStyle name="Currency 3 2 5 4 3" xfId="5879" xr:uid="{00000000-0005-0000-0000-00004F0B0000}"/>
    <cellStyle name="Currency 3 2 5 4 3 2" xfId="22770" xr:uid="{9D7EE87C-ECA9-4737-9FA2-C4D99B487BB8}"/>
    <cellStyle name="Currency 3 2 5 4 3 3" xfId="14329" xr:uid="{42AC1360-C638-4719-A126-0DED45F799DA}"/>
    <cellStyle name="Currency 3 2 5 4 4" xfId="18552" xr:uid="{5AD2FA1A-2B4C-42A4-BB27-8C278F76A2C0}"/>
    <cellStyle name="Currency 3 2 5 4 5" xfId="10111" xr:uid="{C30CC59A-E8B8-483E-9A64-16B81F87575C}"/>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25328" xr:uid="{87918731-3FFF-409C-97C3-6A2FAE5E12C5}"/>
    <cellStyle name="Currency 3 2 5 5 2 2 3" xfId="16887" xr:uid="{FC225BFA-E4A6-49C0-B672-1B8158199E82}"/>
    <cellStyle name="Currency 3 2 5 5 2 3" xfId="21110" xr:uid="{0AC7F674-F56E-4BF1-8525-D10FE4B07BF8}"/>
    <cellStyle name="Currency 3 2 5 5 2 4" xfId="12669" xr:uid="{804A3A16-9DBA-4717-A923-4C6626D442DC}"/>
    <cellStyle name="Currency 3 2 5 5 3" xfId="6292" xr:uid="{00000000-0005-0000-0000-0000530B0000}"/>
    <cellStyle name="Currency 3 2 5 5 3 2" xfId="23183" xr:uid="{8D0A259C-CFAE-4E86-8CE7-E02BD8264F46}"/>
    <cellStyle name="Currency 3 2 5 5 3 3" xfId="14742" xr:uid="{A2E4F09A-64C2-4C9E-A45A-7F3BD4191A10}"/>
    <cellStyle name="Currency 3 2 5 5 4" xfId="18965" xr:uid="{CF6C8B70-BB3F-49EF-97B8-F171A46BC59E}"/>
    <cellStyle name="Currency 3 2 5 5 5" xfId="10524" xr:uid="{65B6E093-3718-43B9-A456-56BB4A21ED8D}"/>
    <cellStyle name="Currency 3 2 5 6" xfId="2421" xr:uid="{00000000-0005-0000-0000-0000540B0000}"/>
    <cellStyle name="Currency 3 2 5 6 2" xfId="6705" xr:uid="{00000000-0005-0000-0000-0000550B0000}"/>
    <cellStyle name="Currency 3 2 5 6 2 2" xfId="23596" xr:uid="{A79064D3-A1D9-44A6-9DF8-38E8E913C89F}"/>
    <cellStyle name="Currency 3 2 5 6 2 3" xfId="15155" xr:uid="{66089EB5-98B9-473F-A971-44CF9787D113}"/>
    <cellStyle name="Currency 3 2 5 6 3" xfId="19378" xr:uid="{F7DB4749-E15D-4FEC-822A-34A42638FAF3}"/>
    <cellStyle name="Currency 3 2 5 6 4" xfId="10937" xr:uid="{89BBA7CE-3F72-4C5C-A88F-453E35EB487A}"/>
    <cellStyle name="Currency 3 2 5 7" xfId="2718" xr:uid="{00000000-0005-0000-0000-0000560B0000}"/>
    <cellStyle name="Currency 3 2 5 8" xfId="2799" xr:uid="{00000000-0005-0000-0000-0000570B0000}"/>
    <cellStyle name="Currency 3 2 5 8 2" xfId="7022" xr:uid="{00000000-0005-0000-0000-0000580B0000}"/>
    <cellStyle name="Currency 3 2 5 8 2 2" xfId="23913" xr:uid="{E99E621B-FD25-47B6-BBF8-0D930C485BF4}"/>
    <cellStyle name="Currency 3 2 5 8 2 3" xfId="15472" xr:uid="{C830E208-E460-412D-ACFA-AEB77B9FE7B1}"/>
    <cellStyle name="Currency 3 2 5 8 3" xfId="19695" xr:uid="{A26A5990-BD54-4F8E-810D-AD956DA0A7FE}"/>
    <cellStyle name="Currency 3 2 5 8 4" xfId="11254" xr:uid="{2E92D9BC-3104-4162-9DD5-D22FF44FFF73}"/>
    <cellStyle name="Currency 3 2 5 9" xfId="4639" xr:uid="{00000000-0005-0000-0000-0000590B0000}"/>
    <cellStyle name="Currency 3 2 5 9 2" xfId="21530" xr:uid="{7520B022-5E67-49DE-B695-41FF68558F7C}"/>
    <cellStyle name="Currency 3 2 5 9 3" xfId="13089" xr:uid="{F4F060DA-5BEE-46D0-BF52-383A74677D12}"/>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23914" xr:uid="{14F12CF5-BF8D-45F9-8434-E42AA294C170}"/>
    <cellStyle name="Currency 5 2 2 2 10 2 3" xfId="15473" xr:uid="{7C6EE8CC-C63B-4493-81D4-1A844E3339A5}"/>
    <cellStyle name="Currency 5 2 2 2 10 3" xfId="19696" xr:uid="{E1E2EC62-8A56-491C-8C96-E1E6E49BEAD0}"/>
    <cellStyle name="Currency 5 2 2 2 10 4" xfId="11255" xr:uid="{F3000F5D-56B7-4BCF-96D5-72D83CAFB6AC}"/>
    <cellStyle name="Currency 5 2 2 2 11" xfId="4640" xr:uid="{00000000-0005-0000-0000-00006C0B0000}"/>
    <cellStyle name="Currency 5 2 2 2 11 2" xfId="21531" xr:uid="{4605DD54-D8B1-428B-9070-295AF7AB880F}"/>
    <cellStyle name="Currency 5 2 2 2 11 3" xfId="13090" xr:uid="{A3301E47-EC8E-4456-92B6-B9092C8A0232}"/>
    <cellStyle name="Currency 5 2 2 2 12" xfId="17313" xr:uid="{4D1659DD-5F99-4E78-8A02-69BB5421832F}"/>
    <cellStyle name="Currency 5 2 2 2 13" xfId="8872" xr:uid="{0A4E4152-C837-439A-AF01-EBF9B06430E1}"/>
    <cellStyle name="Currency 5 2 2 2 2" xfId="197" xr:uid="{00000000-0005-0000-0000-00006D0B0000}"/>
    <cellStyle name="Currency 5 2 2 2 2 10" xfId="4641" xr:uid="{00000000-0005-0000-0000-00006E0B0000}"/>
    <cellStyle name="Currency 5 2 2 2 2 10 2" xfId="21532" xr:uid="{528E2C09-E290-4264-8E9D-32B04E34E305}"/>
    <cellStyle name="Currency 5 2 2 2 2 10 3" xfId="13091" xr:uid="{57366C39-C6E3-46F4-BBF1-448BCDE83B80}"/>
    <cellStyle name="Currency 5 2 2 2 2 11" xfId="17314" xr:uid="{81014976-5A74-47DC-91BF-EB739026D0D5}"/>
    <cellStyle name="Currency 5 2 2 2 2 12" xfId="8873" xr:uid="{7176D250-B21C-44DC-8B71-1809AFBE444E}"/>
    <cellStyle name="Currency 5 2 2 2 2 2" xfId="198" xr:uid="{00000000-0005-0000-0000-00006F0B0000}"/>
    <cellStyle name="Currency 5 2 2 2 2 2 10" xfId="17315" xr:uid="{2FACC910-8E2C-43E2-AAB7-70F18757D864}"/>
    <cellStyle name="Currency 5 2 2 2 2 2 11" xfId="8874" xr:uid="{69EB2D4E-2F87-43C4-91D6-75D7F3338863}"/>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24092" xr:uid="{745645D2-652A-4B33-8783-932F427F2066}"/>
    <cellStyle name="Currency 5 2 2 2 2 2 2 2 2 3" xfId="15651" xr:uid="{108D5A14-FC13-453D-AB27-20D21963063C}"/>
    <cellStyle name="Currency 5 2 2 2 2 2 2 2 3" xfId="19874" xr:uid="{FDC707CC-8890-4F3E-975D-A040C5580DD8}"/>
    <cellStyle name="Currency 5 2 2 2 2 2 2 2 4" xfId="11433" xr:uid="{8F48A807-8CB4-4AF0-82C7-C7557E38B72C}"/>
    <cellStyle name="Currency 5 2 2 2 2 2 2 3" xfId="5056" xr:uid="{00000000-0005-0000-0000-0000730B0000}"/>
    <cellStyle name="Currency 5 2 2 2 2 2 2 3 2" xfId="21947" xr:uid="{0FBE5D4C-B8DA-4AC9-A4F1-1B3F36CE6E74}"/>
    <cellStyle name="Currency 5 2 2 2 2 2 2 3 3" xfId="13506" xr:uid="{307E2B07-929A-47D6-9D5F-741980E66294}"/>
    <cellStyle name="Currency 5 2 2 2 2 2 2 4" xfId="17729" xr:uid="{70A9F237-C688-416D-8829-1F1399BF0A34}"/>
    <cellStyle name="Currency 5 2 2 2 2 2 2 5" xfId="9288" xr:uid="{C20E1C78-C4E2-42AF-A1D6-C2F885C539B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24505" xr:uid="{88504E00-2D17-4DDB-8CE5-A4A7EAC6DBAA}"/>
    <cellStyle name="Currency 5 2 2 2 2 2 3 2 2 3" xfId="16064" xr:uid="{0FD856AB-FD79-4928-B8F2-523F1D94008B}"/>
    <cellStyle name="Currency 5 2 2 2 2 2 3 2 3" xfId="20287" xr:uid="{1103AA89-983C-4B2D-A6FA-BE047E06AA1E}"/>
    <cellStyle name="Currency 5 2 2 2 2 2 3 2 4" xfId="11846" xr:uid="{F12C38CE-3493-4F24-9BDD-4DE39989A681}"/>
    <cellStyle name="Currency 5 2 2 2 2 2 3 3" xfId="5469" xr:uid="{00000000-0005-0000-0000-0000770B0000}"/>
    <cellStyle name="Currency 5 2 2 2 2 2 3 3 2" xfId="22360" xr:uid="{0F4BEAE6-3EA5-4D3E-9250-7FD0568D7741}"/>
    <cellStyle name="Currency 5 2 2 2 2 2 3 3 3" xfId="13919" xr:uid="{5A147F54-5CF8-49C9-AA41-EAA8DE281F48}"/>
    <cellStyle name="Currency 5 2 2 2 2 2 3 4" xfId="18142" xr:uid="{7F6A4409-B84E-4819-A0E8-151D9B2DFC38}"/>
    <cellStyle name="Currency 5 2 2 2 2 2 3 5" xfId="9701" xr:uid="{C4044C90-DB7B-411A-ABBA-D9E13DD18582}"/>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24918" xr:uid="{8DA7A02D-0F1D-4815-A2A2-AE8B48F715F9}"/>
    <cellStyle name="Currency 5 2 2 2 2 2 4 2 2 3" xfId="16477" xr:uid="{1CB64F20-6256-483A-99FA-A227A7F59993}"/>
    <cellStyle name="Currency 5 2 2 2 2 2 4 2 3" xfId="20700" xr:uid="{2FC92BFC-A8F0-4E33-B9EC-1E0DBB8B8DDE}"/>
    <cellStyle name="Currency 5 2 2 2 2 2 4 2 4" xfId="12259" xr:uid="{049CBA15-E6F3-4A33-B99F-D97B91F61DB6}"/>
    <cellStyle name="Currency 5 2 2 2 2 2 4 3" xfId="5882" xr:uid="{00000000-0005-0000-0000-00007B0B0000}"/>
    <cellStyle name="Currency 5 2 2 2 2 2 4 3 2" xfId="22773" xr:uid="{04CB77FC-05B5-4AF3-BDE4-364CACAEEFB8}"/>
    <cellStyle name="Currency 5 2 2 2 2 2 4 3 3" xfId="14332" xr:uid="{9B530AA9-CDA3-43E4-AE68-EC11DA7C932A}"/>
    <cellStyle name="Currency 5 2 2 2 2 2 4 4" xfId="18555" xr:uid="{65A2D521-8A81-41A1-903F-D9780A933738}"/>
    <cellStyle name="Currency 5 2 2 2 2 2 4 5" xfId="10114" xr:uid="{264A36DB-2AB3-41BE-B632-1EBC9DC2079A}"/>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25331" xr:uid="{478538DF-607C-4FF3-8DB5-0FC6D4167189}"/>
    <cellStyle name="Currency 5 2 2 2 2 2 5 2 2 3" xfId="16890" xr:uid="{56F6D0CA-6217-4695-B558-9C77377D11E5}"/>
    <cellStyle name="Currency 5 2 2 2 2 2 5 2 3" xfId="21113" xr:uid="{BE418E33-6838-4592-8BCC-81F8ED787411}"/>
    <cellStyle name="Currency 5 2 2 2 2 2 5 2 4" xfId="12672" xr:uid="{07C9CAE1-F720-417E-B6B8-3754CA058FD8}"/>
    <cellStyle name="Currency 5 2 2 2 2 2 5 3" xfId="6295" xr:uid="{00000000-0005-0000-0000-00007F0B0000}"/>
    <cellStyle name="Currency 5 2 2 2 2 2 5 3 2" xfId="23186" xr:uid="{8DD66C87-289A-4D0C-B271-C54BC2C1D9FD}"/>
    <cellStyle name="Currency 5 2 2 2 2 2 5 3 3" xfId="14745" xr:uid="{CDFD8481-F802-4349-8DA4-2813E27FF09E}"/>
    <cellStyle name="Currency 5 2 2 2 2 2 5 4" xfId="18968" xr:uid="{0C855CF1-8651-4B3C-9A0B-3E36E0E85A3D}"/>
    <cellStyle name="Currency 5 2 2 2 2 2 5 5" xfId="10527" xr:uid="{1467AA57-73FF-4C15-AB8D-96954EF05FCF}"/>
    <cellStyle name="Currency 5 2 2 2 2 2 6" xfId="2424" xr:uid="{00000000-0005-0000-0000-0000800B0000}"/>
    <cellStyle name="Currency 5 2 2 2 2 2 6 2" xfId="6708" xr:uid="{00000000-0005-0000-0000-0000810B0000}"/>
    <cellStyle name="Currency 5 2 2 2 2 2 6 2 2" xfId="23599" xr:uid="{9E5CFC8E-9B97-4108-A6DE-5BC452923F9D}"/>
    <cellStyle name="Currency 5 2 2 2 2 2 6 2 3" xfId="15158" xr:uid="{01F9D206-F782-4D34-AC5E-514E01764B4B}"/>
    <cellStyle name="Currency 5 2 2 2 2 2 6 3" xfId="19381" xr:uid="{2604E6F8-F087-4A7E-B9F5-68591D1D02A6}"/>
    <cellStyle name="Currency 5 2 2 2 2 2 6 4" xfId="10940" xr:uid="{EA8AD7EE-66B9-43F8-9E2B-BE616B941335}"/>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23916" xr:uid="{96276457-8A74-4A37-8D8D-77F778E3EB37}"/>
    <cellStyle name="Currency 5 2 2 2 2 2 8 2 3" xfId="15475" xr:uid="{4E357ABF-4A9C-490B-A787-318DE4832958}"/>
    <cellStyle name="Currency 5 2 2 2 2 2 8 3" xfId="19698" xr:uid="{5968E14D-C171-46B3-AED8-0F1F409F7828}"/>
    <cellStyle name="Currency 5 2 2 2 2 2 8 4" xfId="11257" xr:uid="{82762C74-C77A-4859-A168-B088C6BE2E94}"/>
    <cellStyle name="Currency 5 2 2 2 2 2 9" xfId="4642" xr:uid="{00000000-0005-0000-0000-0000850B0000}"/>
    <cellStyle name="Currency 5 2 2 2 2 2 9 2" xfId="21533" xr:uid="{C904ED3B-6397-494C-B926-0221BFFC4FA5}"/>
    <cellStyle name="Currency 5 2 2 2 2 2 9 3" xfId="13092" xr:uid="{A590D204-6063-471C-A825-C4E57F5765C2}"/>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24091" xr:uid="{AE2425C9-084F-411D-BC36-A59601C078EC}"/>
    <cellStyle name="Currency 5 2 2 2 2 3 2 2 3" xfId="15650" xr:uid="{5F369EEC-3A98-4BC2-A2A4-150F56A94793}"/>
    <cellStyle name="Currency 5 2 2 2 2 3 2 3" xfId="19873" xr:uid="{F8D40C17-17FC-428A-89ED-A75CA2860BC8}"/>
    <cellStyle name="Currency 5 2 2 2 2 3 2 4" xfId="11432" xr:uid="{26F0623A-D8BF-4736-829A-A0F3BC74DE52}"/>
    <cellStyle name="Currency 5 2 2 2 2 3 3" xfId="5055" xr:uid="{00000000-0005-0000-0000-0000890B0000}"/>
    <cellStyle name="Currency 5 2 2 2 2 3 3 2" xfId="21946" xr:uid="{3B28625D-A13C-4482-94FA-FFC053425FC6}"/>
    <cellStyle name="Currency 5 2 2 2 2 3 3 3" xfId="13505" xr:uid="{61650BC8-BC45-4380-A83D-60A4F005E26F}"/>
    <cellStyle name="Currency 5 2 2 2 2 3 4" xfId="17728" xr:uid="{CDBF0FA7-D635-408F-B416-97F099F05ECE}"/>
    <cellStyle name="Currency 5 2 2 2 2 3 5" xfId="9287" xr:uid="{0388953A-855B-4511-9DB2-A1DB65490DDE}"/>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24504" xr:uid="{DE33BB34-81A3-42FE-B42B-E81226E10D7B}"/>
    <cellStyle name="Currency 5 2 2 2 2 4 2 2 3" xfId="16063" xr:uid="{D0B9FF94-53C3-4782-88C1-D8DEE2E52507}"/>
    <cellStyle name="Currency 5 2 2 2 2 4 2 3" xfId="20286" xr:uid="{48D805DC-B772-4BF0-9B6A-B27B8172DB44}"/>
    <cellStyle name="Currency 5 2 2 2 2 4 2 4" xfId="11845" xr:uid="{11FA88FA-8788-4796-A8C3-CF8D022A38ED}"/>
    <cellStyle name="Currency 5 2 2 2 2 4 3" xfId="5468" xr:uid="{00000000-0005-0000-0000-00008D0B0000}"/>
    <cellStyle name="Currency 5 2 2 2 2 4 3 2" xfId="22359" xr:uid="{9A3ECE15-72CD-46F5-ABAE-AB4F0BBA04C7}"/>
    <cellStyle name="Currency 5 2 2 2 2 4 3 3" xfId="13918" xr:uid="{FBF61647-58C5-49CE-BF58-771404FFA404}"/>
    <cellStyle name="Currency 5 2 2 2 2 4 4" xfId="18141" xr:uid="{FAB6FE6E-0FDB-44E0-9CE3-DFB48898737B}"/>
    <cellStyle name="Currency 5 2 2 2 2 4 5" xfId="9700" xr:uid="{416D57AB-7ED7-4CDB-B801-3434F906F1A4}"/>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24917" xr:uid="{5F7A9A38-BC6A-4B5C-BF05-E7A52F790151}"/>
    <cellStyle name="Currency 5 2 2 2 2 5 2 2 3" xfId="16476" xr:uid="{096B49B5-3B9E-4944-8275-A7BA35200CD2}"/>
    <cellStyle name="Currency 5 2 2 2 2 5 2 3" xfId="20699" xr:uid="{84BB988D-1792-4775-B2C8-58B3D9920C36}"/>
    <cellStyle name="Currency 5 2 2 2 2 5 2 4" xfId="12258" xr:uid="{5FA92A38-1052-4A99-863C-37058F9DA4F8}"/>
    <cellStyle name="Currency 5 2 2 2 2 5 3" xfId="5881" xr:uid="{00000000-0005-0000-0000-0000910B0000}"/>
    <cellStyle name="Currency 5 2 2 2 2 5 3 2" xfId="22772" xr:uid="{62B27728-CF37-4D70-AEBC-78FCFEC702B0}"/>
    <cellStyle name="Currency 5 2 2 2 2 5 3 3" xfId="14331" xr:uid="{C3B1A5FA-F3E0-47CA-B36B-340EB9F25EFF}"/>
    <cellStyle name="Currency 5 2 2 2 2 5 4" xfId="18554" xr:uid="{4EC8B88D-C4F4-451A-A768-1655A1D82234}"/>
    <cellStyle name="Currency 5 2 2 2 2 5 5" xfId="10113" xr:uid="{3FD14F4C-6AA8-4B52-8850-83EB6E7E0FA4}"/>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25330" xr:uid="{EC5232F1-38DF-4484-8146-BA415BFEEFFB}"/>
    <cellStyle name="Currency 5 2 2 2 2 6 2 2 3" xfId="16889" xr:uid="{03E981E5-A3A2-4CF8-A52A-2C74117CCB47}"/>
    <cellStyle name="Currency 5 2 2 2 2 6 2 3" xfId="21112" xr:uid="{9AFDAAA4-70B4-43B5-9325-27DCAB87FC91}"/>
    <cellStyle name="Currency 5 2 2 2 2 6 2 4" xfId="12671" xr:uid="{F2082DE0-3D14-48BE-A676-CEC775271DC3}"/>
    <cellStyle name="Currency 5 2 2 2 2 6 3" xfId="6294" xr:uid="{00000000-0005-0000-0000-0000950B0000}"/>
    <cellStyle name="Currency 5 2 2 2 2 6 3 2" xfId="23185" xr:uid="{106265F8-D452-432B-BCFC-9E8167CE144C}"/>
    <cellStyle name="Currency 5 2 2 2 2 6 3 3" xfId="14744" xr:uid="{07F68E15-FE9C-4D74-9097-BE4CE8E009E2}"/>
    <cellStyle name="Currency 5 2 2 2 2 6 4" xfId="18967" xr:uid="{C522AB9F-4FEE-47E3-B188-449618022DFD}"/>
    <cellStyle name="Currency 5 2 2 2 2 6 5" xfId="10526" xr:uid="{ED84E7BE-60BE-412A-9BB5-88BA6F301A68}"/>
    <cellStyle name="Currency 5 2 2 2 2 7" xfId="2423" xr:uid="{00000000-0005-0000-0000-0000960B0000}"/>
    <cellStyle name="Currency 5 2 2 2 2 7 2" xfId="6707" xr:uid="{00000000-0005-0000-0000-0000970B0000}"/>
    <cellStyle name="Currency 5 2 2 2 2 7 2 2" xfId="23598" xr:uid="{661DCC69-326F-4FBD-8673-12C0E18F037D}"/>
    <cellStyle name="Currency 5 2 2 2 2 7 2 3" xfId="15157" xr:uid="{748882F4-64A7-4A33-A6A9-2B731231A9D4}"/>
    <cellStyle name="Currency 5 2 2 2 2 7 3" xfId="19380" xr:uid="{A2276E2B-2446-4168-BD49-AF4A53E8B8F2}"/>
    <cellStyle name="Currency 5 2 2 2 2 7 4" xfId="10939" xr:uid="{66374D6E-337C-4E1A-8D3A-BF239E829F36}"/>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23915" xr:uid="{9AB04472-C4F3-4FDF-9A01-324338A61BC7}"/>
    <cellStyle name="Currency 5 2 2 2 2 9 2 3" xfId="15474" xr:uid="{E3C52D35-0AAC-4F61-8A1C-4EF066061486}"/>
    <cellStyle name="Currency 5 2 2 2 2 9 3" xfId="19697" xr:uid="{9E27094E-55EC-4A82-AE6B-8FEBD364DC7F}"/>
    <cellStyle name="Currency 5 2 2 2 2 9 4" xfId="11256" xr:uid="{793CA965-F2B3-4E73-A94F-BA49D036EAA1}"/>
    <cellStyle name="Currency 5 2 2 2 3" xfId="199" xr:uid="{00000000-0005-0000-0000-00009B0B0000}"/>
    <cellStyle name="Currency 5 2 2 2 3 10" xfId="17316" xr:uid="{01FD3DED-2C7A-42BF-BCB1-3B6019F1481C}"/>
    <cellStyle name="Currency 5 2 2 2 3 11" xfId="8875" xr:uid="{41E837C7-2D76-41D5-BF3C-0F5B9DDAE8EF}"/>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24093" xr:uid="{C888E982-50DD-4DDA-BED8-E8059EE70547}"/>
    <cellStyle name="Currency 5 2 2 2 3 2 2 2 3" xfId="15652" xr:uid="{8F443887-7D98-4288-A696-7995ECFDE97D}"/>
    <cellStyle name="Currency 5 2 2 2 3 2 2 3" xfId="19875" xr:uid="{A6BD16FF-1ADD-4605-9939-3D16D8C0D710}"/>
    <cellStyle name="Currency 5 2 2 2 3 2 2 4" xfId="11434" xr:uid="{14D6D44B-339B-44DA-90B0-AA1343638F53}"/>
    <cellStyle name="Currency 5 2 2 2 3 2 3" xfId="5057" xr:uid="{00000000-0005-0000-0000-00009F0B0000}"/>
    <cellStyle name="Currency 5 2 2 2 3 2 3 2" xfId="21948" xr:uid="{D367F4EC-3092-4739-840F-498AEB7A479F}"/>
    <cellStyle name="Currency 5 2 2 2 3 2 3 3" xfId="13507" xr:uid="{713F64A8-F3BA-4645-82AA-8C20685587FD}"/>
    <cellStyle name="Currency 5 2 2 2 3 2 4" xfId="17730" xr:uid="{E66B4CA3-9184-472F-837E-2F7C22396076}"/>
    <cellStyle name="Currency 5 2 2 2 3 2 5" xfId="9289" xr:uid="{20611E7F-FE95-4429-85CE-15B36F8B7E37}"/>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24506" xr:uid="{BECA3311-721D-47E2-99E2-12A08DCEAD59}"/>
    <cellStyle name="Currency 5 2 2 2 3 3 2 2 3" xfId="16065" xr:uid="{2971051E-7BDD-4A97-872E-9769EF716CB0}"/>
    <cellStyle name="Currency 5 2 2 2 3 3 2 3" xfId="20288" xr:uid="{51578E18-D12A-44AE-8DB1-396AA2039BB7}"/>
    <cellStyle name="Currency 5 2 2 2 3 3 2 4" xfId="11847" xr:uid="{80E8CEBF-C520-44D3-8067-EC5F53AFEA63}"/>
    <cellStyle name="Currency 5 2 2 2 3 3 3" xfId="5470" xr:uid="{00000000-0005-0000-0000-0000A30B0000}"/>
    <cellStyle name="Currency 5 2 2 2 3 3 3 2" xfId="22361" xr:uid="{E46068A1-B9B2-4608-983B-E4F34FFB1AAA}"/>
    <cellStyle name="Currency 5 2 2 2 3 3 3 3" xfId="13920" xr:uid="{A1BAEA4C-2012-4D16-804D-ADEB23663B4C}"/>
    <cellStyle name="Currency 5 2 2 2 3 3 4" xfId="18143" xr:uid="{70FA0657-2F87-4D19-92EF-2CC30120FA41}"/>
    <cellStyle name="Currency 5 2 2 2 3 3 5" xfId="9702" xr:uid="{B9AAF81A-676C-495E-9893-F2985D5D8CF1}"/>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24919" xr:uid="{E9087D97-EBFC-475B-8926-BD43A375130B}"/>
    <cellStyle name="Currency 5 2 2 2 3 4 2 2 3" xfId="16478" xr:uid="{33DBBEDC-532A-48FD-A17A-B0EDC27C5937}"/>
    <cellStyle name="Currency 5 2 2 2 3 4 2 3" xfId="20701" xr:uid="{1859CF5E-3407-46F1-B914-FD45FAE637C6}"/>
    <cellStyle name="Currency 5 2 2 2 3 4 2 4" xfId="12260" xr:uid="{11D8DDDC-A38C-4BA6-B4D5-6201FC9A01F3}"/>
    <cellStyle name="Currency 5 2 2 2 3 4 3" xfId="5883" xr:uid="{00000000-0005-0000-0000-0000A70B0000}"/>
    <cellStyle name="Currency 5 2 2 2 3 4 3 2" xfId="22774" xr:uid="{8BF638FD-3411-427F-8ABB-7CA29083C091}"/>
    <cellStyle name="Currency 5 2 2 2 3 4 3 3" xfId="14333" xr:uid="{5D669838-1F9A-4CE6-95E6-A61EA0D168C6}"/>
    <cellStyle name="Currency 5 2 2 2 3 4 4" xfId="18556" xr:uid="{CE91C802-957B-420A-8240-92628EBBBCB7}"/>
    <cellStyle name="Currency 5 2 2 2 3 4 5" xfId="10115" xr:uid="{E90120DB-1664-43E6-B9CE-6395DCE53724}"/>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25332" xr:uid="{028BFFBF-EBEA-4CCE-A9AC-99D6C720DD06}"/>
    <cellStyle name="Currency 5 2 2 2 3 5 2 2 3" xfId="16891" xr:uid="{F6FD6CD4-FA1B-423D-81A5-4E8263D97845}"/>
    <cellStyle name="Currency 5 2 2 2 3 5 2 3" xfId="21114" xr:uid="{0472269D-40B7-4DDD-AFEE-771382366613}"/>
    <cellStyle name="Currency 5 2 2 2 3 5 2 4" xfId="12673" xr:uid="{D76B6D3E-80FB-490E-91E9-CB2FDEEA40D6}"/>
    <cellStyle name="Currency 5 2 2 2 3 5 3" xfId="6296" xr:uid="{00000000-0005-0000-0000-0000AB0B0000}"/>
    <cellStyle name="Currency 5 2 2 2 3 5 3 2" xfId="23187" xr:uid="{622ED0A7-A7D2-4633-98FB-383FA06C1616}"/>
    <cellStyle name="Currency 5 2 2 2 3 5 3 3" xfId="14746" xr:uid="{9C21177D-B325-4B57-801A-5BFDA8B2127D}"/>
    <cellStyle name="Currency 5 2 2 2 3 5 4" xfId="18969" xr:uid="{EDA23027-044B-4113-A90A-AFFE0009B633}"/>
    <cellStyle name="Currency 5 2 2 2 3 5 5" xfId="10528" xr:uid="{612FDE34-1744-40B2-B272-30703CB8C96B}"/>
    <cellStyle name="Currency 5 2 2 2 3 6" xfId="2425" xr:uid="{00000000-0005-0000-0000-0000AC0B0000}"/>
    <cellStyle name="Currency 5 2 2 2 3 6 2" xfId="6709" xr:uid="{00000000-0005-0000-0000-0000AD0B0000}"/>
    <cellStyle name="Currency 5 2 2 2 3 6 2 2" xfId="23600" xr:uid="{3FC81FF5-BA19-421B-A377-96A0F718015A}"/>
    <cellStyle name="Currency 5 2 2 2 3 6 2 3" xfId="15159" xr:uid="{8A0C47D5-2463-4DFC-ABB4-F7DA1FEC86E3}"/>
    <cellStyle name="Currency 5 2 2 2 3 6 3" xfId="19382" xr:uid="{36D43E13-B602-413A-8ADF-326FD477665E}"/>
    <cellStyle name="Currency 5 2 2 2 3 6 4" xfId="10941" xr:uid="{2BB4A28D-AA03-4F38-B8CA-E2D76F17D582}"/>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23917" xr:uid="{30F81B8E-22E0-42CE-87CC-FBB0D5453EEC}"/>
    <cellStyle name="Currency 5 2 2 2 3 8 2 3" xfId="15476" xr:uid="{2772FF03-0547-4011-AAFA-B72E8AD4D845}"/>
    <cellStyle name="Currency 5 2 2 2 3 8 3" xfId="19699" xr:uid="{B12C5145-3AA3-4B77-8A64-00B4D8BC1F1B}"/>
    <cellStyle name="Currency 5 2 2 2 3 8 4" xfId="11258" xr:uid="{6E0DD1FF-0CD5-48BE-8599-C70D76271D59}"/>
    <cellStyle name="Currency 5 2 2 2 3 9" xfId="4643" xr:uid="{00000000-0005-0000-0000-0000B10B0000}"/>
    <cellStyle name="Currency 5 2 2 2 3 9 2" xfId="21534" xr:uid="{3E82B404-6C63-4886-806B-7C19CB2EFAAE}"/>
    <cellStyle name="Currency 5 2 2 2 3 9 3" xfId="13093" xr:uid="{628C507F-D894-461F-B91F-5780EFAB27D1}"/>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24090" xr:uid="{487BCBAA-874B-4D76-9AE4-F50F97C7D12F}"/>
    <cellStyle name="Currency 5 2 2 2 4 2 2 3" xfId="15649" xr:uid="{E9FEC101-F495-43BA-A6A5-32F7CBFCD290}"/>
    <cellStyle name="Currency 5 2 2 2 4 2 3" xfId="19872" xr:uid="{EACFCABD-1EF6-4763-B592-A05A1FB6508A}"/>
    <cellStyle name="Currency 5 2 2 2 4 2 4" xfId="11431" xr:uid="{5CAE2928-9664-4BE2-86EB-974212AB0595}"/>
    <cellStyle name="Currency 5 2 2 2 4 3" xfId="5054" xr:uid="{00000000-0005-0000-0000-0000B50B0000}"/>
    <cellStyle name="Currency 5 2 2 2 4 3 2" xfId="21945" xr:uid="{BE3F6949-A224-473B-B49D-53F39737B354}"/>
    <cellStyle name="Currency 5 2 2 2 4 3 3" xfId="13504" xr:uid="{8AF0CFC8-7642-40C1-B4D0-3E29BF63C071}"/>
    <cellStyle name="Currency 5 2 2 2 4 4" xfId="17727" xr:uid="{4856F005-B0F6-4A0E-90ED-03B6CBD34F06}"/>
    <cellStyle name="Currency 5 2 2 2 4 5" xfId="9286" xr:uid="{EE26A9F7-BE0B-4CA9-B9B4-F77C5CA6052A}"/>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24503" xr:uid="{97B78BD1-1A68-48F2-A0F1-845038F38864}"/>
    <cellStyle name="Currency 5 2 2 2 5 2 2 3" xfId="16062" xr:uid="{9A3F4D67-DA74-4FEB-BA7B-7F13038B6FD7}"/>
    <cellStyle name="Currency 5 2 2 2 5 2 3" xfId="20285" xr:uid="{9CF4E088-9E34-4452-9844-1CFD8B6FC934}"/>
    <cellStyle name="Currency 5 2 2 2 5 2 4" xfId="11844" xr:uid="{EF96E21C-A9DF-4330-A889-3DCB21A5D3A9}"/>
    <cellStyle name="Currency 5 2 2 2 5 3" xfId="5467" xr:uid="{00000000-0005-0000-0000-0000B90B0000}"/>
    <cellStyle name="Currency 5 2 2 2 5 3 2" xfId="22358" xr:uid="{5E2C4761-8383-44D3-A8FE-93915A6D4051}"/>
    <cellStyle name="Currency 5 2 2 2 5 3 3" xfId="13917" xr:uid="{6D4DFE1D-CA0F-465D-8A53-D867593049DA}"/>
    <cellStyle name="Currency 5 2 2 2 5 4" xfId="18140" xr:uid="{8312DF7A-9917-49AC-A72F-B28096120211}"/>
    <cellStyle name="Currency 5 2 2 2 5 5" xfId="9699" xr:uid="{F7F11BF7-0E5C-418C-97A7-E07AB384A659}"/>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24916" xr:uid="{E734984E-91D4-4ACF-953C-31CDF20C4FC0}"/>
    <cellStyle name="Currency 5 2 2 2 6 2 2 3" xfId="16475" xr:uid="{E37DC4EF-4888-4202-8ED0-B159DE2BCD11}"/>
    <cellStyle name="Currency 5 2 2 2 6 2 3" xfId="20698" xr:uid="{BD95E663-754D-41DB-BBD2-0AC869140DFF}"/>
    <cellStyle name="Currency 5 2 2 2 6 2 4" xfId="12257" xr:uid="{523DB447-127F-4A22-93FD-71456DFB3F6F}"/>
    <cellStyle name="Currency 5 2 2 2 6 3" xfId="5880" xr:uid="{00000000-0005-0000-0000-0000BD0B0000}"/>
    <cellStyle name="Currency 5 2 2 2 6 3 2" xfId="22771" xr:uid="{02D17632-AB77-4B92-9D70-22BE79B3A3C3}"/>
    <cellStyle name="Currency 5 2 2 2 6 3 3" xfId="14330" xr:uid="{AE21F5FF-FC12-403C-80C9-7A17824E7DB1}"/>
    <cellStyle name="Currency 5 2 2 2 6 4" xfId="18553" xr:uid="{0D615DFC-4F50-4BA0-8051-A4EB7C8C967B}"/>
    <cellStyle name="Currency 5 2 2 2 6 5" xfId="10112" xr:uid="{1733CCD7-0B57-4A7E-A35E-E63D8C264A6B}"/>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25329" xr:uid="{DDCF22CC-2BC4-4655-937F-11C104AE627E}"/>
    <cellStyle name="Currency 5 2 2 2 7 2 2 3" xfId="16888" xr:uid="{D8AD2EAF-5A42-49B7-A6E7-7FBB40F48ECB}"/>
    <cellStyle name="Currency 5 2 2 2 7 2 3" xfId="21111" xr:uid="{BC74F006-50FF-4A17-8EB4-7E7F44939741}"/>
    <cellStyle name="Currency 5 2 2 2 7 2 4" xfId="12670" xr:uid="{C488ABD7-300E-4DFE-A120-C7FF63CFB5CA}"/>
    <cellStyle name="Currency 5 2 2 2 7 3" xfId="6293" xr:uid="{00000000-0005-0000-0000-0000C10B0000}"/>
    <cellStyle name="Currency 5 2 2 2 7 3 2" xfId="23184" xr:uid="{1A71552B-3407-4698-BCD8-67B98DE26B1D}"/>
    <cellStyle name="Currency 5 2 2 2 7 3 3" xfId="14743" xr:uid="{796C4CD3-E3B2-4E5A-90EF-DD372B201259}"/>
    <cellStyle name="Currency 5 2 2 2 7 4" xfId="18966" xr:uid="{6CE57F36-ECCC-4E72-B5BB-02FC2874B87E}"/>
    <cellStyle name="Currency 5 2 2 2 7 5" xfId="10525" xr:uid="{38B0A51F-2F43-4B1C-B4A7-A66E13E706DB}"/>
    <cellStyle name="Currency 5 2 2 2 8" xfId="2422" xr:uid="{00000000-0005-0000-0000-0000C20B0000}"/>
    <cellStyle name="Currency 5 2 2 2 8 2" xfId="6706" xr:uid="{00000000-0005-0000-0000-0000C30B0000}"/>
    <cellStyle name="Currency 5 2 2 2 8 2 2" xfId="23597" xr:uid="{60D21550-D23D-4895-A07E-88744CC1A296}"/>
    <cellStyle name="Currency 5 2 2 2 8 2 3" xfId="15156" xr:uid="{DC02B14A-EE53-4862-99BD-30F4C0EC86F1}"/>
    <cellStyle name="Currency 5 2 2 2 8 3" xfId="19379" xr:uid="{43A25BA4-1AEF-42A4-87F3-7A45D963D52E}"/>
    <cellStyle name="Currency 5 2 2 2 8 4" xfId="10938" xr:uid="{1C969228-8781-4859-B10D-273DACCFF306}"/>
    <cellStyle name="Currency 5 2 2 2 9" xfId="2719" xr:uid="{00000000-0005-0000-0000-0000C40B0000}"/>
    <cellStyle name="Currency 5 2 2 3" xfId="200" xr:uid="{00000000-0005-0000-0000-0000C50B0000}"/>
    <cellStyle name="Currency 5 2 2 3 10" xfId="4644" xr:uid="{00000000-0005-0000-0000-0000C60B0000}"/>
    <cellStyle name="Currency 5 2 2 3 10 2" xfId="21535" xr:uid="{F5B5EE9D-5B3B-46B8-B601-B246F245B635}"/>
    <cellStyle name="Currency 5 2 2 3 10 3" xfId="13094" xr:uid="{3F0DA7E2-D34C-4458-9EBC-E222F741AD83}"/>
    <cellStyle name="Currency 5 2 2 3 11" xfId="17317" xr:uid="{AEAC1A9F-5B32-47F9-A3C7-E159819F30E7}"/>
    <cellStyle name="Currency 5 2 2 3 12" xfId="8876" xr:uid="{32BDCDC9-17E8-41BE-8CCF-51E0D61FAD1B}"/>
    <cellStyle name="Currency 5 2 2 3 2" xfId="201" xr:uid="{00000000-0005-0000-0000-0000C70B0000}"/>
    <cellStyle name="Currency 5 2 2 3 2 10" xfId="17318" xr:uid="{E2B1B0DF-C85B-4E0E-A435-99BC38244011}"/>
    <cellStyle name="Currency 5 2 2 3 2 11" xfId="8877" xr:uid="{D15932F1-D245-4F74-A9DB-5FAA70CECEC1}"/>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24095" xr:uid="{5565ADA9-59B7-490D-962F-4DE10F5A9E30}"/>
    <cellStyle name="Currency 5 2 2 3 2 2 2 2 3" xfId="15654" xr:uid="{C72DD2A9-39F3-486F-A28F-4D73FA1EB129}"/>
    <cellStyle name="Currency 5 2 2 3 2 2 2 3" xfId="19877" xr:uid="{DFFB1CB0-4C4B-4B46-95D5-DDE265DBC8CF}"/>
    <cellStyle name="Currency 5 2 2 3 2 2 2 4" xfId="11436" xr:uid="{A3A0C904-6414-4A16-BBA3-64FE2F5F9169}"/>
    <cellStyle name="Currency 5 2 2 3 2 2 3" xfId="5059" xr:uid="{00000000-0005-0000-0000-0000CB0B0000}"/>
    <cellStyle name="Currency 5 2 2 3 2 2 3 2" xfId="21950" xr:uid="{EB4BA741-43CF-48E2-862B-DF6844F863BF}"/>
    <cellStyle name="Currency 5 2 2 3 2 2 3 3" xfId="13509" xr:uid="{A80453D7-DA43-4075-A9ED-40A9D017C9CF}"/>
    <cellStyle name="Currency 5 2 2 3 2 2 4" xfId="17732" xr:uid="{4F7EDC31-27C7-4CE1-95B4-FD6C67E196E8}"/>
    <cellStyle name="Currency 5 2 2 3 2 2 5" xfId="9291" xr:uid="{44C6A4BF-4C35-4F7C-9DC4-A33CDDCFE417}"/>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24508" xr:uid="{FCC14F3F-A5EF-45CA-A077-2606789590C2}"/>
    <cellStyle name="Currency 5 2 2 3 2 3 2 2 3" xfId="16067" xr:uid="{6FF46B3B-7E2D-410D-87C7-3DEAE5392D07}"/>
    <cellStyle name="Currency 5 2 2 3 2 3 2 3" xfId="20290" xr:uid="{92271600-10AB-46C3-B72B-C4C52ECAA4D4}"/>
    <cellStyle name="Currency 5 2 2 3 2 3 2 4" xfId="11849" xr:uid="{9887375B-B332-441E-9BE3-1CEDA854974D}"/>
    <cellStyle name="Currency 5 2 2 3 2 3 3" xfId="5472" xr:uid="{00000000-0005-0000-0000-0000CF0B0000}"/>
    <cellStyle name="Currency 5 2 2 3 2 3 3 2" xfId="22363" xr:uid="{39E439FD-5BD3-45F9-92E5-94028098C33A}"/>
    <cellStyle name="Currency 5 2 2 3 2 3 3 3" xfId="13922" xr:uid="{B36720A5-4491-46AD-AB98-0A7B27047C5F}"/>
    <cellStyle name="Currency 5 2 2 3 2 3 4" xfId="18145" xr:uid="{EEB65CF4-3F9C-4603-B4D1-75C0E9236D68}"/>
    <cellStyle name="Currency 5 2 2 3 2 3 5" xfId="9704" xr:uid="{704E87A2-53BA-4A04-B231-A87DC210B3D9}"/>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24921" xr:uid="{4D7812F7-68D3-4825-BAC6-1CA9EF213045}"/>
    <cellStyle name="Currency 5 2 2 3 2 4 2 2 3" xfId="16480" xr:uid="{BEF7F610-37D1-401F-8F60-88E00DDC87EE}"/>
    <cellStyle name="Currency 5 2 2 3 2 4 2 3" xfId="20703" xr:uid="{BBAEB867-CD72-43F3-A6BB-CAC5C6D4D894}"/>
    <cellStyle name="Currency 5 2 2 3 2 4 2 4" xfId="12262" xr:uid="{BD7FA9D9-2061-4D41-9277-EB4066144D3C}"/>
    <cellStyle name="Currency 5 2 2 3 2 4 3" xfId="5885" xr:uid="{00000000-0005-0000-0000-0000D30B0000}"/>
    <cellStyle name="Currency 5 2 2 3 2 4 3 2" xfId="22776" xr:uid="{8241D3C1-0340-4D77-B538-35DF15AB869E}"/>
    <cellStyle name="Currency 5 2 2 3 2 4 3 3" xfId="14335" xr:uid="{8A78B219-27E3-4CF4-ADF3-859C6B9A0631}"/>
    <cellStyle name="Currency 5 2 2 3 2 4 4" xfId="18558" xr:uid="{AA142BC6-5CD0-486A-8AAE-8D0F728E38A1}"/>
    <cellStyle name="Currency 5 2 2 3 2 4 5" xfId="10117" xr:uid="{DE3DB05C-861F-4482-ADE6-91ACB4716B28}"/>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25334" xr:uid="{61EC7B85-3CAD-4036-A96B-88647AD59C44}"/>
    <cellStyle name="Currency 5 2 2 3 2 5 2 2 3" xfId="16893" xr:uid="{DA5BDF75-434B-40A0-BAC0-BEED8A578410}"/>
    <cellStyle name="Currency 5 2 2 3 2 5 2 3" xfId="21116" xr:uid="{69BAC4D3-0E69-4738-852C-5983B9B1D94C}"/>
    <cellStyle name="Currency 5 2 2 3 2 5 2 4" xfId="12675" xr:uid="{E421A0E7-5492-419E-99F0-8ECB04C91340}"/>
    <cellStyle name="Currency 5 2 2 3 2 5 3" xfId="6298" xr:uid="{00000000-0005-0000-0000-0000D70B0000}"/>
    <cellStyle name="Currency 5 2 2 3 2 5 3 2" xfId="23189" xr:uid="{ADB0C521-E375-4ECF-A54B-2E8731B059BF}"/>
    <cellStyle name="Currency 5 2 2 3 2 5 3 3" xfId="14748" xr:uid="{94528471-9E48-42C5-B1AD-B51EA2900B08}"/>
    <cellStyle name="Currency 5 2 2 3 2 5 4" xfId="18971" xr:uid="{0B92D895-45E1-4007-B44A-CB278DB6EE36}"/>
    <cellStyle name="Currency 5 2 2 3 2 5 5" xfId="10530" xr:uid="{CF3F8931-81CA-416F-BCBB-F3316F480795}"/>
    <cellStyle name="Currency 5 2 2 3 2 6" xfId="2427" xr:uid="{00000000-0005-0000-0000-0000D80B0000}"/>
    <cellStyle name="Currency 5 2 2 3 2 6 2" xfId="6711" xr:uid="{00000000-0005-0000-0000-0000D90B0000}"/>
    <cellStyle name="Currency 5 2 2 3 2 6 2 2" xfId="23602" xr:uid="{FCAB2B06-5303-4AE5-9D6E-59C220D6C44C}"/>
    <cellStyle name="Currency 5 2 2 3 2 6 2 3" xfId="15161" xr:uid="{859A6D53-9BB1-4A76-BD76-FC21AD62C8E0}"/>
    <cellStyle name="Currency 5 2 2 3 2 6 3" xfId="19384" xr:uid="{BB5C5D7D-4280-4C5A-AEBE-5084227C97AA}"/>
    <cellStyle name="Currency 5 2 2 3 2 6 4" xfId="10943" xr:uid="{323BB2C3-FAF8-411D-ADBD-45642F934B55}"/>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23919" xr:uid="{84B97ACB-5DD7-4F9B-85A5-E82945DB63D4}"/>
    <cellStyle name="Currency 5 2 2 3 2 8 2 3" xfId="15478" xr:uid="{DCEEC3CA-34F2-41FA-977B-50FAF1F7B8C0}"/>
    <cellStyle name="Currency 5 2 2 3 2 8 3" xfId="19701" xr:uid="{8B503CE4-6B2E-4304-AB59-2D0D25073D30}"/>
    <cellStyle name="Currency 5 2 2 3 2 8 4" xfId="11260" xr:uid="{98326408-3F47-4864-98F7-E55C541F640E}"/>
    <cellStyle name="Currency 5 2 2 3 2 9" xfId="4645" xr:uid="{00000000-0005-0000-0000-0000DD0B0000}"/>
    <cellStyle name="Currency 5 2 2 3 2 9 2" xfId="21536" xr:uid="{66DEF198-27C2-45C1-84F4-1DA0F398FB2A}"/>
    <cellStyle name="Currency 5 2 2 3 2 9 3" xfId="13095" xr:uid="{E6686B7F-2A80-44FB-84D5-3E587A1550DB}"/>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24094" xr:uid="{C64F2768-A80E-4EC8-BBE8-D1855BA58E04}"/>
    <cellStyle name="Currency 5 2 2 3 3 2 2 3" xfId="15653" xr:uid="{6E82BEC0-AF8B-4D60-8565-2C992706966C}"/>
    <cellStyle name="Currency 5 2 2 3 3 2 3" xfId="19876" xr:uid="{64336DFC-8E2A-49A3-8A27-F5F7FE882A29}"/>
    <cellStyle name="Currency 5 2 2 3 3 2 4" xfId="11435" xr:uid="{09BB53D4-45D4-4B6A-91D4-2DF4D902D01D}"/>
    <cellStyle name="Currency 5 2 2 3 3 3" xfId="5058" xr:uid="{00000000-0005-0000-0000-0000E10B0000}"/>
    <cellStyle name="Currency 5 2 2 3 3 3 2" xfId="21949" xr:uid="{F083D8CC-8B00-452D-BB0B-A1038FAD81C5}"/>
    <cellStyle name="Currency 5 2 2 3 3 3 3" xfId="13508" xr:uid="{67C3689D-3209-4E8B-97CB-1527973A3DF5}"/>
    <cellStyle name="Currency 5 2 2 3 3 4" xfId="17731" xr:uid="{5FA13041-2A00-4FFE-8887-243E728C3A22}"/>
    <cellStyle name="Currency 5 2 2 3 3 5" xfId="9290" xr:uid="{85B25AB6-9EC8-4BE9-B597-DE81E31D1388}"/>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24507" xr:uid="{2AC60C0C-3F18-45B6-B6EC-CB7F68603702}"/>
    <cellStyle name="Currency 5 2 2 3 4 2 2 3" xfId="16066" xr:uid="{F0082448-09FC-4AB8-9201-F49492C0A5A3}"/>
    <cellStyle name="Currency 5 2 2 3 4 2 3" xfId="20289" xr:uid="{3D669B2E-7343-4728-9485-1EBD98168B30}"/>
    <cellStyle name="Currency 5 2 2 3 4 2 4" xfId="11848" xr:uid="{2A20FE55-72AA-41A9-AF05-1F8D0AFF5C87}"/>
    <cellStyle name="Currency 5 2 2 3 4 3" xfId="5471" xr:uid="{00000000-0005-0000-0000-0000E50B0000}"/>
    <cellStyle name="Currency 5 2 2 3 4 3 2" xfId="22362" xr:uid="{851439A8-4461-4213-9344-D92C7BC0D7C6}"/>
    <cellStyle name="Currency 5 2 2 3 4 3 3" xfId="13921" xr:uid="{3FC6CA77-3B2C-4206-979E-19C35CB4D5F5}"/>
    <cellStyle name="Currency 5 2 2 3 4 4" xfId="18144" xr:uid="{940B58FB-73B2-43FE-BE33-1F5C902D8724}"/>
    <cellStyle name="Currency 5 2 2 3 4 5" xfId="9703" xr:uid="{EB86A145-C058-48DD-9E49-2B4CC95055F1}"/>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24920" xr:uid="{7C85A6F8-36AD-4A8D-B346-6080D7376FF6}"/>
    <cellStyle name="Currency 5 2 2 3 5 2 2 3" xfId="16479" xr:uid="{11EF4454-494F-44D9-B847-EFA9ABF07EBD}"/>
    <cellStyle name="Currency 5 2 2 3 5 2 3" xfId="20702" xr:uid="{A0334F2C-F23D-4CA4-AE0F-CD4AFF975A36}"/>
    <cellStyle name="Currency 5 2 2 3 5 2 4" xfId="12261" xr:uid="{A98B279D-0F8C-4D98-8626-27834656E7E0}"/>
    <cellStyle name="Currency 5 2 2 3 5 3" xfId="5884" xr:uid="{00000000-0005-0000-0000-0000E90B0000}"/>
    <cellStyle name="Currency 5 2 2 3 5 3 2" xfId="22775" xr:uid="{B72836E2-4DD8-44D8-90E0-3C4D84C35071}"/>
    <cellStyle name="Currency 5 2 2 3 5 3 3" xfId="14334" xr:uid="{724E4B71-677A-4429-826A-FF65DB5073FF}"/>
    <cellStyle name="Currency 5 2 2 3 5 4" xfId="18557" xr:uid="{2FDD7BCF-F94B-4C0D-A911-EC8B1B8B5B9F}"/>
    <cellStyle name="Currency 5 2 2 3 5 5" xfId="10116" xr:uid="{AEF67138-0C2D-4A2C-8123-7F0E64DF7A04}"/>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25333" xr:uid="{C73726A5-A631-47D1-8A36-99232B580F3A}"/>
    <cellStyle name="Currency 5 2 2 3 6 2 2 3" xfId="16892" xr:uid="{806228C3-8906-457F-928E-A85DA7FBE5C0}"/>
    <cellStyle name="Currency 5 2 2 3 6 2 3" xfId="21115" xr:uid="{F1C697DD-9068-43D2-A011-44D7D84659A4}"/>
    <cellStyle name="Currency 5 2 2 3 6 2 4" xfId="12674" xr:uid="{E7D3A307-E01E-4664-8D67-5D2EE9A41FD8}"/>
    <cellStyle name="Currency 5 2 2 3 6 3" xfId="6297" xr:uid="{00000000-0005-0000-0000-0000ED0B0000}"/>
    <cellStyle name="Currency 5 2 2 3 6 3 2" xfId="23188" xr:uid="{FB7E636A-8561-4864-A552-C7F67CDB46A8}"/>
    <cellStyle name="Currency 5 2 2 3 6 3 3" xfId="14747" xr:uid="{FA5D362B-E7FE-4CE5-873F-06B5F9CA67D2}"/>
    <cellStyle name="Currency 5 2 2 3 6 4" xfId="18970" xr:uid="{07388ED9-389D-4954-A316-46F2FA2651E5}"/>
    <cellStyle name="Currency 5 2 2 3 6 5" xfId="10529" xr:uid="{BEED2985-B434-40A5-A229-27E49DBD0388}"/>
    <cellStyle name="Currency 5 2 2 3 7" xfId="2426" xr:uid="{00000000-0005-0000-0000-0000EE0B0000}"/>
    <cellStyle name="Currency 5 2 2 3 7 2" xfId="6710" xr:uid="{00000000-0005-0000-0000-0000EF0B0000}"/>
    <cellStyle name="Currency 5 2 2 3 7 2 2" xfId="23601" xr:uid="{9DF3BB5A-DC66-44CC-984B-D4269B8E0434}"/>
    <cellStyle name="Currency 5 2 2 3 7 2 3" xfId="15160" xr:uid="{6FD49704-CD32-44A4-8DE1-C2598F6E4C7D}"/>
    <cellStyle name="Currency 5 2 2 3 7 3" xfId="19383" xr:uid="{4F78F060-B4E9-4ACF-A8A2-700A7DE878EF}"/>
    <cellStyle name="Currency 5 2 2 3 7 4" xfId="10942" xr:uid="{5083EA52-6E8E-4FCF-92CC-4B8B9DE8E615}"/>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23918" xr:uid="{70A28C78-CCF7-4D90-BD6B-1E3BEB90DA2F}"/>
    <cellStyle name="Currency 5 2 2 3 9 2 3" xfId="15477" xr:uid="{4A9F0556-540B-40F0-9E1B-EA5691908C71}"/>
    <cellStyle name="Currency 5 2 2 3 9 3" xfId="19700" xr:uid="{19472D98-5DBC-4BA4-9DAB-04E86087210B}"/>
    <cellStyle name="Currency 5 2 2 3 9 4" xfId="11259" xr:uid="{20C6522C-CFE3-4C55-B075-7E47BE33CB4B}"/>
    <cellStyle name="Currency 5 2 2 4" xfId="202" xr:uid="{00000000-0005-0000-0000-0000F30B0000}"/>
    <cellStyle name="Currency 5 2 2 4 10" xfId="17319" xr:uid="{294C1299-E112-4277-B88D-D7477551C5D7}"/>
    <cellStyle name="Currency 5 2 2 4 11" xfId="8878" xr:uid="{CE17878C-5448-4A91-BB28-B7C1C66B8DA4}"/>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24096" xr:uid="{AD3AD3D1-D761-4E88-B8CF-97921FBE6A15}"/>
    <cellStyle name="Currency 5 2 2 4 2 2 2 3" xfId="15655" xr:uid="{8B453B14-781A-46D4-B6F2-36533A6B3DA6}"/>
    <cellStyle name="Currency 5 2 2 4 2 2 3" xfId="19878" xr:uid="{E1F585ED-04DF-44C9-92AE-6097C221A4FF}"/>
    <cellStyle name="Currency 5 2 2 4 2 2 4" xfId="11437" xr:uid="{E49F3365-6603-401C-AEB7-9841870C76BC}"/>
    <cellStyle name="Currency 5 2 2 4 2 3" xfId="5060" xr:uid="{00000000-0005-0000-0000-0000F70B0000}"/>
    <cellStyle name="Currency 5 2 2 4 2 3 2" xfId="21951" xr:uid="{15083C0E-6386-4833-B937-97436C0E366B}"/>
    <cellStyle name="Currency 5 2 2 4 2 3 3" xfId="13510" xr:uid="{B6446CFB-2EC7-4F51-B170-5BF498C160DD}"/>
    <cellStyle name="Currency 5 2 2 4 2 4" xfId="17733" xr:uid="{127F2B9E-567D-46D3-B07F-3756F74E240E}"/>
    <cellStyle name="Currency 5 2 2 4 2 5" xfId="9292" xr:uid="{AEC1A18C-62C4-4B92-8F5D-AA3293CABF92}"/>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24509" xr:uid="{8DDCAFD3-FDD2-410F-9AF6-485BF9EE1D2D}"/>
    <cellStyle name="Currency 5 2 2 4 3 2 2 3" xfId="16068" xr:uid="{D39DBDA2-A14B-4C84-B88C-E06947EE4D6C}"/>
    <cellStyle name="Currency 5 2 2 4 3 2 3" xfId="20291" xr:uid="{5392172A-1F50-4C0A-A58D-8D484FB511BD}"/>
    <cellStyle name="Currency 5 2 2 4 3 2 4" xfId="11850" xr:uid="{309E3114-49A1-4CDC-9C9F-DA2FC2241D18}"/>
    <cellStyle name="Currency 5 2 2 4 3 3" xfId="5473" xr:uid="{00000000-0005-0000-0000-0000FB0B0000}"/>
    <cellStyle name="Currency 5 2 2 4 3 3 2" xfId="22364" xr:uid="{91D18ECE-6FFF-44AA-AA84-F521F4FF6FA2}"/>
    <cellStyle name="Currency 5 2 2 4 3 3 3" xfId="13923" xr:uid="{F1B04D49-1986-49BF-B18D-0CBF8306C3F9}"/>
    <cellStyle name="Currency 5 2 2 4 3 4" xfId="18146" xr:uid="{93FCED37-A274-423A-920B-2E6DE07812BD}"/>
    <cellStyle name="Currency 5 2 2 4 3 5" xfId="9705" xr:uid="{C1E85A11-2063-408F-9EDB-35AA1660E88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24922" xr:uid="{3F3D2C80-9097-4253-B1DD-EB8B7B9D1937}"/>
    <cellStyle name="Currency 5 2 2 4 4 2 2 3" xfId="16481" xr:uid="{69FBF24A-AA8E-4CA0-BFF1-938BB3B1F63A}"/>
    <cellStyle name="Currency 5 2 2 4 4 2 3" xfId="20704" xr:uid="{431725C5-1319-467A-82A7-6402C641881A}"/>
    <cellStyle name="Currency 5 2 2 4 4 2 4" xfId="12263" xr:uid="{01048724-C52B-46EF-9043-F3B0E9BD3775}"/>
    <cellStyle name="Currency 5 2 2 4 4 3" xfId="5886" xr:uid="{00000000-0005-0000-0000-0000FF0B0000}"/>
    <cellStyle name="Currency 5 2 2 4 4 3 2" xfId="22777" xr:uid="{C642670D-124A-442B-89E5-3F2AFA604E75}"/>
    <cellStyle name="Currency 5 2 2 4 4 3 3" xfId="14336" xr:uid="{35A2913D-D45A-4B31-BE31-310035BA8E43}"/>
    <cellStyle name="Currency 5 2 2 4 4 4" xfId="18559" xr:uid="{A1CCB90D-C718-431F-996D-FF32E031356A}"/>
    <cellStyle name="Currency 5 2 2 4 4 5" xfId="10118" xr:uid="{AB7C28F1-E9D0-4503-91C9-769E6D59B21B}"/>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25335" xr:uid="{D56BFC9A-DE89-449B-A78E-491DB1F7B973}"/>
    <cellStyle name="Currency 5 2 2 4 5 2 2 3" xfId="16894" xr:uid="{802345BC-BEB0-4A78-8DE5-DDA62E3CE586}"/>
    <cellStyle name="Currency 5 2 2 4 5 2 3" xfId="21117" xr:uid="{817845B0-67CE-4F39-812B-23D0DF6456A5}"/>
    <cellStyle name="Currency 5 2 2 4 5 2 4" xfId="12676" xr:uid="{0D62FFEA-E126-4E72-9791-F164E0BF89E3}"/>
    <cellStyle name="Currency 5 2 2 4 5 3" xfId="6299" xr:uid="{00000000-0005-0000-0000-0000030C0000}"/>
    <cellStyle name="Currency 5 2 2 4 5 3 2" xfId="23190" xr:uid="{0859CA40-B362-4388-948C-E7191DC0B655}"/>
    <cellStyle name="Currency 5 2 2 4 5 3 3" xfId="14749" xr:uid="{20CED5D9-A65D-4D83-B128-A95C0D42BBF0}"/>
    <cellStyle name="Currency 5 2 2 4 5 4" xfId="18972" xr:uid="{D2FDA469-BCA5-49C6-9C66-6F52340A5F08}"/>
    <cellStyle name="Currency 5 2 2 4 5 5" xfId="10531" xr:uid="{9809394B-DFF1-4A75-BE92-E8E7D180997A}"/>
    <cellStyle name="Currency 5 2 2 4 6" xfId="2428" xr:uid="{00000000-0005-0000-0000-0000040C0000}"/>
    <cellStyle name="Currency 5 2 2 4 6 2" xfId="6712" xr:uid="{00000000-0005-0000-0000-0000050C0000}"/>
    <cellStyle name="Currency 5 2 2 4 6 2 2" xfId="23603" xr:uid="{9E25723E-6CFC-462C-B433-813C4815D432}"/>
    <cellStyle name="Currency 5 2 2 4 6 2 3" xfId="15162" xr:uid="{F2C73713-B594-4D1E-AA12-E4602E74E00E}"/>
    <cellStyle name="Currency 5 2 2 4 6 3" xfId="19385" xr:uid="{E4AF06D6-7304-4ABB-97D4-59BF779E9C0F}"/>
    <cellStyle name="Currency 5 2 2 4 6 4" xfId="10944" xr:uid="{18EC5468-8B1D-47FB-8C68-3BE6BB1C5C69}"/>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23920" xr:uid="{8BE8F643-ED36-46AC-89E6-EE4453A46FEF}"/>
    <cellStyle name="Currency 5 2 2 4 8 2 3" xfId="15479" xr:uid="{40A2D69F-0292-4FD0-9CC7-BD477BD03AA0}"/>
    <cellStyle name="Currency 5 2 2 4 8 3" xfId="19702" xr:uid="{710C648A-9018-4B99-885A-0CC22FA00036}"/>
    <cellStyle name="Currency 5 2 2 4 8 4" xfId="11261" xr:uid="{02F91700-DBC6-447F-A7A2-39B651E2DD5C}"/>
    <cellStyle name="Currency 5 2 2 4 9" xfId="4646" xr:uid="{00000000-0005-0000-0000-0000090C0000}"/>
    <cellStyle name="Currency 5 2 2 4 9 2" xfId="21537" xr:uid="{D147D1D8-ACAF-4313-A24D-F7203C1858CE}"/>
    <cellStyle name="Currency 5 2 2 4 9 3" xfId="13096" xr:uid="{7392552C-4F84-4EF1-83D2-0A425F0855C3}"/>
    <cellStyle name="Currency 5 2 2 5" xfId="203" xr:uid="{00000000-0005-0000-0000-00000A0C0000}"/>
    <cellStyle name="Currency 5 2 2 5 10" xfId="17320" xr:uid="{6B7FF2A2-420D-43A0-912B-3AB33E2D362D}"/>
    <cellStyle name="Currency 5 2 2 5 11" xfId="8879" xr:uid="{7640D5A5-0576-483B-8361-083790642E85}"/>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24097" xr:uid="{9BCDC7A5-EFB4-4719-8A8B-FF873D701DEB}"/>
    <cellStyle name="Currency 5 2 2 5 2 2 2 3" xfId="15656" xr:uid="{B2C8648B-A9ED-46D6-9ECA-8AF369D8ABB2}"/>
    <cellStyle name="Currency 5 2 2 5 2 2 3" xfId="19879" xr:uid="{2A20E1A1-77C1-4AA0-8094-F9860FCA0AA1}"/>
    <cellStyle name="Currency 5 2 2 5 2 2 4" xfId="11438" xr:uid="{A55EBDB6-3535-4B06-A962-AC9AED5E0AF3}"/>
    <cellStyle name="Currency 5 2 2 5 2 3" xfId="5061" xr:uid="{00000000-0005-0000-0000-00000E0C0000}"/>
    <cellStyle name="Currency 5 2 2 5 2 3 2" xfId="21952" xr:uid="{FB63CCB5-E150-4E67-A9A5-BB3628725A2A}"/>
    <cellStyle name="Currency 5 2 2 5 2 3 3" xfId="13511" xr:uid="{D4D3891D-781C-462D-BC3B-04E7FFF53C9C}"/>
    <cellStyle name="Currency 5 2 2 5 2 4" xfId="17734" xr:uid="{6A146E3F-E818-46A0-B06A-4307E6BA199A}"/>
    <cellStyle name="Currency 5 2 2 5 2 5" xfId="9293" xr:uid="{5BFDCC88-7F18-4793-8ACC-E6040EDFB54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24510" xr:uid="{FB261AFC-E363-446E-83E7-C406280CF28B}"/>
    <cellStyle name="Currency 5 2 2 5 3 2 2 3" xfId="16069" xr:uid="{AD144346-2BB8-49C8-AA69-EE3DEB7A3AC8}"/>
    <cellStyle name="Currency 5 2 2 5 3 2 3" xfId="20292" xr:uid="{D5A54A4E-B0BE-490C-AA79-021DAC09D88E}"/>
    <cellStyle name="Currency 5 2 2 5 3 2 4" xfId="11851" xr:uid="{82415FF1-EB7F-49FF-A944-B574FF1D412A}"/>
    <cellStyle name="Currency 5 2 2 5 3 3" xfId="5474" xr:uid="{00000000-0005-0000-0000-0000120C0000}"/>
    <cellStyle name="Currency 5 2 2 5 3 3 2" xfId="22365" xr:uid="{4DE60CCB-3AD3-47ED-BC8B-1FDC4102B03F}"/>
    <cellStyle name="Currency 5 2 2 5 3 3 3" xfId="13924" xr:uid="{8AC8D4DF-84F2-4948-9E50-9E7DAC293C06}"/>
    <cellStyle name="Currency 5 2 2 5 3 4" xfId="18147" xr:uid="{5E456224-FFED-4BBD-9234-58E7D49D665E}"/>
    <cellStyle name="Currency 5 2 2 5 3 5" xfId="9706" xr:uid="{FE335CCD-4C4B-4867-9B8C-AE1F493BB35F}"/>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24923" xr:uid="{5A062E23-52E4-4E48-A401-64FFC364D300}"/>
    <cellStyle name="Currency 5 2 2 5 4 2 2 3" xfId="16482" xr:uid="{67CB2177-3D68-4BC4-BC68-16E390A3152F}"/>
    <cellStyle name="Currency 5 2 2 5 4 2 3" xfId="20705" xr:uid="{FD44AA09-60C4-44C1-81BD-7EF34F93D801}"/>
    <cellStyle name="Currency 5 2 2 5 4 2 4" xfId="12264" xr:uid="{B890D365-B22C-400B-B763-3D0C7866481A}"/>
    <cellStyle name="Currency 5 2 2 5 4 3" xfId="5887" xr:uid="{00000000-0005-0000-0000-0000160C0000}"/>
    <cellStyle name="Currency 5 2 2 5 4 3 2" xfId="22778" xr:uid="{EA5D5A5F-37C3-4FCD-A9F7-558DE4DC1A22}"/>
    <cellStyle name="Currency 5 2 2 5 4 3 3" xfId="14337" xr:uid="{426B2863-9ED4-4A53-84CF-EF5F4406D50D}"/>
    <cellStyle name="Currency 5 2 2 5 4 4" xfId="18560" xr:uid="{95416FAD-72E0-49E9-A038-CADE2806CE2D}"/>
    <cellStyle name="Currency 5 2 2 5 4 5" xfId="10119" xr:uid="{15A49E9E-7D32-4213-81AC-A8B03472353B}"/>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25336" xr:uid="{75FE2686-9C09-443D-A4D6-6A30F8D95550}"/>
    <cellStyle name="Currency 5 2 2 5 5 2 2 3" xfId="16895" xr:uid="{99499946-BE66-41F7-9BE2-E2E17C246ED8}"/>
    <cellStyle name="Currency 5 2 2 5 5 2 3" xfId="21118" xr:uid="{3B0E1BF7-3CA4-439B-A512-7FB496B18183}"/>
    <cellStyle name="Currency 5 2 2 5 5 2 4" xfId="12677" xr:uid="{F4A7FE62-17E4-4DA8-B2FA-71BFAF97241B}"/>
    <cellStyle name="Currency 5 2 2 5 5 3" xfId="6300" xr:uid="{00000000-0005-0000-0000-00001A0C0000}"/>
    <cellStyle name="Currency 5 2 2 5 5 3 2" xfId="23191" xr:uid="{E410FF4E-7574-4274-A9E1-6AE32E88CA30}"/>
    <cellStyle name="Currency 5 2 2 5 5 3 3" xfId="14750" xr:uid="{FE06EAC0-F5A3-456E-BE25-8CCFC68FE6A1}"/>
    <cellStyle name="Currency 5 2 2 5 5 4" xfId="18973" xr:uid="{522A82C3-B270-4AF6-9F6A-A7DDF59BA6DA}"/>
    <cellStyle name="Currency 5 2 2 5 5 5" xfId="10532" xr:uid="{97230FB5-07BF-4FEC-BE41-E95027DFF4B5}"/>
    <cellStyle name="Currency 5 2 2 5 6" xfId="2429" xr:uid="{00000000-0005-0000-0000-00001B0C0000}"/>
    <cellStyle name="Currency 5 2 2 5 6 2" xfId="6713" xr:uid="{00000000-0005-0000-0000-00001C0C0000}"/>
    <cellStyle name="Currency 5 2 2 5 6 2 2" xfId="23604" xr:uid="{DE7E518D-65DB-49F0-915A-5F8A1C011FDA}"/>
    <cellStyle name="Currency 5 2 2 5 6 2 3" xfId="15163" xr:uid="{6BF34861-DAF3-4518-9AD7-54B1B5F52446}"/>
    <cellStyle name="Currency 5 2 2 5 6 3" xfId="19386" xr:uid="{7D8FFE9C-8673-42B9-9CDE-0C32BCCAE087}"/>
    <cellStyle name="Currency 5 2 2 5 6 4" xfId="10945" xr:uid="{E46F14AE-35B6-4319-AAFE-03C46D7007AA}"/>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23921" xr:uid="{9DB1FD28-8D2F-427D-8CFE-44B897CD72F0}"/>
    <cellStyle name="Currency 5 2 2 5 8 2 3" xfId="15480" xr:uid="{08654C65-23F0-4AD3-862E-FED12C83D29E}"/>
    <cellStyle name="Currency 5 2 2 5 8 3" xfId="19703" xr:uid="{59ACDF84-9164-4719-8311-60E96DA2596D}"/>
    <cellStyle name="Currency 5 2 2 5 8 4" xfId="11262" xr:uid="{B02CB619-1A32-47F5-89F1-E8BB5BBE4265}"/>
    <cellStyle name="Currency 5 2 2 5 9" xfId="4647" xr:uid="{00000000-0005-0000-0000-0000200C0000}"/>
    <cellStyle name="Currency 5 2 2 5 9 2" xfId="21538" xr:uid="{6D434EDE-1912-4045-8EFA-8D8EAE33E893}"/>
    <cellStyle name="Currency 5 2 2 5 9 3" xfId="13097" xr:uid="{07F63A74-6E5E-4423-B74B-4C24F154772F}"/>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21539" xr:uid="{7F4C015E-4636-486B-AFAB-8FFF7D419D11}"/>
    <cellStyle name="Currency 5 2 4 10 3" xfId="13098" xr:uid="{156305D2-A829-473E-8972-BCF65F520991}"/>
    <cellStyle name="Currency 5 2 4 11" xfId="17321" xr:uid="{0CB2D01A-A71C-469C-88AA-857DC2DCB5AB}"/>
    <cellStyle name="Currency 5 2 4 12" xfId="8880" xr:uid="{4CF53BDB-0478-41A0-92C1-468832756987}"/>
    <cellStyle name="Currency 5 2 4 2" xfId="206" xr:uid="{00000000-0005-0000-0000-0000250C0000}"/>
    <cellStyle name="Currency 5 2 4 2 10" xfId="17322" xr:uid="{36EA432E-A2DD-4C7F-9690-327B7081399D}"/>
    <cellStyle name="Currency 5 2 4 2 11" xfId="8881" xr:uid="{E1C302D1-FB04-4DFD-A74D-51F6171E0F85}"/>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24099" xr:uid="{857772E4-CAC8-490D-91B0-55A0A855FC9C}"/>
    <cellStyle name="Currency 5 2 4 2 2 2 2 3" xfId="15658" xr:uid="{49E499E6-089A-4560-BE30-C2F6F0BE7F82}"/>
    <cellStyle name="Currency 5 2 4 2 2 2 3" xfId="19881" xr:uid="{B4CB4CFE-0D64-4EAD-BE08-1C9BEE045D1A}"/>
    <cellStyle name="Currency 5 2 4 2 2 2 4" xfId="11440" xr:uid="{9B421B19-526B-4576-A8AB-7293CD7F53E3}"/>
    <cellStyle name="Currency 5 2 4 2 2 3" xfId="5063" xr:uid="{00000000-0005-0000-0000-0000290C0000}"/>
    <cellStyle name="Currency 5 2 4 2 2 3 2" xfId="21954" xr:uid="{5AEA8422-F239-4D41-BBA7-A1F822525E3D}"/>
    <cellStyle name="Currency 5 2 4 2 2 3 3" xfId="13513" xr:uid="{EBD0288C-5E29-447B-B255-682EE2A5DE77}"/>
    <cellStyle name="Currency 5 2 4 2 2 4" xfId="17736" xr:uid="{8A65A869-D561-414A-950B-1C89CF83CDBA}"/>
    <cellStyle name="Currency 5 2 4 2 2 5" xfId="9295" xr:uid="{E6421C48-24B6-48CB-AB02-6FB8FB65516A}"/>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24512" xr:uid="{85084520-F08E-4B0D-91F8-D92B30E3489A}"/>
    <cellStyle name="Currency 5 2 4 2 3 2 2 3" xfId="16071" xr:uid="{84903279-25A8-4183-B1A3-0BF944775255}"/>
    <cellStyle name="Currency 5 2 4 2 3 2 3" xfId="20294" xr:uid="{DB668DDA-6FC0-45FE-B28C-81F69A5508AB}"/>
    <cellStyle name="Currency 5 2 4 2 3 2 4" xfId="11853" xr:uid="{1BDA08DE-AA67-4934-B657-D18B72606DF5}"/>
    <cellStyle name="Currency 5 2 4 2 3 3" xfId="5476" xr:uid="{00000000-0005-0000-0000-00002D0C0000}"/>
    <cellStyle name="Currency 5 2 4 2 3 3 2" xfId="22367" xr:uid="{4E66A8EF-FCE4-42DC-A05A-F320331ACECE}"/>
    <cellStyle name="Currency 5 2 4 2 3 3 3" xfId="13926" xr:uid="{AB940EE8-403C-40E1-A061-201598C8F447}"/>
    <cellStyle name="Currency 5 2 4 2 3 4" xfId="18149" xr:uid="{903A119B-4412-4F9F-A279-037531733611}"/>
    <cellStyle name="Currency 5 2 4 2 3 5" xfId="9708" xr:uid="{772257AB-CB5B-4B63-B87D-6EC20B7832D4}"/>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24925" xr:uid="{1705F0B6-F23C-4CD9-A057-8F92DB54801B}"/>
    <cellStyle name="Currency 5 2 4 2 4 2 2 3" xfId="16484" xr:uid="{DE065C96-A8C0-45DD-AB29-632699A77D54}"/>
    <cellStyle name="Currency 5 2 4 2 4 2 3" xfId="20707" xr:uid="{F3676566-CEFF-4109-814B-CB4DD326910F}"/>
    <cellStyle name="Currency 5 2 4 2 4 2 4" xfId="12266" xr:uid="{8C4E390F-8987-4F35-A4D0-38BBBC6A6A9C}"/>
    <cellStyle name="Currency 5 2 4 2 4 3" xfId="5889" xr:uid="{00000000-0005-0000-0000-0000310C0000}"/>
    <cellStyle name="Currency 5 2 4 2 4 3 2" xfId="22780" xr:uid="{FD64023F-72AB-4228-920A-27B3058C62EA}"/>
    <cellStyle name="Currency 5 2 4 2 4 3 3" xfId="14339" xr:uid="{D23CC987-CD61-4779-8358-BCA5228120DE}"/>
    <cellStyle name="Currency 5 2 4 2 4 4" xfId="18562" xr:uid="{F64CA25F-079E-4C2A-B77F-970FA0937150}"/>
    <cellStyle name="Currency 5 2 4 2 4 5" xfId="10121" xr:uid="{F986893A-C915-46C3-9197-3D1151D5CB5A}"/>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25338" xr:uid="{89987980-C331-4CE2-A3AE-68FE8DA62ACA}"/>
    <cellStyle name="Currency 5 2 4 2 5 2 2 3" xfId="16897" xr:uid="{F64D00E9-20BE-431C-BB94-642BA68E55AE}"/>
    <cellStyle name="Currency 5 2 4 2 5 2 3" xfId="21120" xr:uid="{DD1EAE32-ED72-4001-A56B-64CE785B5A5F}"/>
    <cellStyle name="Currency 5 2 4 2 5 2 4" xfId="12679" xr:uid="{A2E6377E-E820-4736-9EC8-BC08A29ABE76}"/>
    <cellStyle name="Currency 5 2 4 2 5 3" xfId="6302" xr:uid="{00000000-0005-0000-0000-0000350C0000}"/>
    <cellStyle name="Currency 5 2 4 2 5 3 2" xfId="23193" xr:uid="{1C96AAD8-BF7A-447F-A87A-673180960A11}"/>
    <cellStyle name="Currency 5 2 4 2 5 3 3" xfId="14752" xr:uid="{5A08B63D-FE14-4041-9DA8-F528EA89671A}"/>
    <cellStyle name="Currency 5 2 4 2 5 4" xfId="18975" xr:uid="{261F2802-F497-434E-A624-1EE6AB5F050E}"/>
    <cellStyle name="Currency 5 2 4 2 5 5" xfId="10534" xr:uid="{C3122C15-CF72-485F-939E-53E439E253FB}"/>
    <cellStyle name="Currency 5 2 4 2 6" xfId="2431" xr:uid="{00000000-0005-0000-0000-0000360C0000}"/>
    <cellStyle name="Currency 5 2 4 2 6 2" xfId="6715" xr:uid="{00000000-0005-0000-0000-0000370C0000}"/>
    <cellStyle name="Currency 5 2 4 2 6 2 2" xfId="23606" xr:uid="{71930568-A1DE-46BB-9370-623A57976250}"/>
    <cellStyle name="Currency 5 2 4 2 6 2 3" xfId="15165" xr:uid="{15B90343-6356-4153-9DEE-D70217FDB47F}"/>
    <cellStyle name="Currency 5 2 4 2 6 3" xfId="19388" xr:uid="{3DD465BC-A4DA-4237-8EE3-7E97255234E2}"/>
    <cellStyle name="Currency 5 2 4 2 6 4" xfId="10947" xr:uid="{2CA25C7C-1DAA-40BF-88DF-7301B91296C6}"/>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23923" xr:uid="{F0715FD9-C7DF-49F8-B596-59CE987C6518}"/>
    <cellStyle name="Currency 5 2 4 2 8 2 3" xfId="15482" xr:uid="{AA9935A5-7C86-4620-AF64-EEB4B66AB4EB}"/>
    <cellStyle name="Currency 5 2 4 2 8 3" xfId="19705" xr:uid="{2725FD94-4265-45A7-9A4A-EB4351431D47}"/>
    <cellStyle name="Currency 5 2 4 2 8 4" xfId="11264" xr:uid="{112A8AE8-DD38-4A7F-A169-23558EB6A096}"/>
    <cellStyle name="Currency 5 2 4 2 9" xfId="4649" xr:uid="{00000000-0005-0000-0000-00003B0C0000}"/>
    <cellStyle name="Currency 5 2 4 2 9 2" xfId="21540" xr:uid="{8CFC24DD-487D-4B18-98A0-3ABB7D915DC4}"/>
    <cellStyle name="Currency 5 2 4 2 9 3" xfId="13099" xr:uid="{ED35B8D2-5392-4021-B74B-FBE9B1CF9E58}"/>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24098" xr:uid="{99BF4AC2-9B4F-4EA3-8D66-B7D146B7683F}"/>
    <cellStyle name="Currency 5 2 4 3 2 2 3" xfId="15657" xr:uid="{5B5C0239-D573-4D3C-BB43-11E3B1F2F910}"/>
    <cellStyle name="Currency 5 2 4 3 2 3" xfId="19880" xr:uid="{2B06239C-957F-4C39-AFF8-2714474E6CBE}"/>
    <cellStyle name="Currency 5 2 4 3 2 4" xfId="11439" xr:uid="{DB178EA1-385F-4548-A959-DAACC598A5FA}"/>
    <cellStyle name="Currency 5 2 4 3 3" xfId="5062" xr:uid="{00000000-0005-0000-0000-00003F0C0000}"/>
    <cellStyle name="Currency 5 2 4 3 3 2" xfId="21953" xr:uid="{04CB08EF-7BA0-433F-9DF6-1E3D2C547A20}"/>
    <cellStyle name="Currency 5 2 4 3 3 3" xfId="13512" xr:uid="{815D3ECF-596B-46ED-83F7-3CA4666F6085}"/>
    <cellStyle name="Currency 5 2 4 3 4" xfId="17735" xr:uid="{ECC28A20-AAEF-4E26-8ED6-FB1B1DD31BA2}"/>
    <cellStyle name="Currency 5 2 4 3 5" xfId="9294" xr:uid="{364A0459-1397-4B42-B650-22358C00877D}"/>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24511" xr:uid="{874E36C5-63A6-447D-9405-323BFECA5348}"/>
    <cellStyle name="Currency 5 2 4 4 2 2 3" xfId="16070" xr:uid="{34B59B3A-EECF-4D53-BBCA-711407E8CED4}"/>
    <cellStyle name="Currency 5 2 4 4 2 3" xfId="20293" xr:uid="{712ADA18-EB18-4DEA-8907-E0C5BBE86B41}"/>
    <cellStyle name="Currency 5 2 4 4 2 4" xfId="11852" xr:uid="{231282FA-BE55-4A5B-AC38-CFA59A213172}"/>
    <cellStyle name="Currency 5 2 4 4 3" xfId="5475" xr:uid="{00000000-0005-0000-0000-0000430C0000}"/>
    <cellStyle name="Currency 5 2 4 4 3 2" xfId="22366" xr:uid="{1E808E74-2742-4C19-B54C-146F9162EA23}"/>
    <cellStyle name="Currency 5 2 4 4 3 3" xfId="13925" xr:uid="{FC8CDDE1-7CAA-4BB3-927C-475917CFD479}"/>
    <cellStyle name="Currency 5 2 4 4 4" xfId="18148" xr:uid="{4D24F618-2EC4-432E-9AFE-D8CC4B04630A}"/>
    <cellStyle name="Currency 5 2 4 4 5" xfId="9707" xr:uid="{5D72C7E8-3519-4EF5-8E19-353DA6A1403F}"/>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24924" xr:uid="{37FA6840-6611-4EC5-B57C-3FE56268D528}"/>
    <cellStyle name="Currency 5 2 4 5 2 2 3" xfId="16483" xr:uid="{F1FBCDD2-7F4A-4198-9108-B075F5695FC6}"/>
    <cellStyle name="Currency 5 2 4 5 2 3" xfId="20706" xr:uid="{BD4629A2-06CB-4AEC-B127-648559D7CD58}"/>
    <cellStyle name="Currency 5 2 4 5 2 4" xfId="12265" xr:uid="{7F59D6A7-1606-4974-9B4E-7678A4A2A3B0}"/>
    <cellStyle name="Currency 5 2 4 5 3" xfId="5888" xr:uid="{00000000-0005-0000-0000-0000470C0000}"/>
    <cellStyle name="Currency 5 2 4 5 3 2" xfId="22779" xr:uid="{C85B3AD2-9A0A-4F7C-A8FC-754A76D40FCD}"/>
    <cellStyle name="Currency 5 2 4 5 3 3" xfId="14338" xr:uid="{809580BE-36FC-494A-AFFD-718CBDC265CA}"/>
    <cellStyle name="Currency 5 2 4 5 4" xfId="18561" xr:uid="{EDB75B09-2E65-4A06-BA56-9DC91B2138E5}"/>
    <cellStyle name="Currency 5 2 4 5 5" xfId="10120" xr:uid="{8CCC149C-0F6C-4615-9AEC-CA37551FA27C}"/>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25337" xr:uid="{BEEE8E8B-11E2-4798-AFF4-AB14388D3710}"/>
    <cellStyle name="Currency 5 2 4 6 2 2 3" xfId="16896" xr:uid="{D509C178-663A-4F60-ADAE-E1B4FD3588AC}"/>
    <cellStyle name="Currency 5 2 4 6 2 3" xfId="21119" xr:uid="{F94FB4DB-C6D8-4F1A-AC2F-A5F27FCF4D0C}"/>
    <cellStyle name="Currency 5 2 4 6 2 4" xfId="12678" xr:uid="{4B3B9530-2AED-4911-8444-2E9CBE8DF6FE}"/>
    <cellStyle name="Currency 5 2 4 6 3" xfId="6301" xr:uid="{00000000-0005-0000-0000-00004B0C0000}"/>
    <cellStyle name="Currency 5 2 4 6 3 2" xfId="23192" xr:uid="{97B055F8-66B9-4413-A7A6-52226734116E}"/>
    <cellStyle name="Currency 5 2 4 6 3 3" xfId="14751" xr:uid="{87FB8217-98D6-4351-97EE-8FCC5E77A71B}"/>
    <cellStyle name="Currency 5 2 4 6 4" xfId="18974" xr:uid="{D49EB509-CBAB-4906-A477-BC314FD62799}"/>
    <cellStyle name="Currency 5 2 4 6 5" xfId="10533" xr:uid="{A398BEB5-9EB4-4462-8538-C82132097B66}"/>
    <cellStyle name="Currency 5 2 4 7" xfId="2430" xr:uid="{00000000-0005-0000-0000-00004C0C0000}"/>
    <cellStyle name="Currency 5 2 4 7 2" xfId="6714" xr:uid="{00000000-0005-0000-0000-00004D0C0000}"/>
    <cellStyle name="Currency 5 2 4 7 2 2" xfId="23605" xr:uid="{9381B20D-5EB5-4A4D-970A-23B1F1A638A4}"/>
    <cellStyle name="Currency 5 2 4 7 2 3" xfId="15164" xr:uid="{2736A914-C7F1-4BC1-8941-EC5E13E80728}"/>
    <cellStyle name="Currency 5 2 4 7 3" xfId="19387" xr:uid="{0A8B177F-11A3-4EEB-AADC-B9CA386E494A}"/>
    <cellStyle name="Currency 5 2 4 7 4" xfId="10946" xr:uid="{3E12CB14-A223-4CAE-892C-502154DE5A53}"/>
    <cellStyle name="Currency 5 2 4 8" xfId="2727" xr:uid="{00000000-0005-0000-0000-00004E0C0000}"/>
    <cellStyle name="Currency 5 2 4 9" xfId="2808" xr:uid="{00000000-0005-0000-0000-00004F0C0000}"/>
    <cellStyle name="Currency 5 2 4 9 2" xfId="7031" xr:uid="{00000000-0005-0000-0000-0000500C0000}"/>
    <cellStyle name="Currency 5 2 4 9 2 2" xfId="23922" xr:uid="{3C130BD0-3FD0-4FE4-9B2E-6D6D57817FFF}"/>
    <cellStyle name="Currency 5 2 4 9 2 3" xfId="15481" xr:uid="{C21FB28B-26FF-4A78-94AF-5C023CE397A2}"/>
    <cellStyle name="Currency 5 2 4 9 3" xfId="19704" xr:uid="{E6440A57-2F45-4B0F-AE23-2AAEF4561017}"/>
    <cellStyle name="Currency 5 2 4 9 4" xfId="11263" xr:uid="{F209DDD6-4C87-4680-92CC-BF8001F07522}"/>
    <cellStyle name="Currency 5 2 5" xfId="207" xr:uid="{00000000-0005-0000-0000-0000510C0000}"/>
    <cellStyle name="Currency 5 2 5 10" xfId="17323" xr:uid="{AD6F0387-4EDA-4D4F-ABDD-1C5B29BD520E}"/>
    <cellStyle name="Currency 5 2 5 11" xfId="8882" xr:uid="{4A3893EA-0D65-489E-86B4-71F4F8A77481}"/>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24100" xr:uid="{CEAE3AA3-1F10-45D4-9F8B-D05DB73AC1E1}"/>
    <cellStyle name="Currency 5 2 5 2 2 2 3" xfId="15659" xr:uid="{9E19C670-ECAE-43D9-A5B1-6F4E48CD7BBD}"/>
    <cellStyle name="Currency 5 2 5 2 2 3" xfId="19882" xr:uid="{EFE86DC8-C470-4599-B981-CC2BFE4DE1BD}"/>
    <cellStyle name="Currency 5 2 5 2 2 4" xfId="11441" xr:uid="{BD7E3FF5-D4A6-470B-9528-76BBD26C5F87}"/>
    <cellStyle name="Currency 5 2 5 2 3" xfId="5064" xr:uid="{00000000-0005-0000-0000-0000550C0000}"/>
    <cellStyle name="Currency 5 2 5 2 3 2" xfId="21955" xr:uid="{615BDB23-97A4-44E0-9163-150CEFF24831}"/>
    <cellStyle name="Currency 5 2 5 2 3 3" xfId="13514" xr:uid="{BC1C3189-5F21-4818-BA01-1DA8C5890D28}"/>
    <cellStyle name="Currency 5 2 5 2 4" xfId="17737" xr:uid="{057EA4D0-6702-4DA0-8C00-40FF981AA555}"/>
    <cellStyle name="Currency 5 2 5 2 5" xfId="9296" xr:uid="{FE8EC1A1-F698-48B0-8874-8AF99BE71D21}"/>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24513" xr:uid="{FA17E135-AB43-452D-A11D-97846D9F9FFB}"/>
    <cellStyle name="Currency 5 2 5 3 2 2 3" xfId="16072" xr:uid="{FC2C4806-987B-40A6-B2BC-7BAFD3866B8B}"/>
    <cellStyle name="Currency 5 2 5 3 2 3" xfId="20295" xr:uid="{C497F5D5-2050-4C19-9589-1960A58CCB19}"/>
    <cellStyle name="Currency 5 2 5 3 2 4" xfId="11854" xr:uid="{E0A07A02-B072-4825-83C7-352DE49EF19D}"/>
    <cellStyle name="Currency 5 2 5 3 3" xfId="5477" xr:uid="{00000000-0005-0000-0000-0000590C0000}"/>
    <cellStyle name="Currency 5 2 5 3 3 2" xfId="22368" xr:uid="{A15CFB93-BD81-41FB-B0CB-223289B51879}"/>
    <cellStyle name="Currency 5 2 5 3 3 3" xfId="13927" xr:uid="{C6302D14-9E17-4E5D-8267-19C2344541A2}"/>
    <cellStyle name="Currency 5 2 5 3 4" xfId="18150" xr:uid="{1990AE6E-6238-421E-9DCC-E4A889A9D344}"/>
    <cellStyle name="Currency 5 2 5 3 5" xfId="9709" xr:uid="{F3C23546-6A24-494E-9CED-1EDFD5985CED}"/>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24926" xr:uid="{CBB81930-6C4F-4EDF-BB33-93D71E9DEEDF}"/>
    <cellStyle name="Currency 5 2 5 4 2 2 3" xfId="16485" xr:uid="{4B4EDEE2-CA18-4F94-A90E-1F70B53CCCC8}"/>
    <cellStyle name="Currency 5 2 5 4 2 3" xfId="20708" xr:uid="{926D07FC-859B-444A-896C-C96FD8856411}"/>
    <cellStyle name="Currency 5 2 5 4 2 4" xfId="12267" xr:uid="{01D56AEB-6C0D-41E4-9524-27FBD6D28073}"/>
    <cellStyle name="Currency 5 2 5 4 3" xfId="5890" xr:uid="{00000000-0005-0000-0000-00005D0C0000}"/>
    <cellStyle name="Currency 5 2 5 4 3 2" xfId="22781" xr:uid="{5E6CA74A-34E8-4D6A-B20B-F8EDA9DCAE19}"/>
    <cellStyle name="Currency 5 2 5 4 3 3" xfId="14340" xr:uid="{0BAA8742-BF32-4C68-8B3B-688C25E0D182}"/>
    <cellStyle name="Currency 5 2 5 4 4" xfId="18563" xr:uid="{CE692D25-0209-4C56-9A2E-6E3A2066E28B}"/>
    <cellStyle name="Currency 5 2 5 4 5" xfId="10122" xr:uid="{EFF3ECF1-196A-423C-8A54-6B9290327DB6}"/>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25339" xr:uid="{01A43279-8231-47A3-95EF-8D516FE787B3}"/>
    <cellStyle name="Currency 5 2 5 5 2 2 3" xfId="16898" xr:uid="{8D04975F-BAAC-4683-976B-9992F78AED02}"/>
    <cellStyle name="Currency 5 2 5 5 2 3" xfId="21121" xr:uid="{469D252B-92C5-4D0E-9979-7083BA23A8C0}"/>
    <cellStyle name="Currency 5 2 5 5 2 4" xfId="12680" xr:uid="{0DD7E615-1EA4-4C85-A299-65EF830E9FBA}"/>
    <cellStyle name="Currency 5 2 5 5 3" xfId="6303" xr:uid="{00000000-0005-0000-0000-0000610C0000}"/>
    <cellStyle name="Currency 5 2 5 5 3 2" xfId="23194" xr:uid="{3D6832C9-5F96-42F0-978D-818ABF6EE4F9}"/>
    <cellStyle name="Currency 5 2 5 5 3 3" xfId="14753" xr:uid="{E4E5AAD0-EF99-4FF0-B7E8-DA2A7F7D3F7A}"/>
    <cellStyle name="Currency 5 2 5 5 4" xfId="18976" xr:uid="{21B7FAB5-9730-45F1-9CAF-22E7D0809E17}"/>
    <cellStyle name="Currency 5 2 5 5 5" xfId="10535" xr:uid="{D8AAC2EC-7BDC-4687-94A6-CB3B68C3540D}"/>
    <cellStyle name="Currency 5 2 5 6" xfId="2432" xr:uid="{00000000-0005-0000-0000-0000620C0000}"/>
    <cellStyle name="Currency 5 2 5 6 2" xfId="6716" xr:uid="{00000000-0005-0000-0000-0000630C0000}"/>
    <cellStyle name="Currency 5 2 5 6 2 2" xfId="23607" xr:uid="{595471D0-17A6-44E2-A549-59BB6EE6AE61}"/>
    <cellStyle name="Currency 5 2 5 6 2 3" xfId="15166" xr:uid="{D87DCCD3-B8B7-4E02-937D-1EECC0CBC485}"/>
    <cellStyle name="Currency 5 2 5 6 3" xfId="19389" xr:uid="{24340198-C08E-44FA-9C51-D5BEF020A2DD}"/>
    <cellStyle name="Currency 5 2 5 6 4" xfId="10948" xr:uid="{0AB968C9-B641-43B1-926A-43DBBFB19EFD}"/>
    <cellStyle name="Currency 5 2 5 7" xfId="2729" xr:uid="{00000000-0005-0000-0000-0000640C0000}"/>
    <cellStyle name="Currency 5 2 5 8" xfId="2810" xr:uid="{00000000-0005-0000-0000-0000650C0000}"/>
    <cellStyle name="Currency 5 2 5 8 2" xfId="7033" xr:uid="{00000000-0005-0000-0000-0000660C0000}"/>
    <cellStyle name="Currency 5 2 5 8 2 2" xfId="23924" xr:uid="{D207C4B1-9C0D-4966-B5FD-9E2278427F14}"/>
    <cellStyle name="Currency 5 2 5 8 2 3" xfId="15483" xr:uid="{D4017C66-62D3-4E20-A34B-A2A07C32DA9D}"/>
    <cellStyle name="Currency 5 2 5 8 3" xfId="19706" xr:uid="{A926EDD3-A50F-45E8-A313-040E3C291B8B}"/>
    <cellStyle name="Currency 5 2 5 8 4" xfId="11265" xr:uid="{AE966C8E-A282-42CA-8674-7796328E8B3B}"/>
    <cellStyle name="Currency 5 2 5 9" xfId="4650" xr:uid="{00000000-0005-0000-0000-0000670C0000}"/>
    <cellStyle name="Currency 5 2 5 9 2" xfId="21541" xr:uid="{AB577FAF-0A10-4C0D-A03E-ABC422DD6AD6}"/>
    <cellStyle name="Currency 5 2 5 9 3" xfId="13100" xr:uid="{F789DA20-57D3-4C1B-A1D1-25F7693F2B49}"/>
    <cellStyle name="Currency 5 2 6" xfId="208" xr:uid="{00000000-0005-0000-0000-0000680C0000}"/>
    <cellStyle name="Currency 5 2 6 10" xfId="17324" xr:uid="{3A5B082A-DA8F-496B-B814-F8BF12EE4D31}"/>
    <cellStyle name="Currency 5 2 6 11" xfId="8883" xr:uid="{F86BF173-5264-4EBF-A803-4CCDE3C33FAF}"/>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24101" xr:uid="{19DEE74A-A6CC-4648-BA4E-B9567884EF64}"/>
    <cellStyle name="Currency 5 2 6 2 2 2 3" xfId="15660" xr:uid="{21388573-F1CB-4CFD-8FAB-980EAC9BB343}"/>
    <cellStyle name="Currency 5 2 6 2 2 3" xfId="19883" xr:uid="{96B3FBAF-80B1-4DC7-8444-36461006DF8F}"/>
    <cellStyle name="Currency 5 2 6 2 2 4" xfId="11442" xr:uid="{CD646C90-FD5D-4EB4-A260-0BCA2D152AD9}"/>
    <cellStyle name="Currency 5 2 6 2 3" xfId="5065" xr:uid="{00000000-0005-0000-0000-00006C0C0000}"/>
    <cellStyle name="Currency 5 2 6 2 3 2" xfId="21956" xr:uid="{3320B752-5A38-428B-ABF2-DA4AB1508429}"/>
    <cellStyle name="Currency 5 2 6 2 3 3" xfId="13515" xr:uid="{10327822-D70E-49DD-86BE-4923B062DF10}"/>
    <cellStyle name="Currency 5 2 6 2 4" xfId="17738" xr:uid="{B7BB53D7-832D-449E-BD03-B8144A78A6A3}"/>
    <cellStyle name="Currency 5 2 6 2 5" xfId="9297" xr:uid="{94177037-BAFC-40EC-9067-0758D49DAEF6}"/>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24514" xr:uid="{4F69DA88-9F98-4FA0-A9B2-483649C64BB2}"/>
    <cellStyle name="Currency 5 2 6 3 2 2 3" xfId="16073" xr:uid="{0D732008-8652-4CBC-B5FE-C7711675BF3F}"/>
    <cellStyle name="Currency 5 2 6 3 2 3" xfId="20296" xr:uid="{AAD86182-9906-45F9-B55D-A1F5D9DC9F38}"/>
    <cellStyle name="Currency 5 2 6 3 2 4" xfId="11855" xr:uid="{08AF8D93-356E-4718-A729-F59279033E66}"/>
    <cellStyle name="Currency 5 2 6 3 3" xfId="5478" xr:uid="{00000000-0005-0000-0000-0000700C0000}"/>
    <cellStyle name="Currency 5 2 6 3 3 2" xfId="22369" xr:uid="{5F0168AF-7AA2-47A7-B892-9FB41281DA24}"/>
    <cellStyle name="Currency 5 2 6 3 3 3" xfId="13928" xr:uid="{7554F5EF-BBC4-4A46-862C-8B8BAB543B55}"/>
    <cellStyle name="Currency 5 2 6 3 4" xfId="18151" xr:uid="{54018222-BB05-4CBE-824F-BC0EE9E3F58B}"/>
    <cellStyle name="Currency 5 2 6 3 5" xfId="9710" xr:uid="{9FF4FF85-213D-489D-9EAB-459A4CA97995}"/>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24927" xr:uid="{C825BC41-7BF4-44A5-858B-4C8B71011218}"/>
    <cellStyle name="Currency 5 2 6 4 2 2 3" xfId="16486" xr:uid="{3190F95D-F9D6-4203-9247-5DB2D20582E3}"/>
    <cellStyle name="Currency 5 2 6 4 2 3" xfId="20709" xr:uid="{88B53A25-789D-4F72-82D7-2F6275E2F2B8}"/>
    <cellStyle name="Currency 5 2 6 4 2 4" xfId="12268" xr:uid="{CA565CC9-3A98-4FA3-81D1-115219C59496}"/>
    <cellStyle name="Currency 5 2 6 4 3" xfId="5891" xr:uid="{00000000-0005-0000-0000-0000740C0000}"/>
    <cellStyle name="Currency 5 2 6 4 3 2" xfId="22782" xr:uid="{FD2C5122-9D02-4D37-A35C-8D6138123AED}"/>
    <cellStyle name="Currency 5 2 6 4 3 3" xfId="14341" xr:uid="{49E91684-5B80-4868-984C-C8712DA82704}"/>
    <cellStyle name="Currency 5 2 6 4 4" xfId="18564" xr:uid="{037A06AB-96E8-4AE8-8F9C-968FFF95E29D}"/>
    <cellStyle name="Currency 5 2 6 4 5" xfId="10123" xr:uid="{DE78CA9F-123F-4647-BEE9-37B015A84BD6}"/>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25340" xr:uid="{5A2545F0-D929-43F1-B974-D9189713C008}"/>
    <cellStyle name="Currency 5 2 6 5 2 2 3" xfId="16899" xr:uid="{FF460953-B5B8-4ECC-B617-41E45091C310}"/>
    <cellStyle name="Currency 5 2 6 5 2 3" xfId="21122" xr:uid="{9274A207-61FB-49C4-910E-64CE22AE4C7B}"/>
    <cellStyle name="Currency 5 2 6 5 2 4" xfId="12681" xr:uid="{33DBFAFA-3B4D-45B1-927A-A867681179BA}"/>
    <cellStyle name="Currency 5 2 6 5 3" xfId="6304" xr:uid="{00000000-0005-0000-0000-0000780C0000}"/>
    <cellStyle name="Currency 5 2 6 5 3 2" xfId="23195" xr:uid="{7DFFD8B0-5148-4634-AACF-13B270A96627}"/>
    <cellStyle name="Currency 5 2 6 5 3 3" xfId="14754" xr:uid="{A7EAEA17-E93A-4132-8D92-406A046CCD95}"/>
    <cellStyle name="Currency 5 2 6 5 4" xfId="18977" xr:uid="{A33CB650-1E3C-4784-9957-AC00E7AE57A5}"/>
    <cellStyle name="Currency 5 2 6 5 5" xfId="10536" xr:uid="{EAF5DF73-AF87-4967-BEF5-2CD1CAFDAF6B}"/>
    <cellStyle name="Currency 5 2 6 6" xfId="2433" xr:uid="{00000000-0005-0000-0000-0000790C0000}"/>
    <cellStyle name="Currency 5 2 6 6 2" xfId="6717" xr:uid="{00000000-0005-0000-0000-00007A0C0000}"/>
    <cellStyle name="Currency 5 2 6 6 2 2" xfId="23608" xr:uid="{35BD7B1D-2DEA-41C5-A7E9-8A6DF59590D4}"/>
    <cellStyle name="Currency 5 2 6 6 2 3" xfId="15167" xr:uid="{99C9C66E-EED0-4B0A-AD77-652772422208}"/>
    <cellStyle name="Currency 5 2 6 6 3" xfId="19390" xr:uid="{1F383030-0D9A-4CAD-A248-F4B1CB44D902}"/>
    <cellStyle name="Currency 5 2 6 6 4" xfId="10949" xr:uid="{616BA380-7A1A-4ED1-B3B7-E5A127B34631}"/>
    <cellStyle name="Currency 5 2 6 7" xfId="2730" xr:uid="{00000000-0005-0000-0000-00007B0C0000}"/>
    <cellStyle name="Currency 5 2 6 8" xfId="2811" xr:uid="{00000000-0005-0000-0000-00007C0C0000}"/>
    <cellStyle name="Currency 5 2 6 8 2" xfId="7034" xr:uid="{00000000-0005-0000-0000-00007D0C0000}"/>
    <cellStyle name="Currency 5 2 6 8 2 2" xfId="23925" xr:uid="{3BD78047-87A5-45F8-A677-A59E455F5530}"/>
    <cellStyle name="Currency 5 2 6 8 2 3" xfId="15484" xr:uid="{2730B631-6092-4B68-B5A4-46AAD90EAAA6}"/>
    <cellStyle name="Currency 5 2 6 8 3" xfId="19707" xr:uid="{0570C254-E3A4-4582-BCED-560485257F73}"/>
    <cellStyle name="Currency 5 2 6 8 4" xfId="11266" xr:uid="{508E1072-CBEC-4FEB-AF1D-E0C654A80E14}"/>
    <cellStyle name="Currency 5 2 6 9" xfId="4651" xr:uid="{00000000-0005-0000-0000-00007E0C0000}"/>
    <cellStyle name="Currency 5 2 6 9 2" xfId="21542" xr:uid="{6F1147FB-0407-4770-8593-68B75C9650BA}"/>
    <cellStyle name="Currency 5 2 6 9 3" xfId="13101" xr:uid="{33A8FAA8-946D-4766-B69B-09FAAC535735}"/>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23926" xr:uid="{0878FD2C-CCD4-4A5C-B9CC-DB60750D28EA}"/>
    <cellStyle name="Currency 5 3 2 10 2 3" xfId="15485" xr:uid="{AEF04B7F-B3AD-4573-9CE3-A018E6110BFE}"/>
    <cellStyle name="Currency 5 3 2 10 3" xfId="19708" xr:uid="{97C2C52D-F910-4B0C-BF1B-200FDD5D4634}"/>
    <cellStyle name="Currency 5 3 2 10 4" xfId="11267" xr:uid="{097584D1-ADD2-4DEC-8292-E39BE68760EE}"/>
    <cellStyle name="Currency 5 3 2 11" xfId="4652" xr:uid="{00000000-0005-0000-0000-0000840C0000}"/>
    <cellStyle name="Currency 5 3 2 11 2" xfId="21543" xr:uid="{6E973B5B-3522-490A-BB18-162BCE5CF0CD}"/>
    <cellStyle name="Currency 5 3 2 11 3" xfId="13102" xr:uid="{BCB8C4F2-117D-4C7D-B7F6-CFCF7F19B199}"/>
    <cellStyle name="Currency 5 3 2 12" xfId="17325" xr:uid="{69DB593F-3BAE-4C9A-B09B-EB5020DB8718}"/>
    <cellStyle name="Currency 5 3 2 13" xfId="8884" xr:uid="{0D3FDDE7-3C12-4CA4-902A-4686AC3C4AEE}"/>
    <cellStyle name="Currency 5 3 2 2" xfId="211" xr:uid="{00000000-0005-0000-0000-0000850C0000}"/>
    <cellStyle name="Currency 5 3 2 2 10" xfId="4653" xr:uid="{00000000-0005-0000-0000-0000860C0000}"/>
    <cellStyle name="Currency 5 3 2 2 10 2" xfId="21544" xr:uid="{3CA14BB3-92C2-49B5-B6BF-BF937798DC19}"/>
    <cellStyle name="Currency 5 3 2 2 10 3" xfId="13103" xr:uid="{86FAACA5-FF7E-4517-A06C-87F098D05D2C}"/>
    <cellStyle name="Currency 5 3 2 2 11" xfId="17326" xr:uid="{C51BCBAD-7B24-49FB-81B3-63A79B01770F}"/>
    <cellStyle name="Currency 5 3 2 2 12" xfId="8885" xr:uid="{C21C1BD6-CFC5-49B1-9D3D-1A24E51FA2DC}"/>
    <cellStyle name="Currency 5 3 2 2 2" xfId="212" xr:uid="{00000000-0005-0000-0000-0000870C0000}"/>
    <cellStyle name="Currency 5 3 2 2 2 10" xfId="17327" xr:uid="{F944FC14-7BC9-481E-AF54-3630D154F87C}"/>
    <cellStyle name="Currency 5 3 2 2 2 11" xfId="8886" xr:uid="{34A5D36F-91DD-4C0C-8744-E9CEFEF78269}"/>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24104" xr:uid="{69A2589D-0145-4D5C-B235-EEBF7661EACB}"/>
    <cellStyle name="Currency 5 3 2 2 2 2 2 2 3" xfId="15663" xr:uid="{A7DD7218-D4D9-4121-A3B0-301109421368}"/>
    <cellStyle name="Currency 5 3 2 2 2 2 2 3" xfId="19886" xr:uid="{8D30C236-03E1-4FB1-A75C-23F91A5C850A}"/>
    <cellStyle name="Currency 5 3 2 2 2 2 2 4" xfId="11445" xr:uid="{32AB1DBF-7D17-4D75-9A03-F9BCEB9F4DA0}"/>
    <cellStyle name="Currency 5 3 2 2 2 2 3" xfId="5068" xr:uid="{00000000-0005-0000-0000-00008B0C0000}"/>
    <cellStyle name="Currency 5 3 2 2 2 2 3 2" xfId="21959" xr:uid="{130BE314-E42C-410F-A1EC-51EF72ED3A2F}"/>
    <cellStyle name="Currency 5 3 2 2 2 2 3 3" xfId="13518" xr:uid="{E30ABB3D-8C32-4254-9FD3-53B2AE43E2A0}"/>
    <cellStyle name="Currency 5 3 2 2 2 2 4" xfId="17741" xr:uid="{16E58E0D-C814-4F48-9164-2D9284186861}"/>
    <cellStyle name="Currency 5 3 2 2 2 2 5" xfId="9300" xr:uid="{D20787AB-2FCD-4728-9358-CDF955CEEA3C}"/>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24517" xr:uid="{BCB39E9E-14AB-45E0-9368-2C79AD7A8E07}"/>
    <cellStyle name="Currency 5 3 2 2 2 3 2 2 3" xfId="16076" xr:uid="{D69BE504-DD6F-4D81-AE8F-4A90D45971EA}"/>
    <cellStyle name="Currency 5 3 2 2 2 3 2 3" xfId="20299" xr:uid="{3B7CA6E7-725A-4FE7-9553-08B6FAB628B1}"/>
    <cellStyle name="Currency 5 3 2 2 2 3 2 4" xfId="11858" xr:uid="{276C49C2-1028-4AAE-99E4-8DB121188325}"/>
    <cellStyle name="Currency 5 3 2 2 2 3 3" xfId="5481" xr:uid="{00000000-0005-0000-0000-00008F0C0000}"/>
    <cellStyle name="Currency 5 3 2 2 2 3 3 2" xfId="22372" xr:uid="{E75316EE-E49C-4161-AE4E-2095AD134F65}"/>
    <cellStyle name="Currency 5 3 2 2 2 3 3 3" xfId="13931" xr:uid="{6EC6DEE8-A54B-4AD3-8AB5-4B6DCB99E751}"/>
    <cellStyle name="Currency 5 3 2 2 2 3 4" xfId="18154" xr:uid="{35A49471-83C6-406B-8DF1-B40B9C8232B6}"/>
    <cellStyle name="Currency 5 3 2 2 2 3 5" xfId="9713" xr:uid="{CF8421B2-4A16-4CC9-BFC7-E341DA6BC0AC}"/>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24930" xr:uid="{65364CA8-2487-4512-A613-9B16DF0D9F1C}"/>
    <cellStyle name="Currency 5 3 2 2 2 4 2 2 3" xfId="16489" xr:uid="{4345DCAA-6C88-4A1C-BA3D-1ABCAB2B9DEE}"/>
    <cellStyle name="Currency 5 3 2 2 2 4 2 3" xfId="20712" xr:uid="{FC73FC4F-1AC6-4A7D-B0B7-D8BEA9347688}"/>
    <cellStyle name="Currency 5 3 2 2 2 4 2 4" xfId="12271" xr:uid="{00D6F110-E308-421D-989C-16F53F222FA3}"/>
    <cellStyle name="Currency 5 3 2 2 2 4 3" xfId="5894" xr:uid="{00000000-0005-0000-0000-0000930C0000}"/>
    <cellStyle name="Currency 5 3 2 2 2 4 3 2" xfId="22785" xr:uid="{184FBDFD-5E31-4A5D-8934-BF61A80C46D8}"/>
    <cellStyle name="Currency 5 3 2 2 2 4 3 3" xfId="14344" xr:uid="{8F9F8048-F7EE-4D10-90FC-A7AB12486988}"/>
    <cellStyle name="Currency 5 3 2 2 2 4 4" xfId="18567" xr:uid="{8E8B2FF1-1E72-4361-89EB-4DD6917C156F}"/>
    <cellStyle name="Currency 5 3 2 2 2 4 5" xfId="10126" xr:uid="{CA423900-8793-4E0A-90D7-FF6D4C2AF515}"/>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25343" xr:uid="{72A900AD-62C5-4104-BF26-BEAAFBF0A1BF}"/>
    <cellStyle name="Currency 5 3 2 2 2 5 2 2 3" xfId="16902" xr:uid="{3B3A8171-9F7A-48D2-BD01-1C3FC5C8631E}"/>
    <cellStyle name="Currency 5 3 2 2 2 5 2 3" xfId="21125" xr:uid="{27FAE323-21FF-49D9-AD7E-712FFBE027C1}"/>
    <cellStyle name="Currency 5 3 2 2 2 5 2 4" xfId="12684" xr:uid="{B90BB6B6-E13E-460C-AEC9-BF75038040B4}"/>
    <cellStyle name="Currency 5 3 2 2 2 5 3" xfId="6307" xr:uid="{00000000-0005-0000-0000-0000970C0000}"/>
    <cellStyle name="Currency 5 3 2 2 2 5 3 2" xfId="23198" xr:uid="{22B77FB1-068A-4548-A319-F26B1B89D2F7}"/>
    <cellStyle name="Currency 5 3 2 2 2 5 3 3" xfId="14757" xr:uid="{03DD0004-A354-4B5D-80DA-D61AE512527C}"/>
    <cellStyle name="Currency 5 3 2 2 2 5 4" xfId="18980" xr:uid="{A31038BC-3C47-4E77-BAB8-EF966B260709}"/>
    <cellStyle name="Currency 5 3 2 2 2 5 5" xfId="10539" xr:uid="{57AD2808-4DC0-4208-9E5F-4BB6FA511F8E}"/>
    <cellStyle name="Currency 5 3 2 2 2 6" xfId="2436" xr:uid="{00000000-0005-0000-0000-0000980C0000}"/>
    <cellStyle name="Currency 5 3 2 2 2 6 2" xfId="6720" xr:uid="{00000000-0005-0000-0000-0000990C0000}"/>
    <cellStyle name="Currency 5 3 2 2 2 6 2 2" xfId="23611" xr:uid="{60BC0348-BB60-4ACF-8E3D-2BF04413CEA8}"/>
    <cellStyle name="Currency 5 3 2 2 2 6 2 3" xfId="15170" xr:uid="{B3D2F877-FC3B-442A-AA2A-07F6E73F2F87}"/>
    <cellStyle name="Currency 5 3 2 2 2 6 3" xfId="19393" xr:uid="{76591F1F-3C00-45AC-9BD8-4FCF1D63440E}"/>
    <cellStyle name="Currency 5 3 2 2 2 6 4" xfId="10952" xr:uid="{6EBB29CB-AD0E-485A-85D9-405E283FAD01}"/>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23928" xr:uid="{A140F464-88D2-45D8-8B59-B3431565AE47}"/>
    <cellStyle name="Currency 5 3 2 2 2 8 2 3" xfId="15487" xr:uid="{6B2D9A63-2E00-4D2D-A16F-D0F9A91C2E7C}"/>
    <cellStyle name="Currency 5 3 2 2 2 8 3" xfId="19710" xr:uid="{9E9B97F7-7C69-4080-A38E-E038BC75ED39}"/>
    <cellStyle name="Currency 5 3 2 2 2 8 4" xfId="11269" xr:uid="{A2CF5153-0E24-4F8B-9A7D-42B17E251DE9}"/>
    <cellStyle name="Currency 5 3 2 2 2 9" xfId="4654" xr:uid="{00000000-0005-0000-0000-00009D0C0000}"/>
    <cellStyle name="Currency 5 3 2 2 2 9 2" xfId="21545" xr:uid="{38AB8C8A-611E-47BA-98BB-6645E6A904E3}"/>
    <cellStyle name="Currency 5 3 2 2 2 9 3" xfId="13104" xr:uid="{64841A53-3A03-4A99-9D65-36B4873FEC85}"/>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24103" xr:uid="{7B61EDC9-8A7B-4BF1-A7FA-2F9835190FB5}"/>
    <cellStyle name="Currency 5 3 2 2 3 2 2 3" xfId="15662" xr:uid="{A2A902BA-AF5D-46DA-878A-6E5AEFB4F399}"/>
    <cellStyle name="Currency 5 3 2 2 3 2 3" xfId="19885" xr:uid="{EFF45750-DF4E-407A-A81E-40BE12552E7A}"/>
    <cellStyle name="Currency 5 3 2 2 3 2 4" xfId="11444" xr:uid="{A0D693C9-3DEF-4329-A3F8-062F17AB293E}"/>
    <cellStyle name="Currency 5 3 2 2 3 3" xfId="5067" xr:uid="{00000000-0005-0000-0000-0000A10C0000}"/>
    <cellStyle name="Currency 5 3 2 2 3 3 2" xfId="21958" xr:uid="{0C0C2C42-6BA4-41B3-8EC3-FC1255C8E03F}"/>
    <cellStyle name="Currency 5 3 2 2 3 3 3" xfId="13517" xr:uid="{CFE13BC2-DF45-45F0-9A76-E49E4CC24F9D}"/>
    <cellStyle name="Currency 5 3 2 2 3 4" xfId="17740" xr:uid="{98827203-D27D-4CDF-8D76-11AA82BC9522}"/>
    <cellStyle name="Currency 5 3 2 2 3 5" xfId="9299" xr:uid="{60855EFF-1B49-4C4C-8470-0587925C4AD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24516" xr:uid="{C9C5747B-92CB-4E1D-91B6-1099B25FC121}"/>
    <cellStyle name="Currency 5 3 2 2 4 2 2 3" xfId="16075" xr:uid="{83FB343F-63C1-4251-83A5-A514D34A852A}"/>
    <cellStyle name="Currency 5 3 2 2 4 2 3" xfId="20298" xr:uid="{241D5C00-DBDC-43C3-A821-805A25668503}"/>
    <cellStyle name="Currency 5 3 2 2 4 2 4" xfId="11857" xr:uid="{63F2C176-1245-425E-A0FA-D86F78EC487D}"/>
    <cellStyle name="Currency 5 3 2 2 4 3" xfId="5480" xr:uid="{00000000-0005-0000-0000-0000A50C0000}"/>
    <cellStyle name="Currency 5 3 2 2 4 3 2" xfId="22371" xr:uid="{580E9A88-A1F0-4F8B-9BEB-AA2F6F00BA98}"/>
    <cellStyle name="Currency 5 3 2 2 4 3 3" xfId="13930" xr:uid="{15A64900-2370-4650-A18D-1F7527D35EF2}"/>
    <cellStyle name="Currency 5 3 2 2 4 4" xfId="18153" xr:uid="{DC90698B-CC4D-4A69-A8D4-7278FE3C2F72}"/>
    <cellStyle name="Currency 5 3 2 2 4 5" xfId="9712" xr:uid="{D7664D10-EA68-4401-8CFC-262A08147699}"/>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24929" xr:uid="{F4F10122-DC76-4E24-9C48-0B320EDEABB0}"/>
    <cellStyle name="Currency 5 3 2 2 5 2 2 3" xfId="16488" xr:uid="{87FAA0C7-A0DC-44EE-9D44-CF978DB97ECD}"/>
    <cellStyle name="Currency 5 3 2 2 5 2 3" xfId="20711" xr:uid="{AEE4B7A0-E49E-4D69-BE7B-4A12D2A8AE3A}"/>
    <cellStyle name="Currency 5 3 2 2 5 2 4" xfId="12270" xr:uid="{D135B954-F599-4CAD-852F-E1217324F36B}"/>
    <cellStyle name="Currency 5 3 2 2 5 3" xfId="5893" xr:uid="{00000000-0005-0000-0000-0000A90C0000}"/>
    <cellStyle name="Currency 5 3 2 2 5 3 2" xfId="22784" xr:uid="{4E8B8BBC-B481-498B-B51C-313974794908}"/>
    <cellStyle name="Currency 5 3 2 2 5 3 3" xfId="14343" xr:uid="{61D535EC-BDDD-45BF-ABDB-9E40DF8810BC}"/>
    <cellStyle name="Currency 5 3 2 2 5 4" xfId="18566" xr:uid="{1636B623-15A6-4EA4-9ED6-C0D8D33BC48A}"/>
    <cellStyle name="Currency 5 3 2 2 5 5" xfId="10125" xr:uid="{10842AC9-8E4A-4F81-8277-4F5647C8E7DF}"/>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25342" xr:uid="{27042A15-B7DC-41DF-B070-7A5D6110AEEB}"/>
    <cellStyle name="Currency 5 3 2 2 6 2 2 3" xfId="16901" xr:uid="{4064A974-56EC-4188-8602-CE9D03DE287D}"/>
    <cellStyle name="Currency 5 3 2 2 6 2 3" xfId="21124" xr:uid="{362C39D3-41F7-49BA-BDFB-8E0549609DD6}"/>
    <cellStyle name="Currency 5 3 2 2 6 2 4" xfId="12683" xr:uid="{9706767E-85CC-455A-B693-94D1DC839E13}"/>
    <cellStyle name="Currency 5 3 2 2 6 3" xfId="6306" xr:uid="{00000000-0005-0000-0000-0000AD0C0000}"/>
    <cellStyle name="Currency 5 3 2 2 6 3 2" xfId="23197" xr:uid="{A9EA1DD6-5EDA-4B09-B85A-DE7AF1DBF355}"/>
    <cellStyle name="Currency 5 3 2 2 6 3 3" xfId="14756" xr:uid="{1BB20666-3267-42E8-BDC1-99E03841D57F}"/>
    <cellStyle name="Currency 5 3 2 2 6 4" xfId="18979" xr:uid="{9ECE3B4F-2373-4402-90B3-3F2D98A74DEE}"/>
    <cellStyle name="Currency 5 3 2 2 6 5" xfId="10538" xr:uid="{9FCA5CAA-CDCF-4B37-A048-D1309E69C807}"/>
    <cellStyle name="Currency 5 3 2 2 7" xfId="2435" xr:uid="{00000000-0005-0000-0000-0000AE0C0000}"/>
    <cellStyle name="Currency 5 3 2 2 7 2" xfId="6719" xr:uid="{00000000-0005-0000-0000-0000AF0C0000}"/>
    <cellStyle name="Currency 5 3 2 2 7 2 2" xfId="23610" xr:uid="{A594F7FD-F811-4C27-90F5-E61E539D57B7}"/>
    <cellStyle name="Currency 5 3 2 2 7 2 3" xfId="15169" xr:uid="{1F35AA28-8D83-453B-A4BE-E59A038A6729}"/>
    <cellStyle name="Currency 5 3 2 2 7 3" xfId="19392" xr:uid="{F83F7B94-5B5F-43A8-B449-7BC596DF248A}"/>
    <cellStyle name="Currency 5 3 2 2 7 4" xfId="10951" xr:uid="{64D65A78-7720-4F1D-9FC3-7A6D1D210F9C}"/>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23927" xr:uid="{93AB19FC-3C8C-4DB3-ACE9-8BEFEBC37399}"/>
    <cellStyle name="Currency 5 3 2 2 9 2 3" xfId="15486" xr:uid="{55A09DD4-9809-4198-9294-4F06C21BEEAD}"/>
    <cellStyle name="Currency 5 3 2 2 9 3" xfId="19709" xr:uid="{4A4ECC8F-FD69-44BC-9E8C-BB19B4564366}"/>
    <cellStyle name="Currency 5 3 2 2 9 4" xfId="11268" xr:uid="{EAF6F2F2-5B76-491B-860B-2B13B79A58DE}"/>
    <cellStyle name="Currency 5 3 2 3" xfId="213" xr:uid="{00000000-0005-0000-0000-0000B30C0000}"/>
    <cellStyle name="Currency 5 3 2 3 10" xfId="17328" xr:uid="{9CA32ACF-65C8-422B-A6BE-C87F96C30B99}"/>
    <cellStyle name="Currency 5 3 2 3 11" xfId="8887" xr:uid="{581DE989-0929-4926-9712-F4BB4A5B7926}"/>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24105" xr:uid="{8DEB254C-1CF9-4811-8609-FBBD2CAD024F}"/>
    <cellStyle name="Currency 5 3 2 3 2 2 2 3" xfId="15664" xr:uid="{F022345A-223D-44D2-98D3-EDC049DBAC19}"/>
    <cellStyle name="Currency 5 3 2 3 2 2 3" xfId="19887" xr:uid="{1DA56AC4-A3B5-4702-8DB4-69B813EEFB6C}"/>
    <cellStyle name="Currency 5 3 2 3 2 2 4" xfId="11446" xr:uid="{02F6ECB2-6DC1-4155-B4EA-5B99D7F62FE5}"/>
    <cellStyle name="Currency 5 3 2 3 2 3" xfId="5069" xr:uid="{00000000-0005-0000-0000-0000B70C0000}"/>
    <cellStyle name="Currency 5 3 2 3 2 3 2" xfId="21960" xr:uid="{0B594D4F-CD2D-4B30-89AE-F78D5377B7F7}"/>
    <cellStyle name="Currency 5 3 2 3 2 3 3" xfId="13519" xr:uid="{6486AAFB-ED99-403B-82F6-54991B261787}"/>
    <cellStyle name="Currency 5 3 2 3 2 4" xfId="17742" xr:uid="{6C3842B8-55C8-4468-8483-3B36F2827541}"/>
    <cellStyle name="Currency 5 3 2 3 2 5" xfId="9301" xr:uid="{28156118-8A2C-48D7-9C85-4034ABDEC005}"/>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24518" xr:uid="{809D114C-F0C7-49B1-BCED-7292B9071257}"/>
    <cellStyle name="Currency 5 3 2 3 3 2 2 3" xfId="16077" xr:uid="{E2633235-F41C-430F-B9F4-91E875A2DAAC}"/>
    <cellStyle name="Currency 5 3 2 3 3 2 3" xfId="20300" xr:uid="{CD3E859A-960A-4715-88C6-8E22F068234F}"/>
    <cellStyle name="Currency 5 3 2 3 3 2 4" xfId="11859" xr:uid="{C0505876-7DB9-4313-B3AF-B137EF6EC114}"/>
    <cellStyle name="Currency 5 3 2 3 3 3" xfId="5482" xr:uid="{00000000-0005-0000-0000-0000BB0C0000}"/>
    <cellStyle name="Currency 5 3 2 3 3 3 2" xfId="22373" xr:uid="{7F4581AC-3C7D-4507-AD09-6DF41D9A632F}"/>
    <cellStyle name="Currency 5 3 2 3 3 3 3" xfId="13932" xr:uid="{2226ABAD-3FFE-47AA-B793-5DE7AAFB88CA}"/>
    <cellStyle name="Currency 5 3 2 3 3 4" xfId="18155" xr:uid="{B5D0625C-2AF9-44A2-AA10-1AE951A57229}"/>
    <cellStyle name="Currency 5 3 2 3 3 5" xfId="9714" xr:uid="{F156DC66-1775-4BC1-B0EE-BBAA92CE253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24931" xr:uid="{8B6DD7AC-4955-4C64-B83C-85D29097EC37}"/>
    <cellStyle name="Currency 5 3 2 3 4 2 2 3" xfId="16490" xr:uid="{6117E8E8-1D01-450E-93B4-5B091C225A1B}"/>
    <cellStyle name="Currency 5 3 2 3 4 2 3" xfId="20713" xr:uid="{8BB1A67A-0CFF-42D6-939F-182C5B940336}"/>
    <cellStyle name="Currency 5 3 2 3 4 2 4" xfId="12272" xr:uid="{B40D6EDB-1559-4329-A6BD-C8A80DDE3A16}"/>
    <cellStyle name="Currency 5 3 2 3 4 3" xfId="5895" xr:uid="{00000000-0005-0000-0000-0000BF0C0000}"/>
    <cellStyle name="Currency 5 3 2 3 4 3 2" xfId="22786" xr:uid="{C9441956-88FC-4783-8481-7DED4ACED45A}"/>
    <cellStyle name="Currency 5 3 2 3 4 3 3" xfId="14345" xr:uid="{CE444A10-D826-4414-B608-9B1D97EAE645}"/>
    <cellStyle name="Currency 5 3 2 3 4 4" xfId="18568" xr:uid="{8B79C886-7DDB-4B3D-AB47-3AEF301BAB7C}"/>
    <cellStyle name="Currency 5 3 2 3 4 5" xfId="10127" xr:uid="{D817F8B7-250E-46EB-B9DA-309B225B75EF}"/>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25344" xr:uid="{110EBB5B-43AF-4758-94D5-354DAADB5BA6}"/>
    <cellStyle name="Currency 5 3 2 3 5 2 2 3" xfId="16903" xr:uid="{C2237066-D27A-4123-B941-9D2087CE92C7}"/>
    <cellStyle name="Currency 5 3 2 3 5 2 3" xfId="21126" xr:uid="{F9D93CA1-5209-48E6-B593-2A89E8065A18}"/>
    <cellStyle name="Currency 5 3 2 3 5 2 4" xfId="12685" xr:uid="{735DDD5B-DCFB-424F-861B-B40966617D50}"/>
    <cellStyle name="Currency 5 3 2 3 5 3" xfId="6308" xr:uid="{00000000-0005-0000-0000-0000C30C0000}"/>
    <cellStyle name="Currency 5 3 2 3 5 3 2" xfId="23199" xr:uid="{D4EDE0B0-EF26-4EE2-AC09-3D629867A3EC}"/>
    <cellStyle name="Currency 5 3 2 3 5 3 3" xfId="14758" xr:uid="{6C81B86F-B985-4527-A460-EC41CEB5056E}"/>
    <cellStyle name="Currency 5 3 2 3 5 4" xfId="18981" xr:uid="{39E3462C-81D6-4AE7-90D3-377F5FDAFC86}"/>
    <cellStyle name="Currency 5 3 2 3 5 5" xfId="10540" xr:uid="{54F6D9EB-6F47-4F18-BBEB-F0A93987E21F}"/>
    <cellStyle name="Currency 5 3 2 3 6" xfId="2437" xr:uid="{00000000-0005-0000-0000-0000C40C0000}"/>
    <cellStyle name="Currency 5 3 2 3 6 2" xfId="6721" xr:uid="{00000000-0005-0000-0000-0000C50C0000}"/>
    <cellStyle name="Currency 5 3 2 3 6 2 2" xfId="23612" xr:uid="{93A0B9CA-435A-4C6E-B666-E0A3FE9B7064}"/>
    <cellStyle name="Currency 5 3 2 3 6 2 3" xfId="15171" xr:uid="{4530ADC1-59DC-4EA4-B37B-BDF4258C848E}"/>
    <cellStyle name="Currency 5 3 2 3 6 3" xfId="19394" xr:uid="{06528B83-79D5-4F53-9F4F-CE92CB996DF5}"/>
    <cellStyle name="Currency 5 3 2 3 6 4" xfId="10953" xr:uid="{1D397A45-5F86-45FE-94DD-BF9621355372}"/>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23929" xr:uid="{0B25D1C1-8DC2-4A62-9818-3F021BA838FF}"/>
    <cellStyle name="Currency 5 3 2 3 8 2 3" xfId="15488" xr:uid="{FC6ACF8B-EF69-4F47-9591-FC627765FE2B}"/>
    <cellStyle name="Currency 5 3 2 3 8 3" xfId="19711" xr:uid="{639FF421-4D6A-43C6-913B-DF890CE1FB82}"/>
    <cellStyle name="Currency 5 3 2 3 8 4" xfId="11270" xr:uid="{8EFE30D9-9E40-4BAE-BE8B-5AFF183DBECC}"/>
    <cellStyle name="Currency 5 3 2 3 9" xfId="4655" xr:uid="{00000000-0005-0000-0000-0000C90C0000}"/>
    <cellStyle name="Currency 5 3 2 3 9 2" xfId="21546" xr:uid="{3B4B47F1-396D-49A1-A431-E7FA3CC7CAF2}"/>
    <cellStyle name="Currency 5 3 2 3 9 3" xfId="13105" xr:uid="{B8417FCC-1E6A-4549-95E0-1B787DD65362}"/>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24102" xr:uid="{701F6B84-728F-4E43-B0A0-6B1B22050A2F}"/>
    <cellStyle name="Currency 5 3 2 4 2 2 3" xfId="15661" xr:uid="{4232410E-027B-4F27-BE4C-B09461782B41}"/>
    <cellStyle name="Currency 5 3 2 4 2 3" xfId="19884" xr:uid="{D01CE4FB-EA12-4737-A2F4-DE89FE7817C1}"/>
    <cellStyle name="Currency 5 3 2 4 2 4" xfId="11443" xr:uid="{80E6244B-F8E4-49C3-8D8A-3AA0990F6FAB}"/>
    <cellStyle name="Currency 5 3 2 4 3" xfId="5066" xr:uid="{00000000-0005-0000-0000-0000CD0C0000}"/>
    <cellStyle name="Currency 5 3 2 4 3 2" xfId="21957" xr:uid="{3936CC0A-9466-4D64-9ACF-FE60C5E19220}"/>
    <cellStyle name="Currency 5 3 2 4 3 3" xfId="13516" xr:uid="{A81FB6CE-1E3B-4B10-BD54-7F16BCB54736}"/>
    <cellStyle name="Currency 5 3 2 4 4" xfId="17739" xr:uid="{A2AC2FB8-9C57-4D06-BDE0-D6B7D02CF6D2}"/>
    <cellStyle name="Currency 5 3 2 4 5" xfId="9298" xr:uid="{125B5DA1-A4D1-4EAE-9ECD-2AF43A89B40C}"/>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24515" xr:uid="{F4D955F6-FB38-4C7E-A438-3B77B6023998}"/>
    <cellStyle name="Currency 5 3 2 5 2 2 3" xfId="16074" xr:uid="{D31FD68A-4156-4F14-A87C-A5F670520F00}"/>
    <cellStyle name="Currency 5 3 2 5 2 3" xfId="20297" xr:uid="{4EDEC2C0-D28C-4BC9-9630-FE1EB783A0DB}"/>
    <cellStyle name="Currency 5 3 2 5 2 4" xfId="11856" xr:uid="{EEE4F0FD-95C0-477A-B4E8-76C2012A8C99}"/>
    <cellStyle name="Currency 5 3 2 5 3" xfId="5479" xr:uid="{00000000-0005-0000-0000-0000D10C0000}"/>
    <cellStyle name="Currency 5 3 2 5 3 2" xfId="22370" xr:uid="{F9116C63-4E38-44E7-B516-C3C4077A06D3}"/>
    <cellStyle name="Currency 5 3 2 5 3 3" xfId="13929" xr:uid="{DD83633D-0CD8-48B0-B24D-C5B0EA70888A}"/>
    <cellStyle name="Currency 5 3 2 5 4" xfId="18152" xr:uid="{005CAC2E-16C2-434A-A803-25FC93F343C0}"/>
    <cellStyle name="Currency 5 3 2 5 5" xfId="9711" xr:uid="{E891057B-EE7D-457D-A2CD-5D85ECA21073}"/>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24928" xr:uid="{BE824149-41A1-4548-B02A-A3EFC08B8ACD}"/>
    <cellStyle name="Currency 5 3 2 6 2 2 3" xfId="16487" xr:uid="{5D9A86D5-A7C8-427F-89DC-97CA60C8F208}"/>
    <cellStyle name="Currency 5 3 2 6 2 3" xfId="20710" xr:uid="{8923709C-1981-4006-A737-73B0EF6262FB}"/>
    <cellStyle name="Currency 5 3 2 6 2 4" xfId="12269" xr:uid="{484E7D53-CC55-4227-A596-EE752A237D97}"/>
    <cellStyle name="Currency 5 3 2 6 3" xfId="5892" xr:uid="{00000000-0005-0000-0000-0000D50C0000}"/>
    <cellStyle name="Currency 5 3 2 6 3 2" xfId="22783" xr:uid="{77F5AD3E-2156-4A7A-8A72-1183C5D6EEEA}"/>
    <cellStyle name="Currency 5 3 2 6 3 3" xfId="14342" xr:uid="{8833930C-003B-4495-ABB0-564785ADB065}"/>
    <cellStyle name="Currency 5 3 2 6 4" xfId="18565" xr:uid="{1E579CEA-AB85-4E75-A536-30398E4EBE6A}"/>
    <cellStyle name="Currency 5 3 2 6 5" xfId="10124" xr:uid="{BD509B48-5681-4C94-B51E-844005808FE2}"/>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25341" xr:uid="{A4519D3A-3C02-4ABA-A4CC-1117F7BF5B1C}"/>
    <cellStyle name="Currency 5 3 2 7 2 2 3" xfId="16900" xr:uid="{09CD0D7D-60C9-47E1-B573-9B3B2310639F}"/>
    <cellStyle name="Currency 5 3 2 7 2 3" xfId="21123" xr:uid="{FF255004-2FE2-4210-9BDB-0FB67636A684}"/>
    <cellStyle name="Currency 5 3 2 7 2 4" xfId="12682" xr:uid="{97F56BC9-927B-4584-8D49-1FC51FE993AA}"/>
    <cellStyle name="Currency 5 3 2 7 3" xfId="6305" xr:uid="{00000000-0005-0000-0000-0000D90C0000}"/>
    <cellStyle name="Currency 5 3 2 7 3 2" xfId="23196" xr:uid="{7881AA41-BB68-4F44-A68D-0B4B5F88BA66}"/>
    <cellStyle name="Currency 5 3 2 7 3 3" xfId="14755" xr:uid="{885251DE-07EB-4C78-A88D-5166D248C3EC}"/>
    <cellStyle name="Currency 5 3 2 7 4" xfId="18978" xr:uid="{F816DF07-BE7D-42BB-9940-AEC349E3B676}"/>
    <cellStyle name="Currency 5 3 2 7 5" xfId="10537" xr:uid="{2FFD6341-3529-4A21-B7B2-3FB6BFAEC631}"/>
    <cellStyle name="Currency 5 3 2 8" xfId="2434" xr:uid="{00000000-0005-0000-0000-0000DA0C0000}"/>
    <cellStyle name="Currency 5 3 2 8 2" xfId="6718" xr:uid="{00000000-0005-0000-0000-0000DB0C0000}"/>
    <cellStyle name="Currency 5 3 2 8 2 2" xfId="23609" xr:uid="{4C93759D-5D9B-41C8-A735-ED3C0C733C1B}"/>
    <cellStyle name="Currency 5 3 2 8 2 3" xfId="15168" xr:uid="{B4A5E003-4470-41A2-99AF-649AD2DD4B13}"/>
    <cellStyle name="Currency 5 3 2 8 3" xfId="19391" xr:uid="{EF95FADA-FA95-44A2-9959-CA301D8858A5}"/>
    <cellStyle name="Currency 5 3 2 8 4" xfId="10950" xr:uid="{BF9CC781-14B0-49DB-B7B8-66FD8A22342F}"/>
    <cellStyle name="Currency 5 3 2 9" xfId="2731" xr:uid="{00000000-0005-0000-0000-0000DC0C0000}"/>
    <cellStyle name="Currency 5 3 3" xfId="214" xr:uid="{00000000-0005-0000-0000-0000DD0C0000}"/>
    <cellStyle name="Currency 5 3 3 10" xfId="4656" xr:uid="{00000000-0005-0000-0000-0000DE0C0000}"/>
    <cellStyle name="Currency 5 3 3 10 2" xfId="21547" xr:uid="{34FCC21F-1FBE-4D97-8DE5-5FE446E7F169}"/>
    <cellStyle name="Currency 5 3 3 10 3" xfId="13106" xr:uid="{F3B559E0-5FCF-434F-A375-A4729E123284}"/>
    <cellStyle name="Currency 5 3 3 11" xfId="17329" xr:uid="{13836CD0-CA41-4F3E-8C77-5102C94461C9}"/>
    <cellStyle name="Currency 5 3 3 12" xfId="8888" xr:uid="{F79EC76C-A297-40AE-A56A-CC90B34AAF21}"/>
    <cellStyle name="Currency 5 3 3 2" xfId="215" xr:uid="{00000000-0005-0000-0000-0000DF0C0000}"/>
    <cellStyle name="Currency 5 3 3 2 10" xfId="17330" xr:uid="{5CF3203C-EBB9-4873-8000-F45CB9EF9A74}"/>
    <cellStyle name="Currency 5 3 3 2 11" xfId="8889" xr:uid="{338B1DFA-9D1B-42BA-B3B4-1DE10D30305F}"/>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24107" xr:uid="{0A50390D-81A8-4E52-8042-07526565A4D4}"/>
    <cellStyle name="Currency 5 3 3 2 2 2 2 3" xfId="15666" xr:uid="{95B3EEDE-E8B0-4B40-8702-A77DB84A6028}"/>
    <cellStyle name="Currency 5 3 3 2 2 2 3" xfId="19889" xr:uid="{643D3744-E7B2-4106-A6D3-8F6D7A782CBF}"/>
    <cellStyle name="Currency 5 3 3 2 2 2 4" xfId="11448" xr:uid="{81B707D0-0FF8-4A77-8813-D5CBF9AB42D4}"/>
    <cellStyle name="Currency 5 3 3 2 2 3" xfId="5071" xr:uid="{00000000-0005-0000-0000-0000E30C0000}"/>
    <cellStyle name="Currency 5 3 3 2 2 3 2" xfId="21962" xr:uid="{54B348DD-FB13-4CB9-93E0-947FDBBDF680}"/>
    <cellStyle name="Currency 5 3 3 2 2 3 3" xfId="13521" xr:uid="{D2E73BBD-FD88-4684-AB7C-D362CB1F51D6}"/>
    <cellStyle name="Currency 5 3 3 2 2 4" xfId="17744" xr:uid="{7760E3F5-2999-433B-B954-990763BC0D13}"/>
    <cellStyle name="Currency 5 3 3 2 2 5" xfId="9303" xr:uid="{6BE9C4FA-A4EB-49A9-8EB8-11F868AB26D3}"/>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24520" xr:uid="{B90F5DAE-1AE1-4DE9-BECF-7D3FA3113360}"/>
    <cellStyle name="Currency 5 3 3 2 3 2 2 3" xfId="16079" xr:uid="{7C209B96-02C0-4B79-A463-7D2505785E6A}"/>
    <cellStyle name="Currency 5 3 3 2 3 2 3" xfId="20302" xr:uid="{1085BD61-75EE-451A-9C27-983F7EFD3CEA}"/>
    <cellStyle name="Currency 5 3 3 2 3 2 4" xfId="11861" xr:uid="{A57D2D77-DFA6-451D-9AC7-ED4C5E231AE1}"/>
    <cellStyle name="Currency 5 3 3 2 3 3" xfId="5484" xr:uid="{00000000-0005-0000-0000-0000E70C0000}"/>
    <cellStyle name="Currency 5 3 3 2 3 3 2" xfId="22375" xr:uid="{BA9BB50A-EB98-4777-9D68-AADE86824F50}"/>
    <cellStyle name="Currency 5 3 3 2 3 3 3" xfId="13934" xr:uid="{70AD1C17-CA32-4D74-BFF9-491AFA37AF87}"/>
    <cellStyle name="Currency 5 3 3 2 3 4" xfId="18157" xr:uid="{532221BB-A1ED-4A0F-B69D-B5D606DC904C}"/>
    <cellStyle name="Currency 5 3 3 2 3 5" xfId="9716" xr:uid="{DCF2338F-88F9-478E-9524-1E8B3D242FDA}"/>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24933" xr:uid="{4CFA6E0D-59D1-4DA1-8B94-31D053D3E0C8}"/>
    <cellStyle name="Currency 5 3 3 2 4 2 2 3" xfId="16492" xr:uid="{799F957D-0E95-4EEA-BCCD-EDBFC34FB42D}"/>
    <cellStyle name="Currency 5 3 3 2 4 2 3" xfId="20715" xr:uid="{7259CA80-7D34-4001-8ABB-D44BEEABE6F4}"/>
    <cellStyle name="Currency 5 3 3 2 4 2 4" xfId="12274" xr:uid="{5DA426BA-4945-4EEF-9566-7382EE11732F}"/>
    <cellStyle name="Currency 5 3 3 2 4 3" xfId="5897" xr:uid="{00000000-0005-0000-0000-0000EB0C0000}"/>
    <cellStyle name="Currency 5 3 3 2 4 3 2" xfId="22788" xr:uid="{26173B0A-B21A-48FD-9429-139766CBBB24}"/>
    <cellStyle name="Currency 5 3 3 2 4 3 3" xfId="14347" xr:uid="{A9046DD1-F40F-41CF-B6CA-3F1D46D99609}"/>
    <cellStyle name="Currency 5 3 3 2 4 4" xfId="18570" xr:uid="{2C6D062A-6A4F-4244-81E0-C87AB89E894B}"/>
    <cellStyle name="Currency 5 3 3 2 4 5" xfId="10129" xr:uid="{9854C938-15F1-4F87-8D2E-4BE3AD17C064}"/>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25346" xr:uid="{BF104ADD-7449-4858-A529-347114AA5D3D}"/>
    <cellStyle name="Currency 5 3 3 2 5 2 2 3" xfId="16905" xr:uid="{8EC62FC2-3C83-41B5-9876-63D8D7942106}"/>
    <cellStyle name="Currency 5 3 3 2 5 2 3" xfId="21128" xr:uid="{B5F8293C-7B9C-476A-B962-52999973375D}"/>
    <cellStyle name="Currency 5 3 3 2 5 2 4" xfId="12687" xr:uid="{C91F8D18-94A8-4631-ABBF-2FE8F2039E1E}"/>
    <cellStyle name="Currency 5 3 3 2 5 3" xfId="6310" xr:uid="{00000000-0005-0000-0000-0000EF0C0000}"/>
    <cellStyle name="Currency 5 3 3 2 5 3 2" xfId="23201" xr:uid="{9A6E8987-B55C-4964-91C0-147F53F5BC3F}"/>
    <cellStyle name="Currency 5 3 3 2 5 3 3" xfId="14760" xr:uid="{EFE7317F-B64C-43E7-AB79-CF4A6F56758F}"/>
    <cellStyle name="Currency 5 3 3 2 5 4" xfId="18983" xr:uid="{4C604201-18F2-41D3-BAA3-0D00894476D5}"/>
    <cellStyle name="Currency 5 3 3 2 5 5" xfId="10542" xr:uid="{37B9F83C-4263-48DB-A8BA-4E2E4C08EA8A}"/>
    <cellStyle name="Currency 5 3 3 2 6" xfId="2439" xr:uid="{00000000-0005-0000-0000-0000F00C0000}"/>
    <cellStyle name="Currency 5 3 3 2 6 2" xfId="6723" xr:uid="{00000000-0005-0000-0000-0000F10C0000}"/>
    <cellStyle name="Currency 5 3 3 2 6 2 2" xfId="23614" xr:uid="{8D31356F-B583-4EC0-BBB6-05A99D58B0CE}"/>
    <cellStyle name="Currency 5 3 3 2 6 2 3" xfId="15173" xr:uid="{F3E9CFED-1BB0-4640-B492-71E33B1D9809}"/>
    <cellStyle name="Currency 5 3 3 2 6 3" xfId="19396" xr:uid="{9B627A91-8627-4B99-BD91-858E304F2FC7}"/>
    <cellStyle name="Currency 5 3 3 2 6 4" xfId="10955" xr:uid="{F9EAA2C9-02FD-4C19-A933-37DC79E0D5B6}"/>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23931" xr:uid="{60AA5B59-D114-43ED-A578-FA67759EA50C}"/>
    <cellStyle name="Currency 5 3 3 2 8 2 3" xfId="15490" xr:uid="{16C37F57-7325-4285-B3EA-6D3C8CCF3085}"/>
    <cellStyle name="Currency 5 3 3 2 8 3" xfId="19713" xr:uid="{7AB0123A-F08F-486E-B42E-B6FC0D047140}"/>
    <cellStyle name="Currency 5 3 3 2 8 4" xfId="11272" xr:uid="{503444F0-4128-4B20-A678-5121B8A7DCD0}"/>
    <cellStyle name="Currency 5 3 3 2 9" xfId="4657" xr:uid="{00000000-0005-0000-0000-0000F50C0000}"/>
    <cellStyle name="Currency 5 3 3 2 9 2" xfId="21548" xr:uid="{B075F5D1-6758-4DF3-9C7F-FDA0583A082D}"/>
    <cellStyle name="Currency 5 3 3 2 9 3" xfId="13107" xr:uid="{AA16E37A-DC54-42E3-BC00-A4349BC7CB06}"/>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24106" xr:uid="{99CBDBAC-3468-43D6-A7E0-A89BC387BC23}"/>
    <cellStyle name="Currency 5 3 3 3 2 2 3" xfId="15665" xr:uid="{919961D0-CA1E-4B22-B3F5-B38AF1572489}"/>
    <cellStyle name="Currency 5 3 3 3 2 3" xfId="19888" xr:uid="{1A2E0607-0F66-450C-8465-CC3A466DC29B}"/>
    <cellStyle name="Currency 5 3 3 3 2 4" xfId="11447" xr:uid="{9C1A46F6-39A6-4EF8-8145-DA2DB314BD27}"/>
    <cellStyle name="Currency 5 3 3 3 3" xfId="5070" xr:uid="{00000000-0005-0000-0000-0000F90C0000}"/>
    <cellStyle name="Currency 5 3 3 3 3 2" xfId="21961" xr:uid="{1CEE0E40-1975-4227-ABF7-3A671E7EFB8D}"/>
    <cellStyle name="Currency 5 3 3 3 3 3" xfId="13520" xr:uid="{5FE1FFC5-8C6E-425E-A8FC-EC73257E3F26}"/>
    <cellStyle name="Currency 5 3 3 3 4" xfId="17743" xr:uid="{93388DBF-3B33-4F06-B9AF-CF2226FF19D4}"/>
    <cellStyle name="Currency 5 3 3 3 5" xfId="9302" xr:uid="{90046120-8894-40F7-B228-93A8F4DF3B9D}"/>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24519" xr:uid="{87BEA927-D640-4087-9093-2A0C3EF7D5DA}"/>
    <cellStyle name="Currency 5 3 3 4 2 2 3" xfId="16078" xr:uid="{577E8E89-A3D7-4597-B31B-97E191862361}"/>
    <cellStyle name="Currency 5 3 3 4 2 3" xfId="20301" xr:uid="{33DB0047-28F0-4027-B99A-8BC0D97D794E}"/>
    <cellStyle name="Currency 5 3 3 4 2 4" xfId="11860" xr:uid="{A20152E8-1363-41AE-9D6C-AE04D248E123}"/>
    <cellStyle name="Currency 5 3 3 4 3" xfId="5483" xr:uid="{00000000-0005-0000-0000-0000FD0C0000}"/>
    <cellStyle name="Currency 5 3 3 4 3 2" xfId="22374" xr:uid="{74DDD654-59E7-43FD-AA81-1CE6BEE0C888}"/>
    <cellStyle name="Currency 5 3 3 4 3 3" xfId="13933" xr:uid="{432D904D-7821-4E63-85F2-842CDD37A037}"/>
    <cellStyle name="Currency 5 3 3 4 4" xfId="18156" xr:uid="{F718CFF9-0E9E-4490-8AA4-673D396915A9}"/>
    <cellStyle name="Currency 5 3 3 4 5" xfId="9715" xr:uid="{1EF00497-70C8-4077-AAFF-6F1943837FC9}"/>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24932" xr:uid="{A7B4F3B2-6F89-41FB-9D8C-FD1D53928BC6}"/>
    <cellStyle name="Currency 5 3 3 5 2 2 3" xfId="16491" xr:uid="{A66D527A-EC92-4BDE-9145-CB454007F695}"/>
    <cellStyle name="Currency 5 3 3 5 2 3" xfId="20714" xr:uid="{711F1AF3-C321-46F6-AA6C-E8505DB8F9F1}"/>
    <cellStyle name="Currency 5 3 3 5 2 4" xfId="12273" xr:uid="{930480D8-7903-429B-B361-D5B2B380C695}"/>
    <cellStyle name="Currency 5 3 3 5 3" xfId="5896" xr:uid="{00000000-0005-0000-0000-0000010D0000}"/>
    <cellStyle name="Currency 5 3 3 5 3 2" xfId="22787" xr:uid="{096B5E7D-17D4-4D5A-95A6-9263D25F6E9E}"/>
    <cellStyle name="Currency 5 3 3 5 3 3" xfId="14346" xr:uid="{3C25D2E6-FBD0-4B2D-A770-7F1F77640013}"/>
    <cellStyle name="Currency 5 3 3 5 4" xfId="18569" xr:uid="{7C443D8E-9EB2-4F52-886A-29DA78309E15}"/>
    <cellStyle name="Currency 5 3 3 5 5" xfId="10128" xr:uid="{34029301-BE53-454D-8450-301527DE3DD0}"/>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25345" xr:uid="{0A4CF48B-2407-45E8-A705-BBDC247453BE}"/>
    <cellStyle name="Currency 5 3 3 6 2 2 3" xfId="16904" xr:uid="{F1700438-798B-4A27-B154-DC077B9C6297}"/>
    <cellStyle name="Currency 5 3 3 6 2 3" xfId="21127" xr:uid="{2B886716-954D-430F-9642-B4CAC7BD64E6}"/>
    <cellStyle name="Currency 5 3 3 6 2 4" xfId="12686" xr:uid="{B259B548-CBCE-4912-ACDD-1E694E042E05}"/>
    <cellStyle name="Currency 5 3 3 6 3" xfId="6309" xr:uid="{00000000-0005-0000-0000-0000050D0000}"/>
    <cellStyle name="Currency 5 3 3 6 3 2" xfId="23200" xr:uid="{9222286A-F39E-49F6-999F-7F541D9D3123}"/>
    <cellStyle name="Currency 5 3 3 6 3 3" xfId="14759" xr:uid="{6C90BB5D-7540-43ED-BB83-EB56CD6CF61D}"/>
    <cellStyle name="Currency 5 3 3 6 4" xfId="18982" xr:uid="{A41AE818-31F7-47F7-A914-C232090F1713}"/>
    <cellStyle name="Currency 5 3 3 6 5" xfId="10541" xr:uid="{69A772A4-C822-4A1B-8E77-77A800204BAD}"/>
    <cellStyle name="Currency 5 3 3 7" xfId="2438" xr:uid="{00000000-0005-0000-0000-0000060D0000}"/>
    <cellStyle name="Currency 5 3 3 7 2" xfId="6722" xr:uid="{00000000-0005-0000-0000-0000070D0000}"/>
    <cellStyle name="Currency 5 3 3 7 2 2" xfId="23613" xr:uid="{F7C9EB98-4657-41B6-B321-562013DA4F69}"/>
    <cellStyle name="Currency 5 3 3 7 2 3" xfId="15172" xr:uid="{D891AECE-09B5-4437-B60B-6CDB7D8E543D}"/>
    <cellStyle name="Currency 5 3 3 7 3" xfId="19395" xr:uid="{7A440357-20F2-4B6A-94E0-153DF356DD68}"/>
    <cellStyle name="Currency 5 3 3 7 4" xfId="10954" xr:uid="{CD7A8E51-F8F5-4A7E-B4A2-DC91910C4C87}"/>
    <cellStyle name="Currency 5 3 3 8" xfId="2735" xr:uid="{00000000-0005-0000-0000-0000080D0000}"/>
    <cellStyle name="Currency 5 3 3 9" xfId="2816" xr:uid="{00000000-0005-0000-0000-0000090D0000}"/>
    <cellStyle name="Currency 5 3 3 9 2" xfId="7039" xr:uid="{00000000-0005-0000-0000-00000A0D0000}"/>
    <cellStyle name="Currency 5 3 3 9 2 2" xfId="23930" xr:uid="{7BAE4026-0A68-4EFA-B6DF-A3AC0FE2DE24}"/>
    <cellStyle name="Currency 5 3 3 9 2 3" xfId="15489" xr:uid="{C9B43407-BAF5-4E32-B39B-7E1C41E3BC4E}"/>
    <cellStyle name="Currency 5 3 3 9 3" xfId="19712" xr:uid="{27A99D26-1D72-407B-815D-14D1DD1652F9}"/>
    <cellStyle name="Currency 5 3 3 9 4" xfId="11271" xr:uid="{CA0F6A2D-6D6E-4FD3-9581-A4BC9E5B8939}"/>
    <cellStyle name="Currency 5 3 4" xfId="216" xr:uid="{00000000-0005-0000-0000-00000B0D0000}"/>
    <cellStyle name="Currency 5 3 4 10" xfId="17331" xr:uid="{F34E5B94-ECF4-43A0-9041-A284CFE1AADE}"/>
    <cellStyle name="Currency 5 3 4 11" xfId="8890" xr:uid="{7C4B4A6D-D4C3-425B-9578-ADEDFE4D7FE3}"/>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24108" xr:uid="{7EA47DE3-9BC5-4DBD-86F3-F301BBC87775}"/>
    <cellStyle name="Currency 5 3 4 2 2 2 3" xfId="15667" xr:uid="{63C51BDF-C29B-425C-9EF5-3FC605A0068A}"/>
    <cellStyle name="Currency 5 3 4 2 2 3" xfId="19890" xr:uid="{EDC5E7F4-C2A7-47FB-9820-CA873192C05A}"/>
    <cellStyle name="Currency 5 3 4 2 2 4" xfId="11449" xr:uid="{CC525AE6-47E0-40CC-A689-AC8E60645574}"/>
    <cellStyle name="Currency 5 3 4 2 3" xfId="5072" xr:uid="{00000000-0005-0000-0000-00000F0D0000}"/>
    <cellStyle name="Currency 5 3 4 2 3 2" xfId="21963" xr:uid="{3A35DD7C-DDFE-4442-99B3-3EEAB4CF2920}"/>
    <cellStyle name="Currency 5 3 4 2 3 3" xfId="13522" xr:uid="{445B5AF5-5FD6-4EB9-A717-00447F986BEC}"/>
    <cellStyle name="Currency 5 3 4 2 4" xfId="17745" xr:uid="{88150CE3-3204-4A22-80B8-8870C5286620}"/>
    <cellStyle name="Currency 5 3 4 2 5" xfId="9304" xr:uid="{6DD56F8E-EFFB-42B8-B5F3-846605620956}"/>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24521" xr:uid="{A9A2F8C2-3DDD-495C-A221-EAE470C65E07}"/>
    <cellStyle name="Currency 5 3 4 3 2 2 3" xfId="16080" xr:uid="{D2E8BFD4-BA74-49CC-A9FD-0E4D36C86EC3}"/>
    <cellStyle name="Currency 5 3 4 3 2 3" xfId="20303" xr:uid="{C25ECC50-1325-4EF3-86E5-B56D1346E42E}"/>
    <cellStyle name="Currency 5 3 4 3 2 4" xfId="11862" xr:uid="{CB427361-0782-4CB7-8B50-798C23B2CF3A}"/>
    <cellStyle name="Currency 5 3 4 3 3" xfId="5485" xr:uid="{00000000-0005-0000-0000-0000130D0000}"/>
    <cellStyle name="Currency 5 3 4 3 3 2" xfId="22376" xr:uid="{35CDE622-7EA8-4DF4-B23B-E90277C89CF6}"/>
    <cellStyle name="Currency 5 3 4 3 3 3" xfId="13935" xr:uid="{AD5017FB-5408-4ABA-833F-B0AE41AD55E0}"/>
    <cellStyle name="Currency 5 3 4 3 4" xfId="18158" xr:uid="{4F9C7425-BBEB-4330-8E8B-B7A7A198D4FF}"/>
    <cellStyle name="Currency 5 3 4 3 5" xfId="9717" xr:uid="{63CCC3AE-1CB9-4A41-A889-F55DF6A82A25}"/>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24934" xr:uid="{FAAB2DAD-A84C-45FD-B46D-B7BA725B71EC}"/>
    <cellStyle name="Currency 5 3 4 4 2 2 3" xfId="16493" xr:uid="{53FFE61F-7EC0-41D2-903F-9ECC7122B8EF}"/>
    <cellStyle name="Currency 5 3 4 4 2 3" xfId="20716" xr:uid="{BB93F388-E16D-43F8-BE18-35BB823C8EA2}"/>
    <cellStyle name="Currency 5 3 4 4 2 4" xfId="12275" xr:uid="{69AE7FE8-3FA8-433E-A4A8-AAC86BA30336}"/>
    <cellStyle name="Currency 5 3 4 4 3" xfId="5898" xr:uid="{00000000-0005-0000-0000-0000170D0000}"/>
    <cellStyle name="Currency 5 3 4 4 3 2" xfId="22789" xr:uid="{F5B221B1-3E3E-4F7D-B1C9-5D62BCC7F6BE}"/>
    <cellStyle name="Currency 5 3 4 4 3 3" xfId="14348" xr:uid="{2E87837F-D6A0-4292-9C2B-6558E9F19BFB}"/>
    <cellStyle name="Currency 5 3 4 4 4" xfId="18571" xr:uid="{9E277930-3DA3-4F02-B023-7B75CC34FE33}"/>
    <cellStyle name="Currency 5 3 4 4 5" xfId="10130" xr:uid="{B4B17D01-F1BF-4E9C-9199-7D9EC314156F}"/>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25347" xr:uid="{B4DB0BA6-ED55-4E59-90EA-85007E51F57A}"/>
    <cellStyle name="Currency 5 3 4 5 2 2 3" xfId="16906" xr:uid="{5A462B85-160A-4DDA-9369-E952392C9575}"/>
    <cellStyle name="Currency 5 3 4 5 2 3" xfId="21129" xr:uid="{F2DBE988-A398-461C-AD64-3878A8B411BC}"/>
    <cellStyle name="Currency 5 3 4 5 2 4" xfId="12688" xr:uid="{AE29AD68-A3F1-4D63-8164-03412B32D80D}"/>
    <cellStyle name="Currency 5 3 4 5 3" xfId="6311" xr:uid="{00000000-0005-0000-0000-00001B0D0000}"/>
    <cellStyle name="Currency 5 3 4 5 3 2" xfId="23202" xr:uid="{845A59BF-1488-4B9C-B4CE-B56E0B1F3C20}"/>
    <cellStyle name="Currency 5 3 4 5 3 3" xfId="14761" xr:uid="{0D659CB7-BBBB-472F-8CDB-97FFC15BE564}"/>
    <cellStyle name="Currency 5 3 4 5 4" xfId="18984" xr:uid="{84AF4ADD-F247-4BC5-BA02-47CFEA1C5241}"/>
    <cellStyle name="Currency 5 3 4 5 5" xfId="10543" xr:uid="{F8561D4E-EBBF-4830-A3AE-603BC8EB8CDD}"/>
    <cellStyle name="Currency 5 3 4 6" xfId="2440" xr:uid="{00000000-0005-0000-0000-00001C0D0000}"/>
    <cellStyle name="Currency 5 3 4 6 2" xfId="6724" xr:uid="{00000000-0005-0000-0000-00001D0D0000}"/>
    <cellStyle name="Currency 5 3 4 6 2 2" xfId="23615" xr:uid="{9FD679BC-D0D8-4C80-95FF-C35105413334}"/>
    <cellStyle name="Currency 5 3 4 6 2 3" xfId="15174" xr:uid="{65D24786-F275-4CC1-8A1E-B718997B5D34}"/>
    <cellStyle name="Currency 5 3 4 6 3" xfId="19397" xr:uid="{D14A4967-9150-4236-B4B9-58D89A50F2E0}"/>
    <cellStyle name="Currency 5 3 4 6 4" xfId="10956" xr:uid="{2E684E3D-D89F-44F5-88D1-C3256C34901F}"/>
    <cellStyle name="Currency 5 3 4 7" xfId="2737" xr:uid="{00000000-0005-0000-0000-00001E0D0000}"/>
    <cellStyle name="Currency 5 3 4 8" xfId="2818" xr:uid="{00000000-0005-0000-0000-00001F0D0000}"/>
    <cellStyle name="Currency 5 3 4 8 2" xfId="7041" xr:uid="{00000000-0005-0000-0000-0000200D0000}"/>
    <cellStyle name="Currency 5 3 4 8 2 2" xfId="23932" xr:uid="{9C1D0AAA-74CD-4DDE-9369-036A2589AE71}"/>
    <cellStyle name="Currency 5 3 4 8 2 3" xfId="15491" xr:uid="{AFA5899F-59A1-43B7-90D8-C55F1E5CCB20}"/>
    <cellStyle name="Currency 5 3 4 8 3" xfId="19714" xr:uid="{A1B8BC24-E5E2-4EDD-845A-2AD70A3A8B23}"/>
    <cellStyle name="Currency 5 3 4 8 4" xfId="11273" xr:uid="{8F916C0C-1C4F-4805-8353-D0EEA2F9A7AE}"/>
    <cellStyle name="Currency 5 3 4 9" xfId="4658" xr:uid="{00000000-0005-0000-0000-0000210D0000}"/>
    <cellStyle name="Currency 5 3 4 9 2" xfId="21549" xr:uid="{52BA5449-5570-4578-BEC5-FAB83E44D27D}"/>
    <cellStyle name="Currency 5 3 4 9 3" xfId="13108" xr:uid="{36B58D29-67F7-4D56-947A-66BF93DEE00E}"/>
    <cellStyle name="Currency 5 3 5" xfId="217" xr:uid="{00000000-0005-0000-0000-0000220D0000}"/>
    <cellStyle name="Currency 5 3 5 10" xfId="17332" xr:uid="{F63C209A-491C-4037-8C65-3A07057887D0}"/>
    <cellStyle name="Currency 5 3 5 11" xfId="8891" xr:uid="{7705F703-B2B9-4484-BD79-93A00748C161}"/>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24109" xr:uid="{B7BD046C-9FB1-4F69-9BA7-E1C25824AB65}"/>
    <cellStyle name="Currency 5 3 5 2 2 2 3" xfId="15668" xr:uid="{6731FC6D-A8A5-4AAF-BD4A-912626837AE3}"/>
    <cellStyle name="Currency 5 3 5 2 2 3" xfId="19891" xr:uid="{7DB98576-083A-4D14-8D43-392E9BE65A7F}"/>
    <cellStyle name="Currency 5 3 5 2 2 4" xfId="11450" xr:uid="{340B648E-468E-4193-826B-7CB95F78C49A}"/>
    <cellStyle name="Currency 5 3 5 2 3" xfId="5073" xr:uid="{00000000-0005-0000-0000-0000260D0000}"/>
    <cellStyle name="Currency 5 3 5 2 3 2" xfId="21964" xr:uid="{95973BD2-9C47-4BFA-9D42-E5D5F456C15B}"/>
    <cellStyle name="Currency 5 3 5 2 3 3" xfId="13523" xr:uid="{230D7FBE-3B1C-4049-AD71-6B331207E509}"/>
    <cellStyle name="Currency 5 3 5 2 4" xfId="17746" xr:uid="{8A2B227D-7912-4E63-84CE-6D6590AE33BB}"/>
    <cellStyle name="Currency 5 3 5 2 5" xfId="9305" xr:uid="{08166219-B7A2-46A3-A237-EF85A88E4EDA}"/>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24522" xr:uid="{C3EFB2FC-811B-41B4-B0DE-7464B6E46FB2}"/>
    <cellStyle name="Currency 5 3 5 3 2 2 3" xfId="16081" xr:uid="{7940329F-F8B7-4FFD-81E9-6CDA273CD196}"/>
    <cellStyle name="Currency 5 3 5 3 2 3" xfId="20304" xr:uid="{36AB03CD-9D49-4BD1-8217-DDE73464BFB9}"/>
    <cellStyle name="Currency 5 3 5 3 2 4" xfId="11863" xr:uid="{9FB74E3C-CAAC-4989-80F0-771CEFF20F92}"/>
    <cellStyle name="Currency 5 3 5 3 3" xfId="5486" xr:uid="{00000000-0005-0000-0000-00002A0D0000}"/>
    <cellStyle name="Currency 5 3 5 3 3 2" xfId="22377" xr:uid="{8466090B-5B0D-406C-8008-4DBE766C2D00}"/>
    <cellStyle name="Currency 5 3 5 3 3 3" xfId="13936" xr:uid="{902A3C1C-77DA-4CA5-96E2-F9978AB98C2B}"/>
    <cellStyle name="Currency 5 3 5 3 4" xfId="18159" xr:uid="{21D785CB-3629-4602-A286-29014F9236E6}"/>
    <cellStyle name="Currency 5 3 5 3 5" xfId="9718" xr:uid="{4344C9AD-1228-4623-BB35-87D78BEDFB2D}"/>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24935" xr:uid="{DB704425-908B-4535-9D40-D7BED6C384B8}"/>
    <cellStyle name="Currency 5 3 5 4 2 2 3" xfId="16494" xr:uid="{A5A05F7E-FA4B-4F5B-959E-9457DF14E582}"/>
    <cellStyle name="Currency 5 3 5 4 2 3" xfId="20717" xr:uid="{D6652D55-2DDE-407A-AFA4-376CBC03BBAD}"/>
    <cellStyle name="Currency 5 3 5 4 2 4" xfId="12276" xr:uid="{D8BC2A9F-F9BD-4C16-85E7-8EDEA28EEB2D}"/>
    <cellStyle name="Currency 5 3 5 4 3" xfId="5899" xr:uid="{00000000-0005-0000-0000-00002E0D0000}"/>
    <cellStyle name="Currency 5 3 5 4 3 2" xfId="22790" xr:uid="{DDF5EFA9-47A4-4761-8D6B-DC676C3D36E5}"/>
    <cellStyle name="Currency 5 3 5 4 3 3" xfId="14349" xr:uid="{48BA1378-0269-4AB0-ABCF-1B412EB66615}"/>
    <cellStyle name="Currency 5 3 5 4 4" xfId="18572" xr:uid="{D70FE89E-0613-46EB-ADB0-A5AD86643941}"/>
    <cellStyle name="Currency 5 3 5 4 5" xfId="10131" xr:uid="{9B1CE57C-CD3B-41ED-9507-3C5AAE43490D}"/>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25348" xr:uid="{1A18F120-E45F-460E-88E8-6DC7C2F24BF0}"/>
    <cellStyle name="Currency 5 3 5 5 2 2 3" xfId="16907" xr:uid="{A89AB0F2-5A3B-4435-BE85-3085FD9D5789}"/>
    <cellStyle name="Currency 5 3 5 5 2 3" xfId="21130" xr:uid="{9078E19E-3511-4639-93C0-921EF084C8AA}"/>
    <cellStyle name="Currency 5 3 5 5 2 4" xfId="12689" xr:uid="{6476786C-DDBC-4101-88D2-ED8022A22DFC}"/>
    <cellStyle name="Currency 5 3 5 5 3" xfId="6312" xr:uid="{00000000-0005-0000-0000-0000320D0000}"/>
    <cellStyle name="Currency 5 3 5 5 3 2" xfId="23203" xr:uid="{771D4F9C-7902-41AE-8904-829A6C960E26}"/>
    <cellStyle name="Currency 5 3 5 5 3 3" xfId="14762" xr:uid="{75BD7075-AA32-4DA6-B49F-2E5AF13FDC81}"/>
    <cellStyle name="Currency 5 3 5 5 4" xfId="18985" xr:uid="{6AEB9400-ACB4-426F-A778-9ECFFEA1D598}"/>
    <cellStyle name="Currency 5 3 5 5 5" xfId="10544" xr:uid="{046A4ABC-0FB9-4284-A9FD-364A05714BA1}"/>
    <cellStyle name="Currency 5 3 5 6" xfId="2441" xr:uid="{00000000-0005-0000-0000-0000330D0000}"/>
    <cellStyle name="Currency 5 3 5 6 2" xfId="6725" xr:uid="{00000000-0005-0000-0000-0000340D0000}"/>
    <cellStyle name="Currency 5 3 5 6 2 2" xfId="23616" xr:uid="{AC7F778E-4B99-4A90-AA0D-224428ABEEC6}"/>
    <cellStyle name="Currency 5 3 5 6 2 3" xfId="15175" xr:uid="{56D22BCB-BAF0-40D9-9791-EC089ED2B0C4}"/>
    <cellStyle name="Currency 5 3 5 6 3" xfId="19398" xr:uid="{634FBF8D-270B-492F-A429-0B6C1D650DED}"/>
    <cellStyle name="Currency 5 3 5 6 4" xfId="10957" xr:uid="{83D3B2F4-F6EC-422F-8A50-01363AA28E74}"/>
    <cellStyle name="Currency 5 3 5 7" xfId="2738" xr:uid="{00000000-0005-0000-0000-0000350D0000}"/>
    <cellStyle name="Currency 5 3 5 8" xfId="2819" xr:uid="{00000000-0005-0000-0000-0000360D0000}"/>
    <cellStyle name="Currency 5 3 5 8 2" xfId="7042" xr:uid="{00000000-0005-0000-0000-0000370D0000}"/>
    <cellStyle name="Currency 5 3 5 8 2 2" xfId="23933" xr:uid="{4FE2920B-2EB2-4AE3-A07C-A292849FA347}"/>
    <cellStyle name="Currency 5 3 5 8 2 3" xfId="15492" xr:uid="{B00D633B-BD32-44B4-8868-098274091BF9}"/>
    <cellStyle name="Currency 5 3 5 8 3" xfId="19715" xr:uid="{32EB650A-CB09-4900-89ED-BC4DF12861A6}"/>
    <cellStyle name="Currency 5 3 5 8 4" xfId="11274" xr:uid="{3D03B0A6-E40F-465E-AD8B-BF99589D834A}"/>
    <cellStyle name="Currency 5 3 5 9" xfId="4659" xr:uid="{00000000-0005-0000-0000-0000380D0000}"/>
    <cellStyle name="Currency 5 3 5 9 2" xfId="21550" xr:uid="{0FE26AC6-3539-443A-9270-4ECF9099F5DC}"/>
    <cellStyle name="Currency 5 3 5 9 3" xfId="13109" xr:uid="{D051AE32-6C7B-4F13-80C8-0E8532E26BB7}"/>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21551" xr:uid="{5E93F9A9-BF0C-4C6B-8C9A-0649F683419D}"/>
    <cellStyle name="Currency 5 5 10 3" xfId="13110" xr:uid="{132CAD6A-E6E8-4DEC-BC66-0A3DFE62DDA2}"/>
    <cellStyle name="Currency 5 5 11" xfId="17333" xr:uid="{E19C0702-7A12-4844-BA23-FBC57893FD2E}"/>
    <cellStyle name="Currency 5 5 12" xfId="8892" xr:uid="{06AAF2DF-8095-460D-9B87-342809C9BE5C}"/>
    <cellStyle name="Currency 5 5 2" xfId="220" xr:uid="{00000000-0005-0000-0000-00003D0D0000}"/>
    <cellStyle name="Currency 5 5 2 10" xfId="17334" xr:uid="{F7B5F672-96DD-4DC8-8D57-8DE755D44CF7}"/>
    <cellStyle name="Currency 5 5 2 11" xfId="8893" xr:uid="{234C05EC-A957-4325-856E-87F8B246B454}"/>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24111" xr:uid="{CF3123FC-7114-4E48-ACF9-DDF667C13870}"/>
    <cellStyle name="Currency 5 5 2 2 2 2 3" xfId="15670" xr:uid="{24DDC6F9-F97D-4682-B5D4-CCB38DCA36FA}"/>
    <cellStyle name="Currency 5 5 2 2 2 3" xfId="19893" xr:uid="{26A2911D-5EF8-4704-8D95-90544D2204F9}"/>
    <cellStyle name="Currency 5 5 2 2 2 4" xfId="11452" xr:uid="{5AF288C2-D373-40C2-AFC9-5C0D57B11E67}"/>
    <cellStyle name="Currency 5 5 2 2 3" xfId="5075" xr:uid="{00000000-0005-0000-0000-0000410D0000}"/>
    <cellStyle name="Currency 5 5 2 2 3 2" xfId="21966" xr:uid="{8F644F0F-B4C2-45CE-BF10-F7E58A05F4E6}"/>
    <cellStyle name="Currency 5 5 2 2 3 3" xfId="13525" xr:uid="{8B560887-9FCB-4ABD-A747-E23BCCF01FC1}"/>
    <cellStyle name="Currency 5 5 2 2 4" xfId="17748" xr:uid="{0874418E-F9CB-4807-A011-63CBEA5C091D}"/>
    <cellStyle name="Currency 5 5 2 2 5" xfId="9307" xr:uid="{748C5A91-E7C0-4B2A-9C5B-A1D75C62868D}"/>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24524" xr:uid="{4A9D36F1-8E83-4869-BDC8-24BD0AD12FD1}"/>
    <cellStyle name="Currency 5 5 2 3 2 2 3" xfId="16083" xr:uid="{9C5ABDDD-686D-4B4E-8EA2-D342D91C108F}"/>
    <cellStyle name="Currency 5 5 2 3 2 3" xfId="20306" xr:uid="{4C274164-8591-46EC-8AC4-11BF19F7AEA5}"/>
    <cellStyle name="Currency 5 5 2 3 2 4" xfId="11865" xr:uid="{0338D204-F2C1-446C-AFCE-F99085E3D20B}"/>
    <cellStyle name="Currency 5 5 2 3 3" xfId="5488" xr:uid="{00000000-0005-0000-0000-0000450D0000}"/>
    <cellStyle name="Currency 5 5 2 3 3 2" xfId="22379" xr:uid="{521C0550-D8AE-4BC7-99FC-79AB23A42DB5}"/>
    <cellStyle name="Currency 5 5 2 3 3 3" xfId="13938" xr:uid="{877938A2-22C3-41D8-B64A-7A7BF71EA606}"/>
    <cellStyle name="Currency 5 5 2 3 4" xfId="18161" xr:uid="{0ED982DD-89D2-4A02-85C4-779A919BEA92}"/>
    <cellStyle name="Currency 5 5 2 3 5" xfId="9720" xr:uid="{DE35B5BA-2A91-4ED5-A69F-34FE685F3285}"/>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24937" xr:uid="{9ACFD71A-2912-4E23-B982-6FADB7F8A776}"/>
    <cellStyle name="Currency 5 5 2 4 2 2 3" xfId="16496" xr:uid="{ED20FF8D-D065-4173-AEE6-0F350D58B9C5}"/>
    <cellStyle name="Currency 5 5 2 4 2 3" xfId="20719" xr:uid="{6448FF9A-E888-45B7-9A1B-F044F3263E91}"/>
    <cellStyle name="Currency 5 5 2 4 2 4" xfId="12278" xr:uid="{BA4B2ADB-12EE-46EC-8B31-452EAAEBBFA9}"/>
    <cellStyle name="Currency 5 5 2 4 3" xfId="5901" xr:uid="{00000000-0005-0000-0000-0000490D0000}"/>
    <cellStyle name="Currency 5 5 2 4 3 2" xfId="22792" xr:uid="{3B6B757F-049A-4B3C-A563-B4C8A22DDE26}"/>
    <cellStyle name="Currency 5 5 2 4 3 3" xfId="14351" xr:uid="{251A3B1D-4E50-47A0-A2B8-249443319FE4}"/>
    <cellStyle name="Currency 5 5 2 4 4" xfId="18574" xr:uid="{DCAF13D1-D78D-48CA-A16C-A2FD62E01AEE}"/>
    <cellStyle name="Currency 5 5 2 4 5" xfId="10133" xr:uid="{55BA8CC4-1A8A-4E52-B7B3-2E7E3A316F59}"/>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25350" xr:uid="{16D16988-39E5-4147-A018-599AFD4E845F}"/>
    <cellStyle name="Currency 5 5 2 5 2 2 3" xfId="16909" xr:uid="{10BF52BF-B133-4753-B2C3-21EDF6AE7F8B}"/>
    <cellStyle name="Currency 5 5 2 5 2 3" xfId="21132" xr:uid="{8490866D-D504-4C7B-9EF3-948D01FCBF7C}"/>
    <cellStyle name="Currency 5 5 2 5 2 4" xfId="12691" xr:uid="{F844464E-784A-41EC-8613-B247EAC78E12}"/>
    <cellStyle name="Currency 5 5 2 5 3" xfId="6314" xr:uid="{00000000-0005-0000-0000-00004D0D0000}"/>
    <cellStyle name="Currency 5 5 2 5 3 2" xfId="23205" xr:uid="{175768AC-EACF-49ED-BB9A-74F1AD9FD30F}"/>
    <cellStyle name="Currency 5 5 2 5 3 3" xfId="14764" xr:uid="{0BD9D7A6-2E81-4BF2-9BD1-DFA97B065B9F}"/>
    <cellStyle name="Currency 5 5 2 5 4" xfId="18987" xr:uid="{A88B427D-B978-456E-ADF7-DE5BCE4EF367}"/>
    <cellStyle name="Currency 5 5 2 5 5" xfId="10546" xr:uid="{23504683-9DD8-41A5-9802-3C57AA66CD17}"/>
    <cellStyle name="Currency 5 5 2 6" xfId="2443" xr:uid="{00000000-0005-0000-0000-00004E0D0000}"/>
    <cellStyle name="Currency 5 5 2 6 2" xfId="6727" xr:uid="{00000000-0005-0000-0000-00004F0D0000}"/>
    <cellStyle name="Currency 5 5 2 6 2 2" xfId="23618" xr:uid="{639485E8-1837-4B8B-8CF2-D8DBD4A1C655}"/>
    <cellStyle name="Currency 5 5 2 6 2 3" xfId="15177" xr:uid="{6B946F0E-9FA5-4D11-941D-784B5C4CEE3B}"/>
    <cellStyle name="Currency 5 5 2 6 3" xfId="19400" xr:uid="{609D4A66-B82E-4B2D-AA43-6581F96BDF10}"/>
    <cellStyle name="Currency 5 5 2 6 4" xfId="10959" xr:uid="{E8E7FB58-161A-47AF-A84F-3447594CB770}"/>
    <cellStyle name="Currency 5 5 2 7" xfId="2740" xr:uid="{00000000-0005-0000-0000-0000500D0000}"/>
    <cellStyle name="Currency 5 5 2 8" xfId="2821" xr:uid="{00000000-0005-0000-0000-0000510D0000}"/>
    <cellStyle name="Currency 5 5 2 8 2" xfId="7044" xr:uid="{00000000-0005-0000-0000-0000520D0000}"/>
    <cellStyle name="Currency 5 5 2 8 2 2" xfId="23935" xr:uid="{54478063-A617-43D8-AF8C-A27F3C62BDE9}"/>
    <cellStyle name="Currency 5 5 2 8 2 3" xfId="15494" xr:uid="{F8C070EA-2D32-4066-B593-0231CA6EFE17}"/>
    <cellStyle name="Currency 5 5 2 8 3" xfId="19717" xr:uid="{4D776B8A-2E45-493D-9919-63A5BBA57963}"/>
    <cellStyle name="Currency 5 5 2 8 4" xfId="11276" xr:uid="{8A880ECC-BE8D-4A83-8ADF-90B477628EE8}"/>
    <cellStyle name="Currency 5 5 2 9" xfId="4661" xr:uid="{00000000-0005-0000-0000-0000530D0000}"/>
    <cellStyle name="Currency 5 5 2 9 2" xfId="21552" xr:uid="{E2FC3475-007E-4A1B-9B99-9D3FF9E11950}"/>
    <cellStyle name="Currency 5 5 2 9 3" xfId="13111" xr:uid="{B84D74FC-24E4-4226-A9E5-8841B170A443}"/>
    <cellStyle name="Currency 5 5 3" xfId="745" xr:uid="{00000000-0005-0000-0000-0000540D0000}"/>
    <cellStyle name="Currency 5 5 3 2" xfId="2997" xr:uid="{00000000-0005-0000-0000-0000550D0000}"/>
    <cellStyle name="Currency 5 5 3 2 2" xfId="7219" xr:uid="{00000000-0005-0000-0000-0000560D0000}"/>
    <cellStyle name="Currency 5 5 3 2 2 2" xfId="24110" xr:uid="{8E16B7BA-DE9D-46DF-9494-C77B4CC828F4}"/>
    <cellStyle name="Currency 5 5 3 2 2 3" xfId="15669" xr:uid="{8D34F003-0BBB-46A0-BD37-7061C89834E0}"/>
    <cellStyle name="Currency 5 5 3 2 3" xfId="19892" xr:uid="{DA006D04-FAE2-4E71-9334-E7DA8F253A31}"/>
    <cellStyle name="Currency 5 5 3 2 4" xfId="11451" xr:uid="{D1A27F1E-9447-4642-9FE2-8CF122253E5C}"/>
    <cellStyle name="Currency 5 5 3 3" xfId="5074" xr:uid="{00000000-0005-0000-0000-0000570D0000}"/>
    <cellStyle name="Currency 5 5 3 3 2" xfId="21965" xr:uid="{62C71549-870A-4A6A-82C9-03406CD80FA5}"/>
    <cellStyle name="Currency 5 5 3 3 3" xfId="13524" xr:uid="{83B29344-49F1-4D0C-8586-31AF889DD082}"/>
    <cellStyle name="Currency 5 5 3 4" xfId="17747" xr:uid="{F211C592-F98F-4923-B48E-A98E7D63FCF2}"/>
    <cellStyle name="Currency 5 5 3 5" xfId="9306" xr:uid="{BE365016-65AB-49D7-B877-22DEB9099568}"/>
    <cellStyle name="Currency 5 5 4" xfId="1179" xr:uid="{00000000-0005-0000-0000-0000580D0000}"/>
    <cellStyle name="Currency 5 5 4 2" xfId="3410" xr:uid="{00000000-0005-0000-0000-0000590D0000}"/>
    <cellStyle name="Currency 5 5 4 2 2" xfId="7632" xr:uid="{00000000-0005-0000-0000-00005A0D0000}"/>
    <cellStyle name="Currency 5 5 4 2 2 2" xfId="24523" xr:uid="{E40FBBB7-55DA-4628-95E4-FE70265A5709}"/>
    <cellStyle name="Currency 5 5 4 2 2 3" xfId="16082" xr:uid="{433FC9E1-E8BD-4FC8-8A46-965DFC0936B7}"/>
    <cellStyle name="Currency 5 5 4 2 3" xfId="20305" xr:uid="{7FDBC2B4-D193-45F2-833B-016451827F21}"/>
    <cellStyle name="Currency 5 5 4 2 4" xfId="11864" xr:uid="{89FC255E-5478-497E-84A7-ED5D4F54B21A}"/>
    <cellStyle name="Currency 5 5 4 3" xfId="5487" xr:uid="{00000000-0005-0000-0000-00005B0D0000}"/>
    <cellStyle name="Currency 5 5 4 3 2" xfId="22378" xr:uid="{948C3723-B40D-4E25-86CE-53518544E359}"/>
    <cellStyle name="Currency 5 5 4 3 3" xfId="13937" xr:uid="{4AC96606-CE8C-4DB3-8E99-30DDEF76B4CD}"/>
    <cellStyle name="Currency 5 5 4 4" xfId="18160" xr:uid="{280A0DEF-D029-4106-9B9A-680E405FCCF2}"/>
    <cellStyle name="Currency 5 5 4 5" xfId="9719" xr:uid="{40D5DF4F-AB46-45A8-AFA8-9804624EFECF}"/>
    <cellStyle name="Currency 5 5 5" xfId="1593" xr:uid="{00000000-0005-0000-0000-00005C0D0000}"/>
    <cellStyle name="Currency 5 5 5 2" xfId="3823" xr:uid="{00000000-0005-0000-0000-00005D0D0000}"/>
    <cellStyle name="Currency 5 5 5 2 2" xfId="8045" xr:uid="{00000000-0005-0000-0000-00005E0D0000}"/>
    <cellStyle name="Currency 5 5 5 2 2 2" xfId="24936" xr:uid="{F3CE2015-7F4C-4F8C-BA37-9C286381CEE2}"/>
    <cellStyle name="Currency 5 5 5 2 2 3" xfId="16495" xr:uid="{ED73A179-1DF7-4049-9905-0842E26EAF63}"/>
    <cellStyle name="Currency 5 5 5 2 3" xfId="20718" xr:uid="{F85BEA05-8312-46DC-94BD-C429A91D94B0}"/>
    <cellStyle name="Currency 5 5 5 2 4" xfId="12277" xr:uid="{FAC35EB5-1CAD-4CFE-A1D2-56A8CED85736}"/>
    <cellStyle name="Currency 5 5 5 3" xfId="5900" xr:uid="{00000000-0005-0000-0000-00005F0D0000}"/>
    <cellStyle name="Currency 5 5 5 3 2" xfId="22791" xr:uid="{ED13F7EA-A73F-4C55-9745-2629F9F0FC52}"/>
    <cellStyle name="Currency 5 5 5 3 3" xfId="14350" xr:uid="{80194B71-5D51-4A30-8533-5F8CD3D343E8}"/>
    <cellStyle name="Currency 5 5 5 4" xfId="18573" xr:uid="{5083B1BA-4D0A-4945-B84B-7D3AE2899DB0}"/>
    <cellStyle name="Currency 5 5 5 5" xfId="10132" xr:uid="{F2F768D0-A714-47BE-85D7-347A197E394C}"/>
    <cellStyle name="Currency 5 5 6" xfId="2007" xr:uid="{00000000-0005-0000-0000-0000600D0000}"/>
    <cellStyle name="Currency 5 5 6 2" xfId="4236" xr:uid="{00000000-0005-0000-0000-0000610D0000}"/>
    <cellStyle name="Currency 5 5 6 2 2" xfId="8458" xr:uid="{00000000-0005-0000-0000-0000620D0000}"/>
    <cellStyle name="Currency 5 5 6 2 2 2" xfId="25349" xr:uid="{5B101254-A87A-4E56-87AF-997966DE8622}"/>
    <cellStyle name="Currency 5 5 6 2 2 3" xfId="16908" xr:uid="{162E588E-EB6D-47E3-91B2-03001AA8ED9F}"/>
    <cellStyle name="Currency 5 5 6 2 3" xfId="21131" xr:uid="{89B8D329-39D9-4DA6-8461-4ED14449C996}"/>
    <cellStyle name="Currency 5 5 6 2 4" xfId="12690" xr:uid="{81284BEE-219E-4DD2-84A7-C0D3D697DB03}"/>
    <cellStyle name="Currency 5 5 6 3" xfId="6313" xr:uid="{00000000-0005-0000-0000-0000630D0000}"/>
    <cellStyle name="Currency 5 5 6 3 2" xfId="23204" xr:uid="{09FBF4F7-8936-486D-AAED-E59A0D4874F6}"/>
    <cellStyle name="Currency 5 5 6 3 3" xfId="14763" xr:uid="{F107729F-DFB8-4723-A8AA-08AC8DEE5283}"/>
    <cellStyle name="Currency 5 5 6 4" xfId="18986" xr:uid="{0185F87A-913F-4C2D-A9F5-4ED94BDFFA73}"/>
    <cellStyle name="Currency 5 5 6 5" xfId="10545" xr:uid="{61CCC7B1-4F5E-4155-A86F-D0E626F7BA27}"/>
    <cellStyle name="Currency 5 5 7" xfId="2442" xr:uid="{00000000-0005-0000-0000-0000640D0000}"/>
    <cellStyle name="Currency 5 5 7 2" xfId="6726" xr:uid="{00000000-0005-0000-0000-0000650D0000}"/>
    <cellStyle name="Currency 5 5 7 2 2" xfId="23617" xr:uid="{E142873E-7D7C-45E0-9AF6-B7793167071E}"/>
    <cellStyle name="Currency 5 5 7 2 3" xfId="15176" xr:uid="{CDBCB103-15C6-4D23-A939-2F583002BC5B}"/>
    <cellStyle name="Currency 5 5 7 3" xfId="19399" xr:uid="{AAE5F516-63DF-478E-99F2-9EE6F0515FA2}"/>
    <cellStyle name="Currency 5 5 7 4" xfId="10958" xr:uid="{5931EE91-A5F1-45E3-B43B-079C58748960}"/>
    <cellStyle name="Currency 5 5 8" xfId="2739" xr:uid="{00000000-0005-0000-0000-0000660D0000}"/>
    <cellStyle name="Currency 5 5 9" xfId="2820" xr:uid="{00000000-0005-0000-0000-0000670D0000}"/>
    <cellStyle name="Currency 5 5 9 2" xfId="7043" xr:uid="{00000000-0005-0000-0000-0000680D0000}"/>
    <cellStyle name="Currency 5 5 9 2 2" xfId="23934" xr:uid="{0A4F3D80-7241-481B-A1AE-E5B76CCE97FE}"/>
    <cellStyle name="Currency 5 5 9 2 3" xfId="15493" xr:uid="{5904C335-C2EB-4039-8E05-451A3B689A50}"/>
    <cellStyle name="Currency 5 5 9 3" xfId="19716" xr:uid="{6BB5BCEE-15D6-499A-93E1-400029F0506F}"/>
    <cellStyle name="Currency 5 5 9 4" xfId="11275" xr:uid="{0FDD3B4E-B13B-4818-BFB9-6505CEFFF49B}"/>
    <cellStyle name="Currency 5 6" xfId="221" xr:uid="{00000000-0005-0000-0000-0000690D0000}"/>
    <cellStyle name="Currency 5 6 10" xfId="17335" xr:uid="{C02D59D7-73B2-49F3-85F7-76EEDEF43450}"/>
    <cellStyle name="Currency 5 6 11" xfId="8894" xr:uid="{268A8695-9AE2-418B-BA7D-B01AC6BCFD9F}"/>
    <cellStyle name="Currency 5 6 2" xfId="747" xr:uid="{00000000-0005-0000-0000-00006A0D0000}"/>
    <cellStyle name="Currency 5 6 2 2" xfId="2999" xr:uid="{00000000-0005-0000-0000-00006B0D0000}"/>
    <cellStyle name="Currency 5 6 2 2 2" xfId="7221" xr:uid="{00000000-0005-0000-0000-00006C0D0000}"/>
    <cellStyle name="Currency 5 6 2 2 2 2" xfId="24112" xr:uid="{7DC29A32-FE89-405D-879C-42F39790621C}"/>
    <cellStyle name="Currency 5 6 2 2 2 3" xfId="15671" xr:uid="{C2F342DE-851E-4110-BEE3-2E281F61AE72}"/>
    <cellStyle name="Currency 5 6 2 2 3" xfId="19894" xr:uid="{0F065925-CD69-463F-9ED3-2C18C89F72ED}"/>
    <cellStyle name="Currency 5 6 2 2 4" xfId="11453" xr:uid="{95AF772C-88AA-4BF2-B89A-BAAAD21C7BBD}"/>
    <cellStyle name="Currency 5 6 2 3" xfId="5076" xr:uid="{00000000-0005-0000-0000-00006D0D0000}"/>
    <cellStyle name="Currency 5 6 2 3 2" xfId="21967" xr:uid="{84F1A933-8F53-48AC-BEA3-0072C91B76E1}"/>
    <cellStyle name="Currency 5 6 2 3 3" xfId="13526" xr:uid="{F1D6B10D-562B-4D85-B350-1CB0C2198712}"/>
    <cellStyle name="Currency 5 6 2 4" xfId="17749" xr:uid="{26C6CE71-126F-4033-AF48-E2AB849F7112}"/>
    <cellStyle name="Currency 5 6 2 5" xfId="9308" xr:uid="{F9962580-B716-4CDD-B2BD-E4F991D9F0DA}"/>
    <cellStyle name="Currency 5 6 3" xfId="1181" xr:uid="{00000000-0005-0000-0000-00006E0D0000}"/>
    <cellStyle name="Currency 5 6 3 2" xfId="3412" xr:uid="{00000000-0005-0000-0000-00006F0D0000}"/>
    <cellStyle name="Currency 5 6 3 2 2" xfId="7634" xr:uid="{00000000-0005-0000-0000-0000700D0000}"/>
    <cellStyle name="Currency 5 6 3 2 2 2" xfId="24525" xr:uid="{F44198C5-196D-4222-BDC1-9BF82CF68E5B}"/>
    <cellStyle name="Currency 5 6 3 2 2 3" xfId="16084" xr:uid="{922D5499-30FD-42D8-9A70-37C89039EE1B}"/>
    <cellStyle name="Currency 5 6 3 2 3" xfId="20307" xr:uid="{6E65E3B9-916F-4115-9CDF-63F881623EDE}"/>
    <cellStyle name="Currency 5 6 3 2 4" xfId="11866" xr:uid="{E813F052-7D45-4B20-8861-9166EBDFD651}"/>
    <cellStyle name="Currency 5 6 3 3" xfId="5489" xr:uid="{00000000-0005-0000-0000-0000710D0000}"/>
    <cellStyle name="Currency 5 6 3 3 2" xfId="22380" xr:uid="{5715CA30-8206-4D99-A451-72D7C93FFABF}"/>
    <cellStyle name="Currency 5 6 3 3 3" xfId="13939" xr:uid="{7430D352-E655-479E-B97E-3F32641FE94F}"/>
    <cellStyle name="Currency 5 6 3 4" xfId="18162" xr:uid="{072BD8BB-FB92-4175-BAD1-626CF304838F}"/>
    <cellStyle name="Currency 5 6 3 5" xfId="9721" xr:uid="{EDCF8B9F-2805-4D33-9276-F6E568DE0B8D}"/>
    <cellStyle name="Currency 5 6 4" xfId="1595" xr:uid="{00000000-0005-0000-0000-0000720D0000}"/>
    <cellStyle name="Currency 5 6 4 2" xfId="3825" xr:uid="{00000000-0005-0000-0000-0000730D0000}"/>
    <cellStyle name="Currency 5 6 4 2 2" xfId="8047" xr:uid="{00000000-0005-0000-0000-0000740D0000}"/>
    <cellStyle name="Currency 5 6 4 2 2 2" xfId="24938" xr:uid="{52A5E74D-0ADA-4F01-965A-02449B689049}"/>
    <cellStyle name="Currency 5 6 4 2 2 3" xfId="16497" xr:uid="{E39937A6-581B-4A77-B609-8C6AD4EFBEE3}"/>
    <cellStyle name="Currency 5 6 4 2 3" xfId="20720" xr:uid="{8819B540-A8E4-4147-B753-07994FA825E0}"/>
    <cellStyle name="Currency 5 6 4 2 4" xfId="12279" xr:uid="{6B4230CA-78BE-4559-A2A1-0F6C22F1F5B0}"/>
    <cellStyle name="Currency 5 6 4 3" xfId="5902" xr:uid="{00000000-0005-0000-0000-0000750D0000}"/>
    <cellStyle name="Currency 5 6 4 3 2" xfId="22793" xr:uid="{64A8FCB8-7481-43E6-A703-ED8C09E6532F}"/>
    <cellStyle name="Currency 5 6 4 3 3" xfId="14352" xr:uid="{73663E32-A917-4D1E-997A-34DFB0E5E72B}"/>
    <cellStyle name="Currency 5 6 4 4" xfId="18575" xr:uid="{C0DB3440-16D2-49AE-9DD6-CB2DB8B916F0}"/>
    <cellStyle name="Currency 5 6 4 5" xfId="10134" xr:uid="{6BFEC79F-AFE5-4F2F-86A5-BBA4AF411A83}"/>
    <cellStyle name="Currency 5 6 5" xfId="2009" xr:uid="{00000000-0005-0000-0000-0000760D0000}"/>
    <cellStyle name="Currency 5 6 5 2" xfId="4238" xr:uid="{00000000-0005-0000-0000-0000770D0000}"/>
    <cellStyle name="Currency 5 6 5 2 2" xfId="8460" xr:uid="{00000000-0005-0000-0000-0000780D0000}"/>
    <cellStyle name="Currency 5 6 5 2 2 2" xfId="25351" xr:uid="{D85DC88F-5E96-45BB-A436-1ADB7F550839}"/>
    <cellStyle name="Currency 5 6 5 2 2 3" xfId="16910" xr:uid="{39172DEE-801E-4712-802E-1BA9043CDEA2}"/>
    <cellStyle name="Currency 5 6 5 2 3" xfId="21133" xr:uid="{566B32F8-EA91-4788-A009-B36AB6DBD8CE}"/>
    <cellStyle name="Currency 5 6 5 2 4" xfId="12692" xr:uid="{B42B5279-1AFB-4657-88A8-0BF352D776AF}"/>
    <cellStyle name="Currency 5 6 5 3" xfId="6315" xr:uid="{00000000-0005-0000-0000-0000790D0000}"/>
    <cellStyle name="Currency 5 6 5 3 2" xfId="23206" xr:uid="{57B47C32-94A5-4316-9E55-07844D2010CA}"/>
    <cellStyle name="Currency 5 6 5 3 3" xfId="14765" xr:uid="{0788EB2E-2EFD-4462-95E7-AFAFA91FC08A}"/>
    <cellStyle name="Currency 5 6 5 4" xfId="18988" xr:uid="{724EFB49-70C4-4052-AC91-C0B73310F5C3}"/>
    <cellStyle name="Currency 5 6 5 5" xfId="10547" xr:uid="{CB5B1393-BC06-4A0B-8B6A-B93941E530CF}"/>
    <cellStyle name="Currency 5 6 6" xfId="2444" xr:uid="{00000000-0005-0000-0000-00007A0D0000}"/>
    <cellStyle name="Currency 5 6 6 2" xfId="6728" xr:uid="{00000000-0005-0000-0000-00007B0D0000}"/>
    <cellStyle name="Currency 5 6 6 2 2" xfId="23619" xr:uid="{BAAE641B-98AF-4EFE-9C99-29E1F87BE6F9}"/>
    <cellStyle name="Currency 5 6 6 2 3" xfId="15178" xr:uid="{3B49EFD7-DA20-4898-9835-19A2D1288520}"/>
    <cellStyle name="Currency 5 6 6 3" xfId="19401" xr:uid="{7ED40067-9878-44AA-8EA1-CDE2A6D09996}"/>
    <cellStyle name="Currency 5 6 6 4" xfId="10960" xr:uid="{92771047-84E0-4379-8536-55F13CF19908}"/>
    <cellStyle name="Currency 5 6 7" xfId="2741" xr:uid="{00000000-0005-0000-0000-00007C0D0000}"/>
    <cellStyle name="Currency 5 6 8" xfId="2822" xr:uid="{00000000-0005-0000-0000-00007D0D0000}"/>
    <cellStyle name="Currency 5 6 8 2" xfId="7045" xr:uid="{00000000-0005-0000-0000-00007E0D0000}"/>
    <cellStyle name="Currency 5 6 8 2 2" xfId="23936" xr:uid="{302B6EE0-8A43-44F0-A639-69AD517B51E1}"/>
    <cellStyle name="Currency 5 6 8 2 3" xfId="15495" xr:uid="{A92322E9-A56C-4EC8-9C2A-026C1084B04C}"/>
    <cellStyle name="Currency 5 6 8 3" xfId="19718" xr:uid="{C14EE467-83DC-403B-BAB9-6D04F0EDD20D}"/>
    <cellStyle name="Currency 5 6 8 4" xfId="11277" xr:uid="{7A26BEE3-236C-44F4-B361-30BE4E9C28C4}"/>
    <cellStyle name="Currency 5 6 9" xfId="4662" xr:uid="{00000000-0005-0000-0000-00007F0D0000}"/>
    <cellStyle name="Currency 5 6 9 2" xfId="21553" xr:uid="{7A87C1E0-FF9D-4705-82B0-2B9853F57CBD}"/>
    <cellStyle name="Currency 5 6 9 3" xfId="13112" xr:uid="{C8555C01-5DC9-4E93-B573-B816EFADE2D7}"/>
    <cellStyle name="Currency 5 7" xfId="222" xr:uid="{00000000-0005-0000-0000-0000800D0000}"/>
    <cellStyle name="Currency 5 7 10" xfId="17336" xr:uid="{440DC424-5E18-4AFD-933D-BE74DE14018D}"/>
    <cellStyle name="Currency 5 7 11" xfId="8895" xr:uid="{53DF971C-5563-4BF1-8890-86F0F3CF1BFB}"/>
    <cellStyle name="Currency 5 7 2" xfId="748" xr:uid="{00000000-0005-0000-0000-0000810D0000}"/>
    <cellStyle name="Currency 5 7 2 2" xfId="3000" xr:uid="{00000000-0005-0000-0000-0000820D0000}"/>
    <cellStyle name="Currency 5 7 2 2 2" xfId="7222" xr:uid="{00000000-0005-0000-0000-0000830D0000}"/>
    <cellStyle name="Currency 5 7 2 2 2 2" xfId="24113" xr:uid="{74D4F01F-2CC3-4635-A84D-10566125776F}"/>
    <cellStyle name="Currency 5 7 2 2 2 3" xfId="15672" xr:uid="{797B904C-6CD6-4C92-AAAD-700CF6CAD4FB}"/>
    <cellStyle name="Currency 5 7 2 2 3" xfId="19895" xr:uid="{E4883C7D-5567-4F2A-A1E9-957462351EAE}"/>
    <cellStyle name="Currency 5 7 2 2 4" xfId="11454" xr:uid="{F7BA4EC7-E566-45D7-ADB1-12F42ACB2C7D}"/>
    <cellStyle name="Currency 5 7 2 3" xfId="5077" xr:uid="{00000000-0005-0000-0000-0000840D0000}"/>
    <cellStyle name="Currency 5 7 2 3 2" xfId="21968" xr:uid="{5C8CE774-273B-46E6-8FFD-9ACBE1CB7881}"/>
    <cellStyle name="Currency 5 7 2 3 3" xfId="13527" xr:uid="{F8435AEE-74E3-479D-8A76-F3B8C0C504A9}"/>
    <cellStyle name="Currency 5 7 2 4" xfId="17750" xr:uid="{75205EE8-5333-4E21-ADE6-9957D66C3F7A}"/>
    <cellStyle name="Currency 5 7 2 5" xfId="9309" xr:uid="{30C04D7E-E839-4F97-8738-9B5FD4D5E64E}"/>
    <cellStyle name="Currency 5 7 3" xfId="1182" xr:uid="{00000000-0005-0000-0000-0000850D0000}"/>
    <cellStyle name="Currency 5 7 3 2" xfId="3413" xr:uid="{00000000-0005-0000-0000-0000860D0000}"/>
    <cellStyle name="Currency 5 7 3 2 2" xfId="7635" xr:uid="{00000000-0005-0000-0000-0000870D0000}"/>
    <cellStyle name="Currency 5 7 3 2 2 2" xfId="24526" xr:uid="{9BB5C9D0-A776-49CE-AA8F-871B04B44AAD}"/>
    <cellStyle name="Currency 5 7 3 2 2 3" xfId="16085" xr:uid="{AD0E14EC-C241-40EA-82B0-41A889AD042B}"/>
    <cellStyle name="Currency 5 7 3 2 3" xfId="20308" xr:uid="{C8146F4D-5D35-4B92-80BF-FE3002036695}"/>
    <cellStyle name="Currency 5 7 3 2 4" xfId="11867" xr:uid="{080FA60D-C565-4756-B6FC-4B181A740C89}"/>
    <cellStyle name="Currency 5 7 3 3" xfId="5490" xr:uid="{00000000-0005-0000-0000-0000880D0000}"/>
    <cellStyle name="Currency 5 7 3 3 2" xfId="22381" xr:uid="{1685C4FE-30B7-4E80-8140-A82A4CBDF258}"/>
    <cellStyle name="Currency 5 7 3 3 3" xfId="13940" xr:uid="{D8F64C7D-30C8-46F0-9496-56952C189770}"/>
    <cellStyle name="Currency 5 7 3 4" xfId="18163" xr:uid="{1FA9F893-8475-4829-BE92-264999A7800F}"/>
    <cellStyle name="Currency 5 7 3 5" xfId="9722" xr:uid="{26706E31-352F-4093-99E8-73303651BDEF}"/>
    <cellStyle name="Currency 5 7 4" xfId="1596" xr:uid="{00000000-0005-0000-0000-0000890D0000}"/>
    <cellStyle name="Currency 5 7 4 2" xfId="3826" xr:uid="{00000000-0005-0000-0000-00008A0D0000}"/>
    <cellStyle name="Currency 5 7 4 2 2" xfId="8048" xr:uid="{00000000-0005-0000-0000-00008B0D0000}"/>
    <cellStyle name="Currency 5 7 4 2 2 2" xfId="24939" xr:uid="{5138E473-C254-4556-ABA0-FC4FC7880FF4}"/>
    <cellStyle name="Currency 5 7 4 2 2 3" xfId="16498" xr:uid="{F2F1C95B-F1BE-4DD4-9405-1A359ACCD239}"/>
    <cellStyle name="Currency 5 7 4 2 3" xfId="20721" xr:uid="{7F8165C6-C89E-47A8-A5E3-AB5D7A19A825}"/>
    <cellStyle name="Currency 5 7 4 2 4" xfId="12280" xr:uid="{6F0B4DD7-C267-4149-90FB-B26D1F64FF61}"/>
    <cellStyle name="Currency 5 7 4 3" xfId="5903" xr:uid="{00000000-0005-0000-0000-00008C0D0000}"/>
    <cellStyle name="Currency 5 7 4 3 2" xfId="22794" xr:uid="{CC80FE0C-33FE-4A9D-821E-6FB5C96DDF6F}"/>
    <cellStyle name="Currency 5 7 4 3 3" xfId="14353" xr:uid="{A4A5E035-D10E-4045-B7D9-9D90D34DE39C}"/>
    <cellStyle name="Currency 5 7 4 4" xfId="18576" xr:uid="{48E36BA0-30AC-4C32-B748-F176BCD4BB5B}"/>
    <cellStyle name="Currency 5 7 4 5" xfId="10135" xr:uid="{CE4B4970-1889-4764-920D-280CDF4D924D}"/>
    <cellStyle name="Currency 5 7 5" xfId="2010" xr:uid="{00000000-0005-0000-0000-00008D0D0000}"/>
    <cellStyle name="Currency 5 7 5 2" xfId="4239" xr:uid="{00000000-0005-0000-0000-00008E0D0000}"/>
    <cellStyle name="Currency 5 7 5 2 2" xfId="8461" xr:uid="{00000000-0005-0000-0000-00008F0D0000}"/>
    <cellStyle name="Currency 5 7 5 2 2 2" xfId="25352" xr:uid="{72053D78-A568-488E-9A74-74D08F71ADBF}"/>
    <cellStyle name="Currency 5 7 5 2 2 3" xfId="16911" xr:uid="{F5949171-C359-4DF6-BC5C-34AA3AE62A45}"/>
    <cellStyle name="Currency 5 7 5 2 3" xfId="21134" xr:uid="{7BB55D0D-F953-4654-9E94-CC994EC56DC8}"/>
    <cellStyle name="Currency 5 7 5 2 4" xfId="12693" xr:uid="{C674729E-C1BE-4984-8E9A-9F0DC870180E}"/>
    <cellStyle name="Currency 5 7 5 3" xfId="6316" xr:uid="{00000000-0005-0000-0000-0000900D0000}"/>
    <cellStyle name="Currency 5 7 5 3 2" xfId="23207" xr:uid="{007CDBF9-F63C-4513-B9E2-C58F77E42C7C}"/>
    <cellStyle name="Currency 5 7 5 3 3" xfId="14766" xr:uid="{BBBA8272-EFFD-43AC-92AB-FCA8517FD239}"/>
    <cellStyle name="Currency 5 7 5 4" xfId="18989" xr:uid="{C933E7D9-DEBF-40D6-A4F5-809EBEB21C99}"/>
    <cellStyle name="Currency 5 7 5 5" xfId="10548" xr:uid="{C177D31F-6804-4034-92EE-93F6041DECF8}"/>
    <cellStyle name="Currency 5 7 6" xfId="2445" xr:uid="{00000000-0005-0000-0000-0000910D0000}"/>
    <cellStyle name="Currency 5 7 6 2" xfId="6729" xr:uid="{00000000-0005-0000-0000-0000920D0000}"/>
    <cellStyle name="Currency 5 7 6 2 2" xfId="23620" xr:uid="{A1526307-7757-49D5-B9D7-0479BE6A187E}"/>
    <cellStyle name="Currency 5 7 6 2 3" xfId="15179" xr:uid="{4F29425B-0582-4F32-94A1-32475758F895}"/>
    <cellStyle name="Currency 5 7 6 3" xfId="19402" xr:uid="{175A7467-7696-490D-B44E-533DC4B1C3C7}"/>
    <cellStyle name="Currency 5 7 6 4" xfId="10961" xr:uid="{068C9673-66C3-4E99-8865-A181DF6EDC90}"/>
    <cellStyle name="Currency 5 7 7" xfId="2742" xr:uid="{00000000-0005-0000-0000-0000930D0000}"/>
    <cellStyle name="Currency 5 7 8" xfId="2823" xr:uid="{00000000-0005-0000-0000-0000940D0000}"/>
    <cellStyle name="Currency 5 7 8 2" xfId="7046" xr:uid="{00000000-0005-0000-0000-0000950D0000}"/>
    <cellStyle name="Currency 5 7 8 2 2" xfId="23937" xr:uid="{6B290E8D-E3F7-493E-B268-406FDF0CCDFA}"/>
    <cellStyle name="Currency 5 7 8 2 3" xfId="15496" xr:uid="{BAAE0749-787A-4006-BB64-D7373E51D5B8}"/>
    <cellStyle name="Currency 5 7 8 3" xfId="19719" xr:uid="{BCC4ED12-C279-4D98-BC32-A9C0DF531454}"/>
    <cellStyle name="Currency 5 7 8 4" xfId="11278" xr:uid="{B00E64D0-12F1-4AC4-9B75-CBF941C41F42}"/>
    <cellStyle name="Currency 5 7 9" xfId="4663" xr:uid="{00000000-0005-0000-0000-0000960D0000}"/>
    <cellStyle name="Currency 5 7 9 2" xfId="21554" xr:uid="{622F365C-660D-413D-BA5E-F7037188A6C2}"/>
    <cellStyle name="Currency 5 7 9 3" xfId="13113" xr:uid="{952EE485-EC93-4F4D-81B6-2F5570A09453}"/>
    <cellStyle name="Currency 5 8" xfId="721" xr:uid="{00000000-0005-0000-0000-0000970D0000}"/>
    <cellStyle name="Currency 5 9" xfId="25709" xr:uid="{AA474A6F-66DA-481A-B8B1-9D904BC7F7A2}"/>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8 4" xfId="25710" xr:uid="{26E7DDDA-E127-494C-95A1-F27EA038949E}"/>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nd of Section" xfId="25711" xr:uid="{1DE8C593-1F49-4835-A13A-B49F79717949}"/>
    <cellStyle name="Explanatory Text" xfId="234" builtinId="53" customBuiltin="1"/>
    <cellStyle name="FAAST Uploads header" xfId="25712" xr:uid="{311566A3-8A1F-443A-B1A3-1BA5B6755587}"/>
    <cellStyle name="FAAST Uploads header 2" xfId="25713" xr:uid="{A4A6A18D-926E-433C-9D67-AFF376338883}"/>
    <cellStyle name="FAAST Uploads header 2 2" xfId="25850" xr:uid="{6AA6B751-6AF7-4634-9ACD-74D5FCC35B71}"/>
    <cellStyle name="FAAST Uploads header 2 3" xfId="25852" xr:uid="{713F0B9F-5692-43CA-8317-C27573C72EF6}"/>
    <cellStyle name="FAAST Uploads header 3" xfId="25849" xr:uid="{AD68CAC4-EEB8-4664-AB41-714ACB688807}"/>
    <cellStyle name="FAAST Uploads header 4" xfId="25851" xr:uid="{EF0E63F4-BEA1-4A7F-8D6A-FFC9CDB08A39}"/>
    <cellStyle name="Good" xfId="235" builtinId="26" customBuiltin="1"/>
    <cellStyle name="Good 2" xfId="25640" xr:uid="{E24AE009-3032-4E4B-8B43-6DA279C2DD70}"/>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2 2 2" xfId="25714" xr:uid="{86F0CF2A-0B39-4C3B-8738-127886E0A291}"/>
    <cellStyle name="Heading 3" xfId="240" builtinId="18" customBuiltin="1"/>
    <cellStyle name="Heading 3 2" xfId="241" xr:uid="{00000000-0005-0000-0000-0000B40D0000}"/>
    <cellStyle name="Heading 4" xfId="242" builtinId="19" customBuiltin="1"/>
    <cellStyle name="Heading 4 2" xfId="243" xr:uid="{00000000-0005-0000-0000-0000B60D0000}"/>
    <cellStyle name="Heading 4 2 2" xfId="25625" xr:uid="{A81D2FF6-AF7D-4C07-AB58-1050F495836C}"/>
    <cellStyle name="Hyperlink" xfId="244" builtinId="8"/>
    <cellStyle name="Hyperlink 2" xfId="245" xr:uid="{00000000-0005-0000-0000-0000B80D0000}"/>
    <cellStyle name="Hyperlink 2 2" xfId="246" xr:uid="{00000000-0005-0000-0000-0000B90D0000}"/>
    <cellStyle name="Hyperlink 2 2 2" xfId="25642" xr:uid="{89351091-E1C9-4EEF-A516-220EFD5307EC}"/>
    <cellStyle name="Hyperlink 2 3" xfId="25673" xr:uid="{A72F7B20-8930-4E02-B682-267A9AE7063A}"/>
    <cellStyle name="Hyperlink 2 4" xfId="25626" xr:uid="{6D31587F-0EE6-4FD6-8D12-FAAD4EBDBBF0}"/>
    <cellStyle name="Hyperlink 2_Dropdowns" xfId="25715" xr:uid="{AF61D7EE-06CF-4C3B-A15C-5AC0DDA71CFD}"/>
    <cellStyle name="Hyperlink 3" xfId="25641" xr:uid="{73DAC7EB-5870-4B09-81C5-2BEFD7B20A6A}"/>
    <cellStyle name="Hyperlink 3 2" xfId="25717" xr:uid="{538CB8DA-5B5A-493D-AE62-7CE7647A243B}"/>
    <cellStyle name="Hyperlink 3 3" xfId="25718" xr:uid="{6F23CF05-3AE3-40C9-B70D-D8DB833BB5F4}"/>
    <cellStyle name="Hyperlink 3_Dropdowns" xfId="25716" xr:uid="{F146659E-73F3-4B7A-AA47-F22573AF6126}"/>
    <cellStyle name="Hyperlink 4" xfId="25657" xr:uid="{A27F845D-5BAC-4D81-889D-8D1485CED143}"/>
    <cellStyle name="Hyperlink 4 2" xfId="25720" xr:uid="{C357D98E-17E2-4934-B891-1DBB2D9A5C6B}"/>
    <cellStyle name="Hyperlink 4 3" xfId="25721" xr:uid="{6E2A2AB9-552E-4AD3-90B2-33B2D1459AAC}"/>
    <cellStyle name="Hyperlink 4_Dropdowns" xfId="25719" xr:uid="{F7B42CDB-4468-497F-A7AB-D91BECBE8383}"/>
    <cellStyle name="Hyperlink 5" xfId="25662" xr:uid="{9B0F14F2-3CC3-487C-9028-5A8979DF996C}"/>
    <cellStyle name="Hyperlink 6" xfId="25620" xr:uid="{DAC0E6B6-95DF-48BA-94D0-2B63A234A1DD}"/>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eutral 2" xfId="25643" xr:uid="{954D2902-338F-4760-9493-FB5BDDD9151A}"/>
    <cellStyle name="Normal" xfId="0" builtinId="0"/>
    <cellStyle name="Normal 10" xfId="253" xr:uid="{00000000-0005-0000-0000-0000C10D0000}"/>
    <cellStyle name="Normal 10 2" xfId="254" xr:uid="{00000000-0005-0000-0000-0000C20D0000}"/>
    <cellStyle name="Normal 10 2 2" xfId="25660" xr:uid="{DEE1FEEF-F556-4DFD-A234-2FD925F8FEB8}"/>
    <cellStyle name="Normal 10 3" xfId="255" xr:uid="{00000000-0005-0000-0000-0000C30D0000}"/>
    <cellStyle name="Normal 10 4" xfId="25637" xr:uid="{77444179-5A17-450F-992E-F03BE402EF5C}"/>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1 3 2 2" xfId="25869" xr:uid="{91A93D5B-C24F-45C0-B4BC-26086BE9F2A2}"/>
    <cellStyle name="Normal 11 3 3" xfId="25785" xr:uid="{9E41927B-CBB9-499A-9C6F-494A08E7D94C}"/>
    <cellStyle name="Normal 11 4" xfId="25830" xr:uid="{F1D374BA-2FA9-4E35-9DCE-42B653215438}"/>
    <cellStyle name="Normal 11 5" xfId="25677" xr:uid="{C1401439-87E0-46BF-9EA0-37534B696B71}"/>
    <cellStyle name="Normal 11_Dropdowns" xfId="25722" xr:uid="{2426A8C3-5D86-4C97-81CD-DC7103D3C505}"/>
    <cellStyle name="Normal 12" xfId="259" xr:uid="{00000000-0005-0000-0000-0000C90D0000}"/>
    <cellStyle name="Normal 12 10" xfId="2447" xr:uid="{00000000-0005-0000-0000-0000CA0D0000}"/>
    <cellStyle name="Normal 12 10 2" xfId="6730" xr:uid="{00000000-0005-0000-0000-0000CB0D0000}"/>
    <cellStyle name="Normal 12 10 2 2" xfId="23621" xr:uid="{FDD7D07C-DBDC-4119-B765-C926CE5978B5}"/>
    <cellStyle name="Normal 12 10 2 3" xfId="15180" xr:uid="{080875AD-9F01-4162-8D65-CC6B43FCCB6F}"/>
    <cellStyle name="Normal 12 10 3" xfId="19403" xr:uid="{47C83A36-7239-44DD-8AAC-31D2244AE981}"/>
    <cellStyle name="Normal 12 10 4" xfId="10962" xr:uid="{9247929E-5354-4075-A268-04C01ADBE829}"/>
    <cellStyle name="Normal 12 11" xfId="4664" xr:uid="{00000000-0005-0000-0000-0000CC0D0000}"/>
    <cellStyle name="Normal 12 11 2" xfId="21555" xr:uid="{E9A3C924-ACD0-4EEF-B006-363472A69479}"/>
    <cellStyle name="Normal 12 11 3" xfId="13114" xr:uid="{49AF0861-1429-4ED0-84FA-51D10D6A72AA}"/>
    <cellStyle name="Normal 12 12" xfId="17337" xr:uid="{23B6DA6C-4A45-4E5E-B91C-00BD57D58576}"/>
    <cellStyle name="Normal 12 13" xfId="8896" xr:uid="{4A9677FD-7114-4424-8A5B-0E03E68532B6}"/>
    <cellStyle name="Normal 12 14" xfId="25681" xr:uid="{596EF538-7D58-4255-9769-4E31D221CC80}"/>
    <cellStyle name="Normal 12 2" xfId="260" xr:uid="{00000000-0005-0000-0000-0000CD0D0000}"/>
    <cellStyle name="Normal 12 2 10" xfId="17338" xr:uid="{BDF19F21-0DB5-4B79-8ED3-EDA134E2A069}"/>
    <cellStyle name="Normal 12 2 11" xfId="8897" xr:uid="{406F1702-FFC0-4CD1-8CDD-7D0CF9BFE8C4}"/>
    <cellStyle name="Normal 12 2 12" xfId="25724" xr:uid="{F293B1C5-2E90-42A7-BE2E-4C6257FE739E}"/>
    <cellStyle name="Normal 12 2 2" xfId="261" xr:uid="{00000000-0005-0000-0000-0000CE0D0000}"/>
    <cellStyle name="Normal 12 2 2 10" xfId="8898" xr:uid="{6A9E3A5D-C68F-4A36-A4C4-F894C0623593}"/>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24117" xr:uid="{4A330FFC-6640-4753-8A1E-E70E38175474}"/>
    <cellStyle name="Normal 12 2 2 2 2 2 2 3" xfId="15676" xr:uid="{3D81FE2B-58B4-4B96-A167-E48BC8741E14}"/>
    <cellStyle name="Normal 12 2 2 2 2 2 3" xfId="19899" xr:uid="{6770E0B4-FA5D-46BF-81BD-5464143ED96A}"/>
    <cellStyle name="Normal 12 2 2 2 2 2 4" xfId="11458" xr:uid="{9021E53B-53F3-43D2-96C7-47E7503AD06C}"/>
    <cellStyle name="Normal 12 2 2 2 2 3" xfId="5081" xr:uid="{00000000-0005-0000-0000-0000D30D0000}"/>
    <cellStyle name="Normal 12 2 2 2 2 3 2" xfId="21972" xr:uid="{8F93EB6D-CD75-4367-A821-73A918204C9F}"/>
    <cellStyle name="Normal 12 2 2 2 2 3 3" xfId="13531" xr:uid="{8EEDA33F-1871-4C44-BECC-71890AB9214D}"/>
    <cellStyle name="Normal 12 2 2 2 2 4" xfId="17754" xr:uid="{6E2F5202-3436-4B32-B682-D0DCC53328F5}"/>
    <cellStyle name="Normal 12 2 2 2 2 5" xfId="9313" xr:uid="{2F603FF2-35FC-43D8-B0C0-A9DFD0DC4005}"/>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24530" xr:uid="{EFC1D0A4-8D10-411D-BD95-021588F83A32}"/>
    <cellStyle name="Normal 12 2 2 2 3 2 2 3" xfId="16089" xr:uid="{E435CBB9-E2F5-403C-88B4-A928C497D9FF}"/>
    <cellStyle name="Normal 12 2 2 2 3 2 3" xfId="20312" xr:uid="{68FA62E8-59B7-4A9B-BC97-6B027F9A7F36}"/>
    <cellStyle name="Normal 12 2 2 2 3 2 4" xfId="11871" xr:uid="{5C8D1951-842D-42F6-A7EF-E4E41EF2FB06}"/>
    <cellStyle name="Normal 12 2 2 2 3 3" xfId="5494" xr:uid="{00000000-0005-0000-0000-0000D70D0000}"/>
    <cellStyle name="Normal 12 2 2 2 3 3 2" xfId="22385" xr:uid="{78EEDC19-DBC0-4BFD-A53C-8CB9B02DBA0D}"/>
    <cellStyle name="Normal 12 2 2 2 3 3 3" xfId="13944" xr:uid="{123CE1FC-6C71-4A02-9647-79C56F084F8D}"/>
    <cellStyle name="Normal 12 2 2 2 3 4" xfId="18167" xr:uid="{64C8CDBB-4C75-48F5-806D-F144C76E9564}"/>
    <cellStyle name="Normal 12 2 2 2 3 5" xfId="9726" xr:uid="{99068EEE-EA8F-4506-A8BC-69E63B21C777}"/>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24943" xr:uid="{76E64767-21B5-4D53-A797-1E386BFB6A53}"/>
    <cellStyle name="Normal 12 2 2 2 4 2 2 3" xfId="16502" xr:uid="{1AD16816-E937-4974-82E1-81290264A178}"/>
    <cellStyle name="Normal 12 2 2 2 4 2 3" xfId="20725" xr:uid="{C98E6A5D-D0BE-42A4-9B6B-F2FC1CF8F158}"/>
    <cellStyle name="Normal 12 2 2 2 4 2 4" xfId="12284" xr:uid="{C70CA244-8598-4946-83A7-4786D35A01DE}"/>
    <cellStyle name="Normal 12 2 2 2 4 3" xfId="5907" xr:uid="{00000000-0005-0000-0000-0000DB0D0000}"/>
    <cellStyle name="Normal 12 2 2 2 4 3 2" xfId="22798" xr:uid="{43321050-55FF-464D-9256-9CEAA026781D}"/>
    <cellStyle name="Normal 12 2 2 2 4 3 3" xfId="14357" xr:uid="{28903BFE-DC31-41B2-86FC-1D4DEF1F2032}"/>
    <cellStyle name="Normal 12 2 2 2 4 4" xfId="18580" xr:uid="{0B575756-5142-47C3-9B90-29CB826C3B98}"/>
    <cellStyle name="Normal 12 2 2 2 4 5" xfId="10139" xr:uid="{445505B2-53F2-4B07-9083-D842796E5BE4}"/>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25356" xr:uid="{6CEAE99F-F5B0-475A-AB40-2B059ED45D05}"/>
    <cellStyle name="Normal 12 2 2 2 5 2 2 3" xfId="16915" xr:uid="{33493917-C6E3-4C04-A6EA-99D859D5D2B5}"/>
    <cellStyle name="Normal 12 2 2 2 5 2 3" xfId="21138" xr:uid="{5F5404CA-58FC-442A-A148-33A818BE1F13}"/>
    <cellStyle name="Normal 12 2 2 2 5 2 4" xfId="12697" xr:uid="{CD2B897F-32F1-4377-BC30-8F46EAF32772}"/>
    <cellStyle name="Normal 12 2 2 2 5 3" xfId="6320" xr:uid="{00000000-0005-0000-0000-0000DF0D0000}"/>
    <cellStyle name="Normal 12 2 2 2 5 3 2" xfId="23211" xr:uid="{B80082AC-6DDA-4E9B-9355-B96BF72CD869}"/>
    <cellStyle name="Normal 12 2 2 2 5 3 3" xfId="14770" xr:uid="{712A1F8E-3A0C-45E0-A336-2BC56FF8E9C1}"/>
    <cellStyle name="Normal 12 2 2 2 5 4" xfId="18993" xr:uid="{FD821BAF-F957-4965-8E60-246F5AD5F0FF}"/>
    <cellStyle name="Normal 12 2 2 2 5 5" xfId="10552" xr:uid="{77AF3B65-3667-4CE9-90F2-438D765A8B50}"/>
    <cellStyle name="Normal 12 2 2 2 6" xfId="2450" xr:uid="{00000000-0005-0000-0000-0000E00D0000}"/>
    <cellStyle name="Normal 12 2 2 2 6 2" xfId="6733" xr:uid="{00000000-0005-0000-0000-0000E10D0000}"/>
    <cellStyle name="Normal 12 2 2 2 6 2 2" xfId="23624" xr:uid="{D881979D-2066-4B14-BE12-280C7CA304E3}"/>
    <cellStyle name="Normal 12 2 2 2 6 2 3" xfId="15183" xr:uid="{15BDEE46-DB9F-4206-AD37-83664F4BE382}"/>
    <cellStyle name="Normal 12 2 2 2 6 3" xfId="19406" xr:uid="{EA183C8A-3FBD-41A8-AEAF-2463DA6B9725}"/>
    <cellStyle name="Normal 12 2 2 2 6 4" xfId="10965" xr:uid="{6E67DBD9-D8DC-455F-B8CE-281015F9DD49}"/>
    <cellStyle name="Normal 12 2 2 2 7" xfId="4667" xr:uid="{00000000-0005-0000-0000-0000E20D0000}"/>
    <cellStyle name="Normal 12 2 2 2 7 2" xfId="21558" xr:uid="{9698E530-FD2B-4E5C-ACB3-289B23671441}"/>
    <cellStyle name="Normal 12 2 2 2 7 3" xfId="13117" xr:uid="{6BE77A94-4932-4FD3-8699-E14023C5D0B8}"/>
    <cellStyle name="Normal 12 2 2 2 8" xfId="17340" xr:uid="{40568FC8-242A-4897-AE24-5C09DC5250E6}"/>
    <cellStyle name="Normal 12 2 2 2 9" xfId="8899" xr:uid="{A5158E91-3683-4E64-AFCD-09DE656F5902}"/>
    <cellStyle name="Normal 12 2 2 3" xfId="762" xr:uid="{00000000-0005-0000-0000-0000E30D0000}"/>
    <cellStyle name="Normal 12 2 2 3 2" xfId="3003" xr:uid="{00000000-0005-0000-0000-0000E40D0000}"/>
    <cellStyle name="Normal 12 2 2 3 2 2" xfId="7225" xr:uid="{00000000-0005-0000-0000-0000E50D0000}"/>
    <cellStyle name="Normal 12 2 2 3 2 2 2" xfId="24116" xr:uid="{BD9D95ED-CA85-4E77-AF72-BEC625E94FA6}"/>
    <cellStyle name="Normal 12 2 2 3 2 2 3" xfId="15675" xr:uid="{C6B4AEB2-9DFF-4C54-8E64-E9C26ADACD0C}"/>
    <cellStyle name="Normal 12 2 2 3 2 3" xfId="19898" xr:uid="{48066689-C982-4FA0-83B8-586E1F62DFFE}"/>
    <cellStyle name="Normal 12 2 2 3 2 4" xfId="11457" xr:uid="{F80AF602-21AF-42DD-B8C2-4C1CCA7BA19A}"/>
    <cellStyle name="Normal 12 2 2 3 3" xfId="5080" xr:uid="{00000000-0005-0000-0000-0000E60D0000}"/>
    <cellStyle name="Normal 12 2 2 3 3 2" xfId="21971" xr:uid="{91F75368-938D-418F-B25A-9C1D4DBFE991}"/>
    <cellStyle name="Normal 12 2 2 3 3 3" xfId="13530" xr:uid="{A9E53088-A8BD-426E-8AFF-D691E4D86752}"/>
    <cellStyle name="Normal 12 2 2 3 4" xfId="17753" xr:uid="{38F5A45D-78AA-49C6-A326-C712F2EAF322}"/>
    <cellStyle name="Normal 12 2 2 3 5" xfId="9312" xr:uid="{9FDB7DA0-2036-49FA-828F-7617BE367E34}"/>
    <cellStyle name="Normal 12 2 2 4" xfId="1185" xr:uid="{00000000-0005-0000-0000-0000E70D0000}"/>
    <cellStyle name="Normal 12 2 2 4 2" xfId="3416" xr:uid="{00000000-0005-0000-0000-0000E80D0000}"/>
    <cellStyle name="Normal 12 2 2 4 2 2" xfId="7638" xr:uid="{00000000-0005-0000-0000-0000E90D0000}"/>
    <cellStyle name="Normal 12 2 2 4 2 2 2" xfId="24529" xr:uid="{E021494B-058F-4AB9-92DC-0A48D4D00255}"/>
    <cellStyle name="Normal 12 2 2 4 2 2 3" xfId="16088" xr:uid="{2E2CA26D-A51C-46C7-B3AA-AA7D5A0AB163}"/>
    <cellStyle name="Normal 12 2 2 4 2 3" xfId="20311" xr:uid="{BBE8EA02-4533-4C95-B3FA-05351868B879}"/>
    <cellStyle name="Normal 12 2 2 4 2 4" xfId="11870" xr:uid="{05C10D25-7D32-454F-B2D7-E8A032569BCA}"/>
    <cellStyle name="Normal 12 2 2 4 3" xfId="5493" xr:uid="{00000000-0005-0000-0000-0000EA0D0000}"/>
    <cellStyle name="Normal 12 2 2 4 3 2" xfId="22384" xr:uid="{055D334F-D2D5-40D6-B340-AFC076C7C6A2}"/>
    <cellStyle name="Normal 12 2 2 4 3 3" xfId="13943" xr:uid="{89D3B1F7-7FA7-4671-B925-37D063A831B3}"/>
    <cellStyle name="Normal 12 2 2 4 4" xfId="18166" xr:uid="{682C585E-48D4-4E17-9DC8-3396DC942BF8}"/>
    <cellStyle name="Normal 12 2 2 4 5" xfId="9725" xr:uid="{1C022A2F-A4AD-480D-A161-F25B5473B6BD}"/>
    <cellStyle name="Normal 12 2 2 5" xfId="1599" xr:uid="{00000000-0005-0000-0000-0000EB0D0000}"/>
    <cellStyle name="Normal 12 2 2 5 2" xfId="3829" xr:uid="{00000000-0005-0000-0000-0000EC0D0000}"/>
    <cellStyle name="Normal 12 2 2 5 2 2" xfId="8051" xr:uid="{00000000-0005-0000-0000-0000ED0D0000}"/>
    <cellStyle name="Normal 12 2 2 5 2 2 2" xfId="24942" xr:uid="{CD589139-708E-48B3-84FC-6452157CFA1B}"/>
    <cellStyle name="Normal 12 2 2 5 2 2 3" xfId="16501" xr:uid="{11140F5A-2E56-4969-92DB-89D527EB5760}"/>
    <cellStyle name="Normal 12 2 2 5 2 3" xfId="20724" xr:uid="{94E91A39-6EAA-4742-8F2B-270BAD247A85}"/>
    <cellStyle name="Normal 12 2 2 5 2 4" xfId="12283" xr:uid="{E153FFCE-C579-472B-9BBB-7467D8EA9B53}"/>
    <cellStyle name="Normal 12 2 2 5 3" xfId="5906" xr:uid="{00000000-0005-0000-0000-0000EE0D0000}"/>
    <cellStyle name="Normal 12 2 2 5 3 2" xfId="22797" xr:uid="{6315483D-DEAB-460F-B412-8B57242EF8C0}"/>
    <cellStyle name="Normal 12 2 2 5 3 3" xfId="14356" xr:uid="{47C25DAE-1E09-4145-8851-F9CB5A53593E}"/>
    <cellStyle name="Normal 12 2 2 5 4" xfId="18579" xr:uid="{0218D4AB-3C64-4FBE-8178-901A7F04E84A}"/>
    <cellStyle name="Normal 12 2 2 5 5" xfId="10138" xr:uid="{67E388C2-968C-4715-8FB3-405BDCBB8B58}"/>
    <cellStyle name="Normal 12 2 2 6" xfId="2013" xr:uid="{00000000-0005-0000-0000-0000EF0D0000}"/>
    <cellStyle name="Normal 12 2 2 6 2" xfId="4242" xr:uid="{00000000-0005-0000-0000-0000F00D0000}"/>
    <cellStyle name="Normal 12 2 2 6 2 2" xfId="8464" xr:uid="{00000000-0005-0000-0000-0000F10D0000}"/>
    <cellStyle name="Normal 12 2 2 6 2 2 2" xfId="25355" xr:uid="{70232644-FDE9-4FB9-8113-F4629EE198FD}"/>
    <cellStyle name="Normal 12 2 2 6 2 2 3" xfId="16914" xr:uid="{EC30364B-F5C0-419A-A293-DCE5CA06AA31}"/>
    <cellStyle name="Normal 12 2 2 6 2 3" xfId="21137" xr:uid="{D0643884-A529-424D-BE34-0E7F6DEE0C99}"/>
    <cellStyle name="Normal 12 2 2 6 2 4" xfId="12696" xr:uid="{B5DE45D2-4BE1-4BE6-ACD6-BEC4EB35155C}"/>
    <cellStyle name="Normal 12 2 2 6 3" xfId="6319" xr:uid="{00000000-0005-0000-0000-0000F20D0000}"/>
    <cellStyle name="Normal 12 2 2 6 3 2" xfId="23210" xr:uid="{ED9A35C6-AC16-4866-8E9C-AF5162522551}"/>
    <cellStyle name="Normal 12 2 2 6 3 3" xfId="14769" xr:uid="{84D1127D-138E-4F78-90AE-647946890A8A}"/>
    <cellStyle name="Normal 12 2 2 6 4" xfId="18992" xr:uid="{C25364EB-32FF-435B-8AD9-DC40EC3CAC35}"/>
    <cellStyle name="Normal 12 2 2 6 5" xfId="10551" xr:uid="{2A3A46F5-805E-403F-9AFA-E6E87DF24D4A}"/>
    <cellStyle name="Normal 12 2 2 7" xfId="2449" xr:uid="{00000000-0005-0000-0000-0000F30D0000}"/>
    <cellStyle name="Normal 12 2 2 7 2" xfId="6732" xr:uid="{00000000-0005-0000-0000-0000F40D0000}"/>
    <cellStyle name="Normal 12 2 2 7 2 2" xfId="23623" xr:uid="{1EBC06EB-442B-4263-A271-6F00AAFA6CBF}"/>
    <cellStyle name="Normal 12 2 2 7 2 3" xfId="15182" xr:uid="{E9F9FC56-ED39-4007-A60E-3FF31E415AF2}"/>
    <cellStyle name="Normal 12 2 2 7 3" xfId="19405" xr:uid="{7E806413-B4FC-4159-A4FB-7BDA1D137423}"/>
    <cellStyle name="Normal 12 2 2 7 4" xfId="10964" xr:uid="{362ADCCB-9A00-4BC8-BC22-4F4134AB5D64}"/>
    <cellStyle name="Normal 12 2 2 8" xfId="4666" xr:uid="{00000000-0005-0000-0000-0000F50D0000}"/>
    <cellStyle name="Normal 12 2 2 8 2" xfId="21557" xr:uid="{0AF51E7D-D0EF-4D5B-9DF2-DB88C7EABE39}"/>
    <cellStyle name="Normal 12 2 2 8 3" xfId="13116" xr:uid="{3338799B-52D9-4C94-B4DB-5841F060AF9D}"/>
    <cellStyle name="Normal 12 2 2 9" xfId="17339" xr:uid="{456B8DDA-48EB-4451-A79E-9245ECB11312}"/>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2 2 2" xfId="24118" xr:uid="{E3B18AE6-0EEB-4B1A-8D9B-F0C07DD22A29}"/>
    <cellStyle name="Normal 12 2 3 2 2 2 3" xfId="15677" xr:uid="{B052770B-8B28-49AB-BABD-2F4227B200BF}"/>
    <cellStyle name="Normal 12 2 3 2 2 3" xfId="19900" xr:uid="{9CDC043B-445F-4248-9245-DA8D6B93A7A1}"/>
    <cellStyle name="Normal 12 2 3 2 2 4" xfId="11459" xr:uid="{28B1B392-E42A-4765-A505-6009920886BD}"/>
    <cellStyle name="Normal 12 2 3 2 3" xfId="5082" xr:uid="{00000000-0005-0000-0000-0000FA0D0000}"/>
    <cellStyle name="Normal 12 2 3 2 3 2" xfId="21973" xr:uid="{C810C265-8AC2-45F1-97EF-A05B0F68516E}"/>
    <cellStyle name="Normal 12 2 3 2 3 3" xfId="13532" xr:uid="{C178D9CB-A332-4811-AFC9-3F5ADB13E792}"/>
    <cellStyle name="Normal 12 2 3 2 4" xfId="17755" xr:uid="{C6C62175-7A55-47DB-A9CB-D63663AAC497}"/>
    <cellStyle name="Normal 12 2 3 2 5" xfId="9314" xr:uid="{FC014B1E-318D-49FC-9BEF-DC8A4E5077D0}"/>
    <cellStyle name="Normal 12 2 3 3" xfId="1187" xr:uid="{00000000-0005-0000-0000-0000FB0D0000}"/>
    <cellStyle name="Normal 12 2 3 3 2" xfId="3418" xr:uid="{00000000-0005-0000-0000-0000FC0D0000}"/>
    <cellStyle name="Normal 12 2 3 3 2 2" xfId="7640" xr:uid="{00000000-0005-0000-0000-0000FD0D0000}"/>
    <cellStyle name="Normal 12 2 3 3 2 2 2" xfId="24531" xr:uid="{88A9F362-0320-4CF4-800D-12534BB2006B}"/>
    <cellStyle name="Normal 12 2 3 3 2 2 3" xfId="16090" xr:uid="{06ED8923-25D1-4DCD-956B-71403C25A875}"/>
    <cellStyle name="Normal 12 2 3 3 2 3" xfId="20313" xr:uid="{3433A0EF-B506-4C34-95D2-65A79CE8AF47}"/>
    <cellStyle name="Normal 12 2 3 3 2 4" xfId="11872" xr:uid="{748A8B25-F301-4579-8513-015BA89DA528}"/>
    <cellStyle name="Normal 12 2 3 3 3" xfId="5495" xr:uid="{00000000-0005-0000-0000-0000FE0D0000}"/>
    <cellStyle name="Normal 12 2 3 3 3 2" xfId="22386" xr:uid="{736F6651-4A2B-47E6-BE7B-2DCA2796FD1B}"/>
    <cellStyle name="Normal 12 2 3 3 3 3" xfId="13945" xr:uid="{0B6E270A-9BCB-4976-B356-56B2A094EF4B}"/>
    <cellStyle name="Normal 12 2 3 3 4" xfId="18168" xr:uid="{405559CD-03A9-4DB5-951C-AB0C2CB9B40A}"/>
    <cellStyle name="Normal 12 2 3 3 5" xfId="9727" xr:uid="{696547F0-FF06-44DE-AF56-EF43185BD640}"/>
    <cellStyle name="Normal 12 2 3 4" xfId="1601" xr:uid="{00000000-0005-0000-0000-0000FF0D0000}"/>
    <cellStyle name="Normal 12 2 3 4 2" xfId="3831" xr:uid="{00000000-0005-0000-0000-0000000E0000}"/>
    <cellStyle name="Normal 12 2 3 4 2 2" xfId="8053" xr:uid="{00000000-0005-0000-0000-0000010E0000}"/>
    <cellStyle name="Normal 12 2 3 4 2 2 2" xfId="24944" xr:uid="{95B7819E-8907-4E18-9B02-B5E791B5DFF2}"/>
    <cellStyle name="Normal 12 2 3 4 2 2 3" xfId="16503" xr:uid="{2BB2DFE0-23D2-4A09-9721-FB879AF88760}"/>
    <cellStyle name="Normal 12 2 3 4 2 3" xfId="20726" xr:uid="{D2CEA393-4859-462A-829D-6EB8D6DF3DDB}"/>
    <cellStyle name="Normal 12 2 3 4 2 4" xfId="12285" xr:uid="{C5A9B0DC-7EF3-4044-8CA3-9508045DB795}"/>
    <cellStyle name="Normal 12 2 3 4 3" xfId="5908" xr:uid="{00000000-0005-0000-0000-0000020E0000}"/>
    <cellStyle name="Normal 12 2 3 4 3 2" xfId="22799" xr:uid="{399FC77C-CB17-424C-A806-44C0854CE2AC}"/>
    <cellStyle name="Normal 12 2 3 4 3 3" xfId="14358" xr:uid="{1637CC1B-52C1-4C41-9C3E-A81AD296D48F}"/>
    <cellStyle name="Normal 12 2 3 4 4" xfId="18581" xr:uid="{0BE1A905-85FD-4E8C-899A-8A13F6890778}"/>
    <cellStyle name="Normal 12 2 3 4 5" xfId="10140" xr:uid="{D7B1DEBF-B9D7-453D-9431-44F05BF96CFF}"/>
    <cellStyle name="Normal 12 2 3 5" xfId="2015" xr:uid="{00000000-0005-0000-0000-0000030E0000}"/>
    <cellStyle name="Normal 12 2 3 5 2" xfId="4244" xr:uid="{00000000-0005-0000-0000-0000040E0000}"/>
    <cellStyle name="Normal 12 2 3 5 2 2" xfId="8466" xr:uid="{00000000-0005-0000-0000-0000050E0000}"/>
    <cellStyle name="Normal 12 2 3 5 2 2 2" xfId="25357" xr:uid="{D08A014C-4CC5-483C-81DD-0489BAB3490F}"/>
    <cellStyle name="Normal 12 2 3 5 2 2 3" xfId="16916" xr:uid="{A52DE455-47F1-4B7B-BE30-CEC6BCE93F17}"/>
    <cellStyle name="Normal 12 2 3 5 2 3" xfId="21139" xr:uid="{3D341C6E-8580-4D55-9165-E1CB7D3B8081}"/>
    <cellStyle name="Normal 12 2 3 5 2 4" xfId="12698" xr:uid="{C068FEF1-AF62-48CC-B00B-56D5D1E0A91D}"/>
    <cellStyle name="Normal 12 2 3 5 3" xfId="6321" xr:uid="{00000000-0005-0000-0000-0000060E0000}"/>
    <cellStyle name="Normal 12 2 3 5 3 2" xfId="23212" xr:uid="{B6F90E42-049B-4100-A668-D09A076CEF20}"/>
    <cellStyle name="Normal 12 2 3 5 3 3" xfId="14771" xr:uid="{0E80BBDF-172B-453E-99E5-9E771B7573FC}"/>
    <cellStyle name="Normal 12 2 3 5 4" xfId="18994" xr:uid="{35BC2189-E3C4-4640-BC7A-DA4516180C07}"/>
    <cellStyle name="Normal 12 2 3 5 5" xfId="10553" xr:uid="{9083F1B9-35AA-4CF4-9C38-D9214C909BBD}"/>
    <cellStyle name="Normal 12 2 3 6" xfId="2451" xr:uid="{00000000-0005-0000-0000-0000070E0000}"/>
    <cellStyle name="Normal 12 2 3 6 2" xfId="6734" xr:uid="{00000000-0005-0000-0000-0000080E0000}"/>
    <cellStyle name="Normal 12 2 3 6 2 2" xfId="23625" xr:uid="{93B6AD86-F9C8-40FF-8E79-55967F0265F7}"/>
    <cellStyle name="Normal 12 2 3 6 2 3" xfId="15184" xr:uid="{B1DB01F0-8C3D-4B74-99C7-6C63108EE874}"/>
    <cellStyle name="Normal 12 2 3 6 3" xfId="19407" xr:uid="{DAA9B9CC-2092-48FE-8ED8-841D3FC0B696}"/>
    <cellStyle name="Normal 12 2 3 6 4" xfId="10966" xr:uid="{3F50A490-65A8-4E70-B66E-112F25864900}"/>
    <cellStyle name="Normal 12 2 3 7" xfId="4668" xr:uid="{00000000-0005-0000-0000-0000090E0000}"/>
    <cellStyle name="Normal 12 2 3 7 2" xfId="21559" xr:uid="{35D6C275-A49C-4B7C-97E8-9C9BAE808527}"/>
    <cellStyle name="Normal 12 2 3 7 3" xfId="13118" xr:uid="{F3F71499-75FB-4262-906D-732820B0B806}"/>
    <cellStyle name="Normal 12 2 3 8" xfId="17341" xr:uid="{11EB3FAE-4775-4250-BF2A-C6CD02B44E91}"/>
    <cellStyle name="Normal 12 2 3 9" xfId="8900" xr:uid="{EE101B12-EBE5-4E70-9137-79967E771369}"/>
    <cellStyle name="Normal 12 2 4" xfId="761" xr:uid="{00000000-0005-0000-0000-00000A0E0000}"/>
    <cellStyle name="Normal 12 2 4 2" xfId="3002" xr:uid="{00000000-0005-0000-0000-00000B0E0000}"/>
    <cellStyle name="Normal 12 2 4 2 2" xfId="7224" xr:uid="{00000000-0005-0000-0000-00000C0E0000}"/>
    <cellStyle name="Normal 12 2 4 2 2 2" xfId="24115" xr:uid="{B718F558-34E0-43B9-BE8F-20DA0AF020E1}"/>
    <cellStyle name="Normal 12 2 4 2 2 3" xfId="15674" xr:uid="{4C6F127C-1D1C-4C81-8B3C-77422E48842B}"/>
    <cellStyle name="Normal 12 2 4 2 3" xfId="19897" xr:uid="{1A63A02B-55FA-4A59-9BD2-C857BA897D45}"/>
    <cellStyle name="Normal 12 2 4 2 4" xfId="11456" xr:uid="{EB7C4387-160D-496D-BF62-F33E4A60A6DD}"/>
    <cellStyle name="Normal 12 2 4 3" xfId="5079" xr:uid="{00000000-0005-0000-0000-00000D0E0000}"/>
    <cellStyle name="Normal 12 2 4 3 2" xfId="21970" xr:uid="{9D9CB035-21E6-4500-B092-AD02FD12E494}"/>
    <cellStyle name="Normal 12 2 4 3 3" xfId="13529" xr:uid="{6D28DC69-152C-4D6B-BA19-D44EE2C23768}"/>
    <cellStyle name="Normal 12 2 4 4" xfId="17752" xr:uid="{EF12B749-DC13-4ED3-897E-5CC40371CFDC}"/>
    <cellStyle name="Normal 12 2 4 5" xfId="9311" xr:uid="{E7056440-32E1-4E1E-A86A-636C1215C5A0}"/>
    <cellStyle name="Normal 12 2 5" xfId="1184" xr:uid="{00000000-0005-0000-0000-00000E0E0000}"/>
    <cellStyle name="Normal 12 2 5 2" xfId="3415" xr:uid="{00000000-0005-0000-0000-00000F0E0000}"/>
    <cellStyle name="Normal 12 2 5 2 2" xfId="7637" xr:uid="{00000000-0005-0000-0000-0000100E0000}"/>
    <cellStyle name="Normal 12 2 5 2 2 2" xfId="24528" xr:uid="{717AA76D-F539-4071-8ADC-63F847D056D5}"/>
    <cellStyle name="Normal 12 2 5 2 2 3" xfId="16087" xr:uid="{C571B4EB-7E8C-4D50-9092-293D4B4F0E7A}"/>
    <cellStyle name="Normal 12 2 5 2 3" xfId="20310" xr:uid="{48C3B591-5757-4364-8BF8-A9B087B2DB43}"/>
    <cellStyle name="Normal 12 2 5 2 4" xfId="11869" xr:uid="{43B8CA68-CAF2-47B9-B8F6-376C547E4818}"/>
    <cellStyle name="Normal 12 2 5 3" xfId="5492" xr:uid="{00000000-0005-0000-0000-0000110E0000}"/>
    <cellStyle name="Normal 12 2 5 3 2" xfId="22383" xr:uid="{A7053939-8BFC-471F-8056-1FFD539CC88B}"/>
    <cellStyle name="Normal 12 2 5 3 3" xfId="13942" xr:uid="{9BEE7A90-4BDB-4AE9-AE60-83CA7E05E22A}"/>
    <cellStyle name="Normal 12 2 5 4" xfId="18165" xr:uid="{748F5BB1-3445-49AA-BB2E-2429343B33DD}"/>
    <cellStyle name="Normal 12 2 5 5" xfId="9724" xr:uid="{E1A35050-785F-4ED8-BA7E-88A1CC6854D8}"/>
    <cellStyle name="Normal 12 2 6" xfId="1598" xr:uid="{00000000-0005-0000-0000-0000120E0000}"/>
    <cellStyle name="Normal 12 2 6 2" xfId="3828" xr:uid="{00000000-0005-0000-0000-0000130E0000}"/>
    <cellStyle name="Normal 12 2 6 2 2" xfId="8050" xr:uid="{00000000-0005-0000-0000-0000140E0000}"/>
    <cellStyle name="Normal 12 2 6 2 2 2" xfId="24941" xr:uid="{FB0BBD22-0CA5-4A10-87DC-4498ADBF2383}"/>
    <cellStyle name="Normal 12 2 6 2 2 3" xfId="16500" xr:uid="{1E9C5A63-C518-446C-B6F7-A44CF439AE09}"/>
    <cellStyle name="Normal 12 2 6 2 3" xfId="20723" xr:uid="{4A2789B3-F7D4-4CBA-9283-600DB8B65986}"/>
    <cellStyle name="Normal 12 2 6 2 4" xfId="12282" xr:uid="{B520EED9-39B0-4519-A083-E4DF514DDD96}"/>
    <cellStyle name="Normal 12 2 6 3" xfId="5905" xr:uid="{00000000-0005-0000-0000-0000150E0000}"/>
    <cellStyle name="Normal 12 2 6 3 2" xfId="22796" xr:uid="{572CE8C1-E135-4CAD-B883-288FA0454251}"/>
    <cellStyle name="Normal 12 2 6 3 3" xfId="14355" xr:uid="{BE693138-2FD4-4347-8DA0-C308AFD7B566}"/>
    <cellStyle name="Normal 12 2 6 4" xfId="18578" xr:uid="{01C6B41B-29D0-4BE9-BFE9-3CB1C27A93D5}"/>
    <cellStyle name="Normal 12 2 6 5" xfId="10137" xr:uid="{B8816FEE-F1FA-40E3-88C9-A79B1947B4A8}"/>
    <cellStyle name="Normal 12 2 7" xfId="2012" xr:uid="{00000000-0005-0000-0000-0000160E0000}"/>
    <cellStyle name="Normal 12 2 7 2" xfId="4241" xr:uid="{00000000-0005-0000-0000-0000170E0000}"/>
    <cellStyle name="Normal 12 2 7 2 2" xfId="8463" xr:uid="{00000000-0005-0000-0000-0000180E0000}"/>
    <cellStyle name="Normal 12 2 7 2 2 2" xfId="25354" xr:uid="{8462273C-AB10-4ADA-9097-A9E0E61BD3AE}"/>
    <cellStyle name="Normal 12 2 7 2 2 3" xfId="16913" xr:uid="{C2D16449-14AB-4CD5-88D1-6B1199848997}"/>
    <cellStyle name="Normal 12 2 7 2 3" xfId="21136" xr:uid="{30C50B9F-BB95-4990-8B71-088F9E40AB22}"/>
    <cellStyle name="Normal 12 2 7 2 4" xfId="12695" xr:uid="{17793476-0B1D-49E7-BCDD-E9B30BE3A883}"/>
    <cellStyle name="Normal 12 2 7 3" xfId="6318" xr:uid="{00000000-0005-0000-0000-0000190E0000}"/>
    <cellStyle name="Normal 12 2 7 3 2" xfId="23209" xr:uid="{2D91F9BE-E439-4AE0-9A1A-EA382EB08CE9}"/>
    <cellStyle name="Normal 12 2 7 3 3" xfId="14768" xr:uid="{44677733-1F40-47E0-ABFA-C2A26284EE53}"/>
    <cellStyle name="Normal 12 2 7 4" xfId="18991" xr:uid="{BE9366CA-5D4E-447E-B9C6-8A887469D3FE}"/>
    <cellStyle name="Normal 12 2 7 5" xfId="10550" xr:uid="{D3502A83-A744-4F55-A6B9-D053F501DBF9}"/>
    <cellStyle name="Normal 12 2 8" xfId="2448" xr:uid="{00000000-0005-0000-0000-00001A0E0000}"/>
    <cellStyle name="Normal 12 2 8 2" xfId="6731" xr:uid="{00000000-0005-0000-0000-00001B0E0000}"/>
    <cellStyle name="Normal 12 2 8 2 2" xfId="23622" xr:uid="{B510BD4F-EA81-4C3B-AA2E-F420CEC81524}"/>
    <cellStyle name="Normal 12 2 8 2 3" xfId="15181" xr:uid="{E40505DF-E7FA-4C8B-B80F-5633D7199C58}"/>
    <cellStyle name="Normal 12 2 8 3" xfId="19404" xr:uid="{8C371C5E-3FC6-497A-B4E3-745274A25CBA}"/>
    <cellStyle name="Normal 12 2 8 4" xfId="10963" xr:uid="{5A71022A-1511-42AF-8A9B-3D772F8307BA}"/>
    <cellStyle name="Normal 12 2 9" xfId="4665" xr:uid="{00000000-0005-0000-0000-00001C0E0000}"/>
    <cellStyle name="Normal 12 2 9 2" xfId="21556" xr:uid="{556F976D-3A7C-40E6-80AB-C7126F85A50A}"/>
    <cellStyle name="Normal 12 2 9 3" xfId="13115" xr:uid="{D71155AF-D465-48FD-9FE5-A437AE513C81}"/>
    <cellStyle name="Normal 12 3" xfId="264" xr:uid="{00000000-0005-0000-0000-00001D0E0000}"/>
    <cellStyle name="Normal 12 3 10" xfId="8901" xr:uid="{2B6621A5-A0DF-438F-96B8-8A90134359BF}"/>
    <cellStyle name="Normal 12 3 11" xfId="25725" xr:uid="{37328F36-7936-4A63-BA83-2FBE52DB00DB}"/>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2 2 2" xfId="24120" xr:uid="{70610A31-B27A-4EED-87A3-E8D006C06F67}"/>
    <cellStyle name="Normal 12 3 2 2 2 2 3" xfId="15679" xr:uid="{3BB37EC3-AA60-4FFD-AFBD-9EB037C41974}"/>
    <cellStyle name="Normal 12 3 2 2 2 3" xfId="19902" xr:uid="{2ADB10C6-0138-4B10-BC02-921CB4D69011}"/>
    <cellStyle name="Normal 12 3 2 2 2 4" xfId="11461" xr:uid="{E9621889-820C-470F-BD50-E7209AFFE08F}"/>
    <cellStyle name="Normal 12 3 2 2 3" xfId="5084" xr:uid="{00000000-0005-0000-0000-0000220E0000}"/>
    <cellStyle name="Normal 12 3 2 2 3 2" xfId="21975" xr:uid="{BCDBF468-8E61-4E5F-9BDC-A9584542E495}"/>
    <cellStyle name="Normal 12 3 2 2 3 3" xfId="13534" xr:uid="{13250BBE-78E5-4C27-B352-B99F9EFC35C2}"/>
    <cellStyle name="Normal 12 3 2 2 4" xfId="17757" xr:uid="{CBA2FFE2-0CA6-4A81-B927-DAA1A099CE59}"/>
    <cellStyle name="Normal 12 3 2 2 5" xfId="9316" xr:uid="{56C52DFC-29BC-4D39-94B7-50B2F6F28842}"/>
    <cellStyle name="Normal 12 3 2 3" xfId="1189" xr:uid="{00000000-0005-0000-0000-0000230E0000}"/>
    <cellStyle name="Normal 12 3 2 3 2" xfId="3420" xr:uid="{00000000-0005-0000-0000-0000240E0000}"/>
    <cellStyle name="Normal 12 3 2 3 2 2" xfId="7642" xr:uid="{00000000-0005-0000-0000-0000250E0000}"/>
    <cellStyle name="Normal 12 3 2 3 2 2 2" xfId="24533" xr:uid="{CBD6161D-4E67-41B3-AE7A-577A67EBF304}"/>
    <cellStyle name="Normal 12 3 2 3 2 2 3" xfId="16092" xr:uid="{D40FFBD7-F618-48D9-9C2B-3BCC14D61C0A}"/>
    <cellStyle name="Normal 12 3 2 3 2 3" xfId="20315" xr:uid="{770EB324-C37F-4B47-88FC-5C29858B0165}"/>
    <cellStyle name="Normal 12 3 2 3 2 4" xfId="11874" xr:uid="{E2581FD7-2A37-4CC1-9573-C9F0114BFCFB}"/>
    <cellStyle name="Normal 12 3 2 3 3" xfId="5497" xr:uid="{00000000-0005-0000-0000-0000260E0000}"/>
    <cellStyle name="Normal 12 3 2 3 3 2" xfId="22388" xr:uid="{24A6B297-38AA-4698-B005-3FE0CF7AD97F}"/>
    <cellStyle name="Normal 12 3 2 3 3 3" xfId="13947" xr:uid="{0EED51F9-773F-4412-83C7-0AAF8FBE72B5}"/>
    <cellStyle name="Normal 12 3 2 3 4" xfId="18170" xr:uid="{7651D7A6-4CD6-49AB-AAC6-3D618FE433FE}"/>
    <cellStyle name="Normal 12 3 2 3 5" xfId="9729" xr:uid="{E2C5D118-B897-4115-A733-09674ABA208E}"/>
    <cellStyle name="Normal 12 3 2 4" xfId="1603" xr:uid="{00000000-0005-0000-0000-0000270E0000}"/>
    <cellStyle name="Normal 12 3 2 4 2" xfId="3833" xr:uid="{00000000-0005-0000-0000-0000280E0000}"/>
    <cellStyle name="Normal 12 3 2 4 2 2" xfId="8055" xr:uid="{00000000-0005-0000-0000-0000290E0000}"/>
    <cellStyle name="Normal 12 3 2 4 2 2 2" xfId="24946" xr:uid="{5D5D87CA-F694-4EAB-B8B3-130C46E68CD8}"/>
    <cellStyle name="Normal 12 3 2 4 2 2 3" xfId="16505" xr:uid="{655B1EB4-DCF1-4489-8F25-5D384619AB07}"/>
    <cellStyle name="Normal 12 3 2 4 2 3" xfId="20728" xr:uid="{11FBCA0B-3E85-469F-BFCD-3551AE1990D9}"/>
    <cellStyle name="Normal 12 3 2 4 2 4" xfId="12287" xr:uid="{D3C0B3B9-B9CD-4A81-82C9-2D8683A5EC7F}"/>
    <cellStyle name="Normal 12 3 2 4 3" xfId="5910" xr:uid="{00000000-0005-0000-0000-00002A0E0000}"/>
    <cellStyle name="Normal 12 3 2 4 3 2" xfId="22801" xr:uid="{2CF40505-BDC7-402C-98E0-6454EFB5F401}"/>
    <cellStyle name="Normal 12 3 2 4 3 3" xfId="14360" xr:uid="{5B51EFB5-0587-439C-8F72-FC642F52ABF9}"/>
    <cellStyle name="Normal 12 3 2 4 4" xfId="18583" xr:uid="{36B3C161-D0E7-4847-8FC8-52DCC8C65069}"/>
    <cellStyle name="Normal 12 3 2 4 5" xfId="10142" xr:uid="{1A46BE8F-78DD-4B85-8CDD-879A5C0BC57A}"/>
    <cellStyle name="Normal 12 3 2 5" xfId="2017" xr:uid="{00000000-0005-0000-0000-00002B0E0000}"/>
    <cellStyle name="Normal 12 3 2 5 2" xfId="4246" xr:uid="{00000000-0005-0000-0000-00002C0E0000}"/>
    <cellStyle name="Normal 12 3 2 5 2 2" xfId="8468" xr:uid="{00000000-0005-0000-0000-00002D0E0000}"/>
    <cellStyle name="Normal 12 3 2 5 2 2 2" xfId="25359" xr:uid="{3671504C-6C9C-42AF-9B86-AEA610118604}"/>
    <cellStyle name="Normal 12 3 2 5 2 2 3" xfId="16918" xr:uid="{04A28447-E75A-45A2-89FB-BC63AD7C2D33}"/>
    <cellStyle name="Normal 12 3 2 5 2 3" xfId="21141" xr:uid="{48B20C08-FF75-41AE-9CB8-31B466325DFA}"/>
    <cellStyle name="Normal 12 3 2 5 2 4" xfId="12700" xr:uid="{EEAE57E4-8ADF-47D8-94CB-1537C0BF753F}"/>
    <cellStyle name="Normal 12 3 2 5 3" xfId="6323" xr:uid="{00000000-0005-0000-0000-00002E0E0000}"/>
    <cellStyle name="Normal 12 3 2 5 3 2" xfId="23214" xr:uid="{0C33EB2F-1B9F-4423-9A55-20FF6298B2DC}"/>
    <cellStyle name="Normal 12 3 2 5 3 3" xfId="14773" xr:uid="{285AD646-9945-4AFB-8823-1BBC56A7B159}"/>
    <cellStyle name="Normal 12 3 2 5 4" xfId="18996" xr:uid="{F8826E14-3615-4DE9-8672-A647604C72A7}"/>
    <cellStyle name="Normal 12 3 2 5 5" xfId="10555" xr:uid="{4D47AFB1-5873-404E-85C8-E42ED8CF7A53}"/>
    <cellStyle name="Normal 12 3 2 6" xfId="2453" xr:uid="{00000000-0005-0000-0000-00002F0E0000}"/>
    <cellStyle name="Normal 12 3 2 6 2" xfId="6736" xr:uid="{00000000-0005-0000-0000-0000300E0000}"/>
    <cellStyle name="Normal 12 3 2 6 2 2" xfId="23627" xr:uid="{F901C8A1-3355-4926-8973-03995385485D}"/>
    <cellStyle name="Normal 12 3 2 6 2 3" xfId="15186" xr:uid="{93F693D2-C17A-41D1-8E28-D5F400F1AC71}"/>
    <cellStyle name="Normal 12 3 2 6 3" xfId="19409" xr:uid="{D559E59C-44B8-4BBF-BC5F-7B7C22D9A7E5}"/>
    <cellStyle name="Normal 12 3 2 6 4" xfId="10968" xr:uid="{FED6F9F6-767E-4C92-8048-DCFE18A463BB}"/>
    <cellStyle name="Normal 12 3 2 7" xfId="4670" xr:uid="{00000000-0005-0000-0000-0000310E0000}"/>
    <cellStyle name="Normal 12 3 2 7 2" xfId="21561" xr:uid="{425DDD08-763D-4FA3-B0FB-18D85D14254E}"/>
    <cellStyle name="Normal 12 3 2 7 3" xfId="13120" xr:uid="{8A95D022-2E18-4AB2-9C37-25C9DE1B867F}"/>
    <cellStyle name="Normal 12 3 2 8" xfId="17343" xr:uid="{D34AAA44-3BBB-4919-B6CE-2D56B19F0229}"/>
    <cellStyle name="Normal 12 3 2 9" xfId="8902" xr:uid="{3E6CD9CA-EA92-457B-BA52-8B2853062999}"/>
    <cellStyle name="Normal 12 3 3" xfId="765" xr:uid="{00000000-0005-0000-0000-0000320E0000}"/>
    <cellStyle name="Normal 12 3 3 2" xfId="3006" xr:uid="{00000000-0005-0000-0000-0000330E0000}"/>
    <cellStyle name="Normal 12 3 3 2 2" xfId="7228" xr:uid="{00000000-0005-0000-0000-0000340E0000}"/>
    <cellStyle name="Normal 12 3 3 2 2 2" xfId="24119" xr:uid="{DA804BC1-6047-4BA8-AC77-C1586A363979}"/>
    <cellStyle name="Normal 12 3 3 2 2 3" xfId="15678" xr:uid="{3DFCE1B4-DB4F-4A57-A5E1-C8DEA9133331}"/>
    <cellStyle name="Normal 12 3 3 2 3" xfId="19901" xr:uid="{D9E66F91-9F9B-49F7-885E-A57523536C6B}"/>
    <cellStyle name="Normal 12 3 3 2 4" xfId="11460" xr:uid="{E2706FBA-BCFA-4124-A953-90E36C56CD59}"/>
    <cellStyle name="Normal 12 3 3 3" xfId="5083" xr:uid="{00000000-0005-0000-0000-0000350E0000}"/>
    <cellStyle name="Normal 12 3 3 3 2" xfId="21974" xr:uid="{5EDC42F2-214A-4D20-95A6-779784A3B6B1}"/>
    <cellStyle name="Normal 12 3 3 3 3" xfId="13533" xr:uid="{F7F09B02-31EE-4158-8714-C44BA95A6C15}"/>
    <cellStyle name="Normal 12 3 3 4" xfId="17756" xr:uid="{5FA86267-8511-4B3E-9DE8-0FE0D506D960}"/>
    <cellStyle name="Normal 12 3 3 5" xfId="9315" xr:uid="{713A6149-5FBC-4F83-AF24-15FB70C68204}"/>
    <cellStyle name="Normal 12 3 4" xfId="1188" xr:uid="{00000000-0005-0000-0000-0000360E0000}"/>
    <cellStyle name="Normal 12 3 4 2" xfId="3419" xr:uid="{00000000-0005-0000-0000-0000370E0000}"/>
    <cellStyle name="Normal 12 3 4 2 2" xfId="7641" xr:uid="{00000000-0005-0000-0000-0000380E0000}"/>
    <cellStyle name="Normal 12 3 4 2 2 2" xfId="24532" xr:uid="{9820A987-587D-4DC1-B306-C72E7EFDC453}"/>
    <cellStyle name="Normal 12 3 4 2 2 3" xfId="16091" xr:uid="{99793315-54C5-4C8C-BDA0-E8F69A975BC3}"/>
    <cellStyle name="Normal 12 3 4 2 3" xfId="20314" xr:uid="{68F6AFB8-1AEA-4D43-8352-026FE84A2D79}"/>
    <cellStyle name="Normal 12 3 4 2 4" xfId="11873" xr:uid="{6E083D3F-A911-4FE1-B46A-E27C090AFED5}"/>
    <cellStyle name="Normal 12 3 4 3" xfId="5496" xr:uid="{00000000-0005-0000-0000-0000390E0000}"/>
    <cellStyle name="Normal 12 3 4 3 2" xfId="22387" xr:uid="{43892A97-0397-4BCA-BBD0-8AA1F761D9D8}"/>
    <cellStyle name="Normal 12 3 4 3 3" xfId="13946" xr:uid="{69B38D6F-D2A8-4480-92E9-6A958FF05B77}"/>
    <cellStyle name="Normal 12 3 4 4" xfId="18169" xr:uid="{8318BC8A-DE93-455C-9588-B7B6C7A3C3E4}"/>
    <cellStyle name="Normal 12 3 4 5" xfId="9728" xr:uid="{914CD095-6A1E-4CCB-8B29-98EE51EB0F3B}"/>
    <cellStyle name="Normal 12 3 5" xfId="1602" xr:uid="{00000000-0005-0000-0000-00003A0E0000}"/>
    <cellStyle name="Normal 12 3 5 2" xfId="3832" xr:uid="{00000000-0005-0000-0000-00003B0E0000}"/>
    <cellStyle name="Normal 12 3 5 2 2" xfId="8054" xr:uid="{00000000-0005-0000-0000-00003C0E0000}"/>
    <cellStyle name="Normal 12 3 5 2 2 2" xfId="24945" xr:uid="{6154157A-A20E-4971-9E03-CF4E4AB2B878}"/>
    <cellStyle name="Normal 12 3 5 2 2 3" xfId="16504" xr:uid="{484EA90D-D84C-43AE-9535-82AE72B431EA}"/>
    <cellStyle name="Normal 12 3 5 2 3" xfId="20727" xr:uid="{A4321E6A-7E1D-43D6-8D90-7D6B18397C8A}"/>
    <cellStyle name="Normal 12 3 5 2 4" xfId="12286" xr:uid="{05519B2A-E696-4688-AA33-3CBD84557653}"/>
    <cellStyle name="Normal 12 3 5 3" xfId="5909" xr:uid="{00000000-0005-0000-0000-00003D0E0000}"/>
    <cellStyle name="Normal 12 3 5 3 2" xfId="22800" xr:uid="{1E425ACB-674E-4F93-A663-852A1CEC56CC}"/>
    <cellStyle name="Normal 12 3 5 3 3" xfId="14359" xr:uid="{4AD500D5-B519-4EC1-BBCD-8C545FF61EF8}"/>
    <cellStyle name="Normal 12 3 5 4" xfId="18582" xr:uid="{FE5971AC-9465-44B0-A2C3-FDAF28ADF523}"/>
    <cellStyle name="Normal 12 3 5 5" xfId="10141" xr:uid="{D5DA02FD-36BF-409A-8CDF-4833581CBA8E}"/>
    <cellStyle name="Normal 12 3 6" xfId="2016" xr:uid="{00000000-0005-0000-0000-00003E0E0000}"/>
    <cellStyle name="Normal 12 3 6 2" xfId="4245" xr:uid="{00000000-0005-0000-0000-00003F0E0000}"/>
    <cellStyle name="Normal 12 3 6 2 2" xfId="8467" xr:uid="{00000000-0005-0000-0000-0000400E0000}"/>
    <cellStyle name="Normal 12 3 6 2 2 2" xfId="25358" xr:uid="{39CEDE69-5B5C-4F42-B7B9-0D583BD0E18E}"/>
    <cellStyle name="Normal 12 3 6 2 2 3" xfId="16917" xr:uid="{A7659A83-9900-4DF8-86C8-FEE593765DC5}"/>
    <cellStyle name="Normal 12 3 6 2 3" xfId="21140" xr:uid="{E1CAC228-0147-4FD0-97ED-B68E9DE484BF}"/>
    <cellStyle name="Normal 12 3 6 2 4" xfId="12699" xr:uid="{EDB1F398-45BE-4334-A360-3D7D92B2C451}"/>
    <cellStyle name="Normal 12 3 6 3" xfId="6322" xr:uid="{00000000-0005-0000-0000-0000410E0000}"/>
    <cellStyle name="Normal 12 3 6 3 2" xfId="23213" xr:uid="{A2219DEF-8BDA-40D1-9402-7C3761877B84}"/>
    <cellStyle name="Normal 12 3 6 3 3" xfId="14772" xr:uid="{9FC1781F-4921-4F1A-B564-29501ABF0D8C}"/>
    <cellStyle name="Normal 12 3 6 4" xfId="18995" xr:uid="{1DBD5B14-D1CD-46DA-945A-7945D6F2FD74}"/>
    <cellStyle name="Normal 12 3 6 5" xfId="10554" xr:uid="{C3CE41ED-89FF-4945-B9B6-6D7FB7B670DC}"/>
    <cellStyle name="Normal 12 3 7" xfId="2452" xr:uid="{00000000-0005-0000-0000-0000420E0000}"/>
    <cellStyle name="Normal 12 3 7 2" xfId="6735" xr:uid="{00000000-0005-0000-0000-0000430E0000}"/>
    <cellStyle name="Normal 12 3 7 2 2" xfId="23626" xr:uid="{8C2FEDC6-9B95-49B5-A90A-2016423F5D29}"/>
    <cellStyle name="Normal 12 3 7 2 3" xfId="15185" xr:uid="{E19ED2EF-2FCC-4338-B007-5473E613A4F7}"/>
    <cellStyle name="Normal 12 3 7 3" xfId="19408" xr:uid="{4DD85549-D851-436F-ABA2-D56B09D6065D}"/>
    <cellStyle name="Normal 12 3 7 4" xfId="10967" xr:uid="{1CF8A729-F05A-41EE-BAAD-5727805A234F}"/>
    <cellStyle name="Normal 12 3 8" xfId="4669" xr:uid="{00000000-0005-0000-0000-0000440E0000}"/>
    <cellStyle name="Normal 12 3 8 2" xfId="21560" xr:uid="{1E639299-5C0A-4F22-AF2F-A8361373F83B}"/>
    <cellStyle name="Normal 12 3 8 3" xfId="13119" xr:uid="{D5949EDD-57BC-45F9-82E5-239B0BDE8FC2}"/>
    <cellStyle name="Normal 12 3 9" xfId="17342" xr:uid="{1D2E9093-656C-4364-BA63-1835ECBE444D}"/>
    <cellStyle name="Normal 12 4" xfId="266" xr:uid="{00000000-0005-0000-0000-0000450E0000}"/>
    <cellStyle name="Normal 12 4 10" xfId="25786" xr:uid="{75F8A185-00AD-4C75-B621-B0D1544B56F6}"/>
    <cellStyle name="Normal 12 4 2" xfId="767" xr:uid="{00000000-0005-0000-0000-0000460E0000}"/>
    <cellStyle name="Normal 12 4 2 2" xfId="3008" xr:uid="{00000000-0005-0000-0000-0000470E0000}"/>
    <cellStyle name="Normal 12 4 2 2 2" xfId="7230" xr:uid="{00000000-0005-0000-0000-0000480E0000}"/>
    <cellStyle name="Normal 12 4 2 2 2 2" xfId="24121" xr:uid="{3A373981-CC0C-4D70-AF1F-55A4D89ACFB3}"/>
    <cellStyle name="Normal 12 4 2 2 2 3" xfId="15680" xr:uid="{6B0D4106-7A69-4CA0-AA05-C06D41154B7B}"/>
    <cellStyle name="Normal 12 4 2 2 3" xfId="19903" xr:uid="{706B6D60-5E36-4411-A78E-077416433912}"/>
    <cellStyle name="Normal 12 4 2 2 4" xfId="11462" xr:uid="{D5E02D49-690D-4085-B8D5-1A9CEB9CFAE0}"/>
    <cellStyle name="Normal 12 4 2 3" xfId="5085" xr:uid="{00000000-0005-0000-0000-0000490E0000}"/>
    <cellStyle name="Normal 12 4 2 3 2" xfId="21976" xr:uid="{96BFBC6D-CF38-45DA-BA6B-EF051A455E5C}"/>
    <cellStyle name="Normal 12 4 2 3 3" xfId="13535" xr:uid="{96129DF7-0D2C-4518-92D7-CE4223433AAB}"/>
    <cellStyle name="Normal 12 4 2 4" xfId="17758" xr:uid="{C0977F76-D910-479C-8FD8-1556812A9C61}"/>
    <cellStyle name="Normal 12 4 2 5" xfId="9317" xr:uid="{55D60F05-2DC9-4A57-8638-4333ABA91BBC}"/>
    <cellStyle name="Normal 12 4 2 6" xfId="25870" xr:uid="{A5306D4E-1E6D-4BEB-ABCC-34F409BEB3C8}"/>
    <cellStyle name="Normal 12 4 3" xfId="1190" xr:uid="{00000000-0005-0000-0000-00004A0E0000}"/>
    <cellStyle name="Normal 12 4 3 2" xfId="3421" xr:uid="{00000000-0005-0000-0000-00004B0E0000}"/>
    <cellStyle name="Normal 12 4 3 2 2" xfId="7643" xr:uid="{00000000-0005-0000-0000-00004C0E0000}"/>
    <cellStyle name="Normal 12 4 3 2 2 2" xfId="24534" xr:uid="{AB2DE03A-1EC7-461C-AF3A-18F800322870}"/>
    <cellStyle name="Normal 12 4 3 2 2 3" xfId="16093" xr:uid="{9533B497-41FD-4DF2-8AE4-1234FF724FB7}"/>
    <cellStyle name="Normal 12 4 3 2 3" xfId="20316" xr:uid="{01371B1E-8E02-4C51-AE8F-8B155027770E}"/>
    <cellStyle name="Normal 12 4 3 2 4" xfId="11875" xr:uid="{4F38675D-E90A-4CD2-8376-23319C370C5F}"/>
    <cellStyle name="Normal 12 4 3 3" xfId="5498" xr:uid="{00000000-0005-0000-0000-00004D0E0000}"/>
    <cellStyle name="Normal 12 4 3 3 2" xfId="22389" xr:uid="{3B3EBBA0-0A83-4FF0-9936-9D76613C5C8E}"/>
    <cellStyle name="Normal 12 4 3 3 3" xfId="13948" xr:uid="{9CE982DA-B4F7-4BAD-B0E2-9C25BEA00CB6}"/>
    <cellStyle name="Normal 12 4 3 4" xfId="18171" xr:uid="{C39397F7-FEC8-4B19-8155-63A64832793F}"/>
    <cellStyle name="Normal 12 4 3 5" xfId="9730" xr:uid="{317C07D1-1D38-494A-919B-8BFC06FAA214}"/>
    <cellStyle name="Normal 12 4 4" xfId="1604" xr:uid="{00000000-0005-0000-0000-00004E0E0000}"/>
    <cellStyle name="Normal 12 4 4 2" xfId="3834" xr:uid="{00000000-0005-0000-0000-00004F0E0000}"/>
    <cellStyle name="Normal 12 4 4 2 2" xfId="8056" xr:uid="{00000000-0005-0000-0000-0000500E0000}"/>
    <cellStyle name="Normal 12 4 4 2 2 2" xfId="24947" xr:uid="{4CE9A4B6-203E-476C-81EF-6F558F9182DF}"/>
    <cellStyle name="Normal 12 4 4 2 2 3" xfId="16506" xr:uid="{4594A5EB-AD2D-4C46-85C9-06929302D516}"/>
    <cellStyle name="Normal 12 4 4 2 3" xfId="20729" xr:uid="{4FEF02F9-631A-44EF-869C-9DAF119731D0}"/>
    <cellStyle name="Normal 12 4 4 2 4" xfId="12288" xr:uid="{565CD945-30BA-40EF-94C1-1453137DD5C2}"/>
    <cellStyle name="Normal 12 4 4 3" xfId="5911" xr:uid="{00000000-0005-0000-0000-0000510E0000}"/>
    <cellStyle name="Normal 12 4 4 3 2" xfId="22802" xr:uid="{94A343A9-1C25-4CAE-A2A2-CFB92FCC1E18}"/>
    <cellStyle name="Normal 12 4 4 3 3" xfId="14361" xr:uid="{3E484358-DEC6-43DF-A69B-5AA9D84CEE77}"/>
    <cellStyle name="Normal 12 4 4 4" xfId="18584" xr:uid="{0FA4C6E3-E455-42CA-9528-E900A0E6EAC2}"/>
    <cellStyle name="Normal 12 4 4 5" xfId="10143" xr:uid="{61A95CFE-C46B-4561-964C-9F92F34E2EDA}"/>
    <cellStyle name="Normal 12 4 5" xfId="2018" xr:uid="{00000000-0005-0000-0000-0000520E0000}"/>
    <cellStyle name="Normal 12 4 5 2" xfId="4247" xr:uid="{00000000-0005-0000-0000-0000530E0000}"/>
    <cellStyle name="Normal 12 4 5 2 2" xfId="8469" xr:uid="{00000000-0005-0000-0000-0000540E0000}"/>
    <cellStyle name="Normal 12 4 5 2 2 2" xfId="25360" xr:uid="{384E702D-A002-42DC-857E-E7AC558BD89D}"/>
    <cellStyle name="Normal 12 4 5 2 2 3" xfId="16919" xr:uid="{7A2D3693-3C65-417A-93C1-98ADCDCD54A5}"/>
    <cellStyle name="Normal 12 4 5 2 3" xfId="21142" xr:uid="{CDBD8BD0-E894-41BA-905A-33845E9C1D81}"/>
    <cellStyle name="Normal 12 4 5 2 4" xfId="12701" xr:uid="{4F37EE7B-52C0-4E4A-9A6F-C00B408B8572}"/>
    <cellStyle name="Normal 12 4 5 3" xfId="6324" xr:uid="{00000000-0005-0000-0000-0000550E0000}"/>
    <cellStyle name="Normal 12 4 5 3 2" xfId="23215" xr:uid="{3BD2489A-3872-4E41-9CD9-4EAFFB788FC9}"/>
    <cellStyle name="Normal 12 4 5 3 3" xfId="14774" xr:uid="{39971E34-C695-483E-AD03-823EDC3FC66B}"/>
    <cellStyle name="Normal 12 4 5 4" xfId="18997" xr:uid="{2DBE7E9C-E848-41C9-830D-37D6A854FFE7}"/>
    <cellStyle name="Normal 12 4 5 5" xfId="10556" xr:uid="{4A2DEDBF-A175-434F-909A-480E06B7F985}"/>
    <cellStyle name="Normal 12 4 6" xfId="2454" xr:uid="{00000000-0005-0000-0000-0000560E0000}"/>
    <cellStyle name="Normal 12 4 6 2" xfId="6737" xr:uid="{00000000-0005-0000-0000-0000570E0000}"/>
    <cellStyle name="Normal 12 4 6 2 2" xfId="23628" xr:uid="{8AA307A5-47F5-4259-9CA9-61D797DE4DB5}"/>
    <cellStyle name="Normal 12 4 6 2 3" xfId="15187" xr:uid="{01E02F81-D7D9-47EF-9A51-29F10B9183B1}"/>
    <cellStyle name="Normal 12 4 6 3" xfId="19410" xr:uid="{11AEFC16-8B56-46C6-971C-9D81ACF75D85}"/>
    <cellStyle name="Normal 12 4 6 4" xfId="10969" xr:uid="{9238F88E-F149-4CA6-B6A6-B135514473EE}"/>
    <cellStyle name="Normal 12 4 7" xfId="4671" xr:uid="{00000000-0005-0000-0000-0000580E0000}"/>
    <cellStyle name="Normal 12 4 7 2" xfId="21562" xr:uid="{B97B5D73-143F-40DD-9021-876AB3700E6F}"/>
    <cellStyle name="Normal 12 4 7 3" xfId="13121" xr:uid="{1685FF38-1C2E-44BE-B530-E7FFB89BCEEC}"/>
    <cellStyle name="Normal 12 4 8" xfId="17344" xr:uid="{4C4761EA-C920-47B0-8F97-DAD8365A6896}"/>
    <cellStyle name="Normal 12 4 9" xfId="8903" xr:uid="{385DD720-1465-4D50-93AD-1E1B3694443E}"/>
    <cellStyle name="Normal 12 5" xfId="267" xr:uid="{00000000-0005-0000-0000-0000590E0000}"/>
    <cellStyle name="Normal 12 5 2" xfId="25835" xr:uid="{0F2D1757-823E-433D-B134-DEB2A80CC3F6}"/>
    <cellStyle name="Normal 12 6" xfId="760" xr:uid="{00000000-0005-0000-0000-00005A0E0000}"/>
    <cellStyle name="Normal 12 6 2" xfId="3001" xr:uid="{00000000-0005-0000-0000-00005B0E0000}"/>
    <cellStyle name="Normal 12 6 2 2" xfId="7223" xr:uid="{00000000-0005-0000-0000-00005C0E0000}"/>
    <cellStyle name="Normal 12 6 2 2 2" xfId="24114" xr:uid="{ADB7AA68-733F-4AB5-8E45-E1659C516F10}"/>
    <cellStyle name="Normal 12 6 2 2 3" xfId="15673" xr:uid="{F0E82D47-F8F0-4CC7-84EC-B507C22D7F0E}"/>
    <cellStyle name="Normal 12 6 2 3" xfId="19896" xr:uid="{806D79A5-E838-4C5D-BBFA-63E43F849895}"/>
    <cellStyle name="Normal 12 6 2 4" xfId="11455" xr:uid="{853E2703-BE06-4067-9F0F-50D6BF63A03E}"/>
    <cellStyle name="Normal 12 6 3" xfId="5078" xr:uid="{00000000-0005-0000-0000-00005D0E0000}"/>
    <cellStyle name="Normal 12 6 3 2" xfId="21969" xr:uid="{694FA4D3-CB48-4FB7-81E3-9213CD5D04E4}"/>
    <cellStyle name="Normal 12 6 3 3" xfId="13528" xr:uid="{A9627D2F-2E99-4381-AF9B-DE67EDC423F2}"/>
    <cellStyle name="Normal 12 6 4" xfId="17751" xr:uid="{486FFAC6-7C65-44EF-AB8A-75530C7D7CB3}"/>
    <cellStyle name="Normal 12 6 5" xfId="9310" xr:uid="{C42986D4-C479-4B34-AA4E-B8E3BB4EEEC5}"/>
    <cellStyle name="Normal 12 7" xfId="1183" xr:uid="{00000000-0005-0000-0000-00005E0E0000}"/>
    <cellStyle name="Normal 12 7 2" xfId="3414" xr:uid="{00000000-0005-0000-0000-00005F0E0000}"/>
    <cellStyle name="Normal 12 7 2 2" xfId="7636" xr:uid="{00000000-0005-0000-0000-0000600E0000}"/>
    <cellStyle name="Normal 12 7 2 2 2" xfId="24527" xr:uid="{A7F8A233-E498-4E9A-ADBB-A5948018B8DC}"/>
    <cellStyle name="Normal 12 7 2 2 3" xfId="16086" xr:uid="{0C8026EB-BCE2-4FAE-A4B5-9AFD00B7C31B}"/>
    <cellStyle name="Normal 12 7 2 3" xfId="20309" xr:uid="{EE2D4B13-2CA1-447E-8F99-3C5D569B7B7C}"/>
    <cellStyle name="Normal 12 7 2 4" xfId="11868" xr:uid="{615912AF-FCD0-46DB-A6D1-6989B2ABD945}"/>
    <cellStyle name="Normal 12 7 3" xfId="5491" xr:uid="{00000000-0005-0000-0000-0000610E0000}"/>
    <cellStyle name="Normal 12 7 3 2" xfId="22382" xr:uid="{673ADB6A-434D-483E-AB21-D8EA6C19D010}"/>
    <cellStyle name="Normal 12 7 3 3" xfId="13941" xr:uid="{E02602C4-AFF3-45CC-A3BB-862357E291D5}"/>
    <cellStyle name="Normal 12 7 4" xfId="18164" xr:uid="{9252D2CF-A96E-4433-A489-F4CD9E1D21E1}"/>
    <cellStyle name="Normal 12 7 5" xfId="9723" xr:uid="{6BF0B5F7-5BE0-424B-B1B7-DCE54EEA5DE5}"/>
    <cellStyle name="Normal 12 8" xfId="1597" xr:uid="{00000000-0005-0000-0000-0000620E0000}"/>
    <cellStyle name="Normal 12 8 2" xfId="3827" xr:uid="{00000000-0005-0000-0000-0000630E0000}"/>
    <cellStyle name="Normal 12 8 2 2" xfId="8049" xr:uid="{00000000-0005-0000-0000-0000640E0000}"/>
    <cellStyle name="Normal 12 8 2 2 2" xfId="24940" xr:uid="{03BA63A6-86E8-4640-A3E6-87F4A7C12339}"/>
    <cellStyle name="Normal 12 8 2 2 3" xfId="16499" xr:uid="{C411882A-BA93-4887-8F28-499BBA04DCEC}"/>
    <cellStyle name="Normal 12 8 2 3" xfId="20722" xr:uid="{749B59D8-831A-4D00-8AFA-A5960F396358}"/>
    <cellStyle name="Normal 12 8 2 4" xfId="12281" xr:uid="{87B0A4AC-8002-4B2B-80F4-0924ED2DBD32}"/>
    <cellStyle name="Normal 12 8 3" xfId="5904" xr:uid="{00000000-0005-0000-0000-0000650E0000}"/>
    <cellStyle name="Normal 12 8 3 2" xfId="22795" xr:uid="{9225707F-5607-47F1-8CEC-90C3815A1E43}"/>
    <cellStyle name="Normal 12 8 3 3" xfId="14354" xr:uid="{C5FBB849-EFF4-4A8A-A9FA-25AA20400D34}"/>
    <cellStyle name="Normal 12 8 4" xfId="18577" xr:uid="{D13F1EDE-0371-424E-AC2D-A65A464017C1}"/>
    <cellStyle name="Normal 12 8 5" xfId="10136" xr:uid="{769E3FE7-13D7-4A08-BDEB-EBB429126224}"/>
    <cellStyle name="Normal 12 9" xfId="2011" xr:uid="{00000000-0005-0000-0000-0000660E0000}"/>
    <cellStyle name="Normal 12 9 2" xfId="4240" xr:uid="{00000000-0005-0000-0000-0000670E0000}"/>
    <cellStyle name="Normal 12 9 2 2" xfId="8462" xr:uid="{00000000-0005-0000-0000-0000680E0000}"/>
    <cellStyle name="Normal 12 9 2 2 2" xfId="25353" xr:uid="{74443C60-2E16-4EE0-9FB4-DBFE26813FDC}"/>
    <cellStyle name="Normal 12 9 2 2 3" xfId="16912" xr:uid="{377B5DC5-D8E9-4724-BD35-B15FA026DB17}"/>
    <cellStyle name="Normal 12 9 2 3" xfId="21135" xr:uid="{BA6CA773-5276-4336-8CFA-0656A6ED15AC}"/>
    <cellStyle name="Normal 12 9 2 4" xfId="12694" xr:uid="{BA8542C6-947E-4834-B052-4338CB30AFD8}"/>
    <cellStyle name="Normal 12 9 3" xfId="6317" xr:uid="{00000000-0005-0000-0000-0000690E0000}"/>
    <cellStyle name="Normal 12 9 3 2" xfId="23208" xr:uid="{972055CD-A2F4-4C60-AAB1-5A829FFA29AB}"/>
    <cellStyle name="Normal 12 9 3 3" xfId="14767" xr:uid="{7DFEBD3F-BC31-4373-8B89-9EB022ECC0B8}"/>
    <cellStyle name="Normal 12 9 4" xfId="18990" xr:uid="{7F770BB6-38A2-46E5-BA53-2612C34CD1E4}"/>
    <cellStyle name="Normal 12 9 5" xfId="10549" xr:uid="{C8B165CC-AB4D-430B-8022-83F8C95350CD}"/>
    <cellStyle name="Normal 12_Dropdowns" xfId="25723" xr:uid="{80572BA2-50BC-47C8-B7CC-9ECF7618D335}"/>
    <cellStyle name="Normal 13" xfId="268" xr:uid="{00000000-0005-0000-0000-00006A0E0000}"/>
    <cellStyle name="Normal 13 2" xfId="269" xr:uid="{00000000-0005-0000-0000-00006B0E0000}"/>
    <cellStyle name="Normal 13 2 2" xfId="25727" xr:uid="{0AB13EC6-BD73-4E96-96DE-94555547E511}"/>
    <cellStyle name="Normal 13 3" xfId="25726" xr:uid="{DB2DCED0-2A3A-42EB-BD26-4CA62036F133}"/>
    <cellStyle name="Normal 14" xfId="270" xr:uid="{00000000-0005-0000-0000-00006C0E0000}"/>
    <cellStyle name="Normal 14 10" xfId="25728" xr:uid="{553EC2C4-4549-4392-A9C4-5B5E5BCEF8B7}"/>
    <cellStyle name="Normal 14 2" xfId="768" xr:uid="{00000000-0005-0000-0000-00006D0E0000}"/>
    <cellStyle name="Normal 14 2 2" xfId="3009" xr:uid="{00000000-0005-0000-0000-00006E0E0000}"/>
    <cellStyle name="Normal 14 2 2 2" xfId="7231" xr:uid="{00000000-0005-0000-0000-00006F0E0000}"/>
    <cellStyle name="Normal 14 2 2 2 2" xfId="24122" xr:uid="{1D4FFFF7-010C-4EDC-BC7D-F840FDC2A2F0}"/>
    <cellStyle name="Normal 14 2 2 2 3" xfId="15681" xr:uid="{A82C87D7-385D-4921-8DB6-9B2ED1BCA870}"/>
    <cellStyle name="Normal 14 2 2 3" xfId="19904" xr:uid="{60B92311-3CCC-470E-9357-C0D5797F6673}"/>
    <cellStyle name="Normal 14 2 2 4" xfId="11463" xr:uid="{3E19AEB9-2A00-455F-A323-39D5EBDE33DE}"/>
    <cellStyle name="Normal 14 2 3" xfId="5086" xr:uid="{00000000-0005-0000-0000-0000700E0000}"/>
    <cellStyle name="Normal 14 2 3 2" xfId="21977" xr:uid="{90DF58DF-14AF-45B5-B538-1A4160CFE622}"/>
    <cellStyle name="Normal 14 2 3 3" xfId="13536" xr:uid="{E4243B8B-6D40-426A-A820-3371F83E2B33}"/>
    <cellStyle name="Normal 14 2 4" xfId="17759" xr:uid="{E136F027-D693-4C33-8887-B80C8F760CB5}"/>
    <cellStyle name="Normal 14 2 5" xfId="9318" xr:uid="{D0219D64-873C-4DAF-A45C-408AF47EB3B1}"/>
    <cellStyle name="Normal 14 2 6" xfId="25729" xr:uid="{F389CE58-547A-4051-8FFF-D9F6544BAFCA}"/>
    <cellStyle name="Normal 14 3" xfId="1191" xr:uid="{00000000-0005-0000-0000-0000710E0000}"/>
    <cellStyle name="Normal 14 3 2" xfId="3422" xr:uid="{00000000-0005-0000-0000-0000720E0000}"/>
    <cellStyle name="Normal 14 3 2 2" xfId="7644" xr:uid="{00000000-0005-0000-0000-0000730E0000}"/>
    <cellStyle name="Normal 14 3 2 2 2" xfId="24535" xr:uid="{5A9D52F1-6E3C-4AD9-A177-FAAFE7853E67}"/>
    <cellStyle name="Normal 14 3 2 2 3" xfId="16094" xr:uid="{3B3F58E8-90F9-4B1B-BC99-DD1F70E3663B}"/>
    <cellStyle name="Normal 14 3 2 3" xfId="20317" xr:uid="{AB917C7E-431D-4E6A-8BE0-B93497C549F3}"/>
    <cellStyle name="Normal 14 3 2 4" xfId="11876" xr:uid="{94EA3F7B-01FF-4C18-A62A-3BC9A6D347CC}"/>
    <cellStyle name="Normal 14 3 3" xfId="5499" xr:uid="{00000000-0005-0000-0000-0000740E0000}"/>
    <cellStyle name="Normal 14 3 3 2" xfId="22390" xr:uid="{8CC6529E-6A92-4D5E-8686-A42E6D975617}"/>
    <cellStyle name="Normal 14 3 3 3" xfId="13949" xr:uid="{1B3F8DC5-6868-41C1-A791-4F3D8025E0F5}"/>
    <cellStyle name="Normal 14 3 4" xfId="18172" xr:uid="{39EB13E8-7250-4F3D-9C24-147626D110F6}"/>
    <cellStyle name="Normal 14 3 5" xfId="9731" xr:uid="{F1478334-7C6E-4DF6-814B-C075090C8C4F}"/>
    <cellStyle name="Normal 14 4" xfId="1605" xr:uid="{00000000-0005-0000-0000-0000750E0000}"/>
    <cellStyle name="Normal 14 4 2" xfId="3835" xr:uid="{00000000-0005-0000-0000-0000760E0000}"/>
    <cellStyle name="Normal 14 4 2 2" xfId="8057" xr:uid="{00000000-0005-0000-0000-0000770E0000}"/>
    <cellStyle name="Normal 14 4 2 2 2" xfId="24948" xr:uid="{C10AE48F-F536-44B1-8043-13D43CA2E6C0}"/>
    <cellStyle name="Normal 14 4 2 2 3" xfId="16507" xr:uid="{773C47AF-F7B7-42FF-B49F-28F2937F4505}"/>
    <cellStyle name="Normal 14 4 2 3" xfId="20730" xr:uid="{C14B6EDD-7B21-48FE-9F0C-D97FF87F5251}"/>
    <cellStyle name="Normal 14 4 2 4" xfId="12289" xr:uid="{5F7E0869-8705-4A9F-82C5-ACE1FC251F13}"/>
    <cellStyle name="Normal 14 4 3" xfId="5912" xr:uid="{00000000-0005-0000-0000-0000780E0000}"/>
    <cellStyle name="Normal 14 4 3 2" xfId="22803" xr:uid="{220D45F2-A9AE-4753-9818-DB6460A8138F}"/>
    <cellStyle name="Normal 14 4 3 3" xfId="14362" xr:uid="{619B4BB2-9E75-4030-995B-A1BF29A2A93A}"/>
    <cellStyle name="Normal 14 4 4" xfId="18585" xr:uid="{0EB74B40-F154-4114-B36B-E66B390887EC}"/>
    <cellStyle name="Normal 14 4 5" xfId="10144" xr:uid="{2DFAA0F3-9FCB-4A94-8B66-5713D38D496D}"/>
    <cellStyle name="Normal 14 5" xfId="2019" xr:uid="{00000000-0005-0000-0000-0000790E0000}"/>
    <cellStyle name="Normal 14 5 2" xfId="4248" xr:uid="{00000000-0005-0000-0000-00007A0E0000}"/>
    <cellStyle name="Normal 14 5 2 2" xfId="8470" xr:uid="{00000000-0005-0000-0000-00007B0E0000}"/>
    <cellStyle name="Normal 14 5 2 2 2" xfId="25361" xr:uid="{C4436E60-E6C5-41A7-8047-1348638FFF90}"/>
    <cellStyle name="Normal 14 5 2 2 3" xfId="16920" xr:uid="{E07B8A75-0806-487D-9F1C-BA0205F97F82}"/>
    <cellStyle name="Normal 14 5 2 3" xfId="21143" xr:uid="{B21BB1AB-60E0-4D52-9E80-01F817EDF2A7}"/>
    <cellStyle name="Normal 14 5 2 4" xfId="12702" xr:uid="{625A0EA6-F9CC-4B74-9A0A-DC1633DFD30F}"/>
    <cellStyle name="Normal 14 5 3" xfId="6325" xr:uid="{00000000-0005-0000-0000-00007C0E0000}"/>
    <cellStyle name="Normal 14 5 3 2" xfId="23216" xr:uid="{3C58E5FC-1BA0-4D33-A896-556766E730E9}"/>
    <cellStyle name="Normal 14 5 3 3" xfId="14775" xr:uid="{DE00E90C-0A52-4519-8FBC-D705C833F787}"/>
    <cellStyle name="Normal 14 5 4" xfId="18998" xr:uid="{9E6431EE-2A6E-41D6-9E60-566DA837FD47}"/>
    <cellStyle name="Normal 14 5 5" xfId="10557" xr:uid="{0AAC0FEA-ED23-4035-A81B-259407B57A88}"/>
    <cellStyle name="Normal 14 6" xfId="2455" xr:uid="{00000000-0005-0000-0000-00007D0E0000}"/>
    <cellStyle name="Normal 14 6 2" xfId="6738" xr:uid="{00000000-0005-0000-0000-00007E0E0000}"/>
    <cellStyle name="Normal 14 6 2 2" xfId="23629" xr:uid="{138B5FF4-FB03-4500-85BC-5E678EC63A92}"/>
    <cellStyle name="Normal 14 6 2 3" xfId="15188" xr:uid="{61F25736-9EFC-4AB3-A7C5-4D350C9F481E}"/>
    <cellStyle name="Normal 14 6 3" xfId="19411" xr:uid="{EE003083-AB84-4D53-B254-4623880BAFCE}"/>
    <cellStyle name="Normal 14 6 4" xfId="10970" xr:uid="{C7F5AF66-A227-4A53-A2FF-4DFAE1FE49D4}"/>
    <cellStyle name="Normal 14 7" xfId="4672" xr:uid="{00000000-0005-0000-0000-00007F0E0000}"/>
    <cellStyle name="Normal 14 7 2" xfId="21563" xr:uid="{B9DE86E3-B01E-4125-B99B-E3B38FCADF75}"/>
    <cellStyle name="Normal 14 7 3" xfId="13122" xr:uid="{16483DFC-CBF4-472C-ACE2-D3B4559411AF}"/>
    <cellStyle name="Normal 14 8" xfId="17345" xr:uid="{458ECE05-A76E-42AB-A401-6BADF63F02EA}"/>
    <cellStyle name="Normal 14 9" xfId="8904" xr:uid="{FE5EFE51-9F0E-4AEB-BDFE-BE2B3486A207}"/>
    <cellStyle name="Normal 15" xfId="4496" xr:uid="{00000000-0005-0000-0000-0000800E0000}"/>
    <cellStyle name="Normal 15 2" xfId="21389" xr:uid="{053CC1E4-D224-4CEA-8BC1-859EFB2A1AE5}"/>
    <cellStyle name="Normal 15 2 2" xfId="25730" xr:uid="{2D0C0163-BFD2-456E-86B7-26BE4A8A1B31}"/>
    <cellStyle name="Normal 15 3" xfId="12948" xr:uid="{662D7387-FA7E-46F4-AFEC-BBFC542F0107}"/>
    <cellStyle name="Normal 15 3 2" xfId="25664" xr:uid="{1CE9D6C4-4FF4-45FB-9868-6792AFB07E4D}"/>
    <cellStyle name="Normal 15 4" xfId="25795" xr:uid="{3FA0B5C5-B415-470F-9C16-B0D5B193AC98}"/>
    <cellStyle name="Normal 15 4 2" xfId="25880" xr:uid="{E5FF78AB-6FEF-4861-8A9D-536EAA4CD320}"/>
    <cellStyle name="Normal 15 5" xfId="25659" xr:uid="{3C464AF5-2A6A-47E1-9B21-A18D0748B61B}"/>
    <cellStyle name="Normal 16" xfId="4500" xr:uid="{00000000-0005-0000-0000-0000810E0000}"/>
    <cellStyle name="Normal 16 2" xfId="8715" xr:uid="{00000000-0005-0000-0000-0000820E0000}"/>
    <cellStyle name="Normal 16 2 2" xfId="25606" xr:uid="{60EB527D-68EA-4853-969B-9B02630B8F07}"/>
    <cellStyle name="Normal 16 2 3" xfId="17165" xr:uid="{71562214-F205-4FD6-A5C4-1A3C9384B960}"/>
    <cellStyle name="Normal 16 2 4" xfId="25731" xr:uid="{9157AB0A-0F18-43D2-9280-7FAFB3127018}"/>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2 3" xfId="25615" xr:uid="{8E3BE40A-F890-40BB-A901-A0FEBCA7C57E}"/>
    <cellStyle name="Normal 16 3 2 2 3" xfId="17174" xr:uid="{5BD2FF3C-86CD-4BFE-9BF3-61FC1BCFF531}"/>
    <cellStyle name="Normal 16 3 2 3" xfId="25612" xr:uid="{049BDB40-962B-4B02-B657-63C0664DCFBB}"/>
    <cellStyle name="Normal 16 3 2 4" xfId="17171" xr:uid="{A6AB9E98-F2FC-4024-993C-847D589E87D4}"/>
    <cellStyle name="Normal 16 3 2 5" xfId="25877" xr:uid="{F41B6797-CE74-4AA0-97C2-0D7F7E7C8B73}"/>
    <cellStyle name="Normal 16 3 3" xfId="25609" xr:uid="{B05502AC-3CB8-4A54-867E-3B089A1FAFCA}"/>
    <cellStyle name="Normal 16 3 4" xfId="17168" xr:uid="{E671609B-70EB-4D70-91F2-351DBFC19F66}"/>
    <cellStyle name="Normal 16 3 5" xfId="25792" xr:uid="{A5251A6F-1D1C-4036-BB47-5FF1B24F6123}"/>
    <cellStyle name="Normal 16 4" xfId="21392" xr:uid="{EBC8DA9C-762F-41F4-9C53-2557B51CE6F1}"/>
    <cellStyle name="Normal 16 5" xfId="12951" xr:uid="{2971101D-55FA-4E07-B7DC-3FD9985656A7}"/>
    <cellStyle name="Normal 16 6" xfId="25628" xr:uid="{926EEA14-E5BE-4371-898E-20CEAA445686}"/>
    <cellStyle name="Normal 17" xfId="8728" xr:uid="{3FF0972C-833B-4475-99D8-1A6907499E71}"/>
    <cellStyle name="Normal 17 2" xfId="25733" xr:uid="{4E834108-5B56-46EC-98D2-A26A3FFEB1F7}"/>
    <cellStyle name="Normal 17 2 2" xfId="25734" xr:uid="{C453722A-7226-4A9E-9FE1-42D488AEF274}"/>
    <cellStyle name="Normal 17 3" xfId="25732" xr:uid="{3FC313FA-84D5-4A5D-908C-6A6681EAB901}"/>
    <cellStyle name="Normal 18" xfId="25735" xr:uid="{A604B820-60A2-4EB6-8446-6A94F497A419}"/>
    <cellStyle name="Normal 19" xfId="25736" xr:uid="{D5B66A0E-3AFE-4D6D-8468-F6E2CA7C3D49}"/>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2 2" xfId="25646" xr:uid="{AD3EFA63-5B65-40F3-A87A-250A078D9EB1}"/>
    <cellStyle name="Normal 2 2 2 3" xfId="275" xr:uid="{00000000-0005-0000-0000-0000870E0000}"/>
    <cellStyle name="Normal 2 2 2 3 2" xfId="25813" xr:uid="{8A2F05BE-3F77-48C4-BBCC-8ADD0FA8F640}"/>
    <cellStyle name="Normal 2 2 2 4" xfId="1192" xr:uid="{00000000-0005-0000-0000-0000880E0000}"/>
    <cellStyle name="Normal 2 2 2 5" xfId="25636" xr:uid="{49E934B8-DD8F-4FB7-9F44-ED21E844220B}"/>
    <cellStyle name="Normal 2 2 2_Dropdowns" xfId="25738" xr:uid="{7EED2688-4FF0-45A8-B159-E1109618102D}"/>
    <cellStyle name="Normal 2 2 3" xfId="770" xr:uid="{00000000-0005-0000-0000-0000890E0000}"/>
    <cellStyle name="Normal 2 2 3 2" xfId="25666" xr:uid="{1AC4FE44-8739-4C8E-921C-BB34AC555972}"/>
    <cellStyle name="Normal 2 2 3 2 2" xfId="25825" xr:uid="{E6AAEEA2-C4A8-4C47-B07A-06C573AFC868}"/>
    <cellStyle name="Normal 2 2 3 3" xfId="25740" xr:uid="{33AB254D-F1DE-48F4-BCCB-268E721D08DC}"/>
    <cellStyle name="Normal 2 2 3 4" xfId="25645" xr:uid="{79AEE3A5-DD94-4538-A094-2757D217F8D3}"/>
    <cellStyle name="Normal 2 2 3_Dropdowns" xfId="25739" xr:uid="{5FC405EE-969A-4673-A5FA-8678CED38D1D}"/>
    <cellStyle name="Normal 2 2 4" xfId="25671" xr:uid="{7DDE8212-09D8-4808-AEA3-38C800BA9D31}"/>
    <cellStyle name="Normal 2 3" xfId="276" xr:uid="{00000000-0005-0000-0000-00008A0E0000}"/>
    <cellStyle name="Normal 2 3 2" xfId="277" xr:uid="{00000000-0005-0000-0000-00008B0E0000}"/>
    <cellStyle name="Normal 2 3 3" xfId="25647" xr:uid="{281B41A3-784D-4E5B-B909-75AD12C87B08}"/>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25362" xr:uid="{950B53D1-429B-4AF5-BFDE-5C7848641115}"/>
    <cellStyle name="Normal 2 4 2 10 2 2 3" xfId="16921" xr:uid="{550D8C48-8343-483A-8F32-EBF11DAF866D}"/>
    <cellStyle name="Normal 2 4 2 10 2 3" xfId="21144" xr:uid="{4196C837-DAAB-46AE-AA42-B67D01CC0927}"/>
    <cellStyle name="Normal 2 4 2 10 2 4" xfId="12703" xr:uid="{3801341B-0E64-4C60-BE60-C9833EDF8774}"/>
    <cellStyle name="Normal 2 4 2 10 3" xfId="6326" xr:uid="{00000000-0005-0000-0000-0000910E0000}"/>
    <cellStyle name="Normal 2 4 2 10 3 2" xfId="23217" xr:uid="{EBAA4671-175A-47F3-ADF3-9AB363E1D569}"/>
    <cellStyle name="Normal 2 4 2 10 3 3" xfId="14776" xr:uid="{C01E3D2F-9FC1-463A-B2A3-49D3D003EC46}"/>
    <cellStyle name="Normal 2 4 2 10 4" xfId="18999" xr:uid="{A7F1D399-6051-4F73-A7B3-35E7A42AEA5A}"/>
    <cellStyle name="Normal 2 4 2 10 5" xfId="10558" xr:uid="{BD41AA3E-CF2A-48C7-A0DC-E6731E9321CB}"/>
    <cellStyle name="Normal 2 4 2 11" xfId="2456" xr:uid="{00000000-0005-0000-0000-0000920E0000}"/>
    <cellStyle name="Normal 2 4 2 11 2" xfId="6739" xr:uid="{00000000-0005-0000-0000-0000930E0000}"/>
    <cellStyle name="Normal 2 4 2 11 2 2" xfId="23630" xr:uid="{5BFF2548-9EAC-41E0-B53D-140C2435C324}"/>
    <cellStyle name="Normal 2 4 2 11 2 3" xfId="15189" xr:uid="{B5D3DAB8-F50C-47F3-9753-473E1B77F7D9}"/>
    <cellStyle name="Normal 2 4 2 11 3" xfId="19412" xr:uid="{42A35D4E-EE29-4F8D-BC1C-59F8734FF1DC}"/>
    <cellStyle name="Normal 2 4 2 11 4" xfId="10971" xr:uid="{02112B1A-9D60-41F7-A32C-255AFCA0D572}"/>
    <cellStyle name="Normal 2 4 2 12" xfId="4673" xr:uid="{00000000-0005-0000-0000-0000940E0000}"/>
    <cellStyle name="Normal 2 4 2 12 2" xfId="21564" xr:uid="{95548409-E028-47C0-A6D7-A59BCEBE704E}"/>
    <cellStyle name="Normal 2 4 2 12 3" xfId="13123" xr:uid="{E7ADDCD0-CCF0-4FC6-A4F6-85B48AA829F0}"/>
    <cellStyle name="Normal 2 4 2 13" xfId="17346" xr:uid="{D696F747-5CEE-4DDA-967B-4D26356E8A7F}"/>
    <cellStyle name="Normal 2 4 2 14" xfId="8905" xr:uid="{8E87B093-3EF3-4B5D-BEC4-D43ABD4CB929}"/>
    <cellStyle name="Normal 2 4 2 2" xfId="280" xr:uid="{00000000-0005-0000-0000-0000950E0000}"/>
    <cellStyle name="Normal 2 4 2 3" xfId="281" xr:uid="{00000000-0005-0000-0000-0000960E0000}"/>
    <cellStyle name="Normal 2 4 2 3 10" xfId="4674" xr:uid="{00000000-0005-0000-0000-0000970E0000}"/>
    <cellStyle name="Normal 2 4 2 3 10 2" xfId="21565" xr:uid="{433E1816-5AE2-4B7A-B5E0-FA110B931D05}"/>
    <cellStyle name="Normal 2 4 2 3 10 3" xfId="13124" xr:uid="{8F3DB6FF-29AE-47D7-B9C8-FB68E85263E5}"/>
    <cellStyle name="Normal 2 4 2 3 11" xfId="17347" xr:uid="{603D075F-8DEE-4810-85AE-9A954F2FD7BE}"/>
    <cellStyle name="Normal 2 4 2 3 12" xfId="8906" xr:uid="{EC237787-58F1-4045-9462-B3DAAD8AA6F3}"/>
    <cellStyle name="Normal 2 4 2 3 2" xfId="282" xr:uid="{00000000-0005-0000-0000-0000980E0000}"/>
    <cellStyle name="Normal 2 4 2 3 2 10" xfId="17348" xr:uid="{7A2DCB89-AB39-4225-B562-74257252BE22}"/>
    <cellStyle name="Normal 2 4 2 3 2 11" xfId="8907" xr:uid="{5F8DA4F4-FB8F-427B-AF01-4134EB254B93}"/>
    <cellStyle name="Normal 2 4 2 3 2 2" xfId="283" xr:uid="{00000000-0005-0000-0000-0000990E0000}"/>
    <cellStyle name="Normal 2 4 2 3 2 2 10" xfId="8908" xr:uid="{6845F4DA-BE4C-4083-A18D-53DA84145654}"/>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24127" xr:uid="{757A48E1-632F-4787-9279-6854188F947B}"/>
    <cellStyle name="Normal 2 4 2 3 2 2 2 2 2 2 3" xfId="15686" xr:uid="{D8456472-419F-4314-9E25-9085C3E458F2}"/>
    <cellStyle name="Normal 2 4 2 3 2 2 2 2 2 3" xfId="19909" xr:uid="{27AF74A0-40D1-40C2-BA6C-AF3E0893558E}"/>
    <cellStyle name="Normal 2 4 2 3 2 2 2 2 2 4" xfId="11468" xr:uid="{56F607A4-6A75-4F37-9B9C-A97E2F11CE54}"/>
    <cellStyle name="Normal 2 4 2 3 2 2 2 2 3" xfId="5091" xr:uid="{00000000-0005-0000-0000-00009E0E0000}"/>
    <cellStyle name="Normal 2 4 2 3 2 2 2 2 3 2" xfId="21982" xr:uid="{47F83414-FA2C-492D-BEC9-DEE5E0EEE68C}"/>
    <cellStyle name="Normal 2 4 2 3 2 2 2 2 3 3" xfId="13541" xr:uid="{F1507968-18FB-4308-923B-03C7B622D6F4}"/>
    <cellStyle name="Normal 2 4 2 3 2 2 2 2 4" xfId="17764" xr:uid="{4CA10965-9489-47C3-A61F-534AFDEDD874}"/>
    <cellStyle name="Normal 2 4 2 3 2 2 2 2 5" xfId="9323" xr:uid="{89AEA2DC-0601-474C-B096-6C8D56AA8F3C}"/>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24540" xr:uid="{7C14A66E-BE1E-45DE-B7C7-0A3C2F24D437}"/>
    <cellStyle name="Normal 2 4 2 3 2 2 2 3 2 2 3" xfId="16099" xr:uid="{19E55166-5FAB-4677-B8A9-8669845709A6}"/>
    <cellStyle name="Normal 2 4 2 3 2 2 2 3 2 3" xfId="20322" xr:uid="{5AB556B2-BA00-4E47-87D1-A2C074827C3D}"/>
    <cellStyle name="Normal 2 4 2 3 2 2 2 3 2 4" xfId="11881" xr:uid="{3FE2EE0C-6552-432A-B9D6-B75DE153AC3B}"/>
    <cellStyle name="Normal 2 4 2 3 2 2 2 3 3" xfId="5504" xr:uid="{00000000-0005-0000-0000-0000A20E0000}"/>
    <cellStyle name="Normal 2 4 2 3 2 2 2 3 3 2" xfId="22395" xr:uid="{3BC5C2A4-AE33-4349-887A-C7B70C0F5276}"/>
    <cellStyle name="Normal 2 4 2 3 2 2 2 3 3 3" xfId="13954" xr:uid="{913DAE9C-C60D-48AF-B8BF-05B81761BDEF}"/>
    <cellStyle name="Normal 2 4 2 3 2 2 2 3 4" xfId="18177" xr:uid="{D4601DDF-8302-45C4-81F1-4D8CD625C997}"/>
    <cellStyle name="Normal 2 4 2 3 2 2 2 3 5" xfId="9736" xr:uid="{902F149A-455E-4BC8-B5D9-2202CF98836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24953" xr:uid="{6D273C02-5C35-4CFD-9A9E-0D309843B120}"/>
    <cellStyle name="Normal 2 4 2 3 2 2 2 4 2 2 3" xfId="16512" xr:uid="{0829F7EB-5DAA-4593-82E3-1769323AB331}"/>
    <cellStyle name="Normal 2 4 2 3 2 2 2 4 2 3" xfId="20735" xr:uid="{7640149B-DAC9-46AA-86B9-32E3A0D5A9DE}"/>
    <cellStyle name="Normal 2 4 2 3 2 2 2 4 2 4" xfId="12294" xr:uid="{689DB356-5E6D-4310-9772-FF16468E7B63}"/>
    <cellStyle name="Normal 2 4 2 3 2 2 2 4 3" xfId="5917" xr:uid="{00000000-0005-0000-0000-0000A60E0000}"/>
    <cellStyle name="Normal 2 4 2 3 2 2 2 4 3 2" xfId="22808" xr:uid="{34C84459-C6F0-4939-B2E5-E85092F2D573}"/>
    <cellStyle name="Normal 2 4 2 3 2 2 2 4 3 3" xfId="14367" xr:uid="{EE49504C-529C-4C18-B5D1-214547377B0A}"/>
    <cellStyle name="Normal 2 4 2 3 2 2 2 4 4" xfId="18590" xr:uid="{F3F334AF-E6D6-47B9-A1CF-2875450C97AB}"/>
    <cellStyle name="Normal 2 4 2 3 2 2 2 4 5" xfId="10149" xr:uid="{DE512A9F-F3FB-475D-B9BC-B46B0EE6EE2D}"/>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25366" xr:uid="{CBD4C0E3-816F-4567-970E-0ED6E65DFA4C}"/>
    <cellStyle name="Normal 2 4 2 3 2 2 2 5 2 2 3" xfId="16925" xr:uid="{67A68F51-7EC6-458A-ACB8-040F9D0C29D9}"/>
    <cellStyle name="Normal 2 4 2 3 2 2 2 5 2 3" xfId="21148" xr:uid="{3EA20BD3-CC5B-4275-9890-773C6B569343}"/>
    <cellStyle name="Normal 2 4 2 3 2 2 2 5 2 4" xfId="12707" xr:uid="{302FB2E0-4534-4C7E-92CC-9444136C0770}"/>
    <cellStyle name="Normal 2 4 2 3 2 2 2 5 3" xfId="6330" xr:uid="{00000000-0005-0000-0000-0000AA0E0000}"/>
    <cellStyle name="Normal 2 4 2 3 2 2 2 5 3 2" xfId="23221" xr:uid="{1C7E04E9-FF9E-4A14-BF92-DDD9FB22AE45}"/>
    <cellStyle name="Normal 2 4 2 3 2 2 2 5 3 3" xfId="14780" xr:uid="{C0168EA9-3E86-4C4C-8862-270EF5C72BD8}"/>
    <cellStyle name="Normal 2 4 2 3 2 2 2 5 4" xfId="19003" xr:uid="{56BD2ACD-1B71-431F-A685-8613C810F1EF}"/>
    <cellStyle name="Normal 2 4 2 3 2 2 2 5 5" xfId="10562" xr:uid="{52AE0551-47EE-4EB1-8B48-B0931ABF1B39}"/>
    <cellStyle name="Normal 2 4 2 3 2 2 2 6" xfId="2460" xr:uid="{00000000-0005-0000-0000-0000AB0E0000}"/>
    <cellStyle name="Normal 2 4 2 3 2 2 2 6 2" xfId="6743" xr:uid="{00000000-0005-0000-0000-0000AC0E0000}"/>
    <cellStyle name="Normal 2 4 2 3 2 2 2 6 2 2" xfId="23634" xr:uid="{56BA0C98-7295-464D-B1BD-4175C7ACB4E0}"/>
    <cellStyle name="Normal 2 4 2 3 2 2 2 6 2 3" xfId="15193" xr:uid="{5A845335-1D6E-4EE5-9A55-6F3D26506540}"/>
    <cellStyle name="Normal 2 4 2 3 2 2 2 6 3" xfId="19416" xr:uid="{C0054806-E081-48BD-ACA4-988A34EC6DAE}"/>
    <cellStyle name="Normal 2 4 2 3 2 2 2 6 4" xfId="10975" xr:uid="{44EFFB50-A71E-48CD-A8A2-68EFA67956AD}"/>
    <cellStyle name="Normal 2 4 2 3 2 2 2 7" xfId="4677" xr:uid="{00000000-0005-0000-0000-0000AD0E0000}"/>
    <cellStyle name="Normal 2 4 2 3 2 2 2 7 2" xfId="21568" xr:uid="{CB2F8A64-423A-4208-8B8A-B9099AEC3B46}"/>
    <cellStyle name="Normal 2 4 2 3 2 2 2 7 3" xfId="13127" xr:uid="{07B60013-AD42-45DD-B40A-BFEE360F4128}"/>
    <cellStyle name="Normal 2 4 2 3 2 2 2 8" xfId="17350" xr:uid="{804D8BE2-2F00-42B3-A6C9-E2534DD348F0}"/>
    <cellStyle name="Normal 2 4 2 3 2 2 2 9" xfId="8909" xr:uid="{211DBD74-4344-4B8F-A223-4364C460E34A}"/>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24126" xr:uid="{0AAFD180-2841-4814-AA79-FADA9058F95F}"/>
    <cellStyle name="Normal 2 4 2 3 2 2 3 2 2 3" xfId="15685" xr:uid="{AF82A0FA-391B-4AA3-AB7C-FA354A3D6077}"/>
    <cellStyle name="Normal 2 4 2 3 2 2 3 2 3" xfId="19908" xr:uid="{C1D4BCA0-9B67-47C3-B0F9-0B1895B50A9A}"/>
    <cellStyle name="Normal 2 4 2 3 2 2 3 2 4" xfId="11467" xr:uid="{DA332D15-F540-46E8-A594-55AD7A8464B0}"/>
    <cellStyle name="Normal 2 4 2 3 2 2 3 3" xfId="5090" xr:uid="{00000000-0005-0000-0000-0000B10E0000}"/>
    <cellStyle name="Normal 2 4 2 3 2 2 3 3 2" xfId="21981" xr:uid="{2592CC33-66E8-4F94-83DC-EAB06AE2DB89}"/>
    <cellStyle name="Normal 2 4 2 3 2 2 3 3 3" xfId="13540" xr:uid="{3EA77FC5-110E-4888-9861-572B48A45B3C}"/>
    <cellStyle name="Normal 2 4 2 3 2 2 3 4" xfId="17763" xr:uid="{54CE514F-013D-4D86-82E2-39F120FF9CFA}"/>
    <cellStyle name="Normal 2 4 2 3 2 2 3 5" xfId="9322" xr:uid="{5DEC070A-90D5-48E3-82BB-3CF5798C7BBA}"/>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24539" xr:uid="{C84CD57D-52A3-4905-8C1A-DEBC67C9E1F8}"/>
    <cellStyle name="Normal 2 4 2 3 2 2 4 2 2 3" xfId="16098" xr:uid="{6D3D03D0-93C1-49AB-95DC-A13F3789EC29}"/>
    <cellStyle name="Normal 2 4 2 3 2 2 4 2 3" xfId="20321" xr:uid="{22211EE6-E779-4122-9342-EA08C2CDB053}"/>
    <cellStyle name="Normal 2 4 2 3 2 2 4 2 4" xfId="11880" xr:uid="{1C206973-E8BB-4521-BC9F-398BCF9907A0}"/>
    <cellStyle name="Normal 2 4 2 3 2 2 4 3" xfId="5503" xr:uid="{00000000-0005-0000-0000-0000B50E0000}"/>
    <cellStyle name="Normal 2 4 2 3 2 2 4 3 2" xfId="22394" xr:uid="{758BF441-8869-4026-8B96-00B70486CDEE}"/>
    <cellStyle name="Normal 2 4 2 3 2 2 4 3 3" xfId="13953" xr:uid="{74498DC7-610B-42C8-B79B-AD9B24232037}"/>
    <cellStyle name="Normal 2 4 2 3 2 2 4 4" xfId="18176" xr:uid="{FB76024B-1D35-4A80-A74C-74C8AE992BE1}"/>
    <cellStyle name="Normal 2 4 2 3 2 2 4 5" xfId="9735" xr:uid="{16FE9927-1D9F-4262-BC4B-2105556C2BF7}"/>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24952" xr:uid="{AAD09DB2-CC6D-4794-936F-ACA7CC6BEE6F}"/>
    <cellStyle name="Normal 2 4 2 3 2 2 5 2 2 3" xfId="16511" xr:uid="{B7675396-E383-4907-B407-C1CDEE11868A}"/>
    <cellStyle name="Normal 2 4 2 3 2 2 5 2 3" xfId="20734" xr:uid="{D693EFAE-0A8B-45AD-B6C6-14A7BEEF0ED7}"/>
    <cellStyle name="Normal 2 4 2 3 2 2 5 2 4" xfId="12293" xr:uid="{498456D4-1E27-4B4D-89F8-91D4A6B24784}"/>
    <cellStyle name="Normal 2 4 2 3 2 2 5 3" xfId="5916" xr:uid="{00000000-0005-0000-0000-0000B90E0000}"/>
    <cellStyle name="Normal 2 4 2 3 2 2 5 3 2" xfId="22807" xr:uid="{9985AE53-0409-4964-BB75-1441C54014B9}"/>
    <cellStyle name="Normal 2 4 2 3 2 2 5 3 3" xfId="14366" xr:uid="{FAA35ECD-7E58-4E3D-ABA8-3485EAB9CADD}"/>
    <cellStyle name="Normal 2 4 2 3 2 2 5 4" xfId="18589" xr:uid="{0FD19BBF-8FEE-44C6-9061-A77D952DA3AD}"/>
    <cellStyle name="Normal 2 4 2 3 2 2 5 5" xfId="10148" xr:uid="{8DE80963-9A0E-4283-9A02-5364118BFC0B}"/>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25365" xr:uid="{6B10A879-724D-49AC-A6C7-2DB604285EDC}"/>
    <cellStyle name="Normal 2 4 2 3 2 2 6 2 2 3" xfId="16924" xr:uid="{DEC2566A-A143-460E-AF44-27EB01970124}"/>
    <cellStyle name="Normal 2 4 2 3 2 2 6 2 3" xfId="21147" xr:uid="{2F69AA7F-F54D-4731-A318-9A5F3B925BB0}"/>
    <cellStyle name="Normal 2 4 2 3 2 2 6 2 4" xfId="12706" xr:uid="{12FBB55A-9873-41B2-8EE5-1D5A21DE1F29}"/>
    <cellStyle name="Normal 2 4 2 3 2 2 6 3" xfId="6329" xr:uid="{00000000-0005-0000-0000-0000BD0E0000}"/>
    <cellStyle name="Normal 2 4 2 3 2 2 6 3 2" xfId="23220" xr:uid="{562DA66E-F032-42C3-B721-E4F150F1674F}"/>
    <cellStyle name="Normal 2 4 2 3 2 2 6 3 3" xfId="14779" xr:uid="{F1B687AC-AE2C-4043-9899-F0FEDEF62C7D}"/>
    <cellStyle name="Normal 2 4 2 3 2 2 6 4" xfId="19002" xr:uid="{206FD170-87BC-406A-816E-F0F04E325F59}"/>
    <cellStyle name="Normal 2 4 2 3 2 2 6 5" xfId="10561" xr:uid="{645BF9E6-41AA-46E2-A5AF-188AC7C0C7DA}"/>
    <cellStyle name="Normal 2 4 2 3 2 2 7" xfId="2459" xr:uid="{00000000-0005-0000-0000-0000BE0E0000}"/>
    <cellStyle name="Normal 2 4 2 3 2 2 7 2" xfId="6742" xr:uid="{00000000-0005-0000-0000-0000BF0E0000}"/>
    <cellStyle name="Normal 2 4 2 3 2 2 7 2 2" xfId="23633" xr:uid="{7AB904BE-B40C-4334-BB7D-58CCFCB1A56C}"/>
    <cellStyle name="Normal 2 4 2 3 2 2 7 2 3" xfId="15192" xr:uid="{7F6E43B1-912E-4F0D-9CF7-09524F07E5B6}"/>
    <cellStyle name="Normal 2 4 2 3 2 2 7 3" xfId="19415" xr:uid="{29B66816-61DF-4F38-936F-C0BB0A968A38}"/>
    <cellStyle name="Normal 2 4 2 3 2 2 7 4" xfId="10974" xr:uid="{074E6A45-FE60-4D18-8E33-463A2779A78E}"/>
    <cellStyle name="Normal 2 4 2 3 2 2 8" xfId="4676" xr:uid="{00000000-0005-0000-0000-0000C00E0000}"/>
    <cellStyle name="Normal 2 4 2 3 2 2 8 2" xfId="21567" xr:uid="{A5C574AD-6E9E-47FB-9D83-6A641386C0A0}"/>
    <cellStyle name="Normal 2 4 2 3 2 2 8 3" xfId="13126" xr:uid="{8301B5A3-7038-411C-891B-6CBDC3BC3D7A}"/>
    <cellStyle name="Normal 2 4 2 3 2 2 9" xfId="17349" xr:uid="{CC9FD7DE-CC7F-4DF1-8ADB-7F5103A1C7CB}"/>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24128" xr:uid="{E8A40EBF-BC36-414F-AE79-6C0168BFC825}"/>
    <cellStyle name="Normal 2 4 2 3 2 3 2 2 2 3" xfId="15687" xr:uid="{7E4D375A-AB57-41D1-B937-022CB168EED1}"/>
    <cellStyle name="Normal 2 4 2 3 2 3 2 2 3" xfId="19910" xr:uid="{78236864-CF7A-4637-B2F0-4AC507563779}"/>
    <cellStyle name="Normal 2 4 2 3 2 3 2 2 4" xfId="11469" xr:uid="{C4B144A9-6C6B-476D-A3C2-ED408C2C8D1A}"/>
    <cellStyle name="Normal 2 4 2 3 2 3 2 3" xfId="5092" xr:uid="{00000000-0005-0000-0000-0000C50E0000}"/>
    <cellStyle name="Normal 2 4 2 3 2 3 2 3 2" xfId="21983" xr:uid="{D49F1FD0-9863-4BBA-8998-B70432A8B0A4}"/>
    <cellStyle name="Normal 2 4 2 3 2 3 2 3 3" xfId="13542" xr:uid="{138FEE65-82BF-474D-864E-F35A6C59C0C5}"/>
    <cellStyle name="Normal 2 4 2 3 2 3 2 4" xfId="17765" xr:uid="{174ADA13-DEF9-4493-9390-B86295DE6983}"/>
    <cellStyle name="Normal 2 4 2 3 2 3 2 5" xfId="9324" xr:uid="{23C9B468-1935-431E-8B75-DD847B4297F2}"/>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24541" xr:uid="{B8734FCA-E38D-4CE2-9B61-B3F5E1393595}"/>
    <cellStyle name="Normal 2 4 2 3 2 3 3 2 2 3" xfId="16100" xr:uid="{A9C833CD-1BFC-4AF8-9A0D-2E984556144E}"/>
    <cellStyle name="Normal 2 4 2 3 2 3 3 2 3" xfId="20323" xr:uid="{86E43FCE-DB51-42FB-8053-B2678D6A1C29}"/>
    <cellStyle name="Normal 2 4 2 3 2 3 3 2 4" xfId="11882" xr:uid="{CCA73D4A-DA8F-4717-BD02-4B9126C22074}"/>
    <cellStyle name="Normal 2 4 2 3 2 3 3 3" xfId="5505" xr:uid="{00000000-0005-0000-0000-0000C90E0000}"/>
    <cellStyle name="Normal 2 4 2 3 2 3 3 3 2" xfId="22396" xr:uid="{A9F92FAF-93D1-4B34-9F32-E60017E0814E}"/>
    <cellStyle name="Normal 2 4 2 3 2 3 3 3 3" xfId="13955" xr:uid="{03D2363E-EF40-4935-A111-6CB7B0F1BEA9}"/>
    <cellStyle name="Normal 2 4 2 3 2 3 3 4" xfId="18178" xr:uid="{1348C2AF-0902-49C2-B9C0-B8160D093F68}"/>
    <cellStyle name="Normal 2 4 2 3 2 3 3 5" xfId="9737" xr:uid="{89C7A988-E560-4379-8845-DA39AFAC87F4}"/>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24954" xr:uid="{DA548145-E302-4F8D-AAD2-F6561516085D}"/>
    <cellStyle name="Normal 2 4 2 3 2 3 4 2 2 3" xfId="16513" xr:uid="{4BC1DE03-2196-4F69-A441-BB982D3E1E51}"/>
    <cellStyle name="Normal 2 4 2 3 2 3 4 2 3" xfId="20736" xr:uid="{D71BDD18-7C06-4447-9EEE-BF82275CB50B}"/>
    <cellStyle name="Normal 2 4 2 3 2 3 4 2 4" xfId="12295" xr:uid="{7CEB7926-8F30-43C0-9AF3-9B9EB86AD83A}"/>
    <cellStyle name="Normal 2 4 2 3 2 3 4 3" xfId="5918" xr:uid="{00000000-0005-0000-0000-0000CD0E0000}"/>
    <cellStyle name="Normal 2 4 2 3 2 3 4 3 2" xfId="22809" xr:uid="{719166A8-2C11-475A-BFD8-DBA9C2D37F5B}"/>
    <cellStyle name="Normal 2 4 2 3 2 3 4 3 3" xfId="14368" xr:uid="{08DECC24-24A5-4EB2-B76B-6A04A090EB15}"/>
    <cellStyle name="Normal 2 4 2 3 2 3 4 4" xfId="18591" xr:uid="{4A1D2F71-8F9E-425E-8917-15721DFFCECF}"/>
    <cellStyle name="Normal 2 4 2 3 2 3 4 5" xfId="10150" xr:uid="{5DD108F2-C651-428E-A930-06013371C56A}"/>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25367" xr:uid="{DB095852-5B49-4BEB-B6C3-27A399AB2CC7}"/>
    <cellStyle name="Normal 2 4 2 3 2 3 5 2 2 3" xfId="16926" xr:uid="{521CCFAA-2C0A-47A0-A022-5D7C3A2A54AB}"/>
    <cellStyle name="Normal 2 4 2 3 2 3 5 2 3" xfId="21149" xr:uid="{F9AE94AC-E2B2-4CD5-8CBB-FCCDFF1C9C72}"/>
    <cellStyle name="Normal 2 4 2 3 2 3 5 2 4" xfId="12708" xr:uid="{AE06E8B6-EB52-46BF-AAAC-FF9463FF8EEE}"/>
    <cellStyle name="Normal 2 4 2 3 2 3 5 3" xfId="6331" xr:uid="{00000000-0005-0000-0000-0000D10E0000}"/>
    <cellStyle name="Normal 2 4 2 3 2 3 5 3 2" xfId="23222" xr:uid="{3B952C9F-4B9B-42CD-8F25-61924A9350F1}"/>
    <cellStyle name="Normal 2 4 2 3 2 3 5 3 3" xfId="14781" xr:uid="{8489A0EF-1316-4D8D-849D-0E68465B8AA7}"/>
    <cellStyle name="Normal 2 4 2 3 2 3 5 4" xfId="19004" xr:uid="{28FD1197-DF86-47D9-9915-1E6E00D626F6}"/>
    <cellStyle name="Normal 2 4 2 3 2 3 5 5" xfId="10563" xr:uid="{65A12EA1-4510-4DD1-99BE-5619AD1367F6}"/>
    <cellStyle name="Normal 2 4 2 3 2 3 6" xfId="2461" xr:uid="{00000000-0005-0000-0000-0000D20E0000}"/>
    <cellStyle name="Normal 2 4 2 3 2 3 6 2" xfId="6744" xr:uid="{00000000-0005-0000-0000-0000D30E0000}"/>
    <cellStyle name="Normal 2 4 2 3 2 3 6 2 2" xfId="23635" xr:uid="{4B1F2489-226F-4617-9D61-20BE7D21EAD8}"/>
    <cellStyle name="Normal 2 4 2 3 2 3 6 2 3" xfId="15194" xr:uid="{EB349CED-79D8-4C2D-A5F5-E5E522CA025F}"/>
    <cellStyle name="Normal 2 4 2 3 2 3 6 3" xfId="19417" xr:uid="{7F40C3ED-84B6-4E87-9C19-B5B7A35D367A}"/>
    <cellStyle name="Normal 2 4 2 3 2 3 6 4" xfId="10976" xr:uid="{D0D09398-9177-48F5-B6FA-A4BDC3EFA816}"/>
    <cellStyle name="Normal 2 4 2 3 2 3 7" xfId="4678" xr:uid="{00000000-0005-0000-0000-0000D40E0000}"/>
    <cellStyle name="Normal 2 4 2 3 2 3 7 2" xfId="21569" xr:uid="{736F8FC2-B895-4976-96CA-613B22E6ECE6}"/>
    <cellStyle name="Normal 2 4 2 3 2 3 7 3" xfId="13128" xr:uid="{E826831D-3969-4AF1-98C7-2B89E20603DE}"/>
    <cellStyle name="Normal 2 4 2 3 2 3 8" xfId="17351" xr:uid="{1AA4A2D1-862B-4329-AE47-DAEAB323AFA6}"/>
    <cellStyle name="Normal 2 4 2 3 2 3 9" xfId="8910" xr:uid="{6672D0DC-7F72-4F8A-A4F2-D27A1E70D312}"/>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24125" xr:uid="{F1105ABB-CE90-49AB-BE36-DB36EFF8A3AA}"/>
    <cellStyle name="Normal 2 4 2 3 2 4 2 2 3" xfId="15684" xr:uid="{9B4CA8F4-2EA2-4678-8F13-85C4AE3F45DE}"/>
    <cellStyle name="Normal 2 4 2 3 2 4 2 3" xfId="19907" xr:uid="{40E864BF-2A6C-4EA6-BB14-37F0F815450C}"/>
    <cellStyle name="Normal 2 4 2 3 2 4 2 4" xfId="11466" xr:uid="{D8701549-DF5F-40F2-B59E-7087A70338F7}"/>
    <cellStyle name="Normal 2 4 2 3 2 4 3" xfId="5089" xr:uid="{00000000-0005-0000-0000-0000D80E0000}"/>
    <cellStyle name="Normal 2 4 2 3 2 4 3 2" xfId="21980" xr:uid="{FBB14233-8E5B-4B8D-83FA-4A2794BB854D}"/>
    <cellStyle name="Normal 2 4 2 3 2 4 3 3" xfId="13539" xr:uid="{46DFF0EF-7E67-4D2D-9779-184BC9F9233A}"/>
    <cellStyle name="Normal 2 4 2 3 2 4 4" xfId="17762" xr:uid="{DDEE32F4-28EC-4E3B-AA9D-BDA8885961DF}"/>
    <cellStyle name="Normal 2 4 2 3 2 4 5" xfId="9321" xr:uid="{E8C7E410-461A-43A8-9090-295EA3F399F2}"/>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24538" xr:uid="{791A0B27-0488-45F0-8857-003657E34A00}"/>
    <cellStyle name="Normal 2 4 2 3 2 5 2 2 3" xfId="16097" xr:uid="{E153D306-9925-4238-ABC9-0205DAFC8B8D}"/>
    <cellStyle name="Normal 2 4 2 3 2 5 2 3" xfId="20320" xr:uid="{812446E5-D079-4D0E-A3BB-798132305594}"/>
    <cellStyle name="Normal 2 4 2 3 2 5 2 4" xfId="11879" xr:uid="{D785275B-F8C7-4A4E-933B-DEE3BE78FAAD}"/>
    <cellStyle name="Normal 2 4 2 3 2 5 3" xfId="5502" xr:uid="{00000000-0005-0000-0000-0000DC0E0000}"/>
    <cellStyle name="Normal 2 4 2 3 2 5 3 2" xfId="22393" xr:uid="{F46B0FFE-D042-42DD-A49E-962D73B5D056}"/>
    <cellStyle name="Normal 2 4 2 3 2 5 3 3" xfId="13952" xr:uid="{6E56C5DF-7A21-41C4-8429-EABF75E24114}"/>
    <cellStyle name="Normal 2 4 2 3 2 5 4" xfId="18175" xr:uid="{53051A80-09CD-4246-8BC8-B6332A8F335E}"/>
    <cellStyle name="Normal 2 4 2 3 2 5 5" xfId="9734" xr:uid="{A642C5F4-71AA-4086-9363-360922E4677E}"/>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24951" xr:uid="{CCE7D25F-F6A2-4E16-885A-77B5BE721342}"/>
    <cellStyle name="Normal 2 4 2 3 2 6 2 2 3" xfId="16510" xr:uid="{B5D766AB-93FA-47B6-BDF4-FCED63B2E688}"/>
    <cellStyle name="Normal 2 4 2 3 2 6 2 3" xfId="20733" xr:uid="{E7C18AF0-CFC7-4E03-8010-B9E5806968F5}"/>
    <cellStyle name="Normal 2 4 2 3 2 6 2 4" xfId="12292" xr:uid="{3E2C230A-48C2-40E0-8428-ECCA63FC6B7B}"/>
    <cellStyle name="Normal 2 4 2 3 2 6 3" xfId="5915" xr:uid="{00000000-0005-0000-0000-0000E00E0000}"/>
    <cellStyle name="Normal 2 4 2 3 2 6 3 2" xfId="22806" xr:uid="{C0503D58-F983-4275-8CE3-1E2BA97582D5}"/>
    <cellStyle name="Normal 2 4 2 3 2 6 3 3" xfId="14365" xr:uid="{580686C7-5DF9-4E8A-B641-53BD90A063CC}"/>
    <cellStyle name="Normal 2 4 2 3 2 6 4" xfId="18588" xr:uid="{0C2906D0-D000-49AC-8607-526117495006}"/>
    <cellStyle name="Normal 2 4 2 3 2 6 5" xfId="10147" xr:uid="{B4852CA9-E6E1-4DDD-85DD-E30FDB03CD05}"/>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25364" xr:uid="{145CB1D8-5C97-4361-828B-DA8E37E1B7E0}"/>
    <cellStyle name="Normal 2 4 2 3 2 7 2 2 3" xfId="16923" xr:uid="{C74C8C63-DA77-422D-AA32-974D96624D77}"/>
    <cellStyle name="Normal 2 4 2 3 2 7 2 3" xfId="21146" xr:uid="{DA472CB4-9954-444F-A256-1E284FBC7105}"/>
    <cellStyle name="Normal 2 4 2 3 2 7 2 4" xfId="12705" xr:uid="{121F7523-4AE7-459C-8F88-C06E4E34DD75}"/>
    <cellStyle name="Normal 2 4 2 3 2 7 3" xfId="6328" xr:uid="{00000000-0005-0000-0000-0000E40E0000}"/>
    <cellStyle name="Normal 2 4 2 3 2 7 3 2" xfId="23219" xr:uid="{FD840BE2-6C8C-4CD7-AA29-C0B29AEAC529}"/>
    <cellStyle name="Normal 2 4 2 3 2 7 3 3" xfId="14778" xr:uid="{6959515E-1A99-46D3-890B-A3C63EFA5321}"/>
    <cellStyle name="Normal 2 4 2 3 2 7 4" xfId="19001" xr:uid="{AFC66BD9-4D21-43B8-864A-668C79EF5437}"/>
    <cellStyle name="Normal 2 4 2 3 2 7 5" xfId="10560" xr:uid="{CDCC1CD2-6A65-4143-BC50-C832FB275857}"/>
    <cellStyle name="Normal 2 4 2 3 2 8" xfId="2458" xr:uid="{00000000-0005-0000-0000-0000E50E0000}"/>
    <cellStyle name="Normal 2 4 2 3 2 8 2" xfId="6741" xr:uid="{00000000-0005-0000-0000-0000E60E0000}"/>
    <cellStyle name="Normal 2 4 2 3 2 8 2 2" xfId="23632" xr:uid="{AB2EDB76-A591-4A40-A755-10EA66EF6EEF}"/>
    <cellStyle name="Normal 2 4 2 3 2 8 2 3" xfId="15191" xr:uid="{8934A8C4-9751-4CCC-A689-4FD437CA137B}"/>
    <cellStyle name="Normal 2 4 2 3 2 8 3" xfId="19414" xr:uid="{097D639B-8A28-4856-B165-6E0FC4161B6C}"/>
    <cellStyle name="Normal 2 4 2 3 2 8 4" xfId="10973" xr:uid="{307EC048-A98F-483C-A254-78EC2A4CE594}"/>
    <cellStyle name="Normal 2 4 2 3 2 9" xfId="4675" xr:uid="{00000000-0005-0000-0000-0000E70E0000}"/>
    <cellStyle name="Normal 2 4 2 3 2 9 2" xfId="21566" xr:uid="{2B3E499F-C17B-47B0-B875-73DE1306311D}"/>
    <cellStyle name="Normal 2 4 2 3 2 9 3" xfId="13125" xr:uid="{36977E95-9843-42C0-B3A1-86CE6530A9B3}"/>
    <cellStyle name="Normal 2 4 2 3 3" xfId="286" xr:uid="{00000000-0005-0000-0000-0000E80E0000}"/>
    <cellStyle name="Normal 2 4 2 3 3 10" xfId="8911" xr:uid="{DFBF5C68-FEB0-4E4E-B454-6C27F45E1561}"/>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24130" xr:uid="{6DF45E0B-2CE2-4DA6-A31F-44744C46A43B}"/>
    <cellStyle name="Normal 2 4 2 3 3 2 2 2 2 3" xfId="15689" xr:uid="{BADAB261-18C8-4D90-ACD5-4E3D74DE734F}"/>
    <cellStyle name="Normal 2 4 2 3 3 2 2 2 3" xfId="19912" xr:uid="{B26509A3-F800-41EC-AABE-EAEABE94BABF}"/>
    <cellStyle name="Normal 2 4 2 3 3 2 2 2 4" xfId="11471" xr:uid="{DC654DD0-A045-4B31-80DD-19FFB35B9B3D}"/>
    <cellStyle name="Normal 2 4 2 3 3 2 2 3" xfId="5094" xr:uid="{00000000-0005-0000-0000-0000ED0E0000}"/>
    <cellStyle name="Normal 2 4 2 3 3 2 2 3 2" xfId="21985" xr:uid="{6177D4DC-F6D4-4F0A-A842-BFF81207D93A}"/>
    <cellStyle name="Normal 2 4 2 3 3 2 2 3 3" xfId="13544" xr:uid="{1708AD5F-136C-47F7-97B6-EADF1018D626}"/>
    <cellStyle name="Normal 2 4 2 3 3 2 2 4" xfId="17767" xr:uid="{E581C93F-6F8D-42DC-8A7A-C1274E482F69}"/>
    <cellStyle name="Normal 2 4 2 3 3 2 2 5" xfId="9326" xr:uid="{C47F985D-0104-4548-9F48-8B9EB26DC706}"/>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24543" xr:uid="{D50F22E8-8720-4D10-9CFC-BB37FFAF97B6}"/>
    <cellStyle name="Normal 2 4 2 3 3 2 3 2 2 3" xfId="16102" xr:uid="{C13C16C1-8716-4CFE-8E15-AF9DDC4F6AE2}"/>
    <cellStyle name="Normal 2 4 2 3 3 2 3 2 3" xfId="20325" xr:uid="{015EB41B-6B1A-436F-9523-85863F8398F9}"/>
    <cellStyle name="Normal 2 4 2 3 3 2 3 2 4" xfId="11884" xr:uid="{45EDB3E2-82BD-45DA-B11E-50E1522D81A1}"/>
    <cellStyle name="Normal 2 4 2 3 3 2 3 3" xfId="5507" xr:uid="{00000000-0005-0000-0000-0000F10E0000}"/>
    <cellStyle name="Normal 2 4 2 3 3 2 3 3 2" xfId="22398" xr:uid="{B60DCBA5-5D50-4FE5-AAAD-7AF1740511F1}"/>
    <cellStyle name="Normal 2 4 2 3 3 2 3 3 3" xfId="13957" xr:uid="{EE09A29B-40A5-4A97-95F0-A1320BE8DECD}"/>
    <cellStyle name="Normal 2 4 2 3 3 2 3 4" xfId="18180" xr:uid="{024C09A7-2F49-4868-9881-741C9EBB80AD}"/>
    <cellStyle name="Normal 2 4 2 3 3 2 3 5" xfId="9739" xr:uid="{471D67C9-8823-4461-A4C5-545FE769363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24956" xr:uid="{C6AB3CED-D358-40CC-BC84-28BD3F94213D}"/>
    <cellStyle name="Normal 2 4 2 3 3 2 4 2 2 3" xfId="16515" xr:uid="{987C31A1-8360-46FD-98AD-FE04F980104E}"/>
    <cellStyle name="Normal 2 4 2 3 3 2 4 2 3" xfId="20738" xr:uid="{E7F71C82-9788-4B64-9040-DBB593B024FB}"/>
    <cellStyle name="Normal 2 4 2 3 3 2 4 2 4" xfId="12297" xr:uid="{9967A6DC-8AD2-4A01-8617-499A6D38C6C4}"/>
    <cellStyle name="Normal 2 4 2 3 3 2 4 3" xfId="5920" xr:uid="{00000000-0005-0000-0000-0000F50E0000}"/>
    <cellStyle name="Normal 2 4 2 3 3 2 4 3 2" xfId="22811" xr:uid="{04BC9BE0-3769-4FE1-913C-91C51838486A}"/>
    <cellStyle name="Normal 2 4 2 3 3 2 4 3 3" xfId="14370" xr:uid="{B115CF44-0637-4589-9EEF-276FDC94FA22}"/>
    <cellStyle name="Normal 2 4 2 3 3 2 4 4" xfId="18593" xr:uid="{6B30E897-6029-4DCF-A120-527B677AC9F9}"/>
    <cellStyle name="Normal 2 4 2 3 3 2 4 5" xfId="10152" xr:uid="{E77BFF74-D2E7-4006-91CF-B6F922C556C3}"/>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25369" xr:uid="{0F938B31-69B6-4BE8-AB1C-150E93E474FD}"/>
    <cellStyle name="Normal 2 4 2 3 3 2 5 2 2 3" xfId="16928" xr:uid="{E1A7573D-C80D-4F92-B287-E2996CD985AF}"/>
    <cellStyle name="Normal 2 4 2 3 3 2 5 2 3" xfId="21151" xr:uid="{89FC0057-5946-4DDF-9A5F-C7EF6268E2B5}"/>
    <cellStyle name="Normal 2 4 2 3 3 2 5 2 4" xfId="12710" xr:uid="{4508DA5A-7600-42B6-8D98-7EE898071DB2}"/>
    <cellStyle name="Normal 2 4 2 3 3 2 5 3" xfId="6333" xr:uid="{00000000-0005-0000-0000-0000F90E0000}"/>
    <cellStyle name="Normal 2 4 2 3 3 2 5 3 2" xfId="23224" xr:uid="{3B3A2B5F-C47B-402F-B3AB-8FF9272DBA91}"/>
    <cellStyle name="Normal 2 4 2 3 3 2 5 3 3" xfId="14783" xr:uid="{5AA2EB8A-5886-4258-B854-5A81DF11C29E}"/>
    <cellStyle name="Normal 2 4 2 3 3 2 5 4" xfId="19006" xr:uid="{F095F137-F087-4C56-9635-77F97C0FD67D}"/>
    <cellStyle name="Normal 2 4 2 3 3 2 5 5" xfId="10565" xr:uid="{30A8E02B-83DA-4A2B-A16F-DB2D0BF488B1}"/>
    <cellStyle name="Normal 2 4 2 3 3 2 6" xfId="2463" xr:uid="{00000000-0005-0000-0000-0000FA0E0000}"/>
    <cellStyle name="Normal 2 4 2 3 3 2 6 2" xfId="6746" xr:uid="{00000000-0005-0000-0000-0000FB0E0000}"/>
    <cellStyle name="Normal 2 4 2 3 3 2 6 2 2" xfId="23637" xr:uid="{335E28F3-CB3D-4A79-9EDC-F5097D94B2FC}"/>
    <cellStyle name="Normal 2 4 2 3 3 2 6 2 3" xfId="15196" xr:uid="{46AA77F7-D49F-47EE-A30B-B69E3EE79CEE}"/>
    <cellStyle name="Normal 2 4 2 3 3 2 6 3" xfId="19419" xr:uid="{56E546FA-BC49-44F5-AE7B-D1837585909D}"/>
    <cellStyle name="Normal 2 4 2 3 3 2 6 4" xfId="10978" xr:uid="{81A62D5A-8713-46C6-B65C-EFA807B921BC}"/>
    <cellStyle name="Normal 2 4 2 3 3 2 7" xfId="4680" xr:uid="{00000000-0005-0000-0000-0000FC0E0000}"/>
    <cellStyle name="Normal 2 4 2 3 3 2 7 2" xfId="21571" xr:uid="{5123E91B-90EE-4F4E-AB86-1F2587E5125C}"/>
    <cellStyle name="Normal 2 4 2 3 3 2 7 3" xfId="13130" xr:uid="{64463152-67F9-4C0B-BAD2-4AAF1B87247F}"/>
    <cellStyle name="Normal 2 4 2 3 3 2 8" xfId="17353" xr:uid="{8561AD5F-9794-48D2-88F1-F7E348371921}"/>
    <cellStyle name="Normal 2 4 2 3 3 2 9" xfId="8912" xr:uid="{8E2E8ADD-C241-4588-B7CF-129B6C8092E6}"/>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24129" xr:uid="{A741BECE-6C28-437A-9CF4-084F9B705E19}"/>
    <cellStyle name="Normal 2 4 2 3 3 3 2 2 3" xfId="15688" xr:uid="{9FCB2707-8901-4257-9A87-B13E73BB7D5D}"/>
    <cellStyle name="Normal 2 4 2 3 3 3 2 3" xfId="19911" xr:uid="{C851363B-EF97-4607-92CA-B6B8239FF20E}"/>
    <cellStyle name="Normal 2 4 2 3 3 3 2 4" xfId="11470" xr:uid="{E17088F3-5525-4C6A-A836-D9A5C48D405E}"/>
    <cellStyle name="Normal 2 4 2 3 3 3 3" xfId="5093" xr:uid="{00000000-0005-0000-0000-0000000F0000}"/>
    <cellStyle name="Normal 2 4 2 3 3 3 3 2" xfId="21984" xr:uid="{12A8BA2C-AE2E-468D-BCC5-DB7D551FBB88}"/>
    <cellStyle name="Normal 2 4 2 3 3 3 3 3" xfId="13543" xr:uid="{BADECDE3-68C2-4DDA-B8D0-34CA83F826B6}"/>
    <cellStyle name="Normal 2 4 2 3 3 3 4" xfId="17766" xr:uid="{6BF51E52-8D67-44DD-AC19-03B4BFE3DB5E}"/>
    <cellStyle name="Normal 2 4 2 3 3 3 5" xfId="9325" xr:uid="{1923D7EA-F906-417C-A6F2-1D151BB7B019}"/>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24542" xr:uid="{0B912BE5-25CE-4B23-A375-A70193D7AA92}"/>
    <cellStyle name="Normal 2 4 2 3 3 4 2 2 3" xfId="16101" xr:uid="{4D5496AC-1DC3-4303-A949-E034CF3FE8E3}"/>
    <cellStyle name="Normal 2 4 2 3 3 4 2 3" xfId="20324" xr:uid="{0D3E47A8-E04D-4D5D-B1B8-14E5D6F21FF0}"/>
    <cellStyle name="Normal 2 4 2 3 3 4 2 4" xfId="11883" xr:uid="{4D650FEB-A283-43EA-929B-A0B624A35B19}"/>
    <cellStyle name="Normal 2 4 2 3 3 4 3" xfId="5506" xr:uid="{00000000-0005-0000-0000-0000040F0000}"/>
    <cellStyle name="Normal 2 4 2 3 3 4 3 2" xfId="22397" xr:uid="{67093E60-F676-48B5-A19B-065BC6991F20}"/>
    <cellStyle name="Normal 2 4 2 3 3 4 3 3" xfId="13956" xr:uid="{FBA6B97F-D4B8-4913-BCD7-C6554FBBA81C}"/>
    <cellStyle name="Normal 2 4 2 3 3 4 4" xfId="18179" xr:uid="{B6880593-75F9-4B4C-BCE0-124BA8ACA88D}"/>
    <cellStyle name="Normal 2 4 2 3 3 4 5" xfId="9738" xr:uid="{251A5230-1547-4DC7-A252-5E60889C6AEA}"/>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24955" xr:uid="{37E91535-9864-4CFB-9A24-2D0F4F2B5172}"/>
    <cellStyle name="Normal 2 4 2 3 3 5 2 2 3" xfId="16514" xr:uid="{A2F21C7A-0F0A-451E-9088-D4E3D9C2C758}"/>
    <cellStyle name="Normal 2 4 2 3 3 5 2 3" xfId="20737" xr:uid="{01FDED15-8BFF-4F3C-A73B-2FE96DB243F7}"/>
    <cellStyle name="Normal 2 4 2 3 3 5 2 4" xfId="12296" xr:uid="{C2B469CA-3747-402D-A5C3-07283CE0A86B}"/>
    <cellStyle name="Normal 2 4 2 3 3 5 3" xfId="5919" xr:uid="{00000000-0005-0000-0000-0000080F0000}"/>
    <cellStyle name="Normal 2 4 2 3 3 5 3 2" xfId="22810" xr:uid="{73340AEC-E22E-4996-AF0B-BB385595DCA8}"/>
    <cellStyle name="Normal 2 4 2 3 3 5 3 3" xfId="14369" xr:uid="{E77119FF-3F52-4005-AA9A-00048845C7AF}"/>
    <cellStyle name="Normal 2 4 2 3 3 5 4" xfId="18592" xr:uid="{11F321B7-26EE-4348-BC2C-20B40E8D56B6}"/>
    <cellStyle name="Normal 2 4 2 3 3 5 5" xfId="10151" xr:uid="{DFA7E50A-2150-48B9-B651-1B2D6DD781DC}"/>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25368" xr:uid="{CE265732-37E3-4B51-823F-A556CC370D1E}"/>
    <cellStyle name="Normal 2 4 2 3 3 6 2 2 3" xfId="16927" xr:uid="{CA3EB6FB-4132-4723-A17B-7DCA95EE6321}"/>
    <cellStyle name="Normal 2 4 2 3 3 6 2 3" xfId="21150" xr:uid="{D62C1260-5100-44C4-B952-C5B66FE588EB}"/>
    <cellStyle name="Normal 2 4 2 3 3 6 2 4" xfId="12709" xr:uid="{D4242496-347E-4273-9C3F-1C3B23CA013D}"/>
    <cellStyle name="Normal 2 4 2 3 3 6 3" xfId="6332" xr:uid="{00000000-0005-0000-0000-00000C0F0000}"/>
    <cellStyle name="Normal 2 4 2 3 3 6 3 2" xfId="23223" xr:uid="{001AE0DB-F740-4135-9CF9-3F4ADAAC8F93}"/>
    <cellStyle name="Normal 2 4 2 3 3 6 3 3" xfId="14782" xr:uid="{B0E90ED6-6A9C-4865-977B-822BA7D76AC2}"/>
    <cellStyle name="Normal 2 4 2 3 3 6 4" xfId="19005" xr:uid="{17B33E2C-32B7-482C-8813-4E0EB369B571}"/>
    <cellStyle name="Normal 2 4 2 3 3 6 5" xfId="10564" xr:uid="{A4F1E7CE-DC87-4D31-BB34-D68B5CC782A4}"/>
    <cellStyle name="Normal 2 4 2 3 3 7" xfId="2462" xr:uid="{00000000-0005-0000-0000-00000D0F0000}"/>
    <cellStyle name="Normal 2 4 2 3 3 7 2" xfId="6745" xr:uid="{00000000-0005-0000-0000-00000E0F0000}"/>
    <cellStyle name="Normal 2 4 2 3 3 7 2 2" xfId="23636" xr:uid="{67D752AD-27B3-4127-9EBB-8FCF5B7E097C}"/>
    <cellStyle name="Normal 2 4 2 3 3 7 2 3" xfId="15195" xr:uid="{3E3C40D9-40DA-4709-9E57-3897F0A84DCD}"/>
    <cellStyle name="Normal 2 4 2 3 3 7 3" xfId="19418" xr:uid="{B7872AD4-8692-4141-8404-6D69B09FF487}"/>
    <cellStyle name="Normal 2 4 2 3 3 7 4" xfId="10977" xr:uid="{F08A4B89-4A27-48D7-84A8-0B993A6F301E}"/>
    <cellStyle name="Normal 2 4 2 3 3 8" xfId="4679" xr:uid="{00000000-0005-0000-0000-00000F0F0000}"/>
    <cellStyle name="Normal 2 4 2 3 3 8 2" xfId="21570" xr:uid="{11850DE9-DB60-4205-9E69-F60D5C78DA8E}"/>
    <cellStyle name="Normal 2 4 2 3 3 8 3" xfId="13129" xr:uid="{8DE46B60-6734-4238-8192-B64C8C599E11}"/>
    <cellStyle name="Normal 2 4 2 3 3 9" xfId="17352" xr:uid="{CFF7C3FA-088B-4793-AFDB-DF44E7D1E929}"/>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24131" xr:uid="{349FFAFE-15E5-4963-83D9-80DEF006A842}"/>
    <cellStyle name="Normal 2 4 2 3 4 2 2 2 3" xfId="15690" xr:uid="{E0A77B66-6985-4DB6-98A6-346417D0AB20}"/>
    <cellStyle name="Normal 2 4 2 3 4 2 2 3" xfId="19913" xr:uid="{2D8E397B-714F-4342-A260-1E3B07974CC5}"/>
    <cellStyle name="Normal 2 4 2 3 4 2 2 4" xfId="11472" xr:uid="{1E482D24-7228-4CC4-B106-DD48A890A91B}"/>
    <cellStyle name="Normal 2 4 2 3 4 2 3" xfId="5095" xr:uid="{00000000-0005-0000-0000-0000140F0000}"/>
    <cellStyle name="Normal 2 4 2 3 4 2 3 2" xfId="21986" xr:uid="{E60AC909-3BC9-4C55-B842-B01CC67588E1}"/>
    <cellStyle name="Normal 2 4 2 3 4 2 3 3" xfId="13545" xr:uid="{263EB7AF-CCD0-4187-85DD-F142CB1AE37C}"/>
    <cellStyle name="Normal 2 4 2 3 4 2 4" xfId="17768" xr:uid="{953A550B-DB24-4391-B9C8-8D680AD9345D}"/>
    <cellStyle name="Normal 2 4 2 3 4 2 5" xfId="9327" xr:uid="{D0E95E20-C14B-4ABD-9D42-1CC34BEAA50E}"/>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24544" xr:uid="{743D3935-85D8-4B33-A124-88DA44089697}"/>
    <cellStyle name="Normal 2 4 2 3 4 3 2 2 3" xfId="16103" xr:uid="{5FA9A91F-DD1B-4321-A478-41E1065897A4}"/>
    <cellStyle name="Normal 2 4 2 3 4 3 2 3" xfId="20326" xr:uid="{B9510238-C770-4190-A176-1AF4486EA6A0}"/>
    <cellStyle name="Normal 2 4 2 3 4 3 2 4" xfId="11885" xr:uid="{25B73D18-E436-443E-B62C-BED16FE08B5D}"/>
    <cellStyle name="Normal 2 4 2 3 4 3 3" xfId="5508" xr:uid="{00000000-0005-0000-0000-0000180F0000}"/>
    <cellStyle name="Normal 2 4 2 3 4 3 3 2" xfId="22399" xr:uid="{13CEC4B6-BCBD-4846-8D21-70953A2FE102}"/>
    <cellStyle name="Normal 2 4 2 3 4 3 3 3" xfId="13958" xr:uid="{EC0783F1-120E-4C72-A754-F4D49D89EA7D}"/>
    <cellStyle name="Normal 2 4 2 3 4 3 4" xfId="18181" xr:uid="{B4E826C1-61EF-4546-ACD8-4AE3975AEC88}"/>
    <cellStyle name="Normal 2 4 2 3 4 3 5" xfId="9740" xr:uid="{E150D81D-DD06-4D91-B2BA-CEA071066188}"/>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24957" xr:uid="{7DE67EDF-997E-40F9-9E09-C420A77A9F4C}"/>
    <cellStyle name="Normal 2 4 2 3 4 4 2 2 3" xfId="16516" xr:uid="{125E40BF-8AA2-403A-8B91-220812735100}"/>
    <cellStyle name="Normal 2 4 2 3 4 4 2 3" xfId="20739" xr:uid="{117B8711-9623-4498-8311-44FE7E5AE510}"/>
    <cellStyle name="Normal 2 4 2 3 4 4 2 4" xfId="12298" xr:uid="{507C2F54-2D2B-4807-AD56-705B8BDB4C16}"/>
    <cellStyle name="Normal 2 4 2 3 4 4 3" xfId="5921" xr:uid="{00000000-0005-0000-0000-00001C0F0000}"/>
    <cellStyle name="Normal 2 4 2 3 4 4 3 2" xfId="22812" xr:uid="{3C425191-4247-4417-BE60-CF6599AB2B2D}"/>
    <cellStyle name="Normal 2 4 2 3 4 4 3 3" xfId="14371" xr:uid="{A06FC8FC-A13F-445F-AF64-DBE4A5EB8B5A}"/>
    <cellStyle name="Normal 2 4 2 3 4 4 4" xfId="18594" xr:uid="{E6816CD5-0792-47CC-BB6E-5521C48EBFA1}"/>
    <cellStyle name="Normal 2 4 2 3 4 4 5" xfId="10153" xr:uid="{C21E015B-AFD7-4B8F-950A-594CDF16CFC2}"/>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25370" xr:uid="{B1D00188-06A8-4B74-BCBE-589647CA62BA}"/>
    <cellStyle name="Normal 2 4 2 3 4 5 2 2 3" xfId="16929" xr:uid="{64398CEA-0CC4-43C3-9480-17C2628388AD}"/>
    <cellStyle name="Normal 2 4 2 3 4 5 2 3" xfId="21152" xr:uid="{0F8CD1EF-421B-44C8-8CFB-949D4E92DE7F}"/>
    <cellStyle name="Normal 2 4 2 3 4 5 2 4" xfId="12711" xr:uid="{4B11912F-75B9-4A4D-BD9D-B97F5B0F3311}"/>
    <cellStyle name="Normal 2 4 2 3 4 5 3" xfId="6334" xr:uid="{00000000-0005-0000-0000-0000200F0000}"/>
    <cellStyle name="Normal 2 4 2 3 4 5 3 2" xfId="23225" xr:uid="{E85FF409-7F8F-481D-ABE2-767E92C27FB0}"/>
    <cellStyle name="Normal 2 4 2 3 4 5 3 3" xfId="14784" xr:uid="{79DA200D-70AB-4E44-A82C-670A328121BC}"/>
    <cellStyle name="Normal 2 4 2 3 4 5 4" xfId="19007" xr:uid="{A2A515BE-C130-40EC-8F68-1ED5C402A8CD}"/>
    <cellStyle name="Normal 2 4 2 3 4 5 5" xfId="10566" xr:uid="{691C3E32-373D-4C55-A77E-73F3F97FD3D2}"/>
    <cellStyle name="Normal 2 4 2 3 4 6" xfId="2464" xr:uid="{00000000-0005-0000-0000-0000210F0000}"/>
    <cellStyle name="Normal 2 4 2 3 4 6 2" xfId="6747" xr:uid="{00000000-0005-0000-0000-0000220F0000}"/>
    <cellStyle name="Normal 2 4 2 3 4 6 2 2" xfId="23638" xr:uid="{753ADB0D-A170-4F2C-8F05-465AABFE73D7}"/>
    <cellStyle name="Normal 2 4 2 3 4 6 2 3" xfId="15197" xr:uid="{8A9A5D94-5761-4956-99F1-CFEA40AEAA52}"/>
    <cellStyle name="Normal 2 4 2 3 4 6 3" xfId="19420" xr:uid="{53F00CA6-B2C5-4280-A2F0-7D56DF54B81A}"/>
    <cellStyle name="Normal 2 4 2 3 4 6 4" xfId="10979" xr:uid="{F1983CB5-8AEA-4F85-A051-81A0C8C9E117}"/>
    <cellStyle name="Normal 2 4 2 3 4 7" xfId="4681" xr:uid="{00000000-0005-0000-0000-0000230F0000}"/>
    <cellStyle name="Normal 2 4 2 3 4 7 2" xfId="21572" xr:uid="{EDF0BDBC-71D3-4920-B13A-26C2BED1F29E}"/>
    <cellStyle name="Normal 2 4 2 3 4 7 3" xfId="13131" xr:uid="{3FF88B50-A9B0-4143-B2B9-3A25F032A546}"/>
    <cellStyle name="Normal 2 4 2 3 4 8" xfId="17354" xr:uid="{0C6898D4-60E5-4645-A0B9-89D667CCA451}"/>
    <cellStyle name="Normal 2 4 2 3 4 9" xfId="8913" xr:uid="{1C2631AE-B647-46B8-8B9B-ABBCA1F837E5}"/>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24124" xr:uid="{33801381-49ED-4A1C-8E55-EB09FEE7B887}"/>
    <cellStyle name="Normal 2 4 2 3 5 2 2 3" xfId="15683" xr:uid="{21576930-0A47-46EA-AD77-A7021A321ABF}"/>
    <cellStyle name="Normal 2 4 2 3 5 2 3" xfId="19906" xr:uid="{DBE062BA-A429-4E24-B1BF-0FAC7E2F3789}"/>
    <cellStyle name="Normal 2 4 2 3 5 2 4" xfId="11465" xr:uid="{8ABB071B-589E-45D7-BE92-2657CC8750FF}"/>
    <cellStyle name="Normal 2 4 2 3 5 3" xfId="5088" xr:uid="{00000000-0005-0000-0000-0000270F0000}"/>
    <cellStyle name="Normal 2 4 2 3 5 3 2" xfId="21979" xr:uid="{D6897E55-3E11-4E0E-BA2C-7BCEBCC370AE}"/>
    <cellStyle name="Normal 2 4 2 3 5 3 3" xfId="13538" xr:uid="{4F1E2071-559C-4178-BE04-D93077D4D6D0}"/>
    <cellStyle name="Normal 2 4 2 3 5 4" xfId="17761" xr:uid="{A564B288-D9A1-49A2-80C5-EE63ADBDFA6F}"/>
    <cellStyle name="Normal 2 4 2 3 5 5" xfId="9320" xr:uid="{BACBBA7A-CE5B-4C6B-AEA0-8D46C4A071F0}"/>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24537" xr:uid="{37BE1B0F-F770-42DA-B136-CBECE1D248E7}"/>
    <cellStyle name="Normal 2 4 2 3 6 2 2 3" xfId="16096" xr:uid="{9A77BC80-8906-4E00-8967-134343B7FD3F}"/>
    <cellStyle name="Normal 2 4 2 3 6 2 3" xfId="20319" xr:uid="{FC53B953-8382-4D48-ACBE-5C8CCDAD06BD}"/>
    <cellStyle name="Normal 2 4 2 3 6 2 4" xfId="11878" xr:uid="{515B7D1F-FD68-485D-B8E6-3E7269EE6FBB}"/>
    <cellStyle name="Normal 2 4 2 3 6 3" xfId="5501" xr:uid="{00000000-0005-0000-0000-00002B0F0000}"/>
    <cellStyle name="Normal 2 4 2 3 6 3 2" xfId="22392" xr:uid="{912621C6-22F8-44ED-9E14-F31F0992E404}"/>
    <cellStyle name="Normal 2 4 2 3 6 3 3" xfId="13951" xr:uid="{B0029699-E532-4D46-B702-BB833F96D578}"/>
    <cellStyle name="Normal 2 4 2 3 6 4" xfId="18174" xr:uid="{5D9BD1ED-8EA1-4F84-AB2A-96BFB63BFF0E}"/>
    <cellStyle name="Normal 2 4 2 3 6 5" xfId="9733" xr:uid="{985B9406-86BC-4FE2-91EC-D3EF76052F2D}"/>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24950" xr:uid="{5EB95B41-18F9-48BB-8736-598D8770BCDF}"/>
    <cellStyle name="Normal 2 4 2 3 7 2 2 3" xfId="16509" xr:uid="{7F7F28EA-142D-47C3-9139-9018DA2F9BDE}"/>
    <cellStyle name="Normal 2 4 2 3 7 2 3" xfId="20732" xr:uid="{141838C9-FF76-4924-B673-983141215152}"/>
    <cellStyle name="Normal 2 4 2 3 7 2 4" xfId="12291" xr:uid="{38A17897-84F9-4630-B626-E766B10BE117}"/>
    <cellStyle name="Normal 2 4 2 3 7 3" xfId="5914" xr:uid="{00000000-0005-0000-0000-00002F0F0000}"/>
    <cellStyle name="Normal 2 4 2 3 7 3 2" xfId="22805" xr:uid="{BBDA0FCF-87F1-4324-A997-CC6DE9A7DBFC}"/>
    <cellStyle name="Normal 2 4 2 3 7 3 3" xfId="14364" xr:uid="{1B7EB44C-C170-40FC-984E-937C2439CD41}"/>
    <cellStyle name="Normal 2 4 2 3 7 4" xfId="18587" xr:uid="{79FA4B50-ADAD-449E-91B9-2DF760BC8D51}"/>
    <cellStyle name="Normal 2 4 2 3 7 5" xfId="10146" xr:uid="{6126FC67-DF51-46CD-8910-67042B98FEE5}"/>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25363" xr:uid="{EFF58F69-7AE6-4B77-9683-40EE15F79EE7}"/>
    <cellStyle name="Normal 2 4 2 3 8 2 2 3" xfId="16922" xr:uid="{0F838097-C019-4F61-862A-27A90F90F3FC}"/>
    <cellStyle name="Normal 2 4 2 3 8 2 3" xfId="21145" xr:uid="{2954B968-AC44-4B26-AA96-98BDB2BE6971}"/>
    <cellStyle name="Normal 2 4 2 3 8 2 4" xfId="12704" xr:uid="{6823C8B6-90C0-42E1-A3C7-F9DB4CBEAF2E}"/>
    <cellStyle name="Normal 2 4 2 3 8 3" xfId="6327" xr:uid="{00000000-0005-0000-0000-0000330F0000}"/>
    <cellStyle name="Normal 2 4 2 3 8 3 2" xfId="23218" xr:uid="{0346DEB8-6EDA-41F2-8272-9F5B875F606F}"/>
    <cellStyle name="Normal 2 4 2 3 8 3 3" xfId="14777" xr:uid="{A8C11151-9286-42F6-9FD3-8B4C9D132738}"/>
    <cellStyle name="Normal 2 4 2 3 8 4" xfId="19000" xr:uid="{2F853E8D-EC51-4276-B594-7C8553160F03}"/>
    <cellStyle name="Normal 2 4 2 3 8 5" xfId="10559" xr:uid="{1741F2FF-B63D-416F-A0E4-6BF26127E9DD}"/>
    <cellStyle name="Normal 2 4 2 3 9" xfId="2457" xr:uid="{00000000-0005-0000-0000-0000340F0000}"/>
    <cellStyle name="Normal 2 4 2 3 9 2" xfId="6740" xr:uid="{00000000-0005-0000-0000-0000350F0000}"/>
    <cellStyle name="Normal 2 4 2 3 9 2 2" xfId="23631" xr:uid="{AC918223-4B34-4B5C-98FE-5B99F12B144B}"/>
    <cellStyle name="Normal 2 4 2 3 9 2 3" xfId="15190" xr:uid="{4143148C-C08D-47F8-8CA0-9ABC160B3527}"/>
    <cellStyle name="Normal 2 4 2 3 9 3" xfId="19413" xr:uid="{DE09C926-77DE-4F33-A241-DFF6E0918ECC}"/>
    <cellStyle name="Normal 2 4 2 3 9 4" xfId="10972" xr:uid="{6DCAF0C7-8B30-492B-80BC-6387FCCA3E01}"/>
    <cellStyle name="Normal 2 4 2 4" xfId="289" xr:uid="{00000000-0005-0000-0000-0000360F0000}"/>
    <cellStyle name="Normal 2 4 2 4 10" xfId="17355" xr:uid="{0F5DCB9D-7474-4C82-A459-98028C8852D7}"/>
    <cellStyle name="Normal 2 4 2 4 11" xfId="8914" xr:uid="{A8FFF7F3-09F9-4044-9A65-74027CD89ABB}"/>
    <cellStyle name="Normal 2 4 2 4 2" xfId="290" xr:uid="{00000000-0005-0000-0000-0000370F0000}"/>
    <cellStyle name="Normal 2 4 2 4 2 10" xfId="8915" xr:uid="{57816DE2-EE0F-454C-9C6E-D67F93EE0AE8}"/>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24134" xr:uid="{466406E7-5BC4-416C-9BE0-99F04B53F3F6}"/>
    <cellStyle name="Normal 2 4 2 4 2 2 2 2 2 3" xfId="15693" xr:uid="{128F47F2-53E6-4AC3-A9AC-AAEE9142DE94}"/>
    <cellStyle name="Normal 2 4 2 4 2 2 2 2 3" xfId="19916" xr:uid="{1DE5B454-9D9B-44A8-9969-858522F1D85C}"/>
    <cellStyle name="Normal 2 4 2 4 2 2 2 2 4" xfId="11475" xr:uid="{91362BCA-8450-43EF-83D4-97BE2457A39F}"/>
    <cellStyle name="Normal 2 4 2 4 2 2 2 3" xfId="5098" xr:uid="{00000000-0005-0000-0000-00003C0F0000}"/>
    <cellStyle name="Normal 2 4 2 4 2 2 2 3 2" xfId="21989" xr:uid="{DA53D11F-3191-41D2-8C70-BFBF899EBE3C}"/>
    <cellStyle name="Normal 2 4 2 4 2 2 2 3 3" xfId="13548" xr:uid="{41B9D3F7-DC24-4629-9A0C-6269F8B88C5D}"/>
    <cellStyle name="Normal 2 4 2 4 2 2 2 4" xfId="17771" xr:uid="{D2624747-0B32-4BC7-A792-BAFA67093F40}"/>
    <cellStyle name="Normal 2 4 2 4 2 2 2 5" xfId="9330" xr:uid="{D46B88AF-1668-4F3D-BBC2-CE1B22B30F81}"/>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24547" xr:uid="{03F74F86-6AC3-4158-8318-C00CD734C279}"/>
    <cellStyle name="Normal 2 4 2 4 2 2 3 2 2 3" xfId="16106" xr:uid="{38474E9E-E49C-445D-BDA7-DF9FCDA290EA}"/>
    <cellStyle name="Normal 2 4 2 4 2 2 3 2 3" xfId="20329" xr:uid="{326CFC14-ADC1-42AF-B92F-D50B1D9A91E1}"/>
    <cellStyle name="Normal 2 4 2 4 2 2 3 2 4" xfId="11888" xr:uid="{5C577177-C388-42E9-886F-09F03C67C763}"/>
    <cellStyle name="Normal 2 4 2 4 2 2 3 3" xfId="5511" xr:uid="{00000000-0005-0000-0000-0000400F0000}"/>
    <cellStyle name="Normal 2 4 2 4 2 2 3 3 2" xfId="22402" xr:uid="{277F1AA9-8676-4094-9766-482C384BD625}"/>
    <cellStyle name="Normal 2 4 2 4 2 2 3 3 3" xfId="13961" xr:uid="{6E306984-3681-46FB-A271-3D7FC9088CC9}"/>
    <cellStyle name="Normal 2 4 2 4 2 2 3 4" xfId="18184" xr:uid="{248378B7-09EE-4076-B23B-C0BAAA7FCA7F}"/>
    <cellStyle name="Normal 2 4 2 4 2 2 3 5" xfId="9743" xr:uid="{7408E44A-6979-44D9-9426-4947CF10DB2C}"/>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24960" xr:uid="{AC7A6342-E3A8-4007-B5FD-724CCE2863C0}"/>
    <cellStyle name="Normal 2 4 2 4 2 2 4 2 2 3" xfId="16519" xr:uid="{FF52C12B-7072-4231-AEA3-2A09F8DBE45D}"/>
    <cellStyle name="Normal 2 4 2 4 2 2 4 2 3" xfId="20742" xr:uid="{4793559D-6013-4302-804D-1E609DBE2093}"/>
    <cellStyle name="Normal 2 4 2 4 2 2 4 2 4" xfId="12301" xr:uid="{F141C873-397B-4407-AE10-CD0F2B54D20F}"/>
    <cellStyle name="Normal 2 4 2 4 2 2 4 3" xfId="5924" xr:uid="{00000000-0005-0000-0000-0000440F0000}"/>
    <cellStyle name="Normal 2 4 2 4 2 2 4 3 2" xfId="22815" xr:uid="{63B3F47F-FD5B-421E-A208-C378A56DC141}"/>
    <cellStyle name="Normal 2 4 2 4 2 2 4 3 3" xfId="14374" xr:uid="{FAEC2115-66AD-4700-B50C-D8136A66B3FC}"/>
    <cellStyle name="Normal 2 4 2 4 2 2 4 4" xfId="18597" xr:uid="{5002247B-AC61-40D2-A841-7F6D4B407504}"/>
    <cellStyle name="Normal 2 4 2 4 2 2 4 5" xfId="10156" xr:uid="{75FCCFC7-0D15-4ACE-BD35-7255DE98A9F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25373" xr:uid="{27A130F8-2BEA-4B0B-B368-32077BDA616F}"/>
    <cellStyle name="Normal 2 4 2 4 2 2 5 2 2 3" xfId="16932" xr:uid="{F99E5B18-F8EB-4BD2-BDA7-03C20A2CE174}"/>
    <cellStyle name="Normal 2 4 2 4 2 2 5 2 3" xfId="21155" xr:uid="{E42A98C6-1CC6-4771-B32B-5FECA185E3B4}"/>
    <cellStyle name="Normal 2 4 2 4 2 2 5 2 4" xfId="12714" xr:uid="{19B0638A-9078-4C0B-A7D8-B6A2A80682A5}"/>
    <cellStyle name="Normal 2 4 2 4 2 2 5 3" xfId="6337" xr:uid="{00000000-0005-0000-0000-0000480F0000}"/>
    <cellStyle name="Normal 2 4 2 4 2 2 5 3 2" xfId="23228" xr:uid="{6EC0DB65-79F4-4020-8AAA-11908C7ED61D}"/>
    <cellStyle name="Normal 2 4 2 4 2 2 5 3 3" xfId="14787" xr:uid="{82FC1000-D583-4A22-B019-9FE7064146C1}"/>
    <cellStyle name="Normal 2 4 2 4 2 2 5 4" xfId="19010" xr:uid="{2B4ED684-4682-4662-A099-01378A2D57B8}"/>
    <cellStyle name="Normal 2 4 2 4 2 2 5 5" xfId="10569" xr:uid="{6A43D1F2-2740-4D61-85E1-197AD29ECD43}"/>
    <cellStyle name="Normal 2 4 2 4 2 2 6" xfId="2467" xr:uid="{00000000-0005-0000-0000-0000490F0000}"/>
    <cellStyle name="Normal 2 4 2 4 2 2 6 2" xfId="6750" xr:uid="{00000000-0005-0000-0000-00004A0F0000}"/>
    <cellStyle name="Normal 2 4 2 4 2 2 6 2 2" xfId="23641" xr:uid="{2E1D1F38-30C4-48E7-A42C-9AAE81F548CD}"/>
    <cellStyle name="Normal 2 4 2 4 2 2 6 2 3" xfId="15200" xr:uid="{96BCC5C8-ADF3-4BFB-A19B-54A190E2D1DA}"/>
    <cellStyle name="Normal 2 4 2 4 2 2 6 3" xfId="19423" xr:uid="{B65ED743-F17B-4EF6-9D7D-8FC15262ADA0}"/>
    <cellStyle name="Normal 2 4 2 4 2 2 6 4" xfId="10982" xr:uid="{32CDF690-BD87-4CAF-B7FE-0D00524DF693}"/>
    <cellStyle name="Normal 2 4 2 4 2 2 7" xfId="4684" xr:uid="{00000000-0005-0000-0000-00004B0F0000}"/>
    <cellStyle name="Normal 2 4 2 4 2 2 7 2" xfId="21575" xr:uid="{F56619DA-8D7B-4028-A591-6D558447CA7F}"/>
    <cellStyle name="Normal 2 4 2 4 2 2 7 3" xfId="13134" xr:uid="{8FD5B7A2-C654-487B-AC30-1B5DF914315B}"/>
    <cellStyle name="Normal 2 4 2 4 2 2 8" xfId="17357" xr:uid="{4DC4A30D-AA36-4AC7-9489-666811EF1946}"/>
    <cellStyle name="Normal 2 4 2 4 2 2 9" xfId="8916" xr:uid="{DDFE67F7-CB16-417D-B919-ED3466DFD412}"/>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24133" xr:uid="{8D4B3F12-8E87-4BD6-B180-FB35DC8D81CD}"/>
    <cellStyle name="Normal 2 4 2 4 2 3 2 2 3" xfId="15692" xr:uid="{BF44B46A-A568-4C4A-AC3E-2A2B75E3FED7}"/>
    <cellStyle name="Normal 2 4 2 4 2 3 2 3" xfId="19915" xr:uid="{7A5BF5A1-D516-4B62-A7FA-802635A27548}"/>
    <cellStyle name="Normal 2 4 2 4 2 3 2 4" xfId="11474" xr:uid="{63221EA9-82B4-4392-A039-32D224938A38}"/>
    <cellStyle name="Normal 2 4 2 4 2 3 3" xfId="5097" xr:uid="{00000000-0005-0000-0000-00004F0F0000}"/>
    <cellStyle name="Normal 2 4 2 4 2 3 3 2" xfId="21988" xr:uid="{B1E138C1-8E72-4C7E-93B8-AD67CA969077}"/>
    <cellStyle name="Normal 2 4 2 4 2 3 3 3" xfId="13547" xr:uid="{770DBA3A-0A9B-4500-BD2C-3E0AD2A38ED2}"/>
    <cellStyle name="Normal 2 4 2 4 2 3 4" xfId="17770" xr:uid="{42FBB5FD-844A-406B-8021-3B202170703A}"/>
    <cellStyle name="Normal 2 4 2 4 2 3 5" xfId="9329" xr:uid="{CCBC3606-281B-4115-97BD-448CF25BDA62}"/>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24546" xr:uid="{362F9748-BFCB-4052-92A5-52F70CE04129}"/>
    <cellStyle name="Normal 2 4 2 4 2 4 2 2 3" xfId="16105" xr:uid="{F225AC0F-AFAB-41E4-97AB-C7B11B042774}"/>
    <cellStyle name="Normal 2 4 2 4 2 4 2 3" xfId="20328" xr:uid="{C6807511-3397-4886-B359-91BB0F4EA540}"/>
    <cellStyle name="Normal 2 4 2 4 2 4 2 4" xfId="11887" xr:uid="{BD0E0277-03CA-4EBD-B21E-09ACD1D6D6AE}"/>
    <cellStyle name="Normal 2 4 2 4 2 4 3" xfId="5510" xr:uid="{00000000-0005-0000-0000-0000530F0000}"/>
    <cellStyle name="Normal 2 4 2 4 2 4 3 2" xfId="22401" xr:uid="{CEC21353-D0BB-4C24-A9B3-B9626AA4681A}"/>
    <cellStyle name="Normal 2 4 2 4 2 4 3 3" xfId="13960" xr:uid="{78454F45-9B9F-47D3-B61F-A26300C10E04}"/>
    <cellStyle name="Normal 2 4 2 4 2 4 4" xfId="18183" xr:uid="{56240DD5-5A1C-4B00-B9C0-4D2124A00EE6}"/>
    <cellStyle name="Normal 2 4 2 4 2 4 5" xfId="9742" xr:uid="{F0871531-DD1A-4AC9-9915-E493CBB2CECC}"/>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24959" xr:uid="{B6FE8D65-6470-431B-8038-0E7ACFDCE181}"/>
    <cellStyle name="Normal 2 4 2 4 2 5 2 2 3" xfId="16518" xr:uid="{4F6E8FEE-C79D-450C-B2FC-B6218DCF2E08}"/>
    <cellStyle name="Normal 2 4 2 4 2 5 2 3" xfId="20741" xr:uid="{8B275BC8-BAA6-4E8E-A2E5-CE38C4013BF9}"/>
    <cellStyle name="Normal 2 4 2 4 2 5 2 4" xfId="12300" xr:uid="{AC3DDFAB-7B11-4DCF-961C-915F56228484}"/>
    <cellStyle name="Normal 2 4 2 4 2 5 3" xfId="5923" xr:uid="{00000000-0005-0000-0000-0000570F0000}"/>
    <cellStyle name="Normal 2 4 2 4 2 5 3 2" xfId="22814" xr:uid="{83BE7CE3-BAAD-451B-A3A7-EA6D362EB0CD}"/>
    <cellStyle name="Normal 2 4 2 4 2 5 3 3" xfId="14373" xr:uid="{2F736390-DA5E-43DD-ABAC-5A6AB08EDDC4}"/>
    <cellStyle name="Normal 2 4 2 4 2 5 4" xfId="18596" xr:uid="{8429F7FF-C7F0-4547-947A-D47407C540B1}"/>
    <cellStyle name="Normal 2 4 2 4 2 5 5" xfId="10155" xr:uid="{8CDCA0D2-C48D-4955-9FA2-C9570B9D62F2}"/>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25372" xr:uid="{2B50D36A-2C6F-4137-8F44-F88F8361B978}"/>
    <cellStyle name="Normal 2 4 2 4 2 6 2 2 3" xfId="16931" xr:uid="{257528FE-01DD-441A-A720-F667A3E51EEB}"/>
    <cellStyle name="Normal 2 4 2 4 2 6 2 3" xfId="21154" xr:uid="{5DDC6327-AD05-4904-A737-C0505C0B2AF4}"/>
    <cellStyle name="Normal 2 4 2 4 2 6 2 4" xfId="12713" xr:uid="{91C2FB47-9DD9-4595-A5DF-5A89F9D8E742}"/>
    <cellStyle name="Normal 2 4 2 4 2 6 3" xfId="6336" xr:uid="{00000000-0005-0000-0000-00005B0F0000}"/>
    <cellStyle name="Normal 2 4 2 4 2 6 3 2" xfId="23227" xr:uid="{1E95F963-1C0A-4898-8318-F6C067C198ED}"/>
    <cellStyle name="Normal 2 4 2 4 2 6 3 3" xfId="14786" xr:uid="{E425DAE1-C336-4692-99B0-7093AE35234F}"/>
    <cellStyle name="Normal 2 4 2 4 2 6 4" xfId="19009" xr:uid="{21158FE1-2BBE-41C5-A00D-429ECB0EBBFC}"/>
    <cellStyle name="Normal 2 4 2 4 2 6 5" xfId="10568" xr:uid="{C4B4B30E-439D-4817-9E52-9D1E1C8A8483}"/>
    <cellStyle name="Normal 2 4 2 4 2 7" xfId="2466" xr:uid="{00000000-0005-0000-0000-00005C0F0000}"/>
    <cellStyle name="Normal 2 4 2 4 2 7 2" xfId="6749" xr:uid="{00000000-0005-0000-0000-00005D0F0000}"/>
    <cellStyle name="Normal 2 4 2 4 2 7 2 2" xfId="23640" xr:uid="{A144696A-F69D-4683-AEA2-223C0DD57BE1}"/>
    <cellStyle name="Normal 2 4 2 4 2 7 2 3" xfId="15199" xr:uid="{F95DF7F2-1DFC-4E82-8CE2-C6FE6FC6A314}"/>
    <cellStyle name="Normal 2 4 2 4 2 7 3" xfId="19422" xr:uid="{00B3D8BC-A611-468D-8B5A-FC673ED2F07F}"/>
    <cellStyle name="Normal 2 4 2 4 2 7 4" xfId="10981" xr:uid="{385D8510-20F4-4E8F-8F11-0B24C12B088B}"/>
    <cellStyle name="Normal 2 4 2 4 2 8" xfId="4683" xr:uid="{00000000-0005-0000-0000-00005E0F0000}"/>
    <cellStyle name="Normal 2 4 2 4 2 8 2" xfId="21574" xr:uid="{4D82BB6D-5173-4D1C-879B-58E003C30F6F}"/>
    <cellStyle name="Normal 2 4 2 4 2 8 3" xfId="13133" xr:uid="{58CF8B16-8514-464E-9B56-1E9495D3139F}"/>
    <cellStyle name="Normal 2 4 2 4 2 9" xfId="17356" xr:uid="{6CB17250-3566-4ACC-98CB-AEF55E4C9339}"/>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24135" xr:uid="{03AD7DCA-5AC6-4C2A-9C5A-FCCCDAEF2473}"/>
    <cellStyle name="Normal 2 4 2 4 3 2 2 2 3" xfId="15694" xr:uid="{73A064FB-9FA8-45C1-827C-3CB8D69052B5}"/>
    <cellStyle name="Normal 2 4 2 4 3 2 2 3" xfId="19917" xr:uid="{459F6AAF-1E3A-4F86-B0D1-0B3BFD8C0389}"/>
    <cellStyle name="Normal 2 4 2 4 3 2 2 4" xfId="11476" xr:uid="{D2E4AA67-9C33-460B-A2FA-034D901B0BDC}"/>
    <cellStyle name="Normal 2 4 2 4 3 2 3" xfId="5099" xr:uid="{00000000-0005-0000-0000-0000630F0000}"/>
    <cellStyle name="Normal 2 4 2 4 3 2 3 2" xfId="21990" xr:uid="{4643284A-FB16-4700-9E67-EFE5916B9B5E}"/>
    <cellStyle name="Normal 2 4 2 4 3 2 3 3" xfId="13549" xr:uid="{E03B6762-B315-4335-A812-FB0A36CAC0D6}"/>
    <cellStyle name="Normal 2 4 2 4 3 2 4" xfId="17772" xr:uid="{DFCC4187-41D0-4B1D-9E79-324851D23D6C}"/>
    <cellStyle name="Normal 2 4 2 4 3 2 5" xfId="9331" xr:uid="{E494BD05-9065-45A5-88A5-732B34B76A4D}"/>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24548" xr:uid="{D13DE842-3DC6-464D-BA32-BCD6917A1AD6}"/>
    <cellStyle name="Normal 2 4 2 4 3 3 2 2 3" xfId="16107" xr:uid="{7CDAF6E8-BFFB-4048-90BF-B0492DBC6942}"/>
    <cellStyle name="Normal 2 4 2 4 3 3 2 3" xfId="20330" xr:uid="{ED65DFCF-E101-43AC-8BA8-FD4726ED1DCA}"/>
    <cellStyle name="Normal 2 4 2 4 3 3 2 4" xfId="11889" xr:uid="{8814ED40-2278-4F14-BDA9-AFB884A979A2}"/>
    <cellStyle name="Normal 2 4 2 4 3 3 3" xfId="5512" xr:uid="{00000000-0005-0000-0000-0000670F0000}"/>
    <cellStyle name="Normal 2 4 2 4 3 3 3 2" xfId="22403" xr:uid="{8D90B30A-7A2D-4EA1-A627-2E8912C81A01}"/>
    <cellStyle name="Normal 2 4 2 4 3 3 3 3" xfId="13962" xr:uid="{911D6C70-43D6-48EF-A332-92FE85DCA9E3}"/>
    <cellStyle name="Normal 2 4 2 4 3 3 4" xfId="18185" xr:uid="{DE558CA0-A142-456A-84C5-855D298BB561}"/>
    <cellStyle name="Normal 2 4 2 4 3 3 5" xfId="9744" xr:uid="{4562CDB4-40DE-4FAF-ADEA-FB0E01C7CA0D}"/>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24961" xr:uid="{E45426AA-FAB5-40CB-913E-D4138A138AAE}"/>
    <cellStyle name="Normal 2 4 2 4 3 4 2 2 3" xfId="16520" xr:uid="{AB295CD8-4919-41F8-8C35-20D84B2FB0FB}"/>
    <cellStyle name="Normal 2 4 2 4 3 4 2 3" xfId="20743" xr:uid="{FBF58998-41B4-4570-BA9E-98B47177A085}"/>
    <cellStyle name="Normal 2 4 2 4 3 4 2 4" xfId="12302" xr:uid="{96ABDB7B-83FB-4A4E-BF3E-A6EF9D93EF55}"/>
    <cellStyle name="Normal 2 4 2 4 3 4 3" xfId="5925" xr:uid="{00000000-0005-0000-0000-00006B0F0000}"/>
    <cellStyle name="Normal 2 4 2 4 3 4 3 2" xfId="22816" xr:uid="{769D3164-7EEC-4F39-813B-D3BC099515AE}"/>
    <cellStyle name="Normal 2 4 2 4 3 4 3 3" xfId="14375" xr:uid="{A8A47A85-FD65-421D-9E42-0DF86B7A3C13}"/>
    <cellStyle name="Normal 2 4 2 4 3 4 4" xfId="18598" xr:uid="{C1830885-E5DC-481A-9866-C4E4E885F7CB}"/>
    <cellStyle name="Normal 2 4 2 4 3 4 5" xfId="10157" xr:uid="{27335BC9-1BEA-4340-877D-DC646882BC1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25374" xr:uid="{AF2FCE00-68A4-4E71-B6D7-807899AF9BF4}"/>
    <cellStyle name="Normal 2 4 2 4 3 5 2 2 3" xfId="16933" xr:uid="{8A813B07-3E77-48E9-B307-F1D30AB5E0A8}"/>
    <cellStyle name="Normal 2 4 2 4 3 5 2 3" xfId="21156" xr:uid="{37430010-3D69-4B29-BDF1-B737CDFB0F7A}"/>
    <cellStyle name="Normal 2 4 2 4 3 5 2 4" xfId="12715" xr:uid="{E83549A4-5B46-4922-A1DE-DA248FD05784}"/>
    <cellStyle name="Normal 2 4 2 4 3 5 3" xfId="6338" xr:uid="{00000000-0005-0000-0000-00006F0F0000}"/>
    <cellStyle name="Normal 2 4 2 4 3 5 3 2" xfId="23229" xr:uid="{BACECE68-3450-46B8-94F4-1DE490B9C674}"/>
    <cellStyle name="Normal 2 4 2 4 3 5 3 3" xfId="14788" xr:uid="{7280C1FF-9752-4AE4-9AA2-5851EFC583D8}"/>
    <cellStyle name="Normal 2 4 2 4 3 5 4" xfId="19011" xr:uid="{45241DBB-05DC-4964-A1CD-CD49ACBEFAC2}"/>
    <cellStyle name="Normal 2 4 2 4 3 5 5" xfId="10570" xr:uid="{678FE7AC-5D5E-492B-8DB1-81A02A69400D}"/>
    <cellStyle name="Normal 2 4 2 4 3 6" xfId="2468" xr:uid="{00000000-0005-0000-0000-0000700F0000}"/>
    <cellStyle name="Normal 2 4 2 4 3 6 2" xfId="6751" xr:uid="{00000000-0005-0000-0000-0000710F0000}"/>
    <cellStyle name="Normal 2 4 2 4 3 6 2 2" xfId="23642" xr:uid="{61106F22-EF05-4174-AF47-1880D196F93F}"/>
    <cellStyle name="Normal 2 4 2 4 3 6 2 3" xfId="15201" xr:uid="{70900BEA-2287-4300-A9AC-DCD527C36117}"/>
    <cellStyle name="Normal 2 4 2 4 3 6 3" xfId="19424" xr:uid="{9225323C-0999-4182-AA45-FBB41B962366}"/>
    <cellStyle name="Normal 2 4 2 4 3 6 4" xfId="10983" xr:uid="{0E1161D1-B773-4EA3-8BFE-F9E1FE5C093E}"/>
    <cellStyle name="Normal 2 4 2 4 3 7" xfId="4685" xr:uid="{00000000-0005-0000-0000-0000720F0000}"/>
    <cellStyle name="Normal 2 4 2 4 3 7 2" xfId="21576" xr:uid="{7AE87578-D040-4741-BE02-DF062C9E5BCD}"/>
    <cellStyle name="Normal 2 4 2 4 3 7 3" xfId="13135" xr:uid="{A6CE0475-B1D8-4CC9-86E8-AC9A7DED2505}"/>
    <cellStyle name="Normal 2 4 2 4 3 8" xfId="17358" xr:uid="{A209E320-56AE-49A6-8F9D-5AC26832CA99}"/>
    <cellStyle name="Normal 2 4 2 4 3 9" xfId="8917" xr:uid="{44193BE5-D92E-441B-B655-D8898FF3EF45}"/>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24132" xr:uid="{8234B564-56E8-4D5B-8B2F-229916904ED2}"/>
    <cellStyle name="Normal 2 4 2 4 4 2 2 3" xfId="15691" xr:uid="{C5E9648D-3974-42FB-9B65-24692964F498}"/>
    <cellStyle name="Normal 2 4 2 4 4 2 3" xfId="19914" xr:uid="{52225957-0ADD-4959-9287-000938732DAA}"/>
    <cellStyle name="Normal 2 4 2 4 4 2 4" xfId="11473" xr:uid="{75E1F05B-776C-4D49-BECA-1ECFEF2109FA}"/>
    <cellStyle name="Normal 2 4 2 4 4 3" xfId="5096" xr:uid="{00000000-0005-0000-0000-0000760F0000}"/>
    <cellStyle name="Normal 2 4 2 4 4 3 2" xfId="21987" xr:uid="{C55F7212-36B2-430D-8C74-C107A6148359}"/>
    <cellStyle name="Normal 2 4 2 4 4 3 3" xfId="13546" xr:uid="{FEC77BD1-A024-490B-88FD-0BDAD46AE875}"/>
    <cellStyle name="Normal 2 4 2 4 4 4" xfId="17769" xr:uid="{6AB6375B-6B6F-4CF6-BB92-7018AE2CDE06}"/>
    <cellStyle name="Normal 2 4 2 4 4 5" xfId="9328" xr:uid="{7A807DD3-1DE3-40F6-B08C-CFB4428F6A2C}"/>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24545" xr:uid="{A78BC035-DC4C-40DE-9E1C-A694EE40019D}"/>
    <cellStyle name="Normal 2 4 2 4 5 2 2 3" xfId="16104" xr:uid="{0AFC7F9C-BCEC-439A-94F6-18D21F1F0C68}"/>
    <cellStyle name="Normal 2 4 2 4 5 2 3" xfId="20327" xr:uid="{F6745134-3481-4A92-9AB0-535CEE139CBD}"/>
    <cellStyle name="Normal 2 4 2 4 5 2 4" xfId="11886" xr:uid="{2B20A265-DD5D-4887-A4B5-DF5EA647D0FD}"/>
    <cellStyle name="Normal 2 4 2 4 5 3" xfId="5509" xr:uid="{00000000-0005-0000-0000-00007A0F0000}"/>
    <cellStyle name="Normal 2 4 2 4 5 3 2" xfId="22400" xr:uid="{9A151055-CD54-4805-ACA0-B940F6402B63}"/>
    <cellStyle name="Normal 2 4 2 4 5 3 3" xfId="13959" xr:uid="{654CACD0-919B-489D-9B1E-5A7CA21BD6F4}"/>
    <cellStyle name="Normal 2 4 2 4 5 4" xfId="18182" xr:uid="{C43DEE49-C348-4567-803A-4E56F30C0A9C}"/>
    <cellStyle name="Normal 2 4 2 4 5 5" xfId="9741" xr:uid="{D1F73195-05B4-44BF-A6C3-349570C73621}"/>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24958" xr:uid="{30264669-8DD7-4E98-8896-FA6297F3C177}"/>
    <cellStyle name="Normal 2 4 2 4 6 2 2 3" xfId="16517" xr:uid="{B821B2F1-27DD-41C4-9150-5BEB1013B95C}"/>
    <cellStyle name="Normal 2 4 2 4 6 2 3" xfId="20740" xr:uid="{A871515D-AF8F-4E1B-947A-73F70A897E9C}"/>
    <cellStyle name="Normal 2 4 2 4 6 2 4" xfId="12299" xr:uid="{4ADB61CF-0AC3-4153-91FC-DF886864B053}"/>
    <cellStyle name="Normal 2 4 2 4 6 3" xfId="5922" xr:uid="{00000000-0005-0000-0000-00007E0F0000}"/>
    <cellStyle name="Normal 2 4 2 4 6 3 2" xfId="22813" xr:uid="{FECD7114-3222-4DD1-9B77-3E6928018664}"/>
    <cellStyle name="Normal 2 4 2 4 6 3 3" xfId="14372" xr:uid="{6485FAE9-7FD7-47DE-9BC4-55AB3CA01365}"/>
    <cellStyle name="Normal 2 4 2 4 6 4" xfId="18595" xr:uid="{59111B43-99F3-4B9F-A11F-EF12B9902A26}"/>
    <cellStyle name="Normal 2 4 2 4 6 5" xfId="10154" xr:uid="{CEA08137-DA22-4DCE-8383-BDF4784C8A21}"/>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25371" xr:uid="{C2460D3A-849F-4A38-9807-37201B7EBCE9}"/>
    <cellStyle name="Normal 2 4 2 4 7 2 2 3" xfId="16930" xr:uid="{16D49F1B-9E67-46FC-AD2C-F208F32C7CF6}"/>
    <cellStyle name="Normal 2 4 2 4 7 2 3" xfId="21153" xr:uid="{E546E37A-703A-4260-ADEE-14D7B18D974A}"/>
    <cellStyle name="Normal 2 4 2 4 7 2 4" xfId="12712" xr:uid="{589AF87D-DA8A-43ED-B98C-5F0E3BC9BB35}"/>
    <cellStyle name="Normal 2 4 2 4 7 3" xfId="6335" xr:uid="{00000000-0005-0000-0000-0000820F0000}"/>
    <cellStyle name="Normal 2 4 2 4 7 3 2" xfId="23226" xr:uid="{58760F18-A2BB-4B41-9EFE-05BE484D18CC}"/>
    <cellStyle name="Normal 2 4 2 4 7 3 3" xfId="14785" xr:uid="{54EC9078-7CDC-4E32-AB05-5EC4692F3D58}"/>
    <cellStyle name="Normal 2 4 2 4 7 4" xfId="19008" xr:uid="{05C1E61A-A710-4E0F-B87E-A7527BAF58B7}"/>
    <cellStyle name="Normal 2 4 2 4 7 5" xfId="10567" xr:uid="{63CB9172-36E8-4A00-AAF8-7BA087ABD0E3}"/>
    <cellStyle name="Normal 2 4 2 4 8" xfId="2465" xr:uid="{00000000-0005-0000-0000-0000830F0000}"/>
    <cellStyle name="Normal 2 4 2 4 8 2" xfId="6748" xr:uid="{00000000-0005-0000-0000-0000840F0000}"/>
    <cellStyle name="Normal 2 4 2 4 8 2 2" xfId="23639" xr:uid="{85C18F5E-7D21-4385-A6D9-97CA44F6DFD4}"/>
    <cellStyle name="Normal 2 4 2 4 8 2 3" xfId="15198" xr:uid="{62B33BB2-8A26-4CEA-A5DA-AA771999A1B2}"/>
    <cellStyle name="Normal 2 4 2 4 8 3" xfId="19421" xr:uid="{FC7B6F91-2B31-4221-A9D0-3DF613252502}"/>
    <cellStyle name="Normal 2 4 2 4 8 4" xfId="10980" xr:uid="{4E330321-E82F-4D36-90CB-C41F53B7FFA3}"/>
    <cellStyle name="Normal 2 4 2 4 9" xfId="4682" xr:uid="{00000000-0005-0000-0000-0000850F0000}"/>
    <cellStyle name="Normal 2 4 2 4 9 2" xfId="21573" xr:uid="{C82FA900-A6AF-4F90-9A7E-03CAB9BC2440}"/>
    <cellStyle name="Normal 2 4 2 4 9 3" xfId="13132" xr:uid="{BBA64592-D9AA-477F-A575-067D6B2DD63C}"/>
    <cellStyle name="Normal 2 4 2 5" xfId="293" xr:uid="{00000000-0005-0000-0000-0000860F0000}"/>
    <cellStyle name="Normal 2 4 2 5 10" xfId="8918" xr:uid="{E50365F1-F5C6-4560-A6B3-4F67CEF5AB5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24137" xr:uid="{1AF1AC01-7E7F-4EA6-BFB0-CF12DA37976C}"/>
    <cellStyle name="Normal 2 4 2 5 2 2 2 2 3" xfId="15696" xr:uid="{9C5FE404-260D-45CE-A590-910B5A6B7B88}"/>
    <cellStyle name="Normal 2 4 2 5 2 2 2 3" xfId="19919" xr:uid="{954D008F-495D-46A7-AD6F-906754B9D239}"/>
    <cellStyle name="Normal 2 4 2 5 2 2 2 4" xfId="11478" xr:uid="{75410097-9181-47BF-B1C5-057E5FB37202}"/>
    <cellStyle name="Normal 2 4 2 5 2 2 3" xfId="5101" xr:uid="{00000000-0005-0000-0000-00008B0F0000}"/>
    <cellStyle name="Normal 2 4 2 5 2 2 3 2" xfId="21992" xr:uid="{D43948BB-DCF6-439D-A61A-71AD525D159C}"/>
    <cellStyle name="Normal 2 4 2 5 2 2 3 3" xfId="13551" xr:uid="{BC7F73D7-9C9F-41E4-A141-CB3DE6D32017}"/>
    <cellStyle name="Normal 2 4 2 5 2 2 4" xfId="17774" xr:uid="{B21041D1-3339-47A3-A6F6-41494C00DFCE}"/>
    <cellStyle name="Normal 2 4 2 5 2 2 5" xfId="9333" xr:uid="{3AC7DEC1-82FD-4522-A1A4-BE046B278073}"/>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24550" xr:uid="{D343B8AE-DB09-4F91-9F03-2C3B6C674208}"/>
    <cellStyle name="Normal 2 4 2 5 2 3 2 2 3" xfId="16109" xr:uid="{41C33FAE-DD5F-4DBA-8DD2-F5B9A4428900}"/>
    <cellStyle name="Normal 2 4 2 5 2 3 2 3" xfId="20332" xr:uid="{5845AECC-B231-48CC-96BC-7E004704A998}"/>
    <cellStyle name="Normal 2 4 2 5 2 3 2 4" xfId="11891" xr:uid="{DEF87AA3-E007-4A59-8839-0D4B22D439FC}"/>
    <cellStyle name="Normal 2 4 2 5 2 3 3" xfId="5514" xr:uid="{00000000-0005-0000-0000-00008F0F0000}"/>
    <cellStyle name="Normal 2 4 2 5 2 3 3 2" xfId="22405" xr:uid="{201BC6FA-F085-4710-BC94-314ADC412338}"/>
    <cellStyle name="Normal 2 4 2 5 2 3 3 3" xfId="13964" xr:uid="{F41B8BD7-5B3F-4129-99D4-5A0BD78AFD02}"/>
    <cellStyle name="Normal 2 4 2 5 2 3 4" xfId="18187" xr:uid="{2790A932-73F0-41FE-A9C2-9706BAFABF5C}"/>
    <cellStyle name="Normal 2 4 2 5 2 3 5" xfId="9746" xr:uid="{23DCE083-E9F0-49F7-9E44-77125DD3B114}"/>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24963" xr:uid="{6FCFCE99-BB49-4BBE-A3E6-4BDEAF43E4D3}"/>
    <cellStyle name="Normal 2 4 2 5 2 4 2 2 3" xfId="16522" xr:uid="{9DD62B90-E0F9-43AE-B2F2-9109583F9238}"/>
    <cellStyle name="Normal 2 4 2 5 2 4 2 3" xfId="20745" xr:uid="{C9E2D10C-AA07-4621-96DE-A834C070E255}"/>
    <cellStyle name="Normal 2 4 2 5 2 4 2 4" xfId="12304" xr:uid="{7F49759A-9914-4E23-AD74-7EBB2C7B02EE}"/>
    <cellStyle name="Normal 2 4 2 5 2 4 3" xfId="5927" xr:uid="{00000000-0005-0000-0000-0000930F0000}"/>
    <cellStyle name="Normal 2 4 2 5 2 4 3 2" xfId="22818" xr:uid="{00C71BA9-5555-443E-A6CC-A9352D8A49CF}"/>
    <cellStyle name="Normal 2 4 2 5 2 4 3 3" xfId="14377" xr:uid="{72BD0CAC-CC4E-4DAF-909B-41A9C63A7465}"/>
    <cellStyle name="Normal 2 4 2 5 2 4 4" xfId="18600" xr:uid="{DF558408-786B-4009-8C9A-2A74430B96EA}"/>
    <cellStyle name="Normal 2 4 2 5 2 4 5" xfId="10159" xr:uid="{162A9247-6B09-4B78-A146-98D561583236}"/>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25376" xr:uid="{0141E193-73B7-4F96-AF4C-21712B72D6D8}"/>
    <cellStyle name="Normal 2 4 2 5 2 5 2 2 3" xfId="16935" xr:uid="{9CAD2684-6DF8-48C7-9FFD-35005E757CB9}"/>
    <cellStyle name="Normal 2 4 2 5 2 5 2 3" xfId="21158" xr:uid="{AFAD7909-DDF6-4CC3-9B37-4E4A5A6CE02A}"/>
    <cellStyle name="Normal 2 4 2 5 2 5 2 4" xfId="12717" xr:uid="{292C7CDF-DFEA-4A2D-839C-0829C4DA0A56}"/>
    <cellStyle name="Normal 2 4 2 5 2 5 3" xfId="6340" xr:uid="{00000000-0005-0000-0000-0000970F0000}"/>
    <cellStyle name="Normal 2 4 2 5 2 5 3 2" xfId="23231" xr:uid="{2345A580-1C79-4FD1-AB0B-789DCC07BB5B}"/>
    <cellStyle name="Normal 2 4 2 5 2 5 3 3" xfId="14790" xr:uid="{ED0163FF-4F07-4212-B9CC-5B80F955E881}"/>
    <cellStyle name="Normal 2 4 2 5 2 5 4" xfId="19013" xr:uid="{11B7D4C7-EBE6-43F7-8834-4986813045BE}"/>
    <cellStyle name="Normal 2 4 2 5 2 5 5" xfId="10572" xr:uid="{0645B9C5-A39D-455A-89DF-8A2E20ECCBCA}"/>
    <cellStyle name="Normal 2 4 2 5 2 6" xfId="2470" xr:uid="{00000000-0005-0000-0000-0000980F0000}"/>
    <cellStyle name="Normal 2 4 2 5 2 6 2" xfId="6753" xr:uid="{00000000-0005-0000-0000-0000990F0000}"/>
    <cellStyle name="Normal 2 4 2 5 2 6 2 2" xfId="23644" xr:uid="{4E86A355-FE8E-4D1E-870B-A5AA23FF2BD5}"/>
    <cellStyle name="Normal 2 4 2 5 2 6 2 3" xfId="15203" xr:uid="{E72E0510-DEE9-4B94-90C2-743228B3D422}"/>
    <cellStyle name="Normal 2 4 2 5 2 6 3" xfId="19426" xr:uid="{3589C28D-53A0-4842-B05D-2D3BC9904E7C}"/>
    <cellStyle name="Normal 2 4 2 5 2 6 4" xfId="10985" xr:uid="{24D4616C-7B92-443C-9CF4-52E417083B7A}"/>
    <cellStyle name="Normal 2 4 2 5 2 7" xfId="4687" xr:uid="{00000000-0005-0000-0000-00009A0F0000}"/>
    <cellStyle name="Normal 2 4 2 5 2 7 2" xfId="21578" xr:uid="{5590B9AC-2E3F-4058-98F1-EC2D6FB6688C}"/>
    <cellStyle name="Normal 2 4 2 5 2 7 3" xfId="13137" xr:uid="{DB03A83F-DBB2-4CD8-83D3-9F7CDE423ACA}"/>
    <cellStyle name="Normal 2 4 2 5 2 8" xfId="17360" xr:uid="{0DEA1BDE-F7C3-4606-B13F-7FF6899957A1}"/>
    <cellStyle name="Normal 2 4 2 5 2 9" xfId="8919" xr:uid="{553451F5-7FDA-4D94-9FCE-1D42FB4CC075}"/>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24136" xr:uid="{5A31F21E-9B97-4737-A4F2-49ABAF22677C}"/>
    <cellStyle name="Normal 2 4 2 5 3 2 2 3" xfId="15695" xr:uid="{5F0244FE-0AD4-4973-A943-25A45E9C32BE}"/>
    <cellStyle name="Normal 2 4 2 5 3 2 3" xfId="19918" xr:uid="{C85B2A21-8253-4259-ADFF-AD425DD3BB4C}"/>
    <cellStyle name="Normal 2 4 2 5 3 2 4" xfId="11477" xr:uid="{8161A8B7-88CC-4632-B5B4-BECCF8AEE873}"/>
    <cellStyle name="Normal 2 4 2 5 3 3" xfId="5100" xr:uid="{00000000-0005-0000-0000-00009E0F0000}"/>
    <cellStyle name="Normal 2 4 2 5 3 3 2" xfId="21991" xr:uid="{E8FC830A-9B61-454A-B2A2-80E41E7CE498}"/>
    <cellStyle name="Normal 2 4 2 5 3 3 3" xfId="13550" xr:uid="{8CF7F7CF-A095-41BA-A879-65518069DB9F}"/>
    <cellStyle name="Normal 2 4 2 5 3 4" xfId="17773" xr:uid="{A085C44E-8FFE-4BD2-AF90-BB05A19B47F7}"/>
    <cellStyle name="Normal 2 4 2 5 3 5" xfId="9332" xr:uid="{FB4739D2-90D3-47F6-AA80-11BE640F093D}"/>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24549" xr:uid="{D8B13E50-A781-4348-B853-36CA863A2205}"/>
    <cellStyle name="Normal 2 4 2 5 4 2 2 3" xfId="16108" xr:uid="{3DCFD90A-A8E8-4C19-8986-7F67F277F6F4}"/>
    <cellStyle name="Normal 2 4 2 5 4 2 3" xfId="20331" xr:uid="{D05960E4-12D2-47E6-9CB4-251661D67EFF}"/>
    <cellStyle name="Normal 2 4 2 5 4 2 4" xfId="11890" xr:uid="{E0FFACE5-F28E-4367-8129-6C9C20D0FBBA}"/>
    <cellStyle name="Normal 2 4 2 5 4 3" xfId="5513" xr:uid="{00000000-0005-0000-0000-0000A20F0000}"/>
    <cellStyle name="Normal 2 4 2 5 4 3 2" xfId="22404" xr:uid="{5E451836-B377-4FCC-B6A3-64B2A61C3A20}"/>
    <cellStyle name="Normal 2 4 2 5 4 3 3" xfId="13963" xr:uid="{DF55624F-1F8F-4F2E-97FD-2DB8102FDB3F}"/>
    <cellStyle name="Normal 2 4 2 5 4 4" xfId="18186" xr:uid="{746F9052-78B1-4D27-B995-E0112E2AA5FE}"/>
    <cellStyle name="Normal 2 4 2 5 4 5" xfId="9745" xr:uid="{85C18EFF-633D-4A8A-84BE-6B4A4D9916AD}"/>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24962" xr:uid="{1F91B5A6-196E-42A4-BE10-D6CD2B8E7A9A}"/>
    <cellStyle name="Normal 2 4 2 5 5 2 2 3" xfId="16521" xr:uid="{BCD35F7F-153C-49E9-82B0-38D462BD52DD}"/>
    <cellStyle name="Normal 2 4 2 5 5 2 3" xfId="20744" xr:uid="{008F5248-5F16-47A6-9C69-0F5E7D338027}"/>
    <cellStyle name="Normal 2 4 2 5 5 2 4" xfId="12303" xr:uid="{FF1B049A-3439-46B1-8A82-090FE61D7C48}"/>
    <cellStyle name="Normal 2 4 2 5 5 3" xfId="5926" xr:uid="{00000000-0005-0000-0000-0000A60F0000}"/>
    <cellStyle name="Normal 2 4 2 5 5 3 2" xfId="22817" xr:uid="{2DA85547-A65F-47AA-ACD5-4EF228F1F134}"/>
    <cellStyle name="Normal 2 4 2 5 5 3 3" xfId="14376" xr:uid="{3FECF151-8E26-4F5E-979D-D68A4316C754}"/>
    <cellStyle name="Normal 2 4 2 5 5 4" xfId="18599" xr:uid="{2A0A16D2-3B57-4603-9B02-C1DD44086FDD}"/>
    <cellStyle name="Normal 2 4 2 5 5 5" xfId="10158" xr:uid="{8760C14C-8E68-4A0C-B5FA-7DD80BEC645B}"/>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25375" xr:uid="{1E8C6663-70AF-4F01-8238-84F71C5E7D7D}"/>
    <cellStyle name="Normal 2 4 2 5 6 2 2 3" xfId="16934" xr:uid="{883D4850-0E7C-410B-ACFA-C74CDF84A90D}"/>
    <cellStyle name="Normal 2 4 2 5 6 2 3" xfId="21157" xr:uid="{9F56B982-E2E3-4DC2-8071-7F432BAB655E}"/>
    <cellStyle name="Normal 2 4 2 5 6 2 4" xfId="12716" xr:uid="{595F58EA-1126-41F4-AF00-A347C883EF50}"/>
    <cellStyle name="Normal 2 4 2 5 6 3" xfId="6339" xr:uid="{00000000-0005-0000-0000-0000AA0F0000}"/>
    <cellStyle name="Normal 2 4 2 5 6 3 2" xfId="23230" xr:uid="{BDC676E2-20AD-4E96-9D7D-5D289066963A}"/>
    <cellStyle name="Normal 2 4 2 5 6 3 3" xfId="14789" xr:uid="{705BB1CE-6D76-466C-B738-A004E797E7AA}"/>
    <cellStyle name="Normal 2 4 2 5 6 4" xfId="19012" xr:uid="{2DC4E4A0-2B1D-439A-B860-D79AA57BB070}"/>
    <cellStyle name="Normal 2 4 2 5 6 5" xfId="10571" xr:uid="{3EA94E80-CD17-43D0-A61D-49932DB53D3A}"/>
    <cellStyle name="Normal 2 4 2 5 7" xfId="2469" xr:uid="{00000000-0005-0000-0000-0000AB0F0000}"/>
    <cellStyle name="Normal 2 4 2 5 7 2" xfId="6752" xr:uid="{00000000-0005-0000-0000-0000AC0F0000}"/>
    <cellStyle name="Normal 2 4 2 5 7 2 2" xfId="23643" xr:uid="{BA28602E-07A4-4F23-A886-E13E197C43A4}"/>
    <cellStyle name="Normal 2 4 2 5 7 2 3" xfId="15202" xr:uid="{DD05B744-71DE-49F0-89C3-66446189D723}"/>
    <cellStyle name="Normal 2 4 2 5 7 3" xfId="19425" xr:uid="{78B35D0B-8DCD-4F24-B4DC-C01F7A2D467F}"/>
    <cellStyle name="Normal 2 4 2 5 7 4" xfId="10984" xr:uid="{BA94181C-4D48-4A83-9E77-94D1F539EEE5}"/>
    <cellStyle name="Normal 2 4 2 5 8" xfId="4686" xr:uid="{00000000-0005-0000-0000-0000AD0F0000}"/>
    <cellStyle name="Normal 2 4 2 5 8 2" xfId="21577" xr:uid="{5C9B333D-729E-481B-BADB-9693C1505C37}"/>
    <cellStyle name="Normal 2 4 2 5 8 3" xfId="13136" xr:uid="{649FE0D8-ED7C-4C7E-AA95-A866408A214E}"/>
    <cellStyle name="Normal 2 4 2 5 9" xfId="17359" xr:uid="{40144ECA-2821-4628-BC0E-C34EC5386A06}"/>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24138" xr:uid="{61C150FF-E2BC-465D-898D-27B26CF744F8}"/>
    <cellStyle name="Normal 2 4 2 6 2 2 2 3" xfId="15697" xr:uid="{3D3600EB-926A-4880-8853-09C914FE6EB1}"/>
    <cellStyle name="Normal 2 4 2 6 2 2 3" xfId="19920" xr:uid="{2E82E5F5-3E5C-48D3-BBEE-D8EEDE4EDB77}"/>
    <cellStyle name="Normal 2 4 2 6 2 2 4" xfId="11479" xr:uid="{0EFA398E-2C03-4122-94AE-CC79319F7EF6}"/>
    <cellStyle name="Normal 2 4 2 6 2 3" xfId="5102" xr:uid="{00000000-0005-0000-0000-0000B20F0000}"/>
    <cellStyle name="Normal 2 4 2 6 2 3 2" xfId="21993" xr:uid="{4C5D1E57-87CB-4183-92AF-F655DBD3369A}"/>
    <cellStyle name="Normal 2 4 2 6 2 3 3" xfId="13552" xr:uid="{6CA25F5A-0D05-4293-8D98-AD0131F2697D}"/>
    <cellStyle name="Normal 2 4 2 6 2 4" xfId="17775" xr:uid="{4873B2EE-82E0-4891-B33C-A41400402FF9}"/>
    <cellStyle name="Normal 2 4 2 6 2 5" xfId="9334" xr:uid="{5C9E3309-1E11-40F2-908F-6FE6F9953172}"/>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24551" xr:uid="{99F9B1C5-C796-46CE-90CA-353FCE0FE4FF}"/>
    <cellStyle name="Normal 2 4 2 6 3 2 2 3" xfId="16110" xr:uid="{722E33FD-99CE-4200-8BCC-235C1311514B}"/>
    <cellStyle name="Normal 2 4 2 6 3 2 3" xfId="20333" xr:uid="{4B1C443D-D694-49CB-AAF2-FDADD6FF4EC8}"/>
    <cellStyle name="Normal 2 4 2 6 3 2 4" xfId="11892" xr:uid="{8F46BA43-9066-4FA8-AA71-D4A048CBFE43}"/>
    <cellStyle name="Normal 2 4 2 6 3 3" xfId="5515" xr:uid="{00000000-0005-0000-0000-0000B60F0000}"/>
    <cellStyle name="Normal 2 4 2 6 3 3 2" xfId="22406" xr:uid="{C5B57AF1-BDDE-4956-AC90-A0DAF324995C}"/>
    <cellStyle name="Normal 2 4 2 6 3 3 3" xfId="13965" xr:uid="{98E55AB6-65D2-4136-AD46-543E9479A4CA}"/>
    <cellStyle name="Normal 2 4 2 6 3 4" xfId="18188" xr:uid="{501EABEC-AB64-46C4-BC2F-0507C01681F7}"/>
    <cellStyle name="Normal 2 4 2 6 3 5" xfId="9747" xr:uid="{AB783B7F-40B4-4BB4-8388-BEEF4D8CDDD5}"/>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24964" xr:uid="{DF74905F-7283-42A7-9AA8-BD0BA4FECB1E}"/>
    <cellStyle name="Normal 2 4 2 6 4 2 2 3" xfId="16523" xr:uid="{2D39BFB8-22F8-4781-AAAB-237041FD43E4}"/>
    <cellStyle name="Normal 2 4 2 6 4 2 3" xfId="20746" xr:uid="{493B2AC4-BBB6-4CA9-AEE0-2513D233C40E}"/>
    <cellStyle name="Normal 2 4 2 6 4 2 4" xfId="12305" xr:uid="{5C831A69-30C4-4487-AB4C-D87635750B65}"/>
    <cellStyle name="Normal 2 4 2 6 4 3" xfId="5928" xr:uid="{00000000-0005-0000-0000-0000BA0F0000}"/>
    <cellStyle name="Normal 2 4 2 6 4 3 2" xfId="22819" xr:uid="{50F8B2A6-B02D-446F-8ECF-F641B7CB6474}"/>
    <cellStyle name="Normal 2 4 2 6 4 3 3" xfId="14378" xr:uid="{1BDE4DF2-9BBD-4BBB-A680-5C6C3BC2E3E1}"/>
    <cellStyle name="Normal 2 4 2 6 4 4" xfId="18601" xr:uid="{2C53CC2F-EBCA-415F-ABC1-552033B6A3B5}"/>
    <cellStyle name="Normal 2 4 2 6 4 5" xfId="10160" xr:uid="{EC9D259A-B317-4363-A05B-4F061B0D7ADC}"/>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25377" xr:uid="{5C0B359F-5B39-49B2-A777-9FFBDF9EA6A2}"/>
    <cellStyle name="Normal 2 4 2 6 5 2 2 3" xfId="16936" xr:uid="{1A021359-DA5F-44F0-8829-1B2DAA476A4C}"/>
    <cellStyle name="Normal 2 4 2 6 5 2 3" xfId="21159" xr:uid="{2478F327-7D0B-49D7-AA77-52E1D2ABE256}"/>
    <cellStyle name="Normal 2 4 2 6 5 2 4" xfId="12718" xr:uid="{831152DD-0B08-45DB-9227-1EA59AE8F60E}"/>
    <cellStyle name="Normal 2 4 2 6 5 3" xfId="6341" xr:uid="{00000000-0005-0000-0000-0000BE0F0000}"/>
    <cellStyle name="Normal 2 4 2 6 5 3 2" xfId="23232" xr:uid="{969CB304-4480-42DE-B7CD-BD7B1D93B96D}"/>
    <cellStyle name="Normal 2 4 2 6 5 3 3" xfId="14791" xr:uid="{34B4E447-B0B2-443C-9461-577CA9F17EA3}"/>
    <cellStyle name="Normal 2 4 2 6 5 4" xfId="19014" xr:uid="{F16A955B-77A5-4B33-94B3-7E7DC61030F9}"/>
    <cellStyle name="Normal 2 4 2 6 5 5" xfId="10573" xr:uid="{6A1D15CA-D5AD-4CF9-B172-4C8443490790}"/>
    <cellStyle name="Normal 2 4 2 6 6" xfId="2471" xr:uid="{00000000-0005-0000-0000-0000BF0F0000}"/>
    <cellStyle name="Normal 2 4 2 6 6 2" xfId="6754" xr:uid="{00000000-0005-0000-0000-0000C00F0000}"/>
    <cellStyle name="Normal 2 4 2 6 6 2 2" xfId="23645" xr:uid="{9C047B1B-4C6B-4DD1-828A-B8620AF4A556}"/>
    <cellStyle name="Normal 2 4 2 6 6 2 3" xfId="15204" xr:uid="{7808B2A7-1D67-4B9A-B6FB-DFEC15324AE5}"/>
    <cellStyle name="Normal 2 4 2 6 6 3" xfId="19427" xr:uid="{05EE874A-10EE-4F24-9A99-8C40CF3BBF5D}"/>
    <cellStyle name="Normal 2 4 2 6 6 4" xfId="10986" xr:uid="{46D73A87-8178-48D9-9020-CA7AD9A9E549}"/>
    <cellStyle name="Normal 2 4 2 6 7" xfId="4688" xr:uid="{00000000-0005-0000-0000-0000C10F0000}"/>
    <cellStyle name="Normal 2 4 2 6 7 2" xfId="21579" xr:uid="{E4DFCAC0-3396-451F-A16C-B71459FCF4C4}"/>
    <cellStyle name="Normal 2 4 2 6 7 3" xfId="13138" xr:uid="{739D71BE-68F7-45B9-B680-55EC5BD0D116}"/>
    <cellStyle name="Normal 2 4 2 6 8" xfId="17361" xr:uid="{F112E9AA-D6D4-4740-8FD5-4163B8AD78EC}"/>
    <cellStyle name="Normal 2 4 2 6 9" xfId="8920" xr:uid="{D34641C5-B474-4587-93EB-CE4483846A3C}"/>
    <cellStyle name="Normal 2 4 2 7" xfId="771" xr:uid="{00000000-0005-0000-0000-0000C20F0000}"/>
    <cellStyle name="Normal 2 4 2 7 2" xfId="3010" xr:uid="{00000000-0005-0000-0000-0000C30F0000}"/>
    <cellStyle name="Normal 2 4 2 7 2 2" xfId="7232" xr:uid="{00000000-0005-0000-0000-0000C40F0000}"/>
    <cellStyle name="Normal 2 4 2 7 2 2 2" xfId="24123" xr:uid="{965458BB-D9DC-421C-83B1-BD1D63933A53}"/>
    <cellStyle name="Normal 2 4 2 7 2 2 3" xfId="15682" xr:uid="{1172F9B6-DFF8-4478-BEB7-E7BA3215D2E6}"/>
    <cellStyle name="Normal 2 4 2 7 2 3" xfId="19905" xr:uid="{F7AED484-9035-4339-ADA0-31791B14CE42}"/>
    <cellStyle name="Normal 2 4 2 7 2 4" xfId="11464" xr:uid="{D9E663D1-976F-4896-8789-EAB4F6E32AB7}"/>
    <cellStyle name="Normal 2 4 2 7 3" xfId="5087" xr:uid="{00000000-0005-0000-0000-0000C50F0000}"/>
    <cellStyle name="Normal 2 4 2 7 3 2" xfId="21978" xr:uid="{E90F5D3D-96E3-45BA-9525-39FC855B1A84}"/>
    <cellStyle name="Normal 2 4 2 7 3 3" xfId="13537" xr:uid="{943978B3-05DD-4E77-9627-3DBE5E2EA21F}"/>
    <cellStyle name="Normal 2 4 2 7 4" xfId="17760" xr:uid="{A9B12FE6-2A9C-456B-A7C5-746CA2FE46F3}"/>
    <cellStyle name="Normal 2 4 2 7 5" xfId="9319" xr:uid="{91382EA3-EC42-4BCF-A8A2-6BCCD5126D30}"/>
    <cellStyle name="Normal 2 4 2 8" xfId="1193" xr:uid="{00000000-0005-0000-0000-0000C60F0000}"/>
    <cellStyle name="Normal 2 4 2 8 2" xfId="3423" xr:uid="{00000000-0005-0000-0000-0000C70F0000}"/>
    <cellStyle name="Normal 2 4 2 8 2 2" xfId="7645" xr:uid="{00000000-0005-0000-0000-0000C80F0000}"/>
    <cellStyle name="Normal 2 4 2 8 2 2 2" xfId="24536" xr:uid="{5B3510C4-DC42-46A6-92FB-2E137D072178}"/>
    <cellStyle name="Normal 2 4 2 8 2 2 3" xfId="16095" xr:uid="{C0F41310-0F2B-45A6-A4CD-339E12F774F0}"/>
    <cellStyle name="Normal 2 4 2 8 2 3" xfId="20318" xr:uid="{3E3CDE44-5689-4420-8B82-511EF2926BC5}"/>
    <cellStyle name="Normal 2 4 2 8 2 4" xfId="11877" xr:uid="{A649D2AD-6815-42E5-9489-4D81548743E6}"/>
    <cellStyle name="Normal 2 4 2 8 3" xfId="5500" xr:uid="{00000000-0005-0000-0000-0000C90F0000}"/>
    <cellStyle name="Normal 2 4 2 8 3 2" xfId="22391" xr:uid="{0753DB27-E886-4E6F-88BF-1252008DF932}"/>
    <cellStyle name="Normal 2 4 2 8 3 3" xfId="13950" xr:uid="{39BCB75D-2809-4B4F-961E-A9D684F83F8D}"/>
    <cellStyle name="Normal 2 4 2 8 4" xfId="18173" xr:uid="{5D2C56D6-8458-4DF8-8F84-E5D53E47A6C5}"/>
    <cellStyle name="Normal 2 4 2 8 5" xfId="9732" xr:uid="{7B013585-6302-4668-B9B8-3B98784375B2}"/>
    <cellStyle name="Normal 2 4 2 9" xfId="1606" xr:uid="{00000000-0005-0000-0000-0000CA0F0000}"/>
    <cellStyle name="Normal 2 4 2 9 2" xfId="3836" xr:uid="{00000000-0005-0000-0000-0000CB0F0000}"/>
    <cellStyle name="Normal 2 4 2 9 2 2" xfId="8058" xr:uid="{00000000-0005-0000-0000-0000CC0F0000}"/>
    <cellStyle name="Normal 2 4 2 9 2 2 2" xfId="24949" xr:uid="{78AEF4FF-6F45-4641-8E5B-B9B3427A2905}"/>
    <cellStyle name="Normal 2 4 2 9 2 2 3" xfId="16508" xr:uid="{3BE0289E-2F55-48F0-8D6B-2E353CBBCE7D}"/>
    <cellStyle name="Normal 2 4 2 9 2 3" xfId="20731" xr:uid="{779B518A-972D-4CCA-842D-0AE4635CDDB8}"/>
    <cellStyle name="Normal 2 4 2 9 2 4" xfId="12290" xr:uid="{3125130A-CC64-4E91-8B17-26E233780E3C}"/>
    <cellStyle name="Normal 2 4 2 9 3" xfId="5913" xr:uid="{00000000-0005-0000-0000-0000CD0F0000}"/>
    <cellStyle name="Normal 2 4 2 9 3 2" xfId="22804" xr:uid="{C6B63F2D-E197-4981-B9AB-65D1F6B03655}"/>
    <cellStyle name="Normal 2 4 2 9 3 3" xfId="14363" xr:uid="{41CE8417-320E-4031-9BB9-2A5321DE3FC2}"/>
    <cellStyle name="Normal 2 4 2 9 4" xfId="18586" xr:uid="{54E15F17-D8EA-4EA3-A636-1402B89700BA}"/>
    <cellStyle name="Normal 2 4 2 9 5" xfId="10145" xr:uid="{D7BCEB5E-62CB-446A-B46B-16E9B5C8F035}"/>
    <cellStyle name="Normal 2 4 3" xfId="296" xr:uid="{00000000-0005-0000-0000-0000CE0F0000}"/>
    <cellStyle name="Normal 2 4 3 10" xfId="17362" xr:uid="{F734FE2F-7B6A-4102-9AD0-61E7699632E3}"/>
    <cellStyle name="Normal 2 4 3 11" xfId="8921" xr:uid="{3E2FF608-D515-43C9-8858-3D680C4AA25F}"/>
    <cellStyle name="Normal 2 4 3 2" xfId="297" xr:uid="{00000000-0005-0000-0000-0000CF0F0000}"/>
    <cellStyle name="Normal 2 4 3 3" xfId="298" xr:uid="{00000000-0005-0000-0000-0000D00F0000}"/>
    <cellStyle name="Normal 2 4 3 3 10" xfId="17363" xr:uid="{38C4C2CD-4AC4-47D5-98EA-F9F112C7EAC9}"/>
    <cellStyle name="Normal 2 4 3 3 11" xfId="8922" xr:uid="{46F37E3C-A428-476D-9127-376A7F00B7B1}"/>
    <cellStyle name="Normal 2 4 3 3 2" xfId="299" xr:uid="{00000000-0005-0000-0000-0000D10F0000}"/>
    <cellStyle name="Normal 2 4 3 3 2 10" xfId="8923" xr:uid="{2C543D9A-C458-4C56-8BC9-107168D2736D}"/>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24142" xr:uid="{A170A585-2D97-4B94-AC7E-DDCB901D362E}"/>
    <cellStyle name="Normal 2 4 3 3 2 2 2 2 2 3" xfId="15701" xr:uid="{B5F99422-6939-4ACF-AC0B-BD0D8226F066}"/>
    <cellStyle name="Normal 2 4 3 3 2 2 2 2 3" xfId="19924" xr:uid="{CEFA3D56-ED90-4886-BAFC-62C3C5A4120F}"/>
    <cellStyle name="Normal 2 4 3 3 2 2 2 2 4" xfId="11483" xr:uid="{606542AB-74A7-44B3-B5C3-980592F4F4B5}"/>
    <cellStyle name="Normal 2 4 3 3 2 2 2 3" xfId="5106" xr:uid="{00000000-0005-0000-0000-0000D60F0000}"/>
    <cellStyle name="Normal 2 4 3 3 2 2 2 3 2" xfId="21997" xr:uid="{B3FFE8D0-60AD-4D46-9D6B-A155F8BA9251}"/>
    <cellStyle name="Normal 2 4 3 3 2 2 2 3 3" xfId="13556" xr:uid="{46F3164D-C6E0-4F72-9120-8195534AF9C6}"/>
    <cellStyle name="Normal 2 4 3 3 2 2 2 4" xfId="17779" xr:uid="{309BFA8A-185B-46D6-909C-CE0369046C92}"/>
    <cellStyle name="Normal 2 4 3 3 2 2 2 5" xfId="9338" xr:uid="{DFDD5E16-7E20-4632-8384-ECC8F34F9767}"/>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24555" xr:uid="{4014FB7D-D4E2-40C7-ADFA-273C4AD08AE8}"/>
    <cellStyle name="Normal 2 4 3 3 2 2 3 2 2 3" xfId="16114" xr:uid="{9CB07A7D-AEA1-4588-9096-5FD5B18D0FCC}"/>
    <cellStyle name="Normal 2 4 3 3 2 2 3 2 3" xfId="20337" xr:uid="{DFD7D596-9520-4868-9DD5-EC48DD65116D}"/>
    <cellStyle name="Normal 2 4 3 3 2 2 3 2 4" xfId="11896" xr:uid="{4E79DC7F-319D-43B9-B9EB-678628438B39}"/>
    <cellStyle name="Normal 2 4 3 3 2 2 3 3" xfId="5519" xr:uid="{00000000-0005-0000-0000-0000DA0F0000}"/>
    <cellStyle name="Normal 2 4 3 3 2 2 3 3 2" xfId="22410" xr:uid="{45ABF8E5-BB50-4931-A39D-ACD417315691}"/>
    <cellStyle name="Normal 2 4 3 3 2 2 3 3 3" xfId="13969" xr:uid="{316F0EED-896C-4DA2-B903-70585D925093}"/>
    <cellStyle name="Normal 2 4 3 3 2 2 3 4" xfId="18192" xr:uid="{5954E2A2-690F-4E76-AD40-1F589695F73B}"/>
    <cellStyle name="Normal 2 4 3 3 2 2 3 5" xfId="9751" xr:uid="{11E25707-0470-4117-BD59-C0A1BB83BB0C}"/>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24968" xr:uid="{FC3E91B5-2C35-45FA-A962-5B6E6283836B}"/>
    <cellStyle name="Normal 2 4 3 3 2 2 4 2 2 3" xfId="16527" xr:uid="{A2E3BA52-AAC5-49B5-8B88-FEB7CE4F2394}"/>
    <cellStyle name="Normal 2 4 3 3 2 2 4 2 3" xfId="20750" xr:uid="{C540A2C5-A183-47C0-8E27-6E3B49A4E241}"/>
    <cellStyle name="Normal 2 4 3 3 2 2 4 2 4" xfId="12309" xr:uid="{29A90811-901B-49AB-B7B4-90DA459F7A17}"/>
    <cellStyle name="Normal 2 4 3 3 2 2 4 3" xfId="5932" xr:uid="{00000000-0005-0000-0000-0000DE0F0000}"/>
    <cellStyle name="Normal 2 4 3 3 2 2 4 3 2" xfId="22823" xr:uid="{8609248C-D4D9-4F71-A88A-0BA438A60D6B}"/>
    <cellStyle name="Normal 2 4 3 3 2 2 4 3 3" xfId="14382" xr:uid="{74C8A018-4D49-4534-A978-7BA33D39C54F}"/>
    <cellStyle name="Normal 2 4 3 3 2 2 4 4" xfId="18605" xr:uid="{6DBF91D0-7DFD-4E71-9938-77A79F29054E}"/>
    <cellStyle name="Normal 2 4 3 3 2 2 4 5" xfId="10164" xr:uid="{9BF9BCDF-58BA-46AB-BAE1-16C32752D21F}"/>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25381" xr:uid="{46E20ACC-0F51-4F4E-A53E-69A90308E3E8}"/>
    <cellStyle name="Normal 2 4 3 3 2 2 5 2 2 3" xfId="16940" xr:uid="{430D73AB-BA76-456E-97B2-4A4642EC420D}"/>
    <cellStyle name="Normal 2 4 3 3 2 2 5 2 3" xfId="21163" xr:uid="{9DFC5A41-CB82-4BE1-823A-3A503508030D}"/>
    <cellStyle name="Normal 2 4 3 3 2 2 5 2 4" xfId="12722" xr:uid="{2C82D4C2-5249-4275-8C71-B5E7881AA37D}"/>
    <cellStyle name="Normal 2 4 3 3 2 2 5 3" xfId="6345" xr:uid="{00000000-0005-0000-0000-0000E20F0000}"/>
    <cellStyle name="Normal 2 4 3 3 2 2 5 3 2" xfId="23236" xr:uid="{6DC4B9F4-5350-4F48-87EA-2DBF63AC7319}"/>
    <cellStyle name="Normal 2 4 3 3 2 2 5 3 3" xfId="14795" xr:uid="{D72ABB82-4A85-4526-9020-01B5CDF0ABC2}"/>
    <cellStyle name="Normal 2 4 3 3 2 2 5 4" xfId="19018" xr:uid="{9D480144-E7E5-43FD-8C48-120A6A82D8C9}"/>
    <cellStyle name="Normal 2 4 3 3 2 2 5 5" xfId="10577" xr:uid="{26451D54-C7A9-423B-AB6C-EE946B17823B}"/>
    <cellStyle name="Normal 2 4 3 3 2 2 6" xfId="2475" xr:uid="{00000000-0005-0000-0000-0000E30F0000}"/>
    <cellStyle name="Normal 2 4 3 3 2 2 6 2" xfId="6758" xr:uid="{00000000-0005-0000-0000-0000E40F0000}"/>
    <cellStyle name="Normal 2 4 3 3 2 2 6 2 2" xfId="23649" xr:uid="{A7B5E1AA-A12E-4678-8BBA-007895EE1606}"/>
    <cellStyle name="Normal 2 4 3 3 2 2 6 2 3" xfId="15208" xr:uid="{131F3627-C1E8-45AE-AB4D-D495EA5CC15E}"/>
    <cellStyle name="Normal 2 4 3 3 2 2 6 3" xfId="19431" xr:uid="{3F0F0EEA-E7E7-40A4-9E1E-2FAA69FD74E7}"/>
    <cellStyle name="Normal 2 4 3 3 2 2 6 4" xfId="10990" xr:uid="{BBBD0E72-3D24-47E3-9866-81D74C35C5D6}"/>
    <cellStyle name="Normal 2 4 3 3 2 2 7" xfId="4692" xr:uid="{00000000-0005-0000-0000-0000E50F0000}"/>
    <cellStyle name="Normal 2 4 3 3 2 2 7 2" xfId="21583" xr:uid="{8FDAA06E-0206-43FB-86D1-7D8207B78BA4}"/>
    <cellStyle name="Normal 2 4 3 3 2 2 7 3" xfId="13142" xr:uid="{FB5183D1-8543-4190-8E74-31E588F95341}"/>
    <cellStyle name="Normal 2 4 3 3 2 2 8" xfId="17365" xr:uid="{FC1581E2-95BA-433A-96E6-A2E79E3EB6C1}"/>
    <cellStyle name="Normal 2 4 3 3 2 2 9" xfId="8924" xr:uid="{070A19DD-8A5F-4684-B884-718391F074C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24141" xr:uid="{FACA556E-458C-4DDF-8573-6949400177C8}"/>
    <cellStyle name="Normal 2 4 3 3 2 3 2 2 3" xfId="15700" xr:uid="{BFE83385-6682-4FA0-8395-F4E5332DE6DA}"/>
    <cellStyle name="Normal 2 4 3 3 2 3 2 3" xfId="19923" xr:uid="{99A5302A-3780-478F-9FFF-725698BE6713}"/>
    <cellStyle name="Normal 2 4 3 3 2 3 2 4" xfId="11482" xr:uid="{F1DDD67A-A425-4515-99F7-1E393F8BC19B}"/>
    <cellStyle name="Normal 2 4 3 3 2 3 3" xfId="5105" xr:uid="{00000000-0005-0000-0000-0000E90F0000}"/>
    <cellStyle name="Normal 2 4 3 3 2 3 3 2" xfId="21996" xr:uid="{3B52DD91-2DE2-4BC2-BAC4-67A80F582DE4}"/>
    <cellStyle name="Normal 2 4 3 3 2 3 3 3" xfId="13555" xr:uid="{820D9F12-D20B-4E69-8317-58AB3B00829E}"/>
    <cellStyle name="Normal 2 4 3 3 2 3 4" xfId="17778" xr:uid="{BA436B85-0D2A-4128-B659-BDF8A2599463}"/>
    <cellStyle name="Normal 2 4 3 3 2 3 5" xfId="9337" xr:uid="{B3055DC5-81A8-4D73-9337-6BF65D95B2C9}"/>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24554" xr:uid="{73B431A6-BCF8-4E76-AEEB-CE9D7AADDC74}"/>
    <cellStyle name="Normal 2 4 3 3 2 4 2 2 3" xfId="16113" xr:uid="{D3ED8812-A964-4BE3-AC77-18C80EF94521}"/>
    <cellStyle name="Normal 2 4 3 3 2 4 2 3" xfId="20336" xr:uid="{F0C999A9-9117-4BE2-BD53-DAF3896DD7C3}"/>
    <cellStyle name="Normal 2 4 3 3 2 4 2 4" xfId="11895" xr:uid="{E54AF3BE-D6A0-4ADD-89B9-CF6158E25A2A}"/>
    <cellStyle name="Normal 2 4 3 3 2 4 3" xfId="5518" xr:uid="{00000000-0005-0000-0000-0000ED0F0000}"/>
    <cellStyle name="Normal 2 4 3 3 2 4 3 2" xfId="22409" xr:uid="{F3C976C9-2769-48D3-B3A2-435DC2380ADA}"/>
    <cellStyle name="Normal 2 4 3 3 2 4 3 3" xfId="13968" xr:uid="{47D4E42D-25FB-4A41-9084-A4554EC85D21}"/>
    <cellStyle name="Normal 2 4 3 3 2 4 4" xfId="18191" xr:uid="{FBC0EC3F-BAE8-4D15-A06E-904F6AA2DE47}"/>
    <cellStyle name="Normal 2 4 3 3 2 4 5" xfId="9750" xr:uid="{9E0FC06F-AC4F-44E3-83EF-002479B6D897}"/>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24967" xr:uid="{6E22ECAE-F804-4611-AFA4-6D807245624F}"/>
    <cellStyle name="Normal 2 4 3 3 2 5 2 2 3" xfId="16526" xr:uid="{57B5D60A-CC3B-4DD7-A116-4EACD08F44FB}"/>
    <cellStyle name="Normal 2 4 3 3 2 5 2 3" xfId="20749" xr:uid="{BEE8B5B6-EC0D-4E3A-B31D-771E235D6D8C}"/>
    <cellStyle name="Normal 2 4 3 3 2 5 2 4" xfId="12308" xr:uid="{77738E16-365D-4414-A3A7-82B922157897}"/>
    <cellStyle name="Normal 2 4 3 3 2 5 3" xfId="5931" xr:uid="{00000000-0005-0000-0000-0000F10F0000}"/>
    <cellStyle name="Normal 2 4 3 3 2 5 3 2" xfId="22822" xr:uid="{951DA2C4-955E-4CC6-AD33-D79C330C8FA4}"/>
    <cellStyle name="Normal 2 4 3 3 2 5 3 3" xfId="14381" xr:uid="{C7830ACD-6609-4A2D-A87E-115FA4A89B37}"/>
    <cellStyle name="Normal 2 4 3 3 2 5 4" xfId="18604" xr:uid="{1247C391-4006-4F25-98F8-B8A7D5312EEF}"/>
    <cellStyle name="Normal 2 4 3 3 2 5 5" xfId="10163" xr:uid="{F528B663-9C21-4BFC-836B-BABB964ED22A}"/>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25380" xr:uid="{EE5C744C-199F-440C-A268-714002CEAD05}"/>
    <cellStyle name="Normal 2 4 3 3 2 6 2 2 3" xfId="16939" xr:uid="{40939366-30B1-45AE-95DC-551BAE4258D3}"/>
    <cellStyle name="Normal 2 4 3 3 2 6 2 3" xfId="21162" xr:uid="{309D9CCB-231F-415E-B640-85DBF70327DD}"/>
    <cellStyle name="Normal 2 4 3 3 2 6 2 4" xfId="12721" xr:uid="{9043A200-E403-408F-A300-4F2E77EFBF86}"/>
    <cellStyle name="Normal 2 4 3 3 2 6 3" xfId="6344" xr:uid="{00000000-0005-0000-0000-0000F50F0000}"/>
    <cellStyle name="Normal 2 4 3 3 2 6 3 2" xfId="23235" xr:uid="{F5590580-15B3-4726-B4B9-742732E4C123}"/>
    <cellStyle name="Normal 2 4 3 3 2 6 3 3" xfId="14794" xr:uid="{BF3B66BD-EC0D-4091-8DC9-60D0C53E13CE}"/>
    <cellStyle name="Normal 2 4 3 3 2 6 4" xfId="19017" xr:uid="{E65C3A66-4B7B-46C4-8816-AA232BE57A9E}"/>
    <cellStyle name="Normal 2 4 3 3 2 6 5" xfId="10576" xr:uid="{B54051F0-CC5D-4A88-8D62-7BA809F73DBB}"/>
    <cellStyle name="Normal 2 4 3 3 2 7" xfId="2474" xr:uid="{00000000-0005-0000-0000-0000F60F0000}"/>
    <cellStyle name="Normal 2 4 3 3 2 7 2" xfId="6757" xr:uid="{00000000-0005-0000-0000-0000F70F0000}"/>
    <cellStyle name="Normal 2 4 3 3 2 7 2 2" xfId="23648" xr:uid="{2D263766-AE7B-43B7-8FEA-AF9DDAA593A1}"/>
    <cellStyle name="Normal 2 4 3 3 2 7 2 3" xfId="15207" xr:uid="{CB4190D5-31ED-4F38-8C5F-840CC8234222}"/>
    <cellStyle name="Normal 2 4 3 3 2 7 3" xfId="19430" xr:uid="{F72DA92A-AAB3-4085-9FBE-864ECCBDF532}"/>
    <cellStyle name="Normal 2 4 3 3 2 7 4" xfId="10989" xr:uid="{A472E74A-CB04-4378-9A9A-36256D63025D}"/>
    <cellStyle name="Normal 2 4 3 3 2 8" xfId="4691" xr:uid="{00000000-0005-0000-0000-0000F80F0000}"/>
    <cellStyle name="Normal 2 4 3 3 2 8 2" xfId="21582" xr:uid="{C9CF2064-CCFE-4261-97CE-9956509535AE}"/>
    <cellStyle name="Normal 2 4 3 3 2 8 3" xfId="13141" xr:uid="{FF6E9037-EAD5-4974-B1D0-43819B7263DC}"/>
    <cellStyle name="Normal 2 4 3 3 2 9" xfId="17364" xr:uid="{9470501F-7A00-411B-AE2A-1064D744935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24143" xr:uid="{F9771762-94F4-4694-B9BB-C5BE2F31ACF4}"/>
    <cellStyle name="Normal 2 4 3 3 3 2 2 2 3" xfId="15702" xr:uid="{DF5D3D23-FD07-4417-AEA4-8A2BE609E5DD}"/>
    <cellStyle name="Normal 2 4 3 3 3 2 2 3" xfId="19925" xr:uid="{EB4A0CB6-CED3-4991-BE14-C7147CADF6FD}"/>
    <cellStyle name="Normal 2 4 3 3 3 2 2 4" xfId="11484" xr:uid="{69E47929-05E9-4C1F-B114-BCDD60F00D88}"/>
    <cellStyle name="Normal 2 4 3 3 3 2 3" xfId="5107" xr:uid="{00000000-0005-0000-0000-0000FD0F0000}"/>
    <cellStyle name="Normal 2 4 3 3 3 2 3 2" xfId="21998" xr:uid="{383007B1-29A0-404D-96A7-B8033FA44787}"/>
    <cellStyle name="Normal 2 4 3 3 3 2 3 3" xfId="13557" xr:uid="{F9FEFAA6-016D-4231-8B11-8D8BE9BA7B83}"/>
    <cellStyle name="Normal 2 4 3 3 3 2 4" xfId="17780" xr:uid="{28FE5D8E-BA8D-4742-8A2D-135363AD2DB2}"/>
    <cellStyle name="Normal 2 4 3 3 3 2 5" xfId="9339" xr:uid="{879A1C52-FEBC-4401-B6C1-34E8A8423AF7}"/>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24556" xr:uid="{6E5C1C6D-8E39-4A3E-BC52-2E8C14DA33E8}"/>
    <cellStyle name="Normal 2 4 3 3 3 3 2 2 3" xfId="16115" xr:uid="{66DE8F6A-05A8-4826-886B-A1A9106E0D9D}"/>
    <cellStyle name="Normal 2 4 3 3 3 3 2 3" xfId="20338" xr:uid="{E2C956D7-3F39-4135-B0CB-9BEC367363C3}"/>
    <cellStyle name="Normal 2 4 3 3 3 3 2 4" xfId="11897" xr:uid="{A78118C5-90FB-4892-B51E-60F29B9C99D7}"/>
    <cellStyle name="Normal 2 4 3 3 3 3 3" xfId="5520" xr:uid="{00000000-0005-0000-0000-000001100000}"/>
    <cellStyle name="Normal 2 4 3 3 3 3 3 2" xfId="22411" xr:uid="{2E1A6E80-66AA-4EC2-B603-78CDDEBD63E8}"/>
    <cellStyle name="Normal 2 4 3 3 3 3 3 3" xfId="13970" xr:uid="{D93E9BCB-74DA-47F8-A6A7-2746CEB7A538}"/>
    <cellStyle name="Normal 2 4 3 3 3 3 4" xfId="18193" xr:uid="{B6762D90-5973-4CAA-81BD-5517116BF547}"/>
    <cellStyle name="Normal 2 4 3 3 3 3 5" xfId="9752" xr:uid="{D24205DB-D8AF-4132-9481-F0B0F361FC3C}"/>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24969" xr:uid="{F7D85056-B325-4CD7-8090-400AD28FC909}"/>
    <cellStyle name="Normal 2 4 3 3 3 4 2 2 3" xfId="16528" xr:uid="{A0D18492-4989-43E9-BA63-EDE9FD7C6BF9}"/>
    <cellStyle name="Normal 2 4 3 3 3 4 2 3" xfId="20751" xr:uid="{67888119-9A49-4177-BD4E-28B4375D1659}"/>
    <cellStyle name="Normal 2 4 3 3 3 4 2 4" xfId="12310" xr:uid="{046E0436-233C-4FA2-91F2-CBA4A0D6A8FF}"/>
    <cellStyle name="Normal 2 4 3 3 3 4 3" xfId="5933" xr:uid="{00000000-0005-0000-0000-000005100000}"/>
    <cellStyle name="Normal 2 4 3 3 3 4 3 2" xfId="22824" xr:uid="{EF755560-01D2-4095-A05B-3B8A437464C4}"/>
    <cellStyle name="Normal 2 4 3 3 3 4 3 3" xfId="14383" xr:uid="{CA40EAA4-2252-4157-AA4A-F64854A9E06C}"/>
    <cellStyle name="Normal 2 4 3 3 3 4 4" xfId="18606" xr:uid="{16EBB43A-82EC-4C12-B8A1-1F2BB398F802}"/>
    <cellStyle name="Normal 2 4 3 3 3 4 5" xfId="10165" xr:uid="{79779D05-9CFB-4B34-868D-024C46E807C9}"/>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25382" xr:uid="{D3F723CE-44A3-4542-9A61-8B24A95564BA}"/>
    <cellStyle name="Normal 2 4 3 3 3 5 2 2 3" xfId="16941" xr:uid="{D7DF6515-1D25-4927-BADD-B72E2EB278F4}"/>
    <cellStyle name="Normal 2 4 3 3 3 5 2 3" xfId="21164" xr:uid="{49678846-6BFF-4CDC-B0B7-C4BF528124C7}"/>
    <cellStyle name="Normal 2 4 3 3 3 5 2 4" xfId="12723" xr:uid="{4F95B024-0396-46F3-8737-27CEA053B439}"/>
    <cellStyle name="Normal 2 4 3 3 3 5 3" xfId="6346" xr:uid="{00000000-0005-0000-0000-000009100000}"/>
    <cellStyle name="Normal 2 4 3 3 3 5 3 2" xfId="23237" xr:uid="{3B881DC6-3EF1-41D8-AF65-6F7F5E51378A}"/>
    <cellStyle name="Normal 2 4 3 3 3 5 3 3" xfId="14796" xr:uid="{ABA21BA4-D06B-4FC9-8980-E6B6EEAFDEF6}"/>
    <cellStyle name="Normal 2 4 3 3 3 5 4" xfId="19019" xr:uid="{6B629593-7784-4489-8BD3-A840C4F3812F}"/>
    <cellStyle name="Normal 2 4 3 3 3 5 5" xfId="10578" xr:uid="{D5D70BA2-6352-460C-8561-981CA8721F77}"/>
    <cellStyle name="Normal 2 4 3 3 3 6" xfId="2476" xr:uid="{00000000-0005-0000-0000-00000A100000}"/>
    <cellStyle name="Normal 2 4 3 3 3 6 2" xfId="6759" xr:uid="{00000000-0005-0000-0000-00000B100000}"/>
    <cellStyle name="Normal 2 4 3 3 3 6 2 2" xfId="23650" xr:uid="{BE4E7261-116A-4BC8-A048-276EB7577865}"/>
    <cellStyle name="Normal 2 4 3 3 3 6 2 3" xfId="15209" xr:uid="{B4371FDD-8524-4BB6-AB05-5B5F2A251A4A}"/>
    <cellStyle name="Normal 2 4 3 3 3 6 3" xfId="19432" xr:uid="{3BC1C88E-ADA9-4849-8256-7AE39E72ED43}"/>
    <cellStyle name="Normal 2 4 3 3 3 6 4" xfId="10991" xr:uid="{20D8CD36-3D5D-448C-9EB3-21D1C5FC3C2B}"/>
    <cellStyle name="Normal 2 4 3 3 3 7" xfId="4693" xr:uid="{00000000-0005-0000-0000-00000C100000}"/>
    <cellStyle name="Normal 2 4 3 3 3 7 2" xfId="21584" xr:uid="{AE3CA8E1-9F56-49F9-9195-D2BCEEAF6299}"/>
    <cellStyle name="Normal 2 4 3 3 3 7 3" xfId="13143" xr:uid="{5010F664-85A2-41F8-8122-93D8EC3E3C8D}"/>
    <cellStyle name="Normal 2 4 3 3 3 8" xfId="17366" xr:uid="{509D3FE6-ADA2-41BF-AC4C-C6573DBCE085}"/>
    <cellStyle name="Normal 2 4 3 3 3 9" xfId="8925" xr:uid="{17E3B64F-88B6-407D-8F5D-FE17869E29EC}"/>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24140" xr:uid="{71C79266-0DA5-404F-A5FA-C2AEF911F3B1}"/>
    <cellStyle name="Normal 2 4 3 3 4 2 2 3" xfId="15699" xr:uid="{BD75F6A0-3871-457F-85CD-F539867806A7}"/>
    <cellStyle name="Normal 2 4 3 3 4 2 3" xfId="19922" xr:uid="{A20C9454-08F3-4279-92F4-3FA3C4824D0F}"/>
    <cellStyle name="Normal 2 4 3 3 4 2 4" xfId="11481" xr:uid="{D23DD1B9-8DA5-425E-A156-BB6D9BE866B7}"/>
    <cellStyle name="Normal 2 4 3 3 4 3" xfId="5104" xr:uid="{00000000-0005-0000-0000-000010100000}"/>
    <cellStyle name="Normal 2 4 3 3 4 3 2" xfId="21995" xr:uid="{62F2D74F-F7F6-456C-8640-2647C49FECD7}"/>
    <cellStyle name="Normal 2 4 3 3 4 3 3" xfId="13554" xr:uid="{2D4260EC-4581-4620-A7C0-C4564B602BC5}"/>
    <cellStyle name="Normal 2 4 3 3 4 4" xfId="17777" xr:uid="{7FD41ADC-6BBC-47F1-866A-A0CB858D34D1}"/>
    <cellStyle name="Normal 2 4 3 3 4 5" xfId="9336" xr:uid="{58B1E33A-1D6E-4109-BDA7-49FA6D42D39D}"/>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24553" xr:uid="{318A8F62-444A-4BFD-9F2D-2CB2B3065D17}"/>
    <cellStyle name="Normal 2 4 3 3 5 2 2 3" xfId="16112" xr:uid="{5A5E9B55-EF27-4312-80D3-29388D34659C}"/>
    <cellStyle name="Normal 2 4 3 3 5 2 3" xfId="20335" xr:uid="{4BBC2B7B-B525-4710-ACC7-5156B429E663}"/>
    <cellStyle name="Normal 2 4 3 3 5 2 4" xfId="11894" xr:uid="{B08BD6B6-EF33-4C9F-8FE0-D36D418DFA02}"/>
    <cellStyle name="Normal 2 4 3 3 5 3" xfId="5517" xr:uid="{00000000-0005-0000-0000-000014100000}"/>
    <cellStyle name="Normal 2 4 3 3 5 3 2" xfId="22408" xr:uid="{FAC3C7F5-FE4B-4C9A-8200-0C3237B6F7E9}"/>
    <cellStyle name="Normal 2 4 3 3 5 3 3" xfId="13967" xr:uid="{52924DE7-CBB7-45D1-A7CB-43299A6CB33E}"/>
    <cellStyle name="Normal 2 4 3 3 5 4" xfId="18190" xr:uid="{1966CAEE-B0A6-440B-8576-E705C61D4E50}"/>
    <cellStyle name="Normal 2 4 3 3 5 5" xfId="9749" xr:uid="{A9B08C2F-81E2-4A44-8E2B-C3B7F1F2A1BD}"/>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24966" xr:uid="{C5C429B5-0822-4238-AF42-8BC647080238}"/>
    <cellStyle name="Normal 2 4 3 3 6 2 2 3" xfId="16525" xr:uid="{4F8148E5-AFA0-4C52-BDE2-9A322254474D}"/>
    <cellStyle name="Normal 2 4 3 3 6 2 3" xfId="20748" xr:uid="{3FB8D721-2BFA-40E3-9D59-EACA187E62E5}"/>
    <cellStyle name="Normal 2 4 3 3 6 2 4" xfId="12307" xr:uid="{321D5EBA-79A0-4F86-AEA8-D5BEFA3D1E72}"/>
    <cellStyle name="Normal 2 4 3 3 6 3" xfId="5930" xr:uid="{00000000-0005-0000-0000-000018100000}"/>
    <cellStyle name="Normal 2 4 3 3 6 3 2" xfId="22821" xr:uid="{8F47CC28-6D1E-46AB-916E-1EAA99E16E1E}"/>
    <cellStyle name="Normal 2 4 3 3 6 3 3" xfId="14380" xr:uid="{E89BE50A-8297-4827-B201-F275DD52804B}"/>
    <cellStyle name="Normal 2 4 3 3 6 4" xfId="18603" xr:uid="{360C7BD4-7CBC-4391-BCCB-3A9FD850EE8B}"/>
    <cellStyle name="Normal 2 4 3 3 6 5" xfId="10162" xr:uid="{6D0B1303-73CC-4688-A606-635036C4D46C}"/>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25379" xr:uid="{D43B1EE6-BB63-4C6E-803A-DD5D705041AA}"/>
    <cellStyle name="Normal 2 4 3 3 7 2 2 3" xfId="16938" xr:uid="{16395AC5-3F1C-406E-A420-57FE890F4B57}"/>
    <cellStyle name="Normal 2 4 3 3 7 2 3" xfId="21161" xr:uid="{C3D23B21-5FA4-4FD3-BB03-C68633D394A8}"/>
    <cellStyle name="Normal 2 4 3 3 7 2 4" xfId="12720" xr:uid="{70280376-CD6E-45C2-B17A-6AFDC2EF0DD5}"/>
    <cellStyle name="Normal 2 4 3 3 7 3" xfId="6343" xr:uid="{00000000-0005-0000-0000-00001C100000}"/>
    <cellStyle name="Normal 2 4 3 3 7 3 2" xfId="23234" xr:uid="{16775BB0-BFC0-40AA-B7E6-C6491E620864}"/>
    <cellStyle name="Normal 2 4 3 3 7 3 3" xfId="14793" xr:uid="{1ECF1730-FBAB-4AA8-A0A7-779332389863}"/>
    <cellStyle name="Normal 2 4 3 3 7 4" xfId="19016" xr:uid="{B2F3BAF4-AD38-49A7-9777-DF743BF41D93}"/>
    <cellStyle name="Normal 2 4 3 3 7 5" xfId="10575" xr:uid="{C031513F-C735-4CFF-AF34-43A431052ADF}"/>
    <cellStyle name="Normal 2 4 3 3 8" xfId="2473" xr:uid="{00000000-0005-0000-0000-00001D100000}"/>
    <cellStyle name="Normal 2 4 3 3 8 2" xfId="6756" xr:uid="{00000000-0005-0000-0000-00001E100000}"/>
    <cellStyle name="Normal 2 4 3 3 8 2 2" xfId="23647" xr:uid="{E2111D33-376F-487A-9F90-A2225334DEC6}"/>
    <cellStyle name="Normal 2 4 3 3 8 2 3" xfId="15206" xr:uid="{F026F718-BE28-4ACF-B534-AB5B260C7C4F}"/>
    <cellStyle name="Normal 2 4 3 3 8 3" xfId="19429" xr:uid="{0332D979-CBFB-4FA7-B4F3-250800A01129}"/>
    <cellStyle name="Normal 2 4 3 3 8 4" xfId="10988" xr:uid="{DD5F1F9C-A4F8-4E9D-B6C8-83BABCD3C5CE}"/>
    <cellStyle name="Normal 2 4 3 3 9" xfId="4690" xr:uid="{00000000-0005-0000-0000-00001F100000}"/>
    <cellStyle name="Normal 2 4 3 3 9 2" xfId="21581" xr:uid="{B0A9D1C5-8055-42E1-8078-41E143B5F5C4}"/>
    <cellStyle name="Normal 2 4 3 3 9 3" xfId="13140" xr:uid="{3C68D611-1673-4582-BB95-C93FEE97BBCB}"/>
    <cellStyle name="Normal 2 4 3 4" xfId="787" xr:uid="{00000000-0005-0000-0000-000020100000}"/>
    <cellStyle name="Normal 2 4 3 4 2" xfId="3026" xr:uid="{00000000-0005-0000-0000-000021100000}"/>
    <cellStyle name="Normal 2 4 3 4 2 2" xfId="7248" xr:uid="{00000000-0005-0000-0000-000022100000}"/>
    <cellStyle name="Normal 2 4 3 4 2 2 2" xfId="24139" xr:uid="{06ED03A5-A708-41A3-B306-1E32B0A07527}"/>
    <cellStyle name="Normal 2 4 3 4 2 2 3" xfId="15698" xr:uid="{8D154A19-7D7B-46E6-B8DE-7B2B8EC5E8C1}"/>
    <cellStyle name="Normal 2 4 3 4 2 3" xfId="19921" xr:uid="{81E3CCF5-9DBA-4D4A-875E-CCF1D1BD399E}"/>
    <cellStyle name="Normal 2 4 3 4 2 4" xfId="11480" xr:uid="{EBFC72FE-91A3-43A0-AD94-070B5D9A1ADD}"/>
    <cellStyle name="Normal 2 4 3 4 3" xfId="5103" xr:uid="{00000000-0005-0000-0000-000023100000}"/>
    <cellStyle name="Normal 2 4 3 4 3 2" xfId="21994" xr:uid="{336633E9-296A-4BA0-BA30-6CBC84514671}"/>
    <cellStyle name="Normal 2 4 3 4 3 3" xfId="13553" xr:uid="{8FCBAC42-1CA2-4221-A8CE-16C26E55B427}"/>
    <cellStyle name="Normal 2 4 3 4 4" xfId="17776" xr:uid="{9ABD0B09-FBE1-40CE-B0A3-C6C397960484}"/>
    <cellStyle name="Normal 2 4 3 4 5" xfId="9335" xr:uid="{5746935F-3308-4F66-99F6-9F499E9B5384}"/>
    <cellStyle name="Normal 2 4 3 5" xfId="1209" xr:uid="{00000000-0005-0000-0000-000024100000}"/>
    <cellStyle name="Normal 2 4 3 5 2" xfId="3439" xr:uid="{00000000-0005-0000-0000-000025100000}"/>
    <cellStyle name="Normal 2 4 3 5 2 2" xfId="7661" xr:uid="{00000000-0005-0000-0000-000026100000}"/>
    <cellStyle name="Normal 2 4 3 5 2 2 2" xfId="24552" xr:uid="{56AAF5D5-3306-44B5-8115-1EFC3FB8717E}"/>
    <cellStyle name="Normal 2 4 3 5 2 2 3" xfId="16111" xr:uid="{7ABC3A62-8240-4F1E-B42D-1DCA39D56C6A}"/>
    <cellStyle name="Normal 2 4 3 5 2 3" xfId="20334" xr:uid="{1B4C0557-14DA-41DB-8CCD-31C1E9C2E9A4}"/>
    <cellStyle name="Normal 2 4 3 5 2 4" xfId="11893" xr:uid="{A1298F40-31CF-4E49-AAAD-FCE71B64E3FA}"/>
    <cellStyle name="Normal 2 4 3 5 3" xfId="5516" xr:uid="{00000000-0005-0000-0000-000027100000}"/>
    <cellStyle name="Normal 2 4 3 5 3 2" xfId="22407" xr:uid="{7EF94D03-E4A2-4BA4-8C17-2FB8B417030E}"/>
    <cellStyle name="Normal 2 4 3 5 3 3" xfId="13966" xr:uid="{56795A61-D14D-490E-BC48-4DBBE3ABD560}"/>
    <cellStyle name="Normal 2 4 3 5 4" xfId="18189" xr:uid="{958A9CCA-6D23-47FD-8120-4D06CDE99CFF}"/>
    <cellStyle name="Normal 2 4 3 5 5" xfId="9748" xr:uid="{8FF4409C-0457-4ADB-B833-852BCDF66FA9}"/>
    <cellStyle name="Normal 2 4 3 6" xfId="1622" xr:uid="{00000000-0005-0000-0000-000028100000}"/>
    <cellStyle name="Normal 2 4 3 6 2" xfId="3852" xr:uid="{00000000-0005-0000-0000-000029100000}"/>
    <cellStyle name="Normal 2 4 3 6 2 2" xfId="8074" xr:uid="{00000000-0005-0000-0000-00002A100000}"/>
    <cellStyle name="Normal 2 4 3 6 2 2 2" xfId="24965" xr:uid="{5412EE78-1A6A-42FC-AAC2-C349A0041D84}"/>
    <cellStyle name="Normal 2 4 3 6 2 2 3" xfId="16524" xr:uid="{82355639-E74E-4A08-AF20-D30B202179A2}"/>
    <cellStyle name="Normal 2 4 3 6 2 3" xfId="20747" xr:uid="{B37BE6DB-AA97-4D32-9835-2233B6C62CF7}"/>
    <cellStyle name="Normal 2 4 3 6 2 4" xfId="12306" xr:uid="{BA18C699-E99D-4445-80E1-B9E18FD96FCA}"/>
    <cellStyle name="Normal 2 4 3 6 3" xfId="5929" xr:uid="{00000000-0005-0000-0000-00002B100000}"/>
    <cellStyle name="Normal 2 4 3 6 3 2" xfId="22820" xr:uid="{BF3EAC0E-03E2-4627-BD1C-C5DE23D8D6E6}"/>
    <cellStyle name="Normal 2 4 3 6 3 3" xfId="14379" xr:uid="{BFBF5328-3CD6-45D2-BEFF-23E240DF81B2}"/>
    <cellStyle name="Normal 2 4 3 6 4" xfId="18602" xr:uid="{DBD7C823-E8E8-4ED4-BA13-DCEDEFCFC6CF}"/>
    <cellStyle name="Normal 2 4 3 6 5" xfId="10161" xr:uid="{26A7DEE0-587A-4BB6-8192-66B835ED9B13}"/>
    <cellStyle name="Normal 2 4 3 7" xfId="2036" xr:uid="{00000000-0005-0000-0000-00002C100000}"/>
    <cellStyle name="Normal 2 4 3 7 2" xfId="4265" xr:uid="{00000000-0005-0000-0000-00002D100000}"/>
    <cellStyle name="Normal 2 4 3 7 2 2" xfId="8487" xr:uid="{00000000-0005-0000-0000-00002E100000}"/>
    <cellStyle name="Normal 2 4 3 7 2 2 2" xfId="25378" xr:uid="{4C49F17A-44FB-4E82-996B-3B2D5675F293}"/>
    <cellStyle name="Normal 2 4 3 7 2 2 3" xfId="16937" xr:uid="{25B3B5DD-A3AF-4A81-861F-08EC0996F7AA}"/>
    <cellStyle name="Normal 2 4 3 7 2 3" xfId="21160" xr:uid="{EE816AFE-016C-4604-8128-E66E5152D7AB}"/>
    <cellStyle name="Normal 2 4 3 7 2 4" xfId="12719" xr:uid="{0A496588-A428-4B1F-AA30-34D3BA08A330}"/>
    <cellStyle name="Normal 2 4 3 7 3" xfId="6342" xr:uid="{00000000-0005-0000-0000-00002F100000}"/>
    <cellStyle name="Normal 2 4 3 7 3 2" xfId="23233" xr:uid="{A8467C2C-2EC0-4183-BA1E-ECA163F5B38C}"/>
    <cellStyle name="Normal 2 4 3 7 3 3" xfId="14792" xr:uid="{80E186B5-0CCA-405F-AD34-5030F7DD6522}"/>
    <cellStyle name="Normal 2 4 3 7 4" xfId="19015" xr:uid="{C2636027-BC3D-4D4B-810B-CD7040C4949D}"/>
    <cellStyle name="Normal 2 4 3 7 5" xfId="10574" xr:uid="{24C520D1-E081-4BBC-87D2-D3A145287B1C}"/>
    <cellStyle name="Normal 2 4 3 8" xfId="2472" xr:uid="{00000000-0005-0000-0000-000030100000}"/>
    <cellStyle name="Normal 2 4 3 8 2" xfId="6755" xr:uid="{00000000-0005-0000-0000-000031100000}"/>
    <cellStyle name="Normal 2 4 3 8 2 2" xfId="23646" xr:uid="{074932F7-3DEC-413C-B4A9-A80538126D2A}"/>
    <cellStyle name="Normal 2 4 3 8 2 3" xfId="15205" xr:uid="{D035BA93-ADC3-4881-90AD-43968FD3FC00}"/>
    <cellStyle name="Normal 2 4 3 8 3" xfId="19428" xr:uid="{3A0B3426-6190-4161-A1A2-B422869AEE46}"/>
    <cellStyle name="Normal 2 4 3 8 4" xfId="10987" xr:uid="{23C77B04-AB52-47A1-B2F1-92A8ED8F7701}"/>
    <cellStyle name="Normal 2 4 3 9" xfId="4689" xr:uid="{00000000-0005-0000-0000-000032100000}"/>
    <cellStyle name="Normal 2 4 3 9 2" xfId="21580" xr:uid="{EBC01B3D-D6C6-4512-A50A-361BA5E28419}"/>
    <cellStyle name="Normal 2 4 3 9 3" xfId="13139" xr:uid="{9C313893-6844-4118-A3A7-042FCA91470D}"/>
    <cellStyle name="Normal 2 4 4" xfId="302" xr:uid="{00000000-0005-0000-0000-000033100000}"/>
    <cellStyle name="Normal 2 4 5" xfId="303" xr:uid="{00000000-0005-0000-0000-000034100000}"/>
    <cellStyle name="Normal 2 4 5 10" xfId="4694" xr:uid="{00000000-0005-0000-0000-000035100000}"/>
    <cellStyle name="Normal 2 4 5 10 2" xfId="21585" xr:uid="{2179C309-ED16-4BC8-A5AA-E290E2C1FFBD}"/>
    <cellStyle name="Normal 2 4 5 10 3" xfId="13144" xr:uid="{BAF5686F-72A6-4F43-AABE-707414FA4BFD}"/>
    <cellStyle name="Normal 2 4 5 11" xfId="17367" xr:uid="{67B0B94C-0768-47E7-94E5-4CB4A3D7FB59}"/>
    <cellStyle name="Normal 2 4 5 12" xfId="8926" xr:uid="{46898A27-952C-48F4-B100-523B68B8BCB3}"/>
    <cellStyle name="Normal 2 4 5 2" xfId="304" xr:uid="{00000000-0005-0000-0000-000036100000}"/>
    <cellStyle name="Normal 2 4 5 2 10" xfId="17368" xr:uid="{48BE1F55-1312-4885-B1AC-70575751ACCF}"/>
    <cellStyle name="Normal 2 4 5 2 11" xfId="8927" xr:uid="{507FC8DD-EECD-4BB7-91B9-F4FA4A755CF9}"/>
    <cellStyle name="Normal 2 4 5 2 2" xfId="305" xr:uid="{00000000-0005-0000-0000-000037100000}"/>
    <cellStyle name="Normal 2 4 5 2 2 10" xfId="8928" xr:uid="{A625BA29-2B67-4EFD-BD85-5A3A91590DB3}"/>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24147" xr:uid="{50A8151B-448C-45FB-8AD7-97BDF1046B37}"/>
    <cellStyle name="Normal 2 4 5 2 2 2 2 2 2 3" xfId="15706" xr:uid="{A7A11151-5A8D-4B06-B24F-47805D5A3DB1}"/>
    <cellStyle name="Normal 2 4 5 2 2 2 2 2 3" xfId="19929" xr:uid="{5F4B03F3-F66D-4427-8A7F-A943C1757C06}"/>
    <cellStyle name="Normal 2 4 5 2 2 2 2 2 4" xfId="11488" xr:uid="{76F8D6DA-7015-40F1-9942-1798EEF3CCEF}"/>
    <cellStyle name="Normal 2 4 5 2 2 2 2 3" xfId="5111" xr:uid="{00000000-0005-0000-0000-00003C100000}"/>
    <cellStyle name="Normal 2 4 5 2 2 2 2 3 2" xfId="22002" xr:uid="{405F03EF-1B39-44CE-BE93-656DEDAF43EA}"/>
    <cellStyle name="Normal 2 4 5 2 2 2 2 3 3" xfId="13561" xr:uid="{E4483554-57EA-4966-919B-2954C11B0C70}"/>
    <cellStyle name="Normal 2 4 5 2 2 2 2 4" xfId="17784" xr:uid="{A00782C4-7A7F-4A82-A869-2DDDDFB60DF4}"/>
    <cellStyle name="Normal 2 4 5 2 2 2 2 5" xfId="9343" xr:uid="{EACDB406-303C-48E8-A392-BA30D939C93D}"/>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24560" xr:uid="{2DFA4B17-6FCE-4C3E-9BC1-DE7E1B95F6D3}"/>
    <cellStyle name="Normal 2 4 5 2 2 2 3 2 2 3" xfId="16119" xr:uid="{DACA6813-D518-4977-97A8-338B5DDD41C4}"/>
    <cellStyle name="Normal 2 4 5 2 2 2 3 2 3" xfId="20342" xr:uid="{CCBCC21F-92FC-4F31-A9EE-874B89B34153}"/>
    <cellStyle name="Normal 2 4 5 2 2 2 3 2 4" xfId="11901" xr:uid="{3E4ABBEB-A713-4946-8F8F-EF0F8225C5E7}"/>
    <cellStyle name="Normal 2 4 5 2 2 2 3 3" xfId="5524" xr:uid="{00000000-0005-0000-0000-000040100000}"/>
    <cellStyle name="Normal 2 4 5 2 2 2 3 3 2" xfId="22415" xr:uid="{A4C780F6-4F41-45C8-A222-71F187AE6856}"/>
    <cellStyle name="Normal 2 4 5 2 2 2 3 3 3" xfId="13974" xr:uid="{C14F403F-B6E4-421A-AD3A-50ABC789AFBF}"/>
    <cellStyle name="Normal 2 4 5 2 2 2 3 4" xfId="18197" xr:uid="{683DC11C-099D-40ED-9E7B-B26DA68067C2}"/>
    <cellStyle name="Normal 2 4 5 2 2 2 3 5" xfId="9756" xr:uid="{13E6B954-E822-4748-A2D4-F8C4CCDAA72F}"/>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24973" xr:uid="{58787CAC-F4C1-42D1-A80B-314BCBA88C5E}"/>
    <cellStyle name="Normal 2 4 5 2 2 2 4 2 2 3" xfId="16532" xr:uid="{6084F063-2EE1-44BD-AB49-F18C686A7AE1}"/>
    <cellStyle name="Normal 2 4 5 2 2 2 4 2 3" xfId="20755" xr:uid="{76429D46-F590-4327-ABE2-C1E26CB758DA}"/>
    <cellStyle name="Normal 2 4 5 2 2 2 4 2 4" xfId="12314" xr:uid="{E01604F7-38D3-4B04-9F58-524603B6C404}"/>
    <cellStyle name="Normal 2 4 5 2 2 2 4 3" xfId="5937" xr:uid="{00000000-0005-0000-0000-000044100000}"/>
    <cellStyle name="Normal 2 4 5 2 2 2 4 3 2" xfId="22828" xr:uid="{62966B53-D533-4822-9CC7-CE5DDB0DA9EE}"/>
    <cellStyle name="Normal 2 4 5 2 2 2 4 3 3" xfId="14387" xr:uid="{C5E21A44-2433-47D7-9268-E1634D88CE03}"/>
    <cellStyle name="Normal 2 4 5 2 2 2 4 4" xfId="18610" xr:uid="{5A1B6851-C99C-4167-9924-548AB67D49FE}"/>
    <cellStyle name="Normal 2 4 5 2 2 2 4 5" xfId="10169" xr:uid="{2E84FDAB-362E-4456-A0DA-33478743D6B8}"/>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25386" xr:uid="{CCEDE394-F06A-4374-994A-70014A3352E4}"/>
    <cellStyle name="Normal 2 4 5 2 2 2 5 2 2 3" xfId="16945" xr:uid="{ED0FB227-7246-4712-A802-2362F98B5B85}"/>
    <cellStyle name="Normal 2 4 5 2 2 2 5 2 3" xfId="21168" xr:uid="{EE0F519C-CA62-4710-A822-DDC0AC5A3331}"/>
    <cellStyle name="Normal 2 4 5 2 2 2 5 2 4" xfId="12727" xr:uid="{3EC56276-EF68-489C-9838-58CB78A9B5F3}"/>
    <cellStyle name="Normal 2 4 5 2 2 2 5 3" xfId="6350" xr:uid="{00000000-0005-0000-0000-000048100000}"/>
    <cellStyle name="Normal 2 4 5 2 2 2 5 3 2" xfId="23241" xr:uid="{BDF95867-B833-4791-A0A2-58B2637A5F78}"/>
    <cellStyle name="Normal 2 4 5 2 2 2 5 3 3" xfId="14800" xr:uid="{6C2C0115-4835-4B5B-8ED7-1BDAC1F4E43B}"/>
    <cellStyle name="Normal 2 4 5 2 2 2 5 4" xfId="19023" xr:uid="{5C0836EC-FF68-40C9-B6CE-DE9641969526}"/>
    <cellStyle name="Normal 2 4 5 2 2 2 5 5" xfId="10582" xr:uid="{78743908-C792-4C0B-B569-7A1D3224A6C8}"/>
    <cellStyle name="Normal 2 4 5 2 2 2 6" xfId="2480" xr:uid="{00000000-0005-0000-0000-000049100000}"/>
    <cellStyle name="Normal 2 4 5 2 2 2 6 2" xfId="6763" xr:uid="{00000000-0005-0000-0000-00004A100000}"/>
    <cellStyle name="Normal 2 4 5 2 2 2 6 2 2" xfId="23654" xr:uid="{924105A8-EA38-47E7-B39A-13E69E560CA4}"/>
    <cellStyle name="Normal 2 4 5 2 2 2 6 2 3" xfId="15213" xr:uid="{08CE6EB5-6B1B-4307-8DC1-2E6ED946C2D6}"/>
    <cellStyle name="Normal 2 4 5 2 2 2 6 3" xfId="19436" xr:uid="{1FBAF6C4-0829-4BB7-A28F-8F90095408C5}"/>
    <cellStyle name="Normal 2 4 5 2 2 2 6 4" xfId="10995" xr:uid="{B9C1A52D-B432-444E-A95A-315595729FD6}"/>
    <cellStyle name="Normal 2 4 5 2 2 2 7" xfId="4697" xr:uid="{00000000-0005-0000-0000-00004B100000}"/>
    <cellStyle name="Normal 2 4 5 2 2 2 7 2" xfId="21588" xr:uid="{2459ACA4-980F-4D14-A976-4CAB669D4881}"/>
    <cellStyle name="Normal 2 4 5 2 2 2 7 3" xfId="13147" xr:uid="{3E65C099-498A-445C-97CB-D9BC114DFD2F}"/>
    <cellStyle name="Normal 2 4 5 2 2 2 8" xfId="17370" xr:uid="{FBC32B72-99B3-43D1-A9A9-671D071889D6}"/>
    <cellStyle name="Normal 2 4 5 2 2 2 9" xfId="8929" xr:uid="{D8AF09BA-A062-4645-98C9-BD5A4EDA95B6}"/>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24146" xr:uid="{67177E4A-6205-4C48-8991-F4A5C8806473}"/>
    <cellStyle name="Normal 2 4 5 2 2 3 2 2 3" xfId="15705" xr:uid="{3C8A56E1-499B-4145-9127-1D028168CB37}"/>
    <cellStyle name="Normal 2 4 5 2 2 3 2 3" xfId="19928" xr:uid="{FBDE1848-356C-450B-AD64-F38AC63A720B}"/>
    <cellStyle name="Normal 2 4 5 2 2 3 2 4" xfId="11487" xr:uid="{70FD1EEB-2207-496C-94C1-2434EAE0F5F1}"/>
    <cellStyle name="Normal 2 4 5 2 2 3 3" xfId="5110" xr:uid="{00000000-0005-0000-0000-00004F100000}"/>
    <cellStyle name="Normal 2 4 5 2 2 3 3 2" xfId="22001" xr:uid="{21DDEF24-695C-46FF-8547-B225366C6C32}"/>
    <cellStyle name="Normal 2 4 5 2 2 3 3 3" xfId="13560" xr:uid="{AC552C50-FE67-4A19-8B8B-29EABE4EB705}"/>
    <cellStyle name="Normal 2 4 5 2 2 3 4" xfId="17783" xr:uid="{E20B03D3-DA8C-4AD3-AFC1-4A46FF488791}"/>
    <cellStyle name="Normal 2 4 5 2 2 3 5" xfId="9342" xr:uid="{B6A9CC93-BFE9-4EE7-826C-54FD498C69B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24559" xr:uid="{269F0131-4390-49B3-8B69-3B18609D64AF}"/>
    <cellStyle name="Normal 2 4 5 2 2 4 2 2 3" xfId="16118" xr:uid="{750FBD1D-FC6F-48B4-840E-83D69F74FBA3}"/>
    <cellStyle name="Normal 2 4 5 2 2 4 2 3" xfId="20341" xr:uid="{642B5CDD-CDFC-4CE5-9F56-5AEF5ADB407C}"/>
    <cellStyle name="Normal 2 4 5 2 2 4 2 4" xfId="11900" xr:uid="{6334CE38-94CC-47A0-BF8B-64BCAA834D2A}"/>
    <cellStyle name="Normal 2 4 5 2 2 4 3" xfId="5523" xr:uid="{00000000-0005-0000-0000-000053100000}"/>
    <cellStyle name="Normal 2 4 5 2 2 4 3 2" xfId="22414" xr:uid="{7EF8A4AF-2574-45A5-98A8-7C002CC5070A}"/>
    <cellStyle name="Normal 2 4 5 2 2 4 3 3" xfId="13973" xr:uid="{9683F49F-7C84-4B6A-B159-2BCF6EE73731}"/>
    <cellStyle name="Normal 2 4 5 2 2 4 4" xfId="18196" xr:uid="{01D80F4E-DF18-474C-8A2A-216534079517}"/>
    <cellStyle name="Normal 2 4 5 2 2 4 5" xfId="9755" xr:uid="{31EF64DB-CC19-4A63-BBC0-90F2CA938432}"/>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24972" xr:uid="{EE2DF67E-6FD4-45D5-8065-D1F15D1524C2}"/>
    <cellStyle name="Normal 2 4 5 2 2 5 2 2 3" xfId="16531" xr:uid="{7B40259C-51D5-4605-812D-DED8475EE4E1}"/>
    <cellStyle name="Normal 2 4 5 2 2 5 2 3" xfId="20754" xr:uid="{AE5FB8FB-9F8D-491C-BE6F-B882C109F305}"/>
    <cellStyle name="Normal 2 4 5 2 2 5 2 4" xfId="12313" xr:uid="{999CDD16-36A3-4F70-BBC7-438C3F43E23A}"/>
    <cellStyle name="Normal 2 4 5 2 2 5 3" xfId="5936" xr:uid="{00000000-0005-0000-0000-000057100000}"/>
    <cellStyle name="Normal 2 4 5 2 2 5 3 2" xfId="22827" xr:uid="{F28F5607-E153-479B-AA6C-CEDCCCCDA680}"/>
    <cellStyle name="Normal 2 4 5 2 2 5 3 3" xfId="14386" xr:uid="{EC83617F-C777-4C75-B3D0-9CC0023B639D}"/>
    <cellStyle name="Normal 2 4 5 2 2 5 4" xfId="18609" xr:uid="{9B7BD0FB-AEF5-4864-97A9-3F44E5652384}"/>
    <cellStyle name="Normal 2 4 5 2 2 5 5" xfId="10168" xr:uid="{8C9EBC1F-83CA-4B74-9560-A145B6A19E5F}"/>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25385" xr:uid="{9CC3D11F-8809-40AB-A5BC-7C12FE88AEC9}"/>
    <cellStyle name="Normal 2 4 5 2 2 6 2 2 3" xfId="16944" xr:uid="{CF36B862-8B1C-4976-8BBD-9BA69378D1D4}"/>
    <cellStyle name="Normal 2 4 5 2 2 6 2 3" xfId="21167" xr:uid="{EEF1E47F-09AE-4D9A-AABB-E43D1A7B8606}"/>
    <cellStyle name="Normal 2 4 5 2 2 6 2 4" xfId="12726" xr:uid="{7A657B6C-17C6-4908-9F37-540F28633E3C}"/>
    <cellStyle name="Normal 2 4 5 2 2 6 3" xfId="6349" xr:uid="{00000000-0005-0000-0000-00005B100000}"/>
    <cellStyle name="Normal 2 4 5 2 2 6 3 2" xfId="23240" xr:uid="{C83C9B56-8D91-4C5B-BAAA-36115B78E5EA}"/>
    <cellStyle name="Normal 2 4 5 2 2 6 3 3" xfId="14799" xr:uid="{247D1239-D327-4096-8E55-1F24D659CD90}"/>
    <cellStyle name="Normal 2 4 5 2 2 6 4" xfId="19022" xr:uid="{8114BC0C-5744-447A-B571-842647BC13E0}"/>
    <cellStyle name="Normal 2 4 5 2 2 6 5" xfId="10581" xr:uid="{9F8CEB0D-65B3-4EC5-A4CB-DE392387D766}"/>
    <cellStyle name="Normal 2 4 5 2 2 7" xfId="2479" xr:uid="{00000000-0005-0000-0000-00005C100000}"/>
    <cellStyle name="Normal 2 4 5 2 2 7 2" xfId="6762" xr:uid="{00000000-0005-0000-0000-00005D100000}"/>
    <cellStyle name="Normal 2 4 5 2 2 7 2 2" xfId="23653" xr:uid="{E3D6A68A-6E43-488A-B9CF-E8274B28DC95}"/>
    <cellStyle name="Normal 2 4 5 2 2 7 2 3" xfId="15212" xr:uid="{97A4692B-EB8F-44B8-B3C8-1B91313BE2FD}"/>
    <cellStyle name="Normal 2 4 5 2 2 7 3" xfId="19435" xr:uid="{ADF8D1C9-48DE-4913-B0C6-43986BD81F64}"/>
    <cellStyle name="Normal 2 4 5 2 2 7 4" xfId="10994" xr:uid="{67460BA8-DD4C-43F3-B7DD-95F74423248F}"/>
    <cellStyle name="Normal 2 4 5 2 2 8" xfId="4696" xr:uid="{00000000-0005-0000-0000-00005E100000}"/>
    <cellStyle name="Normal 2 4 5 2 2 8 2" xfId="21587" xr:uid="{CFCCC296-32C3-4A5C-AA9C-5B4D357DCE6F}"/>
    <cellStyle name="Normal 2 4 5 2 2 8 3" xfId="13146" xr:uid="{3D859F52-1304-4CEB-BC2B-E3B305631632}"/>
    <cellStyle name="Normal 2 4 5 2 2 9" xfId="17369" xr:uid="{F2286904-D0F1-4B0D-8E4A-FF10B701CE05}"/>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24148" xr:uid="{581F4D9D-B054-4E85-8E6B-A14608829A5A}"/>
    <cellStyle name="Normal 2 4 5 2 3 2 2 2 3" xfId="15707" xr:uid="{2EE81024-383F-4BC0-AF2D-06544FAC8B3F}"/>
    <cellStyle name="Normal 2 4 5 2 3 2 2 3" xfId="19930" xr:uid="{77638E03-1CBB-430F-B9EA-C46B16DFD824}"/>
    <cellStyle name="Normal 2 4 5 2 3 2 2 4" xfId="11489" xr:uid="{B2EF3365-6F69-4DB5-8DBC-4F1218DE072D}"/>
    <cellStyle name="Normal 2 4 5 2 3 2 3" xfId="5112" xr:uid="{00000000-0005-0000-0000-000063100000}"/>
    <cellStyle name="Normal 2 4 5 2 3 2 3 2" xfId="22003" xr:uid="{4BA83F2C-CA73-4E98-AAE5-69457D0F7499}"/>
    <cellStyle name="Normal 2 4 5 2 3 2 3 3" xfId="13562" xr:uid="{26EEA6E2-07AD-4AD0-9F4A-5DC81D152297}"/>
    <cellStyle name="Normal 2 4 5 2 3 2 4" xfId="17785" xr:uid="{CAB25684-F5C5-40C1-9586-C841EFCC8996}"/>
    <cellStyle name="Normal 2 4 5 2 3 2 5" xfId="9344" xr:uid="{E6F987E0-F0E0-4112-A22B-059DAE40195B}"/>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24561" xr:uid="{5B311416-0A0B-4446-9F0F-3FBAEC11F060}"/>
    <cellStyle name="Normal 2 4 5 2 3 3 2 2 3" xfId="16120" xr:uid="{43ED75E6-898E-4D85-9216-7C970784B863}"/>
    <cellStyle name="Normal 2 4 5 2 3 3 2 3" xfId="20343" xr:uid="{9E2CF708-0EA0-4D51-B41E-CAC3D3778639}"/>
    <cellStyle name="Normal 2 4 5 2 3 3 2 4" xfId="11902" xr:uid="{73086B38-537F-4701-8321-DF61483190FF}"/>
    <cellStyle name="Normal 2 4 5 2 3 3 3" xfId="5525" xr:uid="{00000000-0005-0000-0000-000067100000}"/>
    <cellStyle name="Normal 2 4 5 2 3 3 3 2" xfId="22416" xr:uid="{FF0C16AB-0077-4BC9-BB2E-60912FBE64D1}"/>
    <cellStyle name="Normal 2 4 5 2 3 3 3 3" xfId="13975" xr:uid="{59EC8549-2A01-4E68-ABE3-E30EA2A5F9B4}"/>
    <cellStyle name="Normal 2 4 5 2 3 3 4" xfId="18198" xr:uid="{8325A04C-3D51-4CE9-8ED2-A8CDE6070166}"/>
    <cellStyle name="Normal 2 4 5 2 3 3 5" xfId="9757" xr:uid="{342FEBCA-7C8A-446E-9106-F73D9BCD04C7}"/>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24974" xr:uid="{C58F3CEB-A248-432D-B894-F91C9394C36C}"/>
    <cellStyle name="Normal 2 4 5 2 3 4 2 2 3" xfId="16533" xr:uid="{CBBFBF77-064E-4CC6-A62C-A6D2208A1A53}"/>
    <cellStyle name="Normal 2 4 5 2 3 4 2 3" xfId="20756" xr:uid="{CEE972FA-F5B2-49E9-A027-D654CB37BD49}"/>
    <cellStyle name="Normal 2 4 5 2 3 4 2 4" xfId="12315" xr:uid="{EBDA84A0-4BC4-4F57-9FD0-89CC9FD3181C}"/>
    <cellStyle name="Normal 2 4 5 2 3 4 3" xfId="5938" xr:uid="{00000000-0005-0000-0000-00006B100000}"/>
    <cellStyle name="Normal 2 4 5 2 3 4 3 2" xfId="22829" xr:uid="{919B293E-3F62-4ADA-9270-789468449DB9}"/>
    <cellStyle name="Normal 2 4 5 2 3 4 3 3" xfId="14388" xr:uid="{9EA015B5-B022-4363-82AB-0CBC7B3180CC}"/>
    <cellStyle name="Normal 2 4 5 2 3 4 4" xfId="18611" xr:uid="{CB6A4CB2-C909-46E5-8BE2-CF0E1D9AFF67}"/>
    <cellStyle name="Normal 2 4 5 2 3 4 5" xfId="10170" xr:uid="{27C0B1FA-E949-477C-AB1D-3897195E25C9}"/>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25387" xr:uid="{453B94D3-26EC-47B3-8D25-40D0537E8F28}"/>
    <cellStyle name="Normal 2 4 5 2 3 5 2 2 3" xfId="16946" xr:uid="{0A175862-5F71-4DE0-8E4A-72868FEC7B9C}"/>
    <cellStyle name="Normal 2 4 5 2 3 5 2 3" xfId="21169" xr:uid="{84C91DD1-C344-4BE1-B1C6-7C337CB69FF9}"/>
    <cellStyle name="Normal 2 4 5 2 3 5 2 4" xfId="12728" xr:uid="{7A5439DF-ACE6-4866-8659-BED655A99B39}"/>
    <cellStyle name="Normal 2 4 5 2 3 5 3" xfId="6351" xr:uid="{00000000-0005-0000-0000-00006F100000}"/>
    <cellStyle name="Normal 2 4 5 2 3 5 3 2" xfId="23242" xr:uid="{52F8A10B-EDDD-4294-9B1D-8C4CC06A2CB9}"/>
    <cellStyle name="Normal 2 4 5 2 3 5 3 3" xfId="14801" xr:uid="{BBAEFAEA-92AA-41ED-B71C-500C88DEC374}"/>
    <cellStyle name="Normal 2 4 5 2 3 5 4" xfId="19024" xr:uid="{B6C3CA96-E63D-420F-A3F2-8A3654C12F97}"/>
    <cellStyle name="Normal 2 4 5 2 3 5 5" xfId="10583" xr:uid="{34091982-9D7B-4270-8AAE-EE7D8A835A5B}"/>
    <cellStyle name="Normal 2 4 5 2 3 6" xfId="2481" xr:uid="{00000000-0005-0000-0000-000070100000}"/>
    <cellStyle name="Normal 2 4 5 2 3 6 2" xfId="6764" xr:uid="{00000000-0005-0000-0000-000071100000}"/>
    <cellStyle name="Normal 2 4 5 2 3 6 2 2" xfId="23655" xr:uid="{73944DFA-8F38-4693-8832-1E0877A6D247}"/>
    <cellStyle name="Normal 2 4 5 2 3 6 2 3" xfId="15214" xr:uid="{F97FA3DF-33DD-40A0-8489-45884528F3A0}"/>
    <cellStyle name="Normal 2 4 5 2 3 6 3" xfId="19437" xr:uid="{1BC2E0BF-6D63-4CFD-88C7-B61C029227D1}"/>
    <cellStyle name="Normal 2 4 5 2 3 6 4" xfId="10996" xr:uid="{AC1A22DF-1D80-4143-9C10-E7253824D5D3}"/>
    <cellStyle name="Normal 2 4 5 2 3 7" xfId="4698" xr:uid="{00000000-0005-0000-0000-000072100000}"/>
    <cellStyle name="Normal 2 4 5 2 3 7 2" xfId="21589" xr:uid="{D7971E78-2CFC-4FCC-9F10-FA2B68A19FC3}"/>
    <cellStyle name="Normal 2 4 5 2 3 7 3" xfId="13148" xr:uid="{C2C12071-D3A8-46C9-9102-809E46B0D67E}"/>
    <cellStyle name="Normal 2 4 5 2 3 8" xfId="17371" xr:uid="{A411B995-1471-43C0-B049-3AE02D50071D}"/>
    <cellStyle name="Normal 2 4 5 2 3 9" xfId="8930" xr:uid="{405B346D-C697-495A-B381-40A2AF7659BE}"/>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24145" xr:uid="{F443D4FF-76F1-455F-800C-752606CD1072}"/>
    <cellStyle name="Normal 2 4 5 2 4 2 2 3" xfId="15704" xr:uid="{E42DB1E7-2297-42C2-994D-F60D53520318}"/>
    <cellStyle name="Normal 2 4 5 2 4 2 3" xfId="19927" xr:uid="{72B4CB86-D382-4D72-B7C7-2B9B4CF3AFBB}"/>
    <cellStyle name="Normal 2 4 5 2 4 2 4" xfId="11486" xr:uid="{8B31AA98-6367-433D-9161-EDD88EA21459}"/>
    <cellStyle name="Normal 2 4 5 2 4 3" xfId="5109" xr:uid="{00000000-0005-0000-0000-000076100000}"/>
    <cellStyle name="Normal 2 4 5 2 4 3 2" xfId="22000" xr:uid="{E3AC8609-0B2B-4683-A3B3-0590C5D3D297}"/>
    <cellStyle name="Normal 2 4 5 2 4 3 3" xfId="13559" xr:uid="{7FC15ACD-88BE-4B8C-8DD6-C6C9D032B455}"/>
    <cellStyle name="Normal 2 4 5 2 4 4" xfId="17782" xr:uid="{C3CF63EF-7F21-44A1-9270-3D7D3FA7C857}"/>
    <cellStyle name="Normal 2 4 5 2 4 5" xfId="9341" xr:uid="{2D4FF9E9-2FFD-4422-8444-8C984CB14D93}"/>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24558" xr:uid="{578327A4-2710-4F6D-AD94-1831F6282C81}"/>
    <cellStyle name="Normal 2 4 5 2 5 2 2 3" xfId="16117" xr:uid="{47A1CC90-C99F-4C6A-929B-6CD29C17381A}"/>
    <cellStyle name="Normal 2 4 5 2 5 2 3" xfId="20340" xr:uid="{786EF62B-AD21-413C-BD21-AF2C1D4E2993}"/>
    <cellStyle name="Normal 2 4 5 2 5 2 4" xfId="11899" xr:uid="{E84AD939-D05E-447D-ABAA-C4BB3EB98F13}"/>
    <cellStyle name="Normal 2 4 5 2 5 3" xfId="5522" xr:uid="{00000000-0005-0000-0000-00007A100000}"/>
    <cellStyle name="Normal 2 4 5 2 5 3 2" xfId="22413" xr:uid="{66DC429B-5A62-4899-BC0E-62A36C6BC75F}"/>
    <cellStyle name="Normal 2 4 5 2 5 3 3" xfId="13972" xr:uid="{084CA574-8B19-4514-8728-128C8B9DE87D}"/>
    <cellStyle name="Normal 2 4 5 2 5 4" xfId="18195" xr:uid="{779E52CF-4C8D-46EF-8EB0-7B769883DFA6}"/>
    <cellStyle name="Normal 2 4 5 2 5 5" xfId="9754" xr:uid="{94853789-8A5F-4A06-82EF-FEDE7B6CCA37}"/>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24971" xr:uid="{5D20E7DE-6F80-45BF-A584-45F1DC5E83FE}"/>
    <cellStyle name="Normal 2 4 5 2 6 2 2 3" xfId="16530" xr:uid="{5A7A735A-723D-49B3-A2FD-76926639CBC9}"/>
    <cellStyle name="Normal 2 4 5 2 6 2 3" xfId="20753" xr:uid="{98B216C3-2445-4ECA-A39C-FD9DD40A9789}"/>
    <cellStyle name="Normal 2 4 5 2 6 2 4" xfId="12312" xr:uid="{2E442C65-8FC4-4777-ABE0-4F1C1982CEDA}"/>
    <cellStyle name="Normal 2 4 5 2 6 3" xfId="5935" xr:uid="{00000000-0005-0000-0000-00007E100000}"/>
    <cellStyle name="Normal 2 4 5 2 6 3 2" xfId="22826" xr:uid="{FE8CB038-A837-4CF8-A270-9D68A3CF5876}"/>
    <cellStyle name="Normal 2 4 5 2 6 3 3" xfId="14385" xr:uid="{10D69F0C-B623-4C35-BF3F-B61D8F5034B2}"/>
    <cellStyle name="Normal 2 4 5 2 6 4" xfId="18608" xr:uid="{33C91E08-9035-4F80-BADC-A0CD00A3365C}"/>
    <cellStyle name="Normal 2 4 5 2 6 5" xfId="10167" xr:uid="{0A3BE453-D73D-45CE-802D-81F055CE0238}"/>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25384" xr:uid="{5C495EB9-6F41-4F42-AD32-6B9D61360C43}"/>
    <cellStyle name="Normal 2 4 5 2 7 2 2 3" xfId="16943" xr:uid="{741DFEAA-D21E-4341-8C21-1610A10097D9}"/>
    <cellStyle name="Normal 2 4 5 2 7 2 3" xfId="21166" xr:uid="{B14DFAB8-2BFE-4DD6-9B7E-94C37F4BE453}"/>
    <cellStyle name="Normal 2 4 5 2 7 2 4" xfId="12725" xr:uid="{84DF3634-CED9-42A6-8693-200450B91201}"/>
    <cellStyle name="Normal 2 4 5 2 7 3" xfId="6348" xr:uid="{00000000-0005-0000-0000-000082100000}"/>
    <cellStyle name="Normal 2 4 5 2 7 3 2" xfId="23239" xr:uid="{9E461C6E-B8B9-41E4-A8FF-06B20F3A7AA3}"/>
    <cellStyle name="Normal 2 4 5 2 7 3 3" xfId="14798" xr:uid="{F03ACD3E-C438-4AA5-81F8-004638A66594}"/>
    <cellStyle name="Normal 2 4 5 2 7 4" xfId="19021" xr:uid="{A1135B6B-5009-454C-915E-51DFC5AD59F8}"/>
    <cellStyle name="Normal 2 4 5 2 7 5" xfId="10580" xr:uid="{890C303F-3FB2-4B88-9511-CDB671985FB4}"/>
    <cellStyle name="Normal 2 4 5 2 8" xfId="2478" xr:uid="{00000000-0005-0000-0000-000083100000}"/>
    <cellStyle name="Normal 2 4 5 2 8 2" xfId="6761" xr:uid="{00000000-0005-0000-0000-000084100000}"/>
    <cellStyle name="Normal 2 4 5 2 8 2 2" xfId="23652" xr:uid="{423D93BC-CDCB-4DB7-9E18-411CAEC849CB}"/>
    <cellStyle name="Normal 2 4 5 2 8 2 3" xfId="15211" xr:uid="{F72A1FC2-1389-4F9A-A4B5-DF69BA10DF72}"/>
    <cellStyle name="Normal 2 4 5 2 8 3" xfId="19434" xr:uid="{6292440F-FC90-4A5E-A5D5-279D5AB02DA6}"/>
    <cellStyle name="Normal 2 4 5 2 8 4" xfId="10993" xr:uid="{1FD6FE69-C5C5-4131-AECC-F71179A8968C}"/>
    <cellStyle name="Normal 2 4 5 2 9" xfId="4695" xr:uid="{00000000-0005-0000-0000-000085100000}"/>
    <cellStyle name="Normal 2 4 5 2 9 2" xfId="21586" xr:uid="{E752B95F-43C3-46E4-BBCB-F870216CFBC5}"/>
    <cellStyle name="Normal 2 4 5 2 9 3" xfId="13145" xr:uid="{B165AB76-7CED-4B3C-8196-A42B6C893435}"/>
    <cellStyle name="Normal 2 4 5 3" xfId="308" xr:uid="{00000000-0005-0000-0000-000086100000}"/>
    <cellStyle name="Normal 2 4 5 3 10" xfId="8931" xr:uid="{ED87427C-E245-45E9-B98C-CF3F134927A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24150" xr:uid="{1906B9C0-A938-445E-A41E-A371E6981AA6}"/>
    <cellStyle name="Normal 2 4 5 3 2 2 2 2 3" xfId="15709" xr:uid="{77F01F67-C70C-4E20-90A4-5DB3E339E366}"/>
    <cellStyle name="Normal 2 4 5 3 2 2 2 3" xfId="19932" xr:uid="{8C10BC0C-CA53-4A1A-B7A8-6E98BCE4FFC7}"/>
    <cellStyle name="Normal 2 4 5 3 2 2 2 4" xfId="11491" xr:uid="{09D9760C-8E47-4774-895F-5E65EAB7BC20}"/>
    <cellStyle name="Normal 2 4 5 3 2 2 3" xfId="5114" xr:uid="{00000000-0005-0000-0000-00008B100000}"/>
    <cellStyle name="Normal 2 4 5 3 2 2 3 2" xfId="22005" xr:uid="{0059D099-4A39-4900-B8E5-15075FC950E8}"/>
    <cellStyle name="Normal 2 4 5 3 2 2 3 3" xfId="13564" xr:uid="{007B8C17-DC66-497D-9380-82E6831F3FB0}"/>
    <cellStyle name="Normal 2 4 5 3 2 2 4" xfId="17787" xr:uid="{1EAE653E-7FDA-4412-853F-665E4697B670}"/>
    <cellStyle name="Normal 2 4 5 3 2 2 5" xfId="9346" xr:uid="{CF96790A-A216-4F6F-A4A8-C781EFDFD88A}"/>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24563" xr:uid="{F6913918-0F62-44FB-95F0-450F0A9D7112}"/>
    <cellStyle name="Normal 2 4 5 3 2 3 2 2 3" xfId="16122" xr:uid="{B3DD78C7-CFE3-4E49-A6D2-9C6EDA207EEF}"/>
    <cellStyle name="Normal 2 4 5 3 2 3 2 3" xfId="20345" xr:uid="{6D315F66-3E19-4EB3-8638-8AFB3A5CCABD}"/>
    <cellStyle name="Normal 2 4 5 3 2 3 2 4" xfId="11904" xr:uid="{68494F7D-29A8-4A90-88EB-5B760ED2B21C}"/>
    <cellStyle name="Normal 2 4 5 3 2 3 3" xfId="5527" xr:uid="{00000000-0005-0000-0000-00008F100000}"/>
    <cellStyle name="Normal 2 4 5 3 2 3 3 2" xfId="22418" xr:uid="{AC3FA9FC-E466-495A-895E-22E68DAF677D}"/>
    <cellStyle name="Normal 2 4 5 3 2 3 3 3" xfId="13977" xr:uid="{50950DFA-F73A-4783-BE75-DD409C84E2BE}"/>
    <cellStyle name="Normal 2 4 5 3 2 3 4" xfId="18200" xr:uid="{73BFACAA-85C2-46A5-A0BC-162E10E4B4BC}"/>
    <cellStyle name="Normal 2 4 5 3 2 3 5" xfId="9759" xr:uid="{872AC31E-EFCC-435E-BDA5-2A2273DE7D57}"/>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24976" xr:uid="{19580D4D-05C4-4450-A6D5-FCE1FD9F47A3}"/>
    <cellStyle name="Normal 2 4 5 3 2 4 2 2 3" xfId="16535" xr:uid="{143B2847-EC82-4C1F-84A7-436181773B75}"/>
    <cellStyle name="Normal 2 4 5 3 2 4 2 3" xfId="20758" xr:uid="{342AA989-EBAD-48F4-8F61-25088FD06587}"/>
    <cellStyle name="Normal 2 4 5 3 2 4 2 4" xfId="12317" xr:uid="{695D76B0-AB42-4846-B656-6A26B4B0E1E0}"/>
    <cellStyle name="Normal 2 4 5 3 2 4 3" xfId="5940" xr:uid="{00000000-0005-0000-0000-000093100000}"/>
    <cellStyle name="Normal 2 4 5 3 2 4 3 2" xfId="22831" xr:uid="{AF3B57CC-62C2-41FA-A1C2-73B1294D851D}"/>
    <cellStyle name="Normal 2 4 5 3 2 4 3 3" xfId="14390" xr:uid="{CC7F3B36-79D8-4274-83A6-CAE00F8E54C4}"/>
    <cellStyle name="Normal 2 4 5 3 2 4 4" xfId="18613" xr:uid="{DD2F8D07-A776-49E8-A3DE-9F001F484874}"/>
    <cellStyle name="Normal 2 4 5 3 2 4 5" xfId="10172" xr:uid="{864B12A9-5EEF-477A-8252-58F3FF0815EC}"/>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25389" xr:uid="{B67DF9DF-3D4D-4A2C-B0E5-4B4DAB73DCD8}"/>
    <cellStyle name="Normal 2 4 5 3 2 5 2 2 3" xfId="16948" xr:uid="{A6048C7A-E8E9-4025-B17F-6A3289DB0CAE}"/>
    <cellStyle name="Normal 2 4 5 3 2 5 2 3" xfId="21171" xr:uid="{06E03F10-1343-47E6-9557-F975B38F1741}"/>
    <cellStyle name="Normal 2 4 5 3 2 5 2 4" xfId="12730" xr:uid="{37546BAF-3C1A-4C72-A795-6E30200CCC7A}"/>
    <cellStyle name="Normal 2 4 5 3 2 5 3" xfId="6353" xr:uid="{00000000-0005-0000-0000-000097100000}"/>
    <cellStyle name="Normal 2 4 5 3 2 5 3 2" xfId="23244" xr:uid="{F60F61E3-0B4C-4FAF-8F52-707136D79EEE}"/>
    <cellStyle name="Normal 2 4 5 3 2 5 3 3" xfId="14803" xr:uid="{722B99AC-42E5-4352-99F6-F4C4263AC6B8}"/>
    <cellStyle name="Normal 2 4 5 3 2 5 4" xfId="19026" xr:uid="{A91157AD-60A7-415E-B019-C552C22F4FC2}"/>
    <cellStyle name="Normal 2 4 5 3 2 5 5" xfId="10585" xr:uid="{F3A14564-DDDC-4F87-A541-48D0FC324DB9}"/>
    <cellStyle name="Normal 2 4 5 3 2 6" xfId="2483" xr:uid="{00000000-0005-0000-0000-000098100000}"/>
    <cellStyle name="Normal 2 4 5 3 2 6 2" xfId="6766" xr:uid="{00000000-0005-0000-0000-000099100000}"/>
    <cellStyle name="Normal 2 4 5 3 2 6 2 2" xfId="23657" xr:uid="{35B40848-69D9-4ABA-B483-30EE8B229628}"/>
    <cellStyle name="Normal 2 4 5 3 2 6 2 3" xfId="15216" xr:uid="{75EC0C31-233F-46E7-93A6-4B31B9C00D1A}"/>
    <cellStyle name="Normal 2 4 5 3 2 6 3" xfId="19439" xr:uid="{ADED07F2-C8E4-4627-9120-4068207B8822}"/>
    <cellStyle name="Normal 2 4 5 3 2 6 4" xfId="10998" xr:uid="{6BC99071-C972-4360-859D-EFFCD3764FCB}"/>
    <cellStyle name="Normal 2 4 5 3 2 7" xfId="4700" xr:uid="{00000000-0005-0000-0000-00009A100000}"/>
    <cellStyle name="Normal 2 4 5 3 2 7 2" xfId="21591" xr:uid="{4E248582-4E3D-4A32-B331-C33ACB21580C}"/>
    <cellStyle name="Normal 2 4 5 3 2 7 3" xfId="13150" xr:uid="{3100EEC4-6E84-41D4-B7AC-53ABA4484E0E}"/>
    <cellStyle name="Normal 2 4 5 3 2 8" xfId="17373" xr:uid="{EC922AF4-1939-4917-B3FC-9D5E6DAC7986}"/>
    <cellStyle name="Normal 2 4 5 3 2 9" xfId="8932" xr:uid="{3D05374C-7F56-4CF3-AD43-A75AA0A5A469}"/>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24149" xr:uid="{30B96E04-82B3-448D-B971-B702181560E8}"/>
    <cellStyle name="Normal 2 4 5 3 3 2 2 3" xfId="15708" xr:uid="{A46893BC-3C89-4126-A64B-47DC13A74629}"/>
    <cellStyle name="Normal 2 4 5 3 3 2 3" xfId="19931" xr:uid="{07FA649C-FB83-41C7-A97F-883E7B9736D6}"/>
    <cellStyle name="Normal 2 4 5 3 3 2 4" xfId="11490" xr:uid="{B1C385C7-901C-48FB-BDAE-19FBA37A95A4}"/>
    <cellStyle name="Normal 2 4 5 3 3 3" xfId="5113" xr:uid="{00000000-0005-0000-0000-00009E100000}"/>
    <cellStyle name="Normal 2 4 5 3 3 3 2" xfId="22004" xr:uid="{D6E4439C-6800-449F-83F8-CDE31F706F67}"/>
    <cellStyle name="Normal 2 4 5 3 3 3 3" xfId="13563" xr:uid="{D9D2C70E-128E-49CB-999C-FCDF959A8B0B}"/>
    <cellStyle name="Normal 2 4 5 3 3 4" xfId="17786" xr:uid="{AD1AAC07-5243-438C-A2BA-1C515B2CFBF0}"/>
    <cellStyle name="Normal 2 4 5 3 3 5" xfId="9345" xr:uid="{FDC4FFD6-CBFE-4929-830E-5E6612EB82BC}"/>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24562" xr:uid="{6D922B8F-B5EB-4774-A075-7B3D461F551C}"/>
    <cellStyle name="Normal 2 4 5 3 4 2 2 3" xfId="16121" xr:uid="{E48B4A03-8D96-406B-8D60-2198C3A5708F}"/>
    <cellStyle name="Normal 2 4 5 3 4 2 3" xfId="20344" xr:uid="{F7C83E14-36D1-4D56-AF06-F8761FAD0767}"/>
    <cellStyle name="Normal 2 4 5 3 4 2 4" xfId="11903" xr:uid="{A33AD6B6-F58E-4B05-8EC0-24F96885A8CD}"/>
    <cellStyle name="Normal 2 4 5 3 4 3" xfId="5526" xr:uid="{00000000-0005-0000-0000-0000A2100000}"/>
    <cellStyle name="Normal 2 4 5 3 4 3 2" xfId="22417" xr:uid="{12A3B8D7-5FD6-42BA-8014-BF2A87C98DD5}"/>
    <cellStyle name="Normal 2 4 5 3 4 3 3" xfId="13976" xr:uid="{C3550E45-ADFA-49B0-BB38-5660233B9DC3}"/>
    <cellStyle name="Normal 2 4 5 3 4 4" xfId="18199" xr:uid="{A112744D-678D-410D-9BB2-AE0260E7DDE8}"/>
    <cellStyle name="Normal 2 4 5 3 4 5" xfId="9758" xr:uid="{1413600B-EBC3-4B97-B1F4-A509E9201C42}"/>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24975" xr:uid="{D43AFFE0-2468-4DA7-9512-407B2310F39C}"/>
    <cellStyle name="Normal 2 4 5 3 5 2 2 3" xfId="16534" xr:uid="{336675EC-B509-43C2-A920-1F9178015B70}"/>
    <cellStyle name="Normal 2 4 5 3 5 2 3" xfId="20757" xr:uid="{E9145800-AB63-4917-91D6-07F9AB161CF2}"/>
    <cellStyle name="Normal 2 4 5 3 5 2 4" xfId="12316" xr:uid="{1C898AD7-97B2-4343-8143-BBE84D05665B}"/>
    <cellStyle name="Normal 2 4 5 3 5 3" xfId="5939" xr:uid="{00000000-0005-0000-0000-0000A6100000}"/>
    <cellStyle name="Normal 2 4 5 3 5 3 2" xfId="22830" xr:uid="{CA6C8F48-C2CC-4780-BD5F-185144900CDE}"/>
    <cellStyle name="Normal 2 4 5 3 5 3 3" xfId="14389" xr:uid="{97FE1995-DC7D-4813-BAF9-CC4BE290C719}"/>
    <cellStyle name="Normal 2 4 5 3 5 4" xfId="18612" xr:uid="{78660DE2-2707-48C9-8542-64F18C6D7648}"/>
    <cellStyle name="Normal 2 4 5 3 5 5" xfId="10171" xr:uid="{BC5802E5-5687-4D39-AA24-5FA92778DA84}"/>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25388" xr:uid="{A283EBA0-45C9-4BA3-9D82-4214FB2E06C5}"/>
    <cellStyle name="Normal 2 4 5 3 6 2 2 3" xfId="16947" xr:uid="{CEC41C21-01D3-49D3-8A48-441275465F6E}"/>
    <cellStyle name="Normal 2 4 5 3 6 2 3" xfId="21170" xr:uid="{6B1581A8-489E-45C6-A0C0-39CE34A701FE}"/>
    <cellStyle name="Normal 2 4 5 3 6 2 4" xfId="12729" xr:uid="{13ADAB79-9135-4C6F-B962-07A096ECB304}"/>
    <cellStyle name="Normal 2 4 5 3 6 3" xfId="6352" xr:uid="{00000000-0005-0000-0000-0000AA100000}"/>
    <cellStyle name="Normal 2 4 5 3 6 3 2" xfId="23243" xr:uid="{85922E94-DC40-4D22-9B73-7C732539378B}"/>
    <cellStyle name="Normal 2 4 5 3 6 3 3" xfId="14802" xr:uid="{537382D9-C48F-49C8-9EF9-431E2B11177B}"/>
    <cellStyle name="Normal 2 4 5 3 6 4" xfId="19025" xr:uid="{2D8480B2-A22E-495E-A230-087DC5D2A0D5}"/>
    <cellStyle name="Normal 2 4 5 3 6 5" xfId="10584" xr:uid="{D3275771-C2A7-4E10-8C9D-8D7F1FC73917}"/>
    <cellStyle name="Normal 2 4 5 3 7" xfId="2482" xr:uid="{00000000-0005-0000-0000-0000AB100000}"/>
    <cellStyle name="Normal 2 4 5 3 7 2" xfId="6765" xr:uid="{00000000-0005-0000-0000-0000AC100000}"/>
    <cellStyle name="Normal 2 4 5 3 7 2 2" xfId="23656" xr:uid="{99D9CA85-C55B-4EDC-8804-C1E98ED40C75}"/>
    <cellStyle name="Normal 2 4 5 3 7 2 3" xfId="15215" xr:uid="{A6BF7DAB-5F86-4043-85B0-D58F1847945C}"/>
    <cellStyle name="Normal 2 4 5 3 7 3" xfId="19438" xr:uid="{F27D7377-6DC7-4419-A757-B2CE5F6EEB06}"/>
    <cellStyle name="Normal 2 4 5 3 7 4" xfId="10997" xr:uid="{36953693-9EE9-46E1-8CAB-8E944B175ACC}"/>
    <cellStyle name="Normal 2 4 5 3 8" xfId="4699" xr:uid="{00000000-0005-0000-0000-0000AD100000}"/>
    <cellStyle name="Normal 2 4 5 3 8 2" xfId="21590" xr:uid="{C3AFEC77-B87A-4528-A0DB-B0B1129EC72E}"/>
    <cellStyle name="Normal 2 4 5 3 8 3" xfId="13149" xr:uid="{AA87DB4C-5817-41FE-A356-9B2523D81ADE}"/>
    <cellStyle name="Normal 2 4 5 3 9" xfId="17372" xr:uid="{205B022A-9F2F-46C1-BCC6-D14CCF6A860C}"/>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24151" xr:uid="{CBE00C19-0DDF-4096-A4DD-BF66DF624FC7}"/>
    <cellStyle name="Normal 2 4 5 4 2 2 2 3" xfId="15710" xr:uid="{3B15C6F4-7880-4AFA-A639-9E6748418E27}"/>
    <cellStyle name="Normal 2 4 5 4 2 2 3" xfId="19933" xr:uid="{5DF1DDC3-B3EF-4023-8754-5E3F9B05A885}"/>
    <cellStyle name="Normal 2 4 5 4 2 2 4" xfId="11492" xr:uid="{E627773F-CE37-4353-8F1C-7763D59B0070}"/>
    <cellStyle name="Normal 2 4 5 4 2 3" xfId="5115" xr:uid="{00000000-0005-0000-0000-0000B2100000}"/>
    <cellStyle name="Normal 2 4 5 4 2 3 2" xfId="22006" xr:uid="{61760E91-1BDB-48B9-B670-001490C4DA94}"/>
    <cellStyle name="Normal 2 4 5 4 2 3 3" xfId="13565" xr:uid="{F3103A71-75CB-46FB-899B-26A5BF595BF8}"/>
    <cellStyle name="Normal 2 4 5 4 2 4" xfId="17788" xr:uid="{3DC16488-9132-456C-A8A4-01D89A4C0D89}"/>
    <cellStyle name="Normal 2 4 5 4 2 5" xfId="9347" xr:uid="{649948F3-C38E-4531-9A10-2C5198AF4D88}"/>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24564" xr:uid="{7F355332-2E7F-4D94-B43F-0A3B85DD6B66}"/>
    <cellStyle name="Normal 2 4 5 4 3 2 2 3" xfId="16123" xr:uid="{4A7FAA77-761B-431E-8C67-39A6146C1F63}"/>
    <cellStyle name="Normal 2 4 5 4 3 2 3" xfId="20346" xr:uid="{27975488-6F4A-4BAC-B20E-FD61FD608FA2}"/>
    <cellStyle name="Normal 2 4 5 4 3 2 4" xfId="11905" xr:uid="{570BE25A-5FEA-4AC5-B878-C95F4B60E92A}"/>
    <cellStyle name="Normal 2 4 5 4 3 3" xfId="5528" xr:uid="{00000000-0005-0000-0000-0000B6100000}"/>
    <cellStyle name="Normal 2 4 5 4 3 3 2" xfId="22419" xr:uid="{16FE2BF9-9B99-420C-8516-2E149C0097CA}"/>
    <cellStyle name="Normal 2 4 5 4 3 3 3" xfId="13978" xr:uid="{B40077F1-116F-490A-9B7B-79A26E53A8B7}"/>
    <cellStyle name="Normal 2 4 5 4 3 4" xfId="18201" xr:uid="{6C2E8213-2DE1-4FCC-89EC-5E5E772D1942}"/>
    <cellStyle name="Normal 2 4 5 4 3 5" xfId="9760" xr:uid="{486E2E2E-524C-4DAE-BFB7-DB9AD60F69B2}"/>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24977" xr:uid="{C71D6B9E-F36A-4456-A8DE-EFC2D97A990B}"/>
    <cellStyle name="Normal 2 4 5 4 4 2 2 3" xfId="16536" xr:uid="{F8D0D7C1-0D35-4558-8CA6-799BE4C7A6E3}"/>
    <cellStyle name="Normal 2 4 5 4 4 2 3" xfId="20759" xr:uid="{254C95F9-483B-4790-868D-496D03B8184D}"/>
    <cellStyle name="Normal 2 4 5 4 4 2 4" xfId="12318" xr:uid="{54B8AE2C-E50D-455E-9E68-2D2DA375651E}"/>
    <cellStyle name="Normal 2 4 5 4 4 3" xfId="5941" xr:uid="{00000000-0005-0000-0000-0000BA100000}"/>
    <cellStyle name="Normal 2 4 5 4 4 3 2" xfId="22832" xr:uid="{FEC14D97-2FDB-44FE-A037-4B6A2A7E265C}"/>
    <cellStyle name="Normal 2 4 5 4 4 3 3" xfId="14391" xr:uid="{29E5934F-4AE0-4557-8DAA-D05D7108988B}"/>
    <cellStyle name="Normal 2 4 5 4 4 4" xfId="18614" xr:uid="{E8FE5DD4-6295-41D0-8239-781C85EF87F5}"/>
    <cellStyle name="Normal 2 4 5 4 4 5" xfId="10173" xr:uid="{78A7E2BC-4D1C-48EA-AEB1-8A8D185A62D6}"/>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25390" xr:uid="{02D7DEDF-CD61-4CF6-B736-BF8D21A679DA}"/>
    <cellStyle name="Normal 2 4 5 4 5 2 2 3" xfId="16949" xr:uid="{61849AEB-29C7-4117-8B53-2B9941C9DD07}"/>
    <cellStyle name="Normal 2 4 5 4 5 2 3" xfId="21172" xr:uid="{FE4CF635-664F-447F-9D93-05DA58330BBC}"/>
    <cellStyle name="Normal 2 4 5 4 5 2 4" xfId="12731" xr:uid="{1634DBB7-6BFC-466B-ABD0-D5875D7EA95C}"/>
    <cellStyle name="Normal 2 4 5 4 5 3" xfId="6354" xr:uid="{00000000-0005-0000-0000-0000BE100000}"/>
    <cellStyle name="Normal 2 4 5 4 5 3 2" xfId="23245" xr:uid="{94BCFB23-73F8-4AF7-A282-17DCD876AFC0}"/>
    <cellStyle name="Normal 2 4 5 4 5 3 3" xfId="14804" xr:uid="{A3761C06-C4E6-4867-8551-7334B50437B9}"/>
    <cellStyle name="Normal 2 4 5 4 5 4" xfId="19027" xr:uid="{B73FBEE5-CBEB-45D9-879D-D89F9D1E77D3}"/>
    <cellStyle name="Normal 2 4 5 4 5 5" xfId="10586" xr:uid="{9768EEF5-4AE0-4B10-B42D-5F3626008EFB}"/>
    <cellStyle name="Normal 2 4 5 4 6" xfId="2484" xr:uid="{00000000-0005-0000-0000-0000BF100000}"/>
    <cellStyle name="Normal 2 4 5 4 6 2" xfId="6767" xr:uid="{00000000-0005-0000-0000-0000C0100000}"/>
    <cellStyle name="Normal 2 4 5 4 6 2 2" xfId="23658" xr:uid="{AF24C49F-702D-402D-8B32-A7B67D02E1F5}"/>
    <cellStyle name="Normal 2 4 5 4 6 2 3" xfId="15217" xr:uid="{8B404E20-5DAB-49E8-B335-35ACED8F34F3}"/>
    <cellStyle name="Normal 2 4 5 4 6 3" xfId="19440" xr:uid="{2FF57C81-B6F7-4A6A-907B-155A0B0BF298}"/>
    <cellStyle name="Normal 2 4 5 4 6 4" xfId="10999" xr:uid="{DBCE2936-EDEF-46BE-A026-2DD06D25A372}"/>
    <cellStyle name="Normal 2 4 5 4 7" xfId="4701" xr:uid="{00000000-0005-0000-0000-0000C1100000}"/>
    <cellStyle name="Normal 2 4 5 4 7 2" xfId="21592" xr:uid="{1D39ED15-88BE-427D-8C6E-4E55712F0239}"/>
    <cellStyle name="Normal 2 4 5 4 7 3" xfId="13151" xr:uid="{2A5F0D67-226A-4C28-90D2-ED3F3410CEE9}"/>
    <cellStyle name="Normal 2 4 5 4 8" xfId="17374" xr:uid="{808CCB5E-F551-4ED9-AAFE-4D616CC66843}"/>
    <cellStyle name="Normal 2 4 5 4 9" xfId="8933" xr:uid="{E5584CCD-245A-4EA6-A829-8DB93F342BEE}"/>
    <cellStyle name="Normal 2 4 5 5" xfId="792" xr:uid="{00000000-0005-0000-0000-0000C2100000}"/>
    <cellStyle name="Normal 2 4 5 5 2" xfId="3031" xr:uid="{00000000-0005-0000-0000-0000C3100000}"/>
    <cellStyle name="Normal 2 4 5 5 2 2" xfId="7253" xr:uid="{00000000-0005-0000-0000-0000C4100000}"/>
    <cellStyle name="Normal 2 4 5 5 2 2 2" xfId="24144" xr:uid="{373EAFEC-526C-47AB-B447-A9C2EA796CF2}"/>
    <cellStyle name="Normal 2 4 5 5 2 2 3" xfId="15703" xr:uid="{308BBC03-7D97-4514-9DD7-8864B8F91708}"/>
    <cellStyle name="Normal 2 4 5 5 2 3" xfId="19926" xr:uid="{7E0F3F15-2FC1-4991-9CF8-B543D7FE5625}"/>
    <cellStyle name="Normal 2 4 5 5 2 4" xfId="11485" xr:uid="{5F351DF6-FE19-4E11-8237-F7B9A12A7822}"/>
    <cellStyle name="Normal 2 4 5 5 3" xfId="5108" xr:uid="{00000000-0005-0000-0000-0000C5100000}"/>
    <cellStyle name="Normal 2 4 5 5 3 2" xfId="21999" xr:uid="{88EFDD9B-E769-4CEF-9B47-7C47D137F58E}"/>
    <cellStyle name="Normal 2 4 5 5 3 3" xfId="13558" xr:uid="{17E16B44-F09D-4F61-9C79-46F5270ED57B}"/>
    <cellStyle name="Normal 2 4 5 5 4" xfId="17781" xr:uid="{1F97EDCF-7CB6-47D9-B03C-700FE34F1EC6}"/>
    <cellStyle name="Normal 2 4 5 5 5" xfId="9340" xr:uid="{7D03BBE7-5FBD-4474-A5D3-C3850321FD0C}"/>
    <cellStyle name="Normal 2 4 5 6" xfId="1214" xr:uid="{00000000-0005-0000-0000-0000C6100000}"/>
    <cellStyle name="Normal 2 4 5 6 2" xfId="3444" xr:uid="{00000000-0005-0000-0000-0000C7100000}"/>
    <cellStyle name="Normal 2 4 5 6 2 2" xfId="7666" xr:uid="{00000000-0005-0000-0000-0000C8100000}"/>
    <cellStyle name="Normal 2 4 5 6 2 2 2" xfId="24557" xr:uid="{BDB03DD4-7864-4AE3-800B-3CBB7C5F7BC3}"/>
    <cellStyle name="Normal 2 4 5 6 2 2 3" xfId="16116" xr:uid="{5ECEAF77-D0AC-4E2C-A8DC-5D9C12E051F1}"/>
    <cellStyle name="Normal 2 4 5 6 2 3" xfId="20339" xr:uid="{8EE93BD5-DA92-485E-9035-AD2A81836D09}"/>
    <cellStyle name="Normal 2 4 5 6 2 4" xfId="11898" xr:uid="{3A009209-CF26-4B83-8B21-262C99F85159}"/>
    <cellStyle name="Normal 2 4 5 6 3" xfId="5521" xr:uid="{00000000-0005-0000-0000-0000C9100000}"/>
    <cellStyle name="Normal 2 4 5 6 3 2" xfId="22412" xr:uid="{27337734-292F-4F3C-95B5-BA17D3A9B85D}"/>
    <cellStyle name="Normal 2 4 5 6 3 3" xfId="13971" xr:uid="{0F6D7476-60E5-4678-8D1C-622287608C8B}"/>
    <cellStyle name="Normal 2 4 5 6 4" xfId="18194" xr:uid="{8E438CCA-AE2D-4807-8E86-341AC7151CD6}"/>
    <cellStyle name="Normal 2 4 5 6 5" xfId="9753" xr:uid="{74B8017D-BF60-452E-96D2-08F476730AAD}"/>
    <cellStyle name="Normal 2 4 5 7" xfId="1627" xr:uid="{00000000-0005-0000-0000-0000CA100000}"/>
    <cellStyle name="Normal 2 4 5 7 2" xfId="3857" xr:uid="{00000000-0005-0000-0000-0000CB100000}"/>
    <cellStyle name="Normal 2 4 5 7 2 2" xfId="8079" xr:uid="{00000000-0005-0000-0000-0000CC100000}"/>
    <cellStyle name="Normal 2 4 5 7 2 2 2" xfId="24970" xr:uid="{2BA8BF11-4EDC-4C50-AE34-C4057D3E8935}"/>
    <cellStyle name="Normal 2 4 5 7 2 2 3" xfId="16529" xr:uid="{3E9262DF-D31F-4CC9-A36F-ED3AE12AFD9A}"/>
    <cellStyle name="Normal 2 4 5 7 2 3" xfId="20752" xr:uid="{B2EB853D-605A-43F8-82F5-CCB8FB13B77B}"/>
    <cellStyle name="Normal 2 4 5 7 2 4" xfId="12311" xr:uid="{945DB1C7-D51B-4E36-858E-6D2BD3F7C0B2}"/>
    <cellStyle name="Normal 2 4 5 7 3" xfId="5934" xr:uid="{00000000-0005-0000-0000-0000CD100000}"/>
    <cellStyle name="Normal 2 4 5 7 3 2" xfId="22825" xr:uid="{34EEB3D5-8C60-4B76-A353-2854234447D5}"/>
    <cellStyle name="Normal 2 4 5 7 3 3" xfId="14384" xr:uid="{F227D382-ED9E-48B7-A609-4A0C9E3CF6D2}"/>
    <cellStyle name="Normal 2 4 5 7 4" xfId="18607" xr:uid="{647608D0-40A4-4D95-A21A-8F165785B27C}"/>
    <cellStyle name="Normal 2 4 5 7 5" xfId="10166" xr:uid="{BE23905C-CF65-4A0A-9B57-23477016F4F1}"/>
    <cellStyle name="Normal 2 4 5 8" xfId="2041" xr:uid="{00000000-0005-0000-0000-0000CE100000}"/>
    <cellStyle name="Normal 2 4 5 8 2" xfId="4270" xr:uid="{00000000-0005-0000-0000-0000CF100000}"/>
    <cellStyle name="Normal 2 4 5 8 2 2" xfId="8492" xr:uid="{00000000-0005-0000-0000-0000D0100000}"/>
    <cellStyle name="Normal 2 4 5 8 2 2 2" xfId="25383" xr:uid="{D74E2B7A-B12A-48D5-A172-0C7D3B9E42A8}"/>
    <cellStyle name="Normal 2 4 5 8 2 2 3" xfId="16942" xr:uid="{0FEB0C86-A578-4328-A2A0-E1A6B451BBBD}"/>
    <cellStyle name="Normal 2 4 5 8 2 3" xfId="21165" xr:uid="{AE001A40-A9CA-430A-AED4-412C6E3F2C58}"/>
    <cellStyle name="Normal 2 4 5 8 2 4" xfId="12724" xr:uid="{0AE08C31-F4CC-477C-B77B-A3B049E59607}"/>
    <cellStyle name="Normal 2 4 5 8 3" xfId="6347" xr:uid="{00000000-0005-0000-0000-0000D1100000}"/>
    <cellStyle name="Normal 2 4 5 8 3 2" xfId="23238" xr:uid="{2EE9489F-5EA6-4EA4-8BCD-6722E714D48A}"/>
    <cellStyle name="Normal 2 4 5 8 3 3" xfId="14797" xr:uid="{22F4037D-3990-48D5-AD53-33DC61D5DD0D}"/>
    <cellStyle name="Normal 2 4 5 8 4" xfId="19020" xr:uid="{9A8BF6C0-FF1A-44F6-8AD4-D9FBA6355DE4}"/>
    <cellStyle name="Normal 2 4 5 8 5" xfId="10579" xr:uid="{735D2476-5693-477B-A5E5-F3D332B546FC}"/>
    <cellStyle name="Normal 2 4 5 9" xfId="2477" xr:uid="{00000000-0005-0000-0000-0000D2100000}"/>
    <cellStyle name="Normal 2 4 5 9 2" xfId="6760" xr:uid="{00000000-0005-0000-0000-0000D3100000}"/>
    <cellStyle name="Normal 2 4 5 9 2 2" xfId="23651" xr:uid="{5A9EE9AC-E23E-4F07-AACC-48591CB1F769}"/>
    <cellStyle name="Normal 2 4 5 9 2 3" xfId="15210" xr:uid="{413FC5EC-4B5D-474D-A7BA-9DDDFF7D022B}"/>
    <cellStyle name="Normal 2 4 5 9 3" xfId="19433" xr:uid="{11B47994-4F98-4D26-9F45-81317D513A39}"/>
    <cellStyle name="Normal 2 4 5 9 4" xfId="10992" xr:uid="{6717B3B2-901F-4C7A-B120-301799124B80}"/>
    <cellStyle name="Normal 2 4 6" xfId="311" xr:uid="{00000000-0005-0000-0000-0000D4100000}"/>
    <cellStyle name="Normal 2 4 7" xfId="312" xr:uid="{00000000-0005-0000-0000-0000D5100000}"/>
    <cellStyle name="Normal 2 4 7 10" xfId="8934" xr:uid="{AA20D6F0-1F79-4241-B054-B25D52199331}"/>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24153" xr:uid="{318DB2A7-E446-4153-A127-AA0B6771D222}"/>
    <cellStyle name="Normal 2 4 7 2 2 2 2 3" xfId="15712" xr:uid="{52989A3B-7F09-473A-B409-4D7D6D9E81B1}"/>
    <cellStyle name="Normal 2 4 7 2 2 2 3" xfId="19935" xr:uid="{8F771A57-3C83-4D7B-AF7C-19E337658195}"/>
    <cellStyle name="Normal 2 4 7 2 2 2 4" xfId="11494" xr:uid="{B19BB38C-B9EB-426E-8B04-6F6AAA0FE09B}"/>
    <cellStyle name="Normal 2 4 7 2 2 3" xfId="5117" xr:uid="{00000000-0005-0000-0000-0000DA100000}"/>
    <cellStyle name="Normal 2 4 7 2 2 3 2" xfId="22008" xr:uid="{0DE2D7C7-5E37-4C59-B034-EEE6BFEF8BF7}"/>
    <cellStyle name="Normal 2 4 7 2 2 3 3" xfId="13567" xr:uid="{8CC77FDF-DDAF-4FF4-AE2E-9C0C1EA2BF68}"/>
    <cellStyle name="Normal 2 4 7 2 2 4" xfId="17790" xr:uid="{54509132-0971-4A3D-8E2D-CBD859591030}"/>
    <cellStyle name="Normal 2 4 7 2 2 5" xfId="9349" xr:uid="{2EAC7772-E9CB-4A8D-A015-AE3CA37879BC}"/>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24566" xr:uid="{08949178-F266-4FE4-A647-0DB40B9E3CC9}"/>
    <cellStyle name="Normal 2 4 7 2 3 2 2 3" xfId="16125" xr:uid="{D4426C1C-16CE-436A-9B87-C741A5CDF045}"/>
    <cellStyle name="Normal 2 4 7 2 3 2 3" xfId="20348" xr:uid="{C6539870-E4F9-436A-B279-FE191D8387A9}"/>
    <cellStyle name="Normal 2 4 7 2 3 2 4" xfId="11907" xr:uid="{90CD78D6-E73A-4519-8678-F3045CF1A220}"/>
    <cellStyle name="Normal 2 4 7 2 3 3" xfId="5530" xr:uid="{00000000-0005-0000-0000-0000DE100000}"/>
    <cellStyle name="Normal 2 4 7 2 3 3 2" xfId="22421" xr:uid="{9C87D634-B77E-4137-A85F-96D219F04A80}"/>
    <cellStyle name="Normal 2 4 7 2 3 3 3" xfId="13980" xr:uid="{3031D363-8A84-480F-ADBD-C60C07BB65D8}"/>
    <cellStyle name="Normal 2 4 7 2 3 4" xfId="18203" xr:uid="{1ADDA862-5A21-4F92-BA48-3E0E3EEF0758}"/>
    <cellStyle name="Normal 2 4 7 2 3 5" xfId="9762" xr:uid="{402E721F-F23A-45BB-B71C-E059D31BD6DC}"/>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24979" xr:uid="{96882EB3-D67E-4B5E-9E00-C4BCBE13547B}"/>
    <cellStyle name="Normal 2 4 7 2 4 2 2 3" xfId="16538" xr:uid="{BFB8B7A7-CEC0-42AD-8111-497F6E04C502}"/>
    <cellStyle name="Normal 2 4 7 2 4 2 3" xfId="20761" xr:uid="{C9524DB5-D6C0-439B-B131-885D1A476207}"/>
    <cellStyle name="Normal 2 4 7 2 4 2 4" xfId="12320" xr:uid="{E802ED40-9E97-4AD8-9E3C-C6CD640FCC87}"/>
    <cellStyle name="Normal 2 4 7 2 4 3" xfId="5943" xr:uid="{00000000-0005-0000-0000-0000E2100000}"/>
    <cellStyle name="Normal 2 4 7 2 4 3 2" xfId="22834" xr:uid="{BE6D10E3-A36C-4404-B27D-114A52EF287F}"/>
    <cellStyle name="Normal 2 4 7 2 4 3 3" xfId="14393" xr:uid="{C40D4A36-2F44-4B19-A580-052321BCDF54}"/>
    <cellStyle name="Normal 2 4 7 2 4 4" xfId="18616" xr:uid="{1FF48864-9793-4E15-82F8-01A337409120}"/>
    <cellStyle name="Normal 2 4 7 2 4 5" xfId="10175" xr:uid="{176E7E48-3046-44F3-B23B-82795D5B072B}"/>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25392" xr:uid="{3BE1A01C-AD12-4100-BB40-8BC947EFF46A}"/>
    <cellStyle name="Normal 2 4 7 2 5 2 2 3" xfId="16951" xr:uid="{A472DBAA-97B6-4D87-BCD0-0670CFFB37E0}"/>
    <cellStyle name="Normal 2 4 7 2 5 2 3" xfId="21174" xr:uid="{064D3B74-B9B5-494C-8509-5A41FD4C5971}"/>
    <cellStyle name="Normal 2 4 7 2 5 2 4" xfId="12733" xr:uid="{8CABD604-673E-412B-AB32-43FFF6C3A965}"/>
    <cellStyle name="Normal 2 4 7 2 5 3" xfId="6356" xr:uid="{00000000-0005-0000-0000-0000E6100000}"/>
    <cellStyle name="Normal 2 4 7 2 5 3 2" xfId="23247" xr:uid="{6D6A715B-3B6E-4882-B0C4-2E82A3CC5486}"/>
    <cellStyle name="Normal 2 4 7 2 5 3 3" xfId="14806" xr:uid="{B2D0A182-7CB1-4F50-8F9E-FCB8917D9EDB}"/>
    <cellStyle name="Normal 2 4 7 2 5 4" xfId="19029" xr:uid="{6136083E-8FBE-4C0C-BF9C-01756EB7669F}"/>
    <cellStyle name="Normal 2 4 7 2 5 5" xfId="10588" xr:uid="{839BD7BD-BF17-4C21-A034-67D9646CE47A}"/>
    <cellStyle name="Normal 2 4 7 2 6" xfId="2486" xr:uid="{00000000-0005-0000-0000-0000E7100000}"/>
    <cellStyle name="Normal 2 4 7 2 6 2" xfId="6769" xr:uid="{00000000-0005-0000-0000-0000E8100000}"/>
    <cellStyle name="Normal 2 4 7 2 6 2 2" xfId="23660" xr:uid="{CB7D1D69-CA43-4BE1-B4E2-E78BD7A668A9}"/>
    <cellStyle name="Normal 2 4 7 2 6 2 3" xfId="15219" xr:uid="{4A36F415-45A5-44B7-BB5A-96B5F7810185}"/>
    <cellStyle name="Normal 2 4 7 2 6 3" xfId="19442" xr:uid="{F571031B-C778-4F1F-B856-634E38D7B411}"/>
    <cellStyle name="Normal 2 4 7 2 6 4" xfId="11001" xr:uid="{52DBA397-E015-45FB-BFB0-3D62A2791B9B}"/>
    <cellStyle name="Normal 2 4 7 2 7" xfId="4703" xr:uid="{00000000-0005-0000-0000-0000E9100000}"/>
    <cellStyle name="Normal 2 4 7 2 7 2" xfId="21594" xr:uid="{66E5E9B6-A8CF-48B8-A35F-714A5E907A9D}"/>
    <cellStyle name="Normal 2 4 7 2 7 3" xfId="13153" xr:uid="{12A702FC-7C4A-4894-9F68-ED736BAA32A4}"/>
    <cellStyle name="Normal 2 4 7 2 8" xfId="17376" xr:uid="{844F950F-BA29-4EC9-8B19-9C147030AD72}"/>
    <cellStyle name="Normal 2 4 7 2 9" xfId="8935" xr:uid="{5A556BF4-A474-40A3-A867-9DA3204606E2}"/>
    <cellStyle name="Normal 2 4 7 3" xfId="800" xr:uid="{00000000-0005-0000-0000-0000EA100000}"/>
    <cellStyle name="Normal 2 4 7 3 2" xfId="3039" xr:uid="{00000000-0005-0000-0000-0000EB100000}"/>
    <cellStyle name="Normal 2 4 7 3 2 2" xfId="7261" xr:uid="{00000000-0005-0000-0000-0000EC100000}"/>
    <cellStyle name="Normal 2 4 7 3 2 2 2" xfId="24152" xr:uid="{8993FB6B-C5F5-455C-9734-6EC60B98EBE3}"/>
    <cellStyle name="Normal 2 4 7 3 2 2 3" xfId="15711" xr:uid="{1C31479F-F245-47FF-B3B3-C22EC2A09046}"/>
    <cellStyle name="Normal 2 4 7 3 2 3" xfId="19934" xr:uid="{E7A81BE8-F53C-43E8-9CAA-719D1354C669}"/>
    <cellStyle name="Normal 2 4 7 3 2 4" xfId="11493" xr:uid="{925BE9E4-E172-49D8-ACB9-881034C5E1FF}"/>
    <cellStyle name="Normal 2 4 7 3 3" xfId="5116" xr:uid="{00000000-0005-0000-0000-0000ED100000}"/>
    <cellStyle name="Normal 2 4 7 3 3 2" xfId="22007" xr:uid="{1D957114-A13B-4B8B-8A3D-E04C8E6BFECB}"/>
    <cellStyle name="Normal 2 4 7 3 3 3" xfId="13566" xr:uid="{BEE08ED2-B954-44D1-96B4-0D0D5A26B7A4}"/>
    <cellStyle name="Normal 2 4 7 3 4" xfId="17789" xr:uid="{1A65C278-CE65-4E7D-8EEC-4D87579A784E}"/>
    <cellStyle name="Normal 2 4 7 3 5" xfId="9348" xr:uid="{8D8BBCE7-87BE-4E59-97E4-665D44142E99}"/>
    <cellStyle name="Normal 2 4 7 4" xfId="1222" xr:uid="{00000000-0005-0000-0000-0000EE100000}"/>
    <cellStyle name="Normal 2 4 7 4 2" xfId="3452" xr:uid="{00000000-0005-0000-0000-0000EF100000}"/>
    <cellStyle name="Normal 2 4 7 4 2 2" xfId="7674" xr:uid="{00000000-0005-0000-0000-0000F0100000}"/>
    <cellStyle name="Normal 2 4 7 4 2 2 2" xfId="24565" xr:uid="{78A64302-180E-45B7-817C-EE377F7BAB3E}"/>
    <cellStyle name="Normal 2 4 7 4 2 2 3" xfId="16124" xr:uid="{C04B9884-0ECC-467C-9123-72926C1B5F45}"/>
    <cellStyle name="Normal 2 4 7 4 2 3" xfId="20347" xr:uid="{BFE6605C-8DCA-4151-8802-46D07366861D}"/>
    <cellStyle name="Normal 2 4 7 4 2 4" xfId="11906" xr:uid="{EBC37FDE-E6C8-43DB-89A0-2D5839B47CE2}"/>
    <cellStyle name="Normal 2 4 7 4 3" xfId="5529" xr:uid="{00000000-0005-0000-0000-0000F1100000}"/>
    <cellStyle name="Normal 2 4 7 4 3 2" xfId="22420" xr:uid="{C480D81C-9925-4DAB-94CC-869D19C0E8C6}"/>
    <cellStyle name="Normal 2 4 7 4 3 3" xfId="13979" xr:uid="{94A3EF38-1ABD-49C7-B5D0-5DDFBE1E3195}"/>
    <cellStyle name="Normal 2 4 7 4 4" xfId="18202" xr:uid="{90DD5AC6-4875-4FB5-9244-1307462C155A}"/>
    <cellStyle name="Normal 2 4 7 4 5" xfId="9761" xr:uid="{6CBC80AE-8ED3-4227-BF93-7C905BBC02F2}"/>
    <cellStyle name="Normal 2 4 7 5" xfId="1635" xr:uid="{00000000-0005-0000-0000-0000F2100000}"/>
    <cellStyle name="Normal 2 4 7 5 2" xfId="3865" xr:uid="{00000000-0005-0000-0000-0000F3100000}"/>
    <cellStyle name="Normal 2 4 7 5 2 2" xfId="8087" xr:uid="{00000000-0005-0000-0000-0000F4100000}"/>
    <cellStyle name="Normal 2 4 7 5 2 2 2" xfId="24978" xr:uid="{857B1CA6-0DAE-4F4D-BD38-A51AC3480E4A}"/>
    <cellStyle name="Normal 2 4 7 5 2 2 3" xfId="16537" xr:uid="{8A1CA4BD-C68E-4C41-B52C-B83FC2CAACEB}"/>
    <cellStyle name="Normal 2 4 7 5 2 3" xfId="20760" xr:uid="{C20B8CEC-E4E0-4342-BC77-BBF1C75AE202}"/>
    <cellStyle name="Normal 2 4 7 5 2 4" xfId="12319" xr:uid="{0F8A49AD-A688-402F-B831-B546B797089D}"/>
    <cellStyle name="Normal 2 4 7 5 3" xfId="5942" xr:uid="{00000000-0005-0000-0000-0000F5100000}"/>
    <cellStyle name="Normal 2 4 7 5 3 2" xfId="22833" xr:uid="{B74B1077-1BB8-4501-8664-28A9D251FB26}"/>
    <cellStyle name="Normal 2 4 7 5 3 3" xfId="14392" xr:uid="{0D59B420-E057-43C7-8F8F-DEDD2CF9021E}"/>
    <cellStyle name="Normal 2 4 7 5 4" xfId="18615" xr:uid="{87209627-232B-4262-9E1C-7B50F4AC8E9C}"/>
    <cellStyle name="Normal 2 4 7 5 5" xfId="10174" xr:uid="{63E81D6F-C64B-48B7-A70C-A883541E1E99}"/>
    <cellStyle name="Normal 2 4 7 6" xfId="2049" xr:uid="{00000000-0005-0000-0000-0000F6100000}"/>
    <cellStyle name="Normal 2 4 7 6 2" xfId="4278" xr:uid="{00000000-0005-0000-0000-0000F7100000}"/>
    <cellStyle name="Normal 2 4 7 6 2 2" xfId="8500" xr:uid="{00000000-0005-0000-0000-0000F8100000}"/>
    <cellStyle name="Normal 2 4 7 6 2 2 2" xfId="25391" xr:uid="{43E64E42-196B-4400-A995-6DCAF3AB7D29}"/>
    <cellStyle name="Normal 2 4 7 6 2 2 3" xfId="16950" xr:uid="{93083A87-56B3-4E07-8D0F-180447869025}"/>
    <cellStyle name="Normal 2 4 7 6 2 3" xfId="21173" xr:uid="{BFDE3128-B986-40AF-815C-BBA0C57C758D}"/>
    <cellStyle name="Normal 2 4 7 6 2 4" xfId="12732" xr:uid="{B316436E-4A6F-4663-B18C-47FDCDCF2A86}"/>
    <cellStyle name="Normal 2 4 7 6 3" xfId="6355" xr:uid="{00000000-0005-0000-0000-0000F9100000}"/>
    <cellStyle name="Normal 2 4 7 6 3 2" xfId="23246" xr:uid="{0324EF00-6807-4564-99FD-1FFBB55876DA}"/>
    <cellStyle name="Normal 2 4 7 6 3 3" xfId="14805" xr:uid="{66DBD5BF-AF18-42BE-BBF7-24DDFDB3AF76}"/>
    <cellStyle name="Normal 2 4 7 6 4" xfId="19028" xr:uid="{E8EE2EC5-ED4A-4421-B0B2-88D38D0BF9DA}"/>
    <cellStyle name="Normal 2 4 7 6 5" xfId="10587" xr:uid="{416E8B67-354E-4BC0-988A-EACBFBCD3648}"/>
    <cellStyle name="Normal 2 4 7 7" xfId="2485" xr:uid="{00000000-0005-0000-0000-0000FA100000}"/>
    <cellStyle name="Normal 2 4 7 7 2" xfId="6768" xr:uid="{00000000-0005-0000-0000-0000FB100000}"/>
    <cellStyle name="Normal 2 4 7 7 2 2" xfId="23659" xr:uid="{1B9D0E53-55D5-4C6E-9EDD-7474D96369B3}"/>
    <cellStyle name="Normal 2 4 7 7 2 3" xfId="15218" xr:uid="{13F57629-B4C6-4BA7-9DE4-43AE23F99C6F}"/>
    <cellStyle name="Normal 2 4 7 7 3" xfId="19441" xr:uid="{CE2C3101-5A81-4C96-B1ED-D35DE428AD6D}"/>
    <cellStyle name="Normal 2 4 7 7 4" xfId="11000" xr:uid="{EBF9250B-5428-4A92-B461-81A040D9BE04}"/>
    <cellStyle name="Normal 2 4 7 8" xfId="4702" xr:uid="{00000000-0005-0000-0000-0000FC100000}"/>
    <cellStyle name="Normal 2 4 7 8 2" xfId="21593" xr:uid="{B5C8D334-1C6B-46B2-BE0B-1EDAD9E701DB}"/>
    <cellStyle name="Normal 2 4 7 8 3" xfId="13152" xr:uid="{7998D92F-E3AC-4960-88C8-65628A4DAD77}"/>
    <cellStyle name="Normal 2 4 7 9" xfId="17375" xr:uid="{026C0ADE-C29C-4A41-AC13-FD1F696D65AF}"/>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2 2 2" xfId="24154" xr:uid="{A0F48095-57EC-4D47-B7E2-9092CF9A24FB}"/>
    <cellStyle name="Normal 2 4 8 2 2 2 3" xfId="15713" xr:uid="{F2F1E49D-85D2-4BE1-9EB5-3D2E64C2CBB6}"/>
    <cellStyle name="Normal 2 4 8 2 2 3" xfId="19936" xr:uid="{EDBB4E65-4C64-4056-9A54-23C6213248B4}"/>
    <cellStyle name="Normal 2 4 8 2 2 4" xfId="11495" xr:uid="{AC84ED40-34C7-428F-ACF0-0B76D29273CD}"/>
    <cellStyle name="Normal 2 4 8 2 3" xfId="5118" xr:uid="{00000000-0005-0000-0000-000001110000}"/>
    <cellStyle name="Normal 2 4 8 2 3 2" xfId="22009" xr:uid="{EA8DDF6F-A8CA-497B-A783-3CD9FA2550A4}"/>
    <cellStyle name="Normal 2 4 8 2 3 3" xfId="13568" xr:uid="{5621E86C-F1AD-4798-9657-001479633D97}"/>
    <cellStyle name="Normal 2 4 8 2 4" xfId="17791" xr:uid="{24BD9DEE-F985-43AB-A9B2-A618DDCDCB85}"/>
    <cellStyle name="Normal 2 4 8 2 5" xfId="9350" xr:uid="{4F499FC5-A029-4D70-8F6F-A6010F1AC2E8}"/>
    <cellStyle name="Normal 2 4 8 3" xfId="1224" xr:uid="{00000000-0005-0000-0000-000002110000}"/>
    <cellStyle name="Normal 2 4 8 3 2" xfId="3454" xr:uid="{00000000-0005-0000-0000-000003110000}"/>
    <cellStyle name="Normal 2 4 8 3 2 2" xfId="7676" xr:uid="{00000000-0005-0000-0000-000004110000}"/>
    <cellStyle name="Normal 2 4 8 3 2 2 2" xfId="24567" xr:uid="{DE9AA301-7948-4A23-B261-F279F6BAC111}"/>
    <cellStyle name="Normal 2 4 8 3 2 2 3" xfId="16126" xr:uid="{1A6DD247-05A2-4B5D-8F6E-6CEB69A94A1B}"/>
    <cellStyle name="Normal 2 4 8 3 2 3" xfId="20349" xr:uid="{2D271E3B-3DB7-4705-8CCC-2DE7599A9F4C}"/>
    <cellStyle name="Normal 2 4 8 3 2 4" xfId="11908" xr:uid="{77A7B0F0-1439-46A0-8B45-10E3E282CC97}"/>
    <cellStyle name="Normal 2 4 8 3 3" xfId="5531" xr:uid="{00000000-0005-0000-0000-000005110000}"/>
    <cellStyle name="Normal 2 4 8 3 3 2" xfId="22422" xr:uid="{FD3AEBE6-7083-4F94-AEE1-40E425B197CB}"/>
    <cellStyle name="Normal 2 4 8 3 3 3" xfId="13981" xr:uid="{D5D59844-67CA-4E79-9C4F-398354693DB3}"/>
    <cellStyle name="Normal 2 4 8 3 4" xfId="18204" xr:uid="{2487CB09-B912-42D9-9FD0-0749DA85B8E7}"/>
    <cellStyle name="Normal 2 4 8 3 5" xfId="9763" xr:uid="{482C4264-9679-4649-92B8-D065B2B392DB}"/>
    <cellStyle name="Normal 2 4 8 4" xfId="1637" xr:uid="{00000000-0005-0000-0000-000006110000}"/>
    <cellStyle name="Normal 2 4 8 4 2" xfId="3867" xr:uid="{00000000-0005-0000-0000-000007110000}"/>
    <cellStyle name="Normal 2 4 8 4 2 2" xfId="8089" xr:uid="{00000000-0005-0000-0000-000008110000}"/>
    <cellStyle name="Normal 2 4 8 4 2 2 2" xfId="24980" xr:uid="{562E4768-20F8-4171-B4C4-F719C27EBD53}"/>
    <cellStyle name="Normal 2 4 8 4 2 2 3" xfId="16539" xr:uid="{A3399A34-A953-45A4-8A23-44D753B26324}"/>
    <cellStyle name="Normal 2 4 8 4 2 3" xfId="20762" xr:uid="{C83227C4-940E-4B14-A213-5CFD6526A2CB}"/>
    <cellStyle name="Normal 2 4 8 4 2 4" xfId="12321" xr:uid="{63AE033E-C107-412D-9CFE-2CAD9B5A99A5}"/>
    <cellStyle name="Normal 2 4 8 4 3" xfId="5944" xr:uid="{00000000-0005-0000-0000-000009110000}"/>
    <cellStyle name="Normal 2 4 8 4 3 2" xfId="22835" xr:uid="{D3C41608-D331-4795-904D-7E883A7BC952}"/>
    <cellStyle name="Normal 2 4 8 4 3 3" xfId="14394" xr:uid="{5B841054-0EB3-4575-9F34-F7EE4FD4139E}"/>
    <cellStyle name="Normal 2 4 8 4 4" xfId="18617" xr:uid="{43268CDF-751C-4CE7-9324-7373290F520F}"/>
    <cellStyle name="Normal 2 4 8 4 5" xfId="10176" xr:uid="{642937B5-BD58-44F4-ABB0-532DE101F406}"/>
    <cellStyle name="Normal 2 4 8 5" xfId="2051" xr:uid="{00000000-0005-0000-0000-00000A110000}"/>
    <cellStyle name="Normal 2 4 8 5 2" xfId="4280" xr:uid="{00000000-0005-0000-0000-00000B110000}"/>
    <cellStyle name="Normal 2 4 8 5 2 2" xfId="8502" xr:uid="{00000000-0005-0000-0000-00000C110000}"/>
    <cellStyle name="Normal 2 4 8 5 2 2 2" xfId="25393" xr:uid="{90B275FC-F4E9-46D3-A826-25D69FD9C986}"/>
    <cellStyle name="Normal 2 4 8 5 2 2 3" xfId="16952" xr:uid="{29539B9C-F0B9-4DE2-918A-ACC2E8DC746F}"/>
    <cellStyle name="Normal 2 4 8 5 2 3" xfId="21175" xr:uid="{7CB76B16-79E7-469B-B0EB-09812B47CF98}"/>
    <cellStyle name="Normal 2 4 8 5 2 4" xfId="12734" xr:uid="{A6F97C81-7665-4AE3-940E-5447114369B5}"/>
    <cellStyle name="Normal 2 4 8 5 3" xfId="6357" xr:uid="{00000000-0005-0000-0000-00000D110000}"/>
    <cellStyle name="Normal 2 4 8 5 3 2" xfId="23248" xr:uid="{F0433854-4DB6-49CC-B6EF-6E155711003F}"/>
    <cellStyle name="Normal 2 4 8 5 3 3" xfId="14807" xr:uid="{3C99A6BC-69F6-4003-A46D-57A659402840}"/>
    <cellStyle name="Normal 2 4 8 5 4" xfId="19030" xr:uid="{1B5B4598-FFD8-4FE8-B856-602CBC4197DC}"/>
    <cellStyle name="Normal 2 4 8 5 5" xfId="10589" xr:uid="{0D5B2988-8EDE-4906-993C-D820AD8C58A3}"/>
    <cellStyle name="Normal 2 4 8 6" xfId="2487" xr:uid="{00000000-0005-0000-0000-00000E110000}"/>
    <cellStyle name="Normal 2 4 8 6 2" xfId="6770" xr:uid="{00000000-0005-0000-0000-00000F110000}"/>
    <cellStyle name="Normal 2 4 8 6 2 2" xfId="23661" xr:uid="{6D037090-6D58-4406-8C13-38F24D812575}"/>
    <cellStyle name="Normal 2 4 8 6 2 3" xfId="15220" xr:uid="{99FAB9F5-A230-4902-9FA7-81BF4664C56B}"/>
    <cellStyle name="Normal 2 4 8 6 3" xfId="19443" xr:uid="{D5613F82-906C-44D2-B8E2-F443715F4D73}"/>
    <cellStyle name="Normal 2 4 8 6 4" xfId="11002" xr:uid="{E55AA91C-BCCC-4ED3-81E3-5A427E02F649}"/>
    <cellStyle name="Normal 2 4 8 7" xfId="4704" xr:uid="{00000000-0005-0000-0000-000010110000}"/>
    <cellStyle name="Normal 2 4 8 7 2" xfId="21595" xr:uid="{0098421F-44C7-49BA-997C-4ED037DCF983}"/>
    <cellStyle name="Normal 2 4 8 7 3" xfId="13154" xr:uid="{82B4ADAF-CB8D-432F-994F-737D82FDA789}"/>
    <cellStyle name="Normal 2 4 8 8" xfId="17377" xr:uid="{3C402618-9A90-4F97-BAA1-0F1BF90CEFB5}"/>
    <cellStyle name="Normal 2 4 8 9" xfId="8936" xr:uid="{ABC50B97-EB99-47CA-97CC-13EF6A67EB23}"/>
    <cellStyle name="Normal 2 5" xfId="315" xr:uid="{00000000-0005-0000-0000-000011110000}"/>
    <cellStyle name="Normal 2 5 10" xfId="4705" xr:uid="{00000000-0005-0000-0000-000012110000}"/>
    <cellStyle name="Normal 2 5 10 2" xfId="21596" xr:uid="{E2155BAD-68D0-457C-9F7D-D1E0C781A198}"/>
    <cellStyle name="Normal 2 5 10 3" xfId="13155" xr:uid="{B9D26EDB-26D4-4D58-B660-0FD3CD38F5AC}"/>
    <cellStyle name="Normal 2 5 11" xfId="17378" xr:uid="{37C74667-286D-4922-8F73-4A7FAEF4163E}"/>
    <cellStyle name="Normal 2 5 12" xfId="8937" xr:uid="{1B4124C5-A34D-412D-BB6A-DA35620EAA6F}"/>
    <cellStyle name="Normal 2 5 13" xfId="25648" xr:uid="{48C2381E-2511-4B99-9E3C-796A71F5A693}"/>
    <cellStyle name="Normal 2 5 2" xfId="316" xr:uid="{00000000-0005-0000-0000-000013110000}"/>
    <cellStyle name="Normal 2 5 2 2" xfId="25672" xr:uid="{B5B87FB3-3041-4242-AAFB-009AB80FFCA6}"/>
    <cellStyle name="Normal 2 5 3" xfId="317" xr:uid="{00000000-0005-0000-0000-000014110000}"/>
    <cellStyle name="Normal 2 5 4" xfId="318" xr:uid="{00000000-0005-0000-0000-000015110000}"/>
    <cellStyle name="Normal 2 5 4 10" xfId="17379" xr:uid="{2A34E4E1-2763-4F1F-9CE1-C42E9F6916B9}"/>
    <cellStyle name="Normal 2 5 4 11" xfId="8938" xr:uid="{A0D14965-7334-4B94-9CF1-4780223B4983}"/>
    <cellStyle name="Normal 2 5 4 2" xfId="319" xr:uid="{00000000-0005-0000-0000-000016110000}"/>
    <cellStyle name="Normal 2 5 4 2 10" xfId="8939" xr:uid="{0B925F54-E22F-4302-B048-5798E6E26D9B}"/>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24158" xr:uid="{F8C1DFAA-6AAC-4405-862A-DA6FF5411B0E}"/>
    <cellStyle name="Normal 2 5 4 2 2 2 2 2 3" xfId="15717" xr:uid="{A69C3BE6-67E5-499C-B96E-D93A6447E4F1}"/>
    <cellStyle name="Normal 2 5 4 2 2 2 2 3" xfId="19940" xr:uid="{DE459014-4211-438F-9AE7-1719226DBAF6}"/>
    <cellStyle name="Normal 2 5 4 2 2 2 2 4" xfId="11499" xr:uid="{E8EE4451-E174-48BA-BBF7-4D8DAFF2B96C}"/>
    <cellStyle name="Normal 2 5 4 2 2 2 3" xfId="5122" xr:uid="{00000000-0005-0000-0000-00001B110000}"/>
    <cellStyle name="Normal 2 5 4 2 2 2 3 2" xfId="22013" xr:uid="{CFED7BAE-59BB-411D-8B71-ECF7458EDD73}"/>
    <cellStyle name="Normal 2 5 4 2 2 2 3 3" xfId="13572" xr:uid="{67C58F01-C8A8-4A8B-B46A-6B23910E94E9}"/>
    <cellStyle name="Normal 2 5 4 2 2 2 4" xfId="17795" xr:uid="{EB22A10D-7533-45F3-908E-620DFE9876C1}"/>
    <cellStyle name="Normal 2 5 4 2 2 2 5" xfId="9354" xr:uid="{B81A76A4-2D6A-4E0C-868C-7F5A6107773C}"/>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24571" xr:uid="{6AB7FFEB-1BCB-4BDD-A109-7B8276AF0175}"/>
    <cellStyle name="Normal 2 5 4 2 2 3 2 2 3" xfId="16130" xr:uid="{0612DD46-2F42-4C5D-88B0-C3F923074FD6}"/>
    <cellStyle name="Normal 2 5 4 2 2 3 2 3" xfId="20353" xr:uid="{43922081-32A8-420E-B863-8000653CE054}"/>
    <cellStyle name="Normal 2 5 4 2 2 3 2 4" xfId="11912" xr:uid="{C23F332B-162D-41BC-AC2A-47FE9D0A2245}"/>
    <cellStyle name="Normal 2 5 4 2 2 3 3" xfId="5535" xr:uid="{00000000-0005-0000-0000-00001F110000}"/>
    <cellStyle name="Normal 2 5 4 2 2 3 3 2" xfId="22426" xr:uid="{BB35BABA-41EF-4797-B697-BFB55DDAA149}"/>
    <cellStyle name="Normal 2 5 4 2 2 3 3 3" xfId="13985" xr:uid="{F8C9221E-92B1-4D32-9DED-50CEF76AD686}"/>
    <cellStyle name="Normal 2 5 4 2 2 3 4" xfId="18208" xr:uid="{02BFC3B8-C2F1-444B-A4DD-FD282D8333B7}"/>
    <cellStyle name="Normal 2 5 4 2 2 3 5" xfId="9767" xr:uid="{4B48E283-A44D-4B61-9279-62376D69165F}"/>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24984" xr:uid="{43405042-9658-407D-BE0A-7F82805DBE1F}"/>
    <cellStyle name="Normal 2 5 4 2 2 4 2 2 3" xfId="16543" xr:uid="{2FB1FF19-CE0E-4985-8B74-4779949E8B67}"/>
    <cellStyle name="Normal 2 5 4 2 2 4 2 3" xfId="20766" xr:uid="{C2D20EC3-7A98-42EA-A09E-E5D8495C505E}"/>
    <cellStyle name="Normal 2 5 4 2 2 4 2 4" xfId="12325" xr:uid="{D33621F6-1D13-4E93-B5CC-D5817F94DAA6}"/>
    <cellStyle name="Normal 2 5 4 2 2 4 3" xfId="5948" xr:uid="{00000000-0005-0000-0000-000023110000}"/>
    <cellStyle name="Normal 2 5 4 2 2 4 3 2" xfId="22839" xr:uid="{7D859429-9E57-49A5-BC7C-482A6DC5EF85}"/>
    <cellStyle name="Normal 2 5 4 2 2 4 3 3" xfId="14398" xr:uid="{CCA5B5E4-EB49-491B-B9CA-3148608B0672}"/>
    <cellStyle name="Normal 2 5 4 2 2 4 4" xfId="18621" xr:uid="{6834514F-7098-4CF8-A6A7-C2299068FDA3}"/>
    <cellStyle name="Normal 2 5 4 2 2 4 5" xfId="10180" xr:uid="{20CDCF1D-DDF0-48F4-9498-09846808AF7B}"/>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25397" xr:uid="{40F31160-81E7-4E86-B711-DD902D8E4961}"/>
    <cellStyle name="Normal 2 5 4 2 2 5 2 2 3" xfId="16956" xr:uid="{C2B95244-7B9F-4823-B7C7-88E295E1E3A9}"/>
    <cellStyle name="Normal 2 5 4 2 2 5 2 3" xfId="21179" xr:uid="{3550281D-01D2-48F6-BFBE-75A3D0F91218}"/>
    <cellStyle name="Normal 2 5 4 2 2 5 2 4" xfId="12738" xr:uid="{709FE8B0-133D-4FA2-9EEA-40B1244A800F}"/>
    <cellStyle name="Normal 2 5 4 2 2 5 3" xfId="6361" xr:uid="{00000000-0005-0000-0000-000027110000}"/>
    <cellStyle name="Normal 2 5 4 2 2 5 3 2" xfId="23252" xr:uid="{1057947F-3AA7-4C29-A0C4-DE516A845469}"/>
    <cellStyle name="Normal 2 5 4 2 2 5 3 3" xfId="14811" xr:uid="{88E32623-44E0-44BE-991F-54BFBD020FDC}"/>
    <cellStyle name="Normal 2 5 4 2 2 5 4" xfId="19034" xr:uid="{9F707577-15A0-407E-8D50-F2BE6A7995F1}"/>
    <cellStyle name="Normal 2 5 4 2 2 5 5" xfId="10593" xr:uid="{74D5DC6B-CEB0-408A-8C5E-B8020EF80EAE}"/>
    <cellStyle name="Normal 2 5 4 2 2 6" xfId="2491" xr:uid="{00000000-0005-0000-0000-000028110000}"/>
    <cellStyle name="Normal 2 5 4 2 2 6 2" xfId="6774" xr:uid="{00000000-0005-0000-0000-000029110000}"/>
    <cellStyle name="Normal 2 5 4 2 2 6 2 2" xfId="23665" xr:uid="{B3FFD5D1-09F1-4BD3-87C3-BA125DC8CA8B}"/>
    <cellStyle name="Normal 2 5 4 2 2 6 2 3" xfId="15224" xr:uid="{8C4A900D-48E6-47A0-A5B6-DC1F9D4B414C}"/>
    <cellStyle name="Normal 2 5 4 2 2 6 3" xfId="19447" xr:uid="{E3837B34-DBDB-43F5-9563-CD29CA732F73}"/>
    <cellStyle name="Normal 2 5 4 2 2 6 4" xfId="11006" xr:uid="{C7EFE530-EBBB-40AF-8553-DDB2E58F67EA}"/>
    <cellStyle name="Normal 2 5 4 2 2 7" xfId="4708" xr:uid="{00000000-0005-0000-0000-00002A110000}"/>
    <cellStyle name="Normal 2 5 4 2 2 7 2" xfId="21599" xr:uid="{2F8A9FAE-D3F5-41AA-BFFB-4370D4FCFE80}"/>
    <cellStyle name="Normal 2 5 4 2 2 7 3" xfId="13158" xr:uid="{76E305B7-73A7-40AA-ACBE-6C45F66843C8}"/>
    <cellStyle name="Normal 2 5 4 2 2 8" xfId="17381" xr:uid="{6411268C-1206-4DF4-B9CA-C459C789095E}"/>
    <cellStyle name="Normal 2 5 4 2 2 9" xfId="8940" xr:uid="{34585CAF-2F64-4546-9C33-AF1D13106105}"/>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24157" xr:uid="{80975F36-2D71-4F7D-AB02-D9C377D52E09}"/>
    <cellStyle name="Normal 2 5 4 2 3 2 2 3" xfId="15716" xr:uid="{AE758354-4784-4C4B-8EE7-866C74CD7480}"/>
    <cellStyle name="Normal 2 5 4 2 3 2 3" xfId="19939" xr:uid="{981F6E7D-FC06-4C98-AA3E-675E3B82CA4A}"/>
    <cellStyle name="Normal 2 5 4 2 3 2 4" xfId="11498" xr:uid="{4C0EDF26-9F82-460E-81D0-C9A6D02B27B9}"/>
    <cellStyle name="Normal 2 5 4 2 3 3" xfId="5121" xr:uid="{00000000-0005-0000-0000-00002E110000}"/>
    <cellStyle name="Normal 2 5 4 2 3 3 2" xfId="22012" xr:uid="{5B23640D-CC27-49DD-B7EB-7594ABE9E56A}"/>
    <cellStyle name="Normal 2 5 4 2 3 3 3" xfId="13571" xr:uid="{9B1F938E-1A0C-4823-90C2-2144B07E2EF4}"/>
    <cellStyle name="Normal 2 5 4 2 3 4" xfId="17794" xr:uid="{83903556-F795-45FB-B064-1162977FDE59}"/>
    <cellStyle name="Normal 2 5 4 2 3 5" xfId="9353" xr:uid="{28946F2F-1816-466F-923A-A077F641CF31}"/>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24570" xr:uid="{5A2EA5FB-6C0F-4755-97E1-15F6F85F52A6}"/>
    <cellStyle name="Normal 2 5 4 2 4 2 2 3" xfId="16129" xr:uid="{16A3E8AE-2C92-44B1-9A88-B6B557D7C8F8}"/>
    <cellStyle name="Normal 2 5 4 2 4 2 3" xfId="20352" xr:uid="{16242B20-B905-4B7C-A522-4BE602090AF0}"/>
    <cellStyle name="Normal 2 5 4 2 4 2 4" xfId="11911" xr:uid="{A4F7BA22-CE15-4AF7-8ACC-E03D387DC857}"/>
    <cellStyle name="Normal 2 5 4 2 4 3" xfId="5534" xr:uid="{00000000-0005-0000-0000-000032110000}"/>
    <cellStyle name="Normal 2 5 4 2 4 3 2" xfId="22425" xr:uid="{75097552-9A5C-449F-ABDF-852CE0C2B0AC}"/>
    <cellStyle name="Normal 2 5 4 2 4 3 3" xfId="13984" xr:uid="{855DDCBC-C2CE-4909-A5C2-70F31CFBBFB6}"/>
    <cellStyle name="Normal 2 5 4 2 4 4" xfId="18207" xr:uid="{EFE18B37-920E-4378-B746-F14EEAE374E6}"/>
    <cellStyle name="Normal 2 5 4 2 4 5" xfId="9766" xr:uid="{53AC6F7F-8B40-4272-9F04-7F74956D1FA7}"/>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24983" xr:uid="{CC939DD7-3442-440E-89D1-3ED3ACC62C55}"/>
    <cellStyle name="Normal 2 5 4 2 5 2 2 3" xfId="16542" xr:uid="{D7382D34-9CF8-4721-85D2-50BD53222ADA}"/>
    <cellStyle name="Normal 2 5 4 2 5 2 3" xfId="20765" xr:uid="{E3615779-8794-45F7-8504-D1073FAAC955}"/>
    <cellStyle name="Normal 2 5 4 2 5 2 4" xfId="12324" xr:uid="{B546030D-1F0D-41D0-BB31-262E92090628}"/>
    <cellStyle name="Normal 2 5 4 2 5 3" xfId="5947" xr:uid="{00000000-0005-0000-0000-000036110000}"/>
    <cellStyle name="Normal 2 5 4 2 5 3 2" xfId="22838" xr:uid="{02B3DE64-FD30-46BC-9851-922012E75D46}"/>
    <cellStyle name="Normal 2 5 4 2 5 3 3" xfId="14397" xr:uid="{BCD71C2E-9145-4C32-8541-858726CA3984}"/>
    <cellStyle name="Normal 2 5 4 2 5 4" xfId="18620" xr:uid="{126BEF00-BA52-4204-AB57-528909412BCA}"/>
    <cellStyle name="Normal 2 5 4 2 5 5" xfId="10179" xr:uid="{AEF9C172-BEB1-4FD5-85D2-662E9ACC9751}"/>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25396" xr:uid="{A5DC72CA-3774-4031-85B3-DCD58643AC60}"/>
    <cellStyle name="Normal 2 5 4 2 6 2 2 3" xfId="16955" xr:uid="{9DB32EFA-9B93-49B1-8EEB-5796A25E3E64}"/>
    <cellStyle name="Normal 2 5 4 2 6 2 3" xfId="21178" xr:uid="{6901D340-1E6E-4A7E-8879-79BF28B2CA32}"/>
    <cellStyle name="Normal 2 5 4 2 6 2 4" xfId="12737" xr:uid="{AB6021E5-9678-42D7-8046-5BAB4E6B8B69}"/>
    <cellStyle name="Normal 2 5 4 2 6 3" xfId="6360" xr:uid="{00000000-0005-0000-0000-00003A110000}"/>
    <cellStyle name="Normal 2 5 4 2 6 3 2" xfId="23251" xr:uid="{0233FFF6-C68E-4327-B934-8FDB8F361B6F}"/>
    <cellStyle name="Normal 2 5 4 2 6 3 3" xfId="14810" xr:uid="{3F8AD9CD-26E6-47D3-B5F3-28906310419C}"/>
    <cellStyle name="Normal 2 5 4 2 6 4" xfId="19033" xr:uid="{38DA7271-C5A3-40B1-A363-F00CFE685F25}"/>
    <cellStyle name="Normal 2 5 4 2 6 5" xfId="10592" xr:uid="{1AB0F2A7-A954-4665-B1A2-893FBAA21FC8}"/>
    <cellStyle name="Normal 2 5 4 2 7" xfId="2490" xr:uid="{00000000-0005-0000-0000-00003B110000}"/>
    <cellStyle name="Normal 2 5 4 2 7 2" xfId="6773" xr:uid="{00000000-0005-0000-0000-00003C110000}"/>
    <cellStyle name="Normal 2 5 4 2 7 2 2" xfId="23664" xr:uid="{DC987061-233E-417A-B8E2-EBB3376F02FA}"/>
    <cellStyle name="Normal 2 5 4 2 7 2 3" xfId="15223" xr:uid="{DE3A1D79-3BE1-4F99-AFFF-FDC8EEAC509F}"/>
    <cellStyle name="Normal 2 5 4 2 7 3" xfId="19446" xr:uid="{44654CD2-F530-4BBF-9CC3-D214FF563F1C}"/>
    <cellStyle name="Normal 2 5 4 2 7 4" xfId="11005" xr:uid="{18C5BF92-C438-4C73-AE05-F7F53E382C8D}"/>
    <cellStyle name="Normal 2 5 4 2 8" xfId="4707" xr:uid="{00000000-0005-0000-0000-00003D110000}"/>
    <cellStyle name="Normal 2 5 4 2 8 2" xfId="21598" xr:uid="{310A2017-8937-4132-B9E6-EA0565D5D0E3}"/>
    <cellStyle name="Normal 2 5 4 2 8 3" xfId="13157" xr:uid="{AC37568D-B683-47F2-92C9-31EBA2C2F789}"/>
    <cellStyle name="Normal 2 5 4 2 9" xfId="17380" xr:uid="{539DEC0B-AD6B-48C9-AEF9-BC7E9A51F432}"/>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24159" xr:uid="{D5D33619-6AC4-400B-8B0E-143FDC3C89FC}"/>
    <cellStyle name="Normal 2 5 4 3 2 2 2 3" xfId="15718" xr:uid="{8A4BA266-B3F4-431A-A249-B35EEAD23D91}"/>
    <cellStyle name="Normal 2 5 4 3 2 2 3" xfId="19941" xr:uid="{BB476C47-E4C5-49CF-876B-80F2EC7C1C7E}"/>
    <cellStyle name="Normal 2 5 4 3 2 2 4" xfId="11500" xr:uid="{AF971F88-F6E6-44CD-BB0A-5FF9E84410D2}"/>
    <cellStyle name="Normal 2 5 4 3 2 3" xfId="5123" xr:uid="{00000000-0005-0000-0000-000042110000}"/>
    <cellStyle name="Normal 2 5 4 3 2 3 2" xfId="22014" xr:uid="{A4C72A3A-CB46-4D0D-8048-8A936FB0B81B}"/>
    <cellStyle name="Normal 2 5 4 3 2 3 3" xfId="13573" xr:uid="{D0B138B9-32C7-4245-8110-313D40711A7F}"/>
    <cellStyle name="Normal 2 5 4 3 2 4" xfId="17796" xr:uid="{2A7B95CD-0A79-4C58-BB32-7DF3249739A2}"/>
    <cellStyle name="Normal 2 5 4 3 2 5" xfId="9355" xr:uid="{D47DB906-748D-4646-B62F-C710A1100B48}"/>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24572" xr:uid="{89F4FB1F-CF63-42FA-B8E9-D37F96B85FEF}"/>
    <cellStyle name="Normal 2 5 4 3 3 2 2 3" xfId="16131" xr:uid="{1A922933-6606-4D9E-9E16-CB730802BEBB}"/>
    <cellStyle name="Normal 2 5 4 3 3 2 3" xfId="20354" xr:uid="{1C56A670-AE41-4D50-B592-55410EA0453E}"/>
    <cellStyle name="Normal 2 5 4 3 3 2 4" xfId="11913" xr:uid="{E7C67D44-B3C0-435A-9372-54420517CF0B}"/>
    <cellStyle name="Normal 2 5 4 3 3 3" xfId="5536" xr:uid="{00000000-0005-0000-0000-000046110000}"/>
    <cellStyle name="Normal 2 5 4 3 3 3 2" xfId="22427" xr:uid="{52CCC0EB-A3D7-4649-80A1-5A48CD268815}"/>
    <cellStyle name="Normal 2 5 4 3 3 3 3" xfId="13986" xr:uid="{03D72EE5-9C9E-432D-845B-EB2670B29C5E}"/>
    <cellStyle name="Normal 2 5 4 3 3 4" xfId="18209" xr:uid="{236E49A5-9479-4E99-8DBD-E447FD9B36D0}"/>
    <cellStyle name="Normal 2 5 4 3 3 5" xfId="9768" xr:uid="{E51769A8-F253-4661-B0D6-1E4E29D8CDC2}"/>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24985" xr:uid="{B911317B-AF7A-4396-92D2-9AC98A13E5F6}"/>
    <cellStyle name="Normal 2 5 4 3 4 2 2 3" xfId="16544" xr:uid="{7BE0A5CB-A5E7-47FB-96DD-42E19166FA0F}"/>
    <cellStyle name="Normal 2 5 4 3 4 2 3" xfId="20767" xr:uid="{BC9EF55E-4558-48B7-98C2-F3A0D9730898}"/>
    <cellStyle name="Normal 2 5 4 3 4 2 4" xfId="12326" xr:uid="{14C4CAA4-6BA0-4DB2-B521-C6B6140FF64B}"/>
    <cellStyle name="Normal 2 5 4 3 4 3" xfId="5949" xr:uid="{00000000-0005-0000-0000-00004A110000}"/>
    <cellStyle name="Normal 2 5 4 3 4 3 2" xfId="22840" xr:uid="{AF255A9C-5DD9-4958-8FC9-0C05B0F35152}"/>
    <cellStyle name="Normal 2 5 4 3 4 3 3" xfId="14399" xr:uid="{21D648DF-B13B-4342-A241-50DA24670EA6}"/>
    <cellStyle name="Normal 2 5 4 3 4 4" xfId="18622" xr:uid="{A4EEBD66-530E-405C-A469-8A23223C1E7F}"/>
    <cellStyle name="Normal 2 5 4 3 4 5" xfId="10181" xr:uid="{3F27140F-9A34-4992-800A-B05F0C4E8048}"/>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25398" xr:uid="{B1AAAFB9-A176-4BC9-9812-B0A4DF10C5DA}"/>
    <cellStyle name="Normal 2 5 4 3 5 2 2 3" xfId="16957" xr:uid="{95CB2DEC-D27C-450C-9931-9F77D69444C1}"/>
    <cellStyle name="Normal 2 5 4 3 5 2 3" xfId="21180" xr:uid="{A7A24B26-4E45-4F1C-A3D0-0391777536D1}"/>
    <cellStyle name="Normal 2 5 4 3 5 2 4" xfId="12739" xr:uid="{CEDC5FC4-794B-4EC6-A660-422F0244CD20}"/>
    <cellStyle name="Normal 2 5 4 3 5 3" xfId="6362" xr:uid="{00000000-0005-0000-0000-00004E110000}"/>
    <cellStyle name="Normal 2 5 4 3 5 3 2" xfId="23253" xr:uid="{C3498DFE-8584-44B9-8771-AF03C53B53AA}"/>
    <cellStyle name="Normal 2 5 4 3 5 3 3" xfId="14812" xr:uid="{969F1322-FAAD-4BBF-AE2A-95A63AE5BA36}"/>
    <cellStyle name="Normal 2 5 4 3 5 4" xfId="19035" xr:uid="{025B59CE-0C3C-4716-B239-09917C0E715C}"/>
    <cellStyle name="Normal 2 5 4 3 5 5" xfId="10594" xr:uid="{436A698F-82E5-4DEB-B4B8-A589D6CFD632}"/>
    <cellStyle name="Normal 2 5 4 3 6" xfId="2492" xr:uid="{00000000-0005-0000-0000-00004F110000}"/>
    <cellStyle name="Normal 2 5 4 3 6 2" xfId="6775" xr:uid="{00000000-0005-0000-0000-000050110000}"/>
    <cellStyle name="Normal 2 5 4 3 6 2 2" xfId="23666" xr:uid="{003B0EAA-60F6-4158-BC7F-1398422EE7D2}"/>
    <cellStyle name="Normal 2 5 4 3 6 2 3" xfId="15225" xr:uid="{9FFFD2D7-4B7E-499A-93AB-03A92A38242A}"/>
    <cellStyle name="Normal 2 5 4 3 6 3" xfId="19448" xr:uid="{29B449D2-A7B5-4778-B9AC-F131A31A584E}"/>
    <cellStyle name="Normal 2 5 4 3 6 4" xfId="11007" xr:uid="{BD7AAC75-D112-4249-8A63-F5AA6198994A}"/>
    <cellStyle name="Normal 2 5 4 3 7" xfId="4709" xr:uid="{00000000-0005-0000-0000-000051110000}"/>
    <cellStyle name="Normal 2 5 4 3 7 2" xfId="21600" xr:uid="{F0F0496E-9CF5-4696-8156-D5A6A194A888}"/>
    <cellStyle name="Normal 2 5 4 3 7 3" xfId="13159" xr:uid="{231BEDAA-CEFE-492F-A8FE-ACFDE6DE4572}"/>
    <cellStyle name="Normal 2 5 4 3 8" xfId="17382" xr:uid="{B3EC017C-278A-4092-A41C-B02CAC33D7C4}"/>
    <cellStyle name="Normal 2 5 4 3 9" xfId="8941" xr:uid="{554AB3D7-19CB-4A3C-8387-087383987015}"/>
    <cellStyle name="Normal 2 5 4 4" xfId="804" xr:uid="{00000000-0005-0000-0000-000052110000}"/>
    <cellStyle name="Normal 2 5 4 4 2" xfId="3043" xr:uid="{00000000-0005-0000-0000-000053110000}"/>
    <cellStyle name="Normal 2 5 4 4 2 2" xfId="7265" xr:uid="{00000000-0005-0000-0000-000054110000}"/>
    <cellStyle name="Normal 2 5 4 4 2 2 2" xfId="24156" xr:uid="{8E07C479-AAE0-4A1D-B7DD-ECDFD653114B}"/>
    <cellStyle name="Normal 2 5 4 4 2 2 3" xfId="15715" xr:uid="{9DC5DC33-62E8-4AB9-A2C4-DC6E104D70F7}"/>
    <cellStyle name="Normal 2 5 4 4 2 3" xfId="19938" xr:uid="{F7C907C5-D5FA-47C3-9B45-0B5E9BD6D696}"/>
    <cellStyle name="Normal 2 5 4 4 2 4" xfId="11497" xr:uid="{B102E9BF-62A4-4ED6-A27A-1184B65AF05B}"/>
    <cellStyle name="Normal 2 5 4 4 3" xfId="5120" xr:uid="{00000000-0005-0000-0000-000055110000}"/>
    <cellStyle name="Normal 2 5 4 4 3 2" xfId="22011" xr:uid="{87229E39-8ECA-4196-9012-A033E9633C1C}"/>
    <cellStyle name="Normal 2 5 4 4 3 3" xfId="13570" xr:uid="{B5E80FBF-6E08-4660-876E-5CEA8E0F859A}"/>
    <cellStyle name="Normal 2 5 4 4 4" xfId="17793" xr:uid="{EE26567A-28C8-44B1-9D29-DFDB640AA827}"/>
    <cellStyle name="Normal 2 5 4 4 5" xfId="9352" xr:uid="{7D7E7094-6D00-45AE-B9B4-57A377EB4CDB}"/>
    <cellStyle name="Normal 2 5 4 5" xfId="1226" xr:uid="{00000000-0005-0000-0000-000056110000}"/>
    <cellStyle name="Normal 2 5 4 5 2" xfId="3456" xr:uid="{00000000-0005-0000-0000-000057110000}"/>
    <cellStyle name="Normal 2 5 4 5 2 2" xfId="7678" xr:uid="{00000000-0005-0000-0000-000058110000}"/>
    <cellStyle name="Normal 2 5 4 5 2 2 2" xfId="24569" xr:uid="{77D74379-45DE-49D5-87F2-722D02210F86}"/>
    <cellStyle name="Normal 2 5 4 5 2 2 3" xfId="16128" xr:uid="{8047E357-A4BA-42B1-B980-322B89FD6C78}"/>
    <cellStyle name="Normal 2 5 4 5 2 3" xfId="20351" xr:uid="{3BA7EF81-4EFF-4857-B0F2-3FC636EE91C8}"/>
    <cellStyle name="Normal 2 5 4 5 2 4" xfId="11910" xr:uid="{9070052D-D55A-40C6-888E-3A828D4E5E2C}"/>
    <cellStyle name="Normal 2 5 4 5 3" xfId="5533" xr:uid="{00000000-0005-0000-0000-000059110000}"/>
    <cellStyle name="Normal 2 5 4 5 3 2" xfId="22424" xr:uid="{F32C3F13-0250-4719-8161-2EB3769EAABF}"/>
    <cellStyle name="Normal 2 5 4 5 3 3" xfId="13983" xr:uid="{71447E30-E613-4F82-806D-A3365C2100B9}"/>
    <cellStyle name="Normal 2 5 4 5 4" xfId="18206" xr:uid="{DFF084D3-3B22-464C-A971-8AC35538D0A6}"/>
    <cellStyle name="Normal 2 5 4 5 5" xfId="9765" xr:uid="{3F6A37BC-0C7F-4C9B-B315-FB1B1FC536F3}"/>
    <cellStyle name="Normal 2 5 4 6" xfId="1639" xr:uid="{00000000-0005-0000-0000-00005A110000}"/>
    <cellStyle name="Normal 2 5 4 6 2" xfId="3869" xr:uid="{00000000-0005-0000-0000-00005B110000}"/>
    <cellStyle name="Normal 2 5 4 6 2 2" xfId="8091" xr:uid="{00000000-0005-0000-0000-00005C110000}"/>
    <cellStyle name="Normal 2 5 4 6 2 2 2" xfId="24982" xr:uid="{BE63D6B1-5D47-44F2-A8B1-D5A99F2EFDA8}"/>
    <cellStyle name="Normal 2 5 4 6 2 2 3" xfId="16541" xr:uid="{984AA0B6-BB84-41B3-8523-3D7BBE7214F2}"/>
    <cellStyle name="Normal 2 5 4 6 2 3" xfId="20764" xr:uid="{5A8D6FF6-C335-4CBE-B572-1724E99E11DC}"/>
    <cellStyle name="Normal 2 5 4 6 2 4" xfId="12323" xr:uid="{69772E49-125C-483B-A0E6-72C04840056B}"/>
    <cellStyle name="Normal 2 5 4 6 3" xfId="5946" xr:uid="{00000000-0005-0000-0000-00005D110000}"/>
    <cellStyle name="Normal 2 5 4 6 3 2" xfId="22837" xr:uid="{FEE67F59-505C-4ADD-B6F3-15EFDFB36BE8}"/>
    <cellStyle name="Normal 2 5 4 6 3 3" xfId="14396" xr:uid="{E0B4198D-CDB9-438C-911C-0C4B13A19732}"/>
    <cellStyle name="Normal 2 5 4 6 4" xfId="18619" xr:uid="{481879C6-DDA7-44CA-8268-79702C1EEAC8}"/>
    <cellStyle name="Normal 2 5 4 6 5" xfId="10178" xr:uid="{A101B620-CBD3-4A21-BEA6-DDB8725B0E09}"/>
    <cellStyle name="Normal 2 5 4 7" xfId="2053" xr:uid="{00000000-0005-0000-0000-00005E110000}"/>
    <cellStyle name="Normal 2 5 4 7 2" xfId="4282" xr:uid="{00000000-0005-0000-0000-00005F110000}"/>
    <cellStyle name="Normal 2 5 4 7 2 2" xfId="8504" xr:uid="{00000000-0005-0000-0000-000060110000}"/>
    <cellStyle name="Normal 2 5 4 7 2 2 2" xfId="25395" xr:uid="{15492E5D-2B69-4AC6-B7F0-B7D98C5B3EE3}"/>
    <cellStyle name="Normal 2 5 4 7 2 2 3" xfId="16954" xr:uid="{D63A9521-22EC-4F8C-8F28-62AB55E26A8F}"/>
    <cellStyle name="Normal 2 5 4 7 2 3" xfId="21177" xr:uid="{1D667CC9-9F2C-4E28-A835-49B14B591448}"/>
    <cellStyle name="Normal 2 5 4 7 2 4" xfId="12736" xr:uid="{E82043B7-28DE-4D09-AB99-B30B3979B751}"/>
    <cellStyle name="Normal 2 5 4 7 3" xfId="6359" xr:uid="{00000000-0005-0000-0000-000061110000}"/>
    <cellStyle name="Normal 2 5 4 7 3 2" xfId="23250" xr:uid="{AA371487-64CA-48FC-8ED1-9A47DC718D40}"/>
    <cellStyle name="Normal 2 5 4 7 3 3" xfId="14809" xr:uid="{236AB5D1-FB29-4C8E-A151-EBBD7EB85600}"/>
    <cellStyle name="Normal 2 5 4 7 4" xfId="19032" xr:uid="{20B001A7-49DF-4757-A5C0-BAA9ECB72F76}"/>
    <cellStyle name="Normal 2 5 4 7 5" xfId="10591" xr:uid="{AFB99362-CCEF-4A7D-BBDE-C75781A1B88A}"/>
    <cellStyle name="Normal 2 5 4 8" xfId="2489" xr:uid="{00000000-0005-0000-0000-000062110000}"/>
    <cellStyle name="Normal 2 5 4 8 2" xfId="6772" xr:uid="{00000000-0005-0000-0000-000063110000}"/>
    <cellStyle name="Normal 2 5 4 8 2 2" xfId="23663" xr:uid="{272564EA-7627-4262-9352-7567D89DCF1E}"/>
    <cellStyle name="Normal 2 5 4 8 2 3" xfId="15222" xr:uid="{B41249DC-4EDC-4AC4-B647-7F7A581DFC1E}"/>
    <cellStyle name="Normal 2 5 4 8 3" xfId="19445" xr:uid="{55A0D746-CC67-4B7B-8298-714E984C09E6}"/>
    <cellStyle name="Normal 2 5 4 8 4" xfId="11004" xr:uid="{12F6D4EA-91EB-4ADF-B715-5EDDF957812E}"/>
    <cellStyle name="Normal 2 5 4 9" xfId="4706" xr:uid="{00000000-0005-0000-0000-000064110000}"/>
    <cellStyle name="Normal 2 5 4 9 2" xfId="21597" xr:uid="{5FB1FE51-F4B2-4BBD-87FD-C0D67336F471}"/>
    <cellStyle name="Normal 2 5 4 9 3" xfId="13156" xr:uid="{C3B8CA93-4866-4C0B-91F5-647E55852164}"/>
    <cellStyle name="Normal 2 5 5" xfId="803" xr:uid="{00000000-0005-0000-0000-000065110000}"/>
    <cellStyle name="Normal 2 5 5 2" xfId="3042" xr:uid="{00000000-0005-0000-0000-000066110000}"/>
    <cellStyle name="Normal 2 5 5 2 2" xfId="7264" xr:uid="{00000000-0005-0000-0000-000067110000}"/>
    <cellStyle name="Normal 2 5 5 2 2 2" xfId="24155" xr:uid="{40E77D05-AD07-43EF-8543-2DEF18FA3E99}"/>
    <cellStyle name="Normal 2 5 5 2 2 3" xfId="15714" xr:uid="{3B6E6FA0-3286-4830-A693-307F1864F3AD}"/>
    <cellStyle name="Normal 2 5 5 2 3" xfId="19937" xr:uid="{CAF12B32-C4D0-4144-A508-2107B0368ABE}"/>
    <cellStyle name="Normal 2 5 5 2 4" xfId="11496" xr:uid="{094FC388-08FA-4CE1-B016-73D19DE7E962}"/>
    <cellStyle name="Normal 2 5 5 3" xfId="5119" xr:uid="{00000000-0005-0000-0000-000068110000}"/>
    <cellStyle name="Normal 2 5 5 3 2" xfId="22010" xr:uid="{A1DB7381-0383-47A1-96E1-B116959481E2}"/>
    <cellStyle name="Normal 2 5 5 3 3" xfId="13569" xr:uid="{A52103D9-E2BA-4B02-B3D4-CC8F2A6135B3}"/>
    <cellStyle name="Normal 2 5 5 4" xfId="17792" xr:uid="{8112AF87-3383-41BA-BC5B-496B8C21A9E7}"/>
    <cellStyle name="Normal 2 5 5 5" xfId="9351" xr:uid="{5441F73B-180E-4375-BF66-926C883F3C6E}"/>
    <cellStyle name="Normal 2 5 6" xfId="1225" xr:uid="{00000000-0005-0000-0000-000069110000}"/>
    <cellStyle name="Normal 2 5 6 2" xfId="3455" xr:uid="{00000000-0005-0000-0000-00006A110000}"/>
    <cellStyle name="Normal 2 5 6 2 2" xfId="7677" xr:uid="{00000000-0005-0000-0000-00006B110000}"/>
    <cellStyle name="Normal 2 5 6 2 2 2" xfId="24568" xr:uid="{E7B92034-5B76-4A09-8245-F89AABFE72DC}"/>
    <cellStyle name="Normal 2 5 6 2 2 3" xfId="16127" xr:uid="{F55F93F4-59AA-45A8-8663-7242B9C0B88A}"/>
    <cellStyle name="Normal 2 5 6 2 3" xfId="20350" xr:uid="{63D0E369-456C-4B93-8F2D-8595C0A801D0}"/>
    <cellStyle name="Normal 2 5 6 2 4" xfId="11909" xr:uid="{A608E48D-A2CF-4665-94A2-BF853291C561}"/>
    <cellStyle name="Normal 2 5 6 3" xfId="5532" xr:uid="{00000000-0005-0000-0000-00006C110000}"/>
    <cellStyle name="Normal 2 5 6 3 2" xfId="22423" xr:uid="{970410E9-9FBE-41E7-9AF3-7CA1509EAA98}"/>
    <cellStyle name="Normal 2 5 6 3 3" xfId="13982" xr:uid="{93E618F6-8773-4DB8-827B-EE88609AC07D}"/>
    <cellStyle name="Normal 2 5 6 4" xfId="18205" xr:uid="{5AB1C896-9B22-46BF-A83D-53BD21C8FEB5}"/>
    <cellStyle name="Normal 2 5 6 5" xfId="9764" xr:uid="{51502BE1-A7AA-4673-B601-BE3FF4F4D958}"/>
    <cellStyle name="Normal 2 5 7" xfId="1638" xr:uid="{00000000-0005-0000-0000-00006D110000}"/>
    <cellStyle name="Normal 2 5 7 2" xfId="3868" xr:uid="{00000000-0005-0000-0000-00006E110000}"/>
    <cellStyle name="Normal 2 5 7 2 2" xfId="8090" xr:uid="{00000000-0005-0000-0000-00006F110000}"/>
    <cellStyle name="Normal 2 5 7 2 2 2" xfId="24981" xr:uid="{72D58281-4B03-4533-8097-A98BEF3E787C}"/>
    <cellStyle name="Normal 2 5 7 2 2 3" xfId="16540" xr:uid="{1BC2962D-7412-412F-94F2-BCA7F9F76E05}"/>
    <cellStyle name="Normal 2 5 7 2 3" xfId="20763" xr:uid="{9757443F-916D-41A5-8683-48360AFF5D5E}"/>
    <cellStyle name="Normal 2 5 7 2 4" xfId="12322" xr:uid="{4930A303-E6E8-423E-9C82-56AA3759A442}"/>
    <cellStyle name="Normal 2 5 7 3" xfId="5945" xr:uid="{00000000-0005-0000-0000-000070110000}"/>
    <cellStyle name="Normal 2 5 7 3 2" xfId="22836" xr:uid="{006A61F1-195C-4CE9-91D6-FF3C3A651254}"/>
    <cellStyle name="Normal 2 5 7 3 3" xfId="14395" xr:uid="{B53AF23E-EBBF-4169-8FCF-2C653735E84D}"/>
    <cellStyle name="Normal 2 5 7 4" xfId="18618" xr:uid="{0B7B1D72-A4C6-4070-A872-8C5B01ACB381}"/>
    <cellStyle name="Normal 2 5 7 5" xfId="10177" xr:uid="{FC884F65-E6EE-4E44-8DC3-403E6059CDDF}"/>
    <cellStyle name="Normal 2 5 8" xfId="2052" xr:uid="{00000000-0005-0000-0000-000071110000}"/>
    <cellStyle name="Normal 2 5 8 2" xfId="4281" xr:uid="{00000000-0005-0000-0000-000072110000}"/>
    <cellStyle name="Normal 2 5 8 2 2" xfId="8503" xr:uid="{00000000-0005-0000-0000-000073110000}"/>
    <cellStyle name="Normal 2 5 8 2 2 2" xfId="25394" xr:uid="{620ABE9E-B1BC-44E6-8B9B-C06A007D830C}"/>
    <cellStyle name="Normal 2 5 8 2 2 3" xfId="16953" xr:uid="{87EEADA8-7EF5-4600-97BD-0CCB568F713E}"/>
    <cellStyle name="Normal 2 5 8 2 3" xfId="21176" xr:uid="{3F45059E-FCF1-40E1-8669-317AFC7CB6E5}"/>
    <cellStyle name="Normal 2 5 8 2 4" xfId="12735" xr:uid="{057CF652-F5A0-4D07-9873-00D529586414}"/>
    <cellStyle name="Normal 2 5 8 3" xfId="6358" xr:uid="{00000000-0005-0000-0000-000074110000}"/>
    <cellStyle name="Normal 2 5 8 3 2" xfId="23249" xr:uid="{D8E16F4C-DF7F-4A52-BD26-03922CEAEAC6}"/>
    <cellStyle name="Normal 2 5 8 3 3" xfId="14808" xr:uid="{1C53ECCA-37E5-4C2B-A4E8-203603803D7A}"/>
    <cellStyle name="Normal 2 5 8 4" xfId="19031" xr:uid="{B69F95CD-C032-44FC-945F-C180AF1F8613}"/>
    <cellStyle name="Normal 2 5 8 5" xfId="10590" xr:uid="{D8A9EFE1-A035-4554-85B3-9C1AC90199B6}"/>
    <cellStyle name="Normal 2 5 9" xfId="2488" xr:uid="{00000000-0005-0000-0000-000075110000}"/>
    <cellStyle name="Normal 2 5 9 2" xfId="6771" xr:uid="{00000000-0005-0000-0000-000076110000}"/>
    <cellStyle name="Normal 2 5 9 2 2" xfId="23662" xr:uid="{10986C09-E41B-4B59-8D41-B3E7A3C64C7C}"/>
    <cellStyle name="Normal 2 5 9 2 3" xfId="15221" xr:uid="{EE90A6DF-A870-4BB1-815D-034E98253997}"/>
    <cellStyle name="Normal 2 5 9 3" xfId="19444" xr:uid="{D77DB839-79DF-402A-B13D-FD23B56DC5B7}"/>
    <cellStyle name="Normal 2 5 9 4" xfId="11003" xr:uid="{A5EA9D0F-7BDC-42D6-9936-34601A7C81BD}"/>
    <cellStyle name="Normal 2 5_Dropdowns" xfId="25741" xr:uid="{B6C621F0-9526-4776-8D66-B718C70837FD}"/>
    <cellStyle name="Normal 2 6" xfId="322" xr:uid="{00000000-0005-0000-0000-000077110000}"/>
    <cellStyle name="Normal 2 6 2" xfId="25742" xr:uid="{1F96511B-7110-4A46-90E6-31BCF261884C}"/>
    <cellStyle name="Normal 2 7" xfId="769" xr:uid="{00000000-0005-0000-0000-000078110000}"/>
    <cellStyle name="Normal 2 8" xfId="4495" xr:uid="{00000000-0005-0000-0000-000079110000}"/>
    <cellStyle name="Normal 2 8 2" xfId="21388" xr:uid="{7D52B01A-A8C9-4389-BE64-FE355006C71E}"/>
    <cellStyle name="Normal 2 8 3" xfId="12947" xr:uid="{5CF6C978-573E-4CDC-A796-34253EFD3E01}"/>
    <cellStyle name="Normal 2 9" xfId="25644" xr:uid="{9408A8E3-F55E-4ACA-AF04-AC1D1E55B425}"/>
    <cellStyle name="Normal 2_Dropdowns" xfId="25737" xr:uid="{074B8839-0C1F-47C0-A8FA-0B45106DD17D}"/>
    <cellStyle name="Normal 20" xfId="25669" xr:uid="{23661B42-423D-4228-97BC-ADBE8047DE42}"/>
    <cellStyle name="Normal 21" xfId="25674" xr:uid="{AF6CD6D5-9C30-401F-839D-560CEE0B36BC}"/>
    <cellStyle name="Normal 21 2" xfId="25828" xr:uid="{172228DE-F566-467D-B236-35E8191D5A99}"/>
    <cellStyle name="Normal 22" xfId="25665" xr:uid="{BAB79616-8124-4955-BF51-52916B8CCB0C}"/>
    <cellStyle name="Normal 22 2" xfId="25744" xr:uid="{70B89ABF-1240-4B2F-9BE5-8A1F6572622E}"/>
    <cellStyle name="Normal 22 3" xfId="25824" xr:uid="{86DA696F-B9F1-4BBC-8B2A-1B8E88F904B4}"/>
    <cellStyle name="Normal 22_Dropdowns" xfId="25743" xr:uid="{679EB308-BBA0-494A-88FD-A6764D72ADE2}"/>
    <cellStyle name="Normal 23" xfId="25745" xr:uid="{F6756B43-5A83-4F5D-B58B-63C032B72C2F}"/>
    <cellStyle name="Normal 24" xfId="25783" xr:uid="{0CCEA004-1878-4EEB-B100-A818ABDBC4C0}"/>
    <cellStyle name="Normal 25" xfId="25784" xr:uid="{444930FC-7A0B-4091-9F7B-17BCE0523FD5}"/>
    <cellStyle name="Normal 26" xfId="25787" xr:uid="{28F2B005-583A-4C82-8668-1C29257698D0}"/>
    <cellStyle name="Normal 26 2" xfId="25871" xr:uid="{A653DFF4-7D5F-4604-9CFA-B5D5B942302E}"/>
    <cellStyle name="Normal 27" xfId="25790" xr:uid="{C1600BAC-C50E-4939-B856-58AC7B23E934}"/>
    <cellStyle name="Normal 27 2" xfId="25874" xr:uid="{D198239A-753E-4EA3-AF0E-0A4023CC3A38}"/>
    <cellStyle name="Normal 28" xfId="25798" xr:uid="{B612EED5-E0DC-4DD9-BF07-D70998F1EC26}"/>
    <cellStyle name="Normal 28 2" xfId="25884" xr:uid="{46D19592-D757-47E7-B52E-11998B431AD9}"/>
    <cellStyle name="Normal 3" xfId="323" xr:uid="{00000000-0005-0000-0000-00007A110000}"/>
    <cellStyle name="Normal 3 2" xfId="324" xr:uid="{00000000-0005-0000-0000-00007B110000}"/>
    <cellStyle name="Normal 3 2 10" xfId="17383" xr:uid="{1175744A-F737-4646-877A-B96AFCDE306F}"/>
    <cellStyle name="Normal 3 2 11" xfId="8942" xr:uid="{ECD22AD3-FF56-4AA8-A4C4-5647D51A177C}"/>
    <cellStyle name="Normal 3 2 12" xfId="25635" xr:uid="{0C52AEA5-83C3-4E92-832D-B83C0C27665B}"/>
    <cellStyle name="Normal 3 2 2" xfId="325" xr:uid="{00000000-0005-0000-0000-00007C110000}"/>
    <cellStyle name="Normal 3 2 2 2" xfId="810" xr:uid="{00000000-0005-0000-0000-00007D110000}"/>
    <cellStyle name="Normal 3 2 2 2 2" xfId="25808" xr:uid="{6B8E6468-12F9-40EB-A407-15A3EB6F11E0}"/>
    <cellStyle name="Normal 3 2 2 2 3" xfId="25630" xr:uid="{BC16AF52-6A6D-44E8-83DF-098B0F5FA17E}"/>
    <cellStyle name="Normal 3 2 2 3" xfId="25802" xr:uid="{6F9A8A68-F127-48A7-95F2-9528E1EBBBBC}"/>
    <cellStyle name="Normal 3 2 2 4" xfId="25622" xr:uid="{66F84EFF-7C4F-4273-9965-3861631B3532}"/>
    <cellStyle name="Normal 3 2 2_Dropdowns" xfId="25747" xr:uid="{46EDA7ED-CD1F-4709-898B-1A852B40D61C}"/>
    <cellStyle name="Normal 3 2 3" xfId="326" xr:uid="{00000000-0005-0000-0000-00007E110000}"/>
    <cellStyle name="Normal 3 2 3 10" xfId="17384" xr:uid="{5BB29C26-8A63-478D-B751-0ECFFEA377EE}"/>
    <cellStyle name="Normal 3 2 3 11" xfId="8943" xr:uid="{7494B6A1-FCFC-41B8-B970-B5ADF7394176}"/>
    <cellStyle name="Normal 3 2 3 12" xfId="25748" xr:uid="{A5802667-9BBD-464F-A8CE-4E1EC48641AA}"/>
    <cellStyle name="Normal 3 2 3 2" xfId="327" xr:uid="{00000000-0005-0000-0000-00007F110000}"/>
    <cellStyle name="Normal 3 2 3 2 10" xfId="8944" xr:uid="{DA68CEA5-F2E0-4322-BACD-C0871C3E8CF9}"/>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24163" xr:uid="{9D694DF2-A852-4356-A3C4-DACCFD27CD58}"/>
    <cellStyle name="Normal 3 2 3 2 2 2 2 2 3" xfId="15722" xr:uid="{3298D0FC-1513-4337-B817-5AADF48C4F9B}"/>
    <cellStyle name="Normal 3 2 3 2 2 2 2 3" xfId="19945" xr:uid="{6069A934-EE76-45BC-A049-B2CD9A664E4E}"/>
    <cellStyle name="Normal 3 2 3 2 2 2 2 4" xfId="11504" xr:uid="{4E02B2F7-43C7-479E-821D-9B7B42AF4A04}"/>
    <cellStyle name="Normal 3 2 3 2 2 2 3" xfId="5127" xr:uid="{00000000-0005-0000-0000-000084110000}"/>
    <cellStyle name="Normal 3 2 3 2 2 2 3 2" xfId="22018" xr:uid="{9BC4CFB2-34B8-42B1-B071-2C6453DFB87B}"/>
    <cellStyle name="Normal 3 2 3 2 2 2 3 3" xfId="13577" xr:uid="{D86D1B11-4176-4B82-8246-C5CCC0E5C862}"/>
    <cellStyle name="Normal 3 2 3 2 2 2 4" xfId="17800" xr:uid="{D1948E0F-1546-4FA4-81B4-78EB9A89A208}"/>
    <cellStyle name="Normal 3 2 3 2 2 2 5" xfId="9359" xr:uid="{BC96EAA3-D12A-401E-8DEB-365A75406B89}"/>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24576" xr:uid="{2E1C0CD4-E805-4DC5-9C9A-19233A16FE95}"/>
    <cellStyle name="Normal 3 2 3 2 2 3 2 2 3" xfId="16135" xr:uid="{AA430ADC-1BA2-4308-ADBB-7E588CA0B30B}"/>
    <cellStyle name="Normal 3 2 3 2 2 3 2 3" xfId="20358" xr:uid="{3F0ABB72-69BC-43BE-9400-DDD6EC6477FF}"/>
    <cellStyle name="Normal 3 2 3 2 2 3 2 4" xfId="11917" xr:uid="{BFB175ED-C2E6-4CD2-8ADF-5A57AA7CF7A8}"/>
    <cellStyle name="Normal 3 2 3 2 2 3 3" xfId="5540" xr:uid="{00000000-0005-0000-0000-000088110000}"/>
    <cellStyle name="Normal 3 2 3 2 2 3 3 2" xfId="22431" xr:uid="{A28407AC-362D-479A-A13D-D149308E454B}"/>
    <cellStyle name="Normal 3 2 3 2 2 3 3 3" xfId="13990" xr:uid="{6CBE8E54-D54D-4C91-94FE-12AD4D942737}"/>
    <cellStyle name="Normal 3 2 3 2 2 3 4" xfId="18213" xr:uid="{4C1438C5-3DFC-4967-96F8-2FFC8905DF67}"/>
    <cellStyle name="Normal 3 2 3 2 2 3 5" xfId="9772" xr:uid="{9787726B-D281-446A-B9D6-596D01176853}"/>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24989" xr:uid="{36E81433-3FEC-4C5D-BD15-64F7A0073743}"/>
    <cellStyle name="Normal 3 2 3 2 2 4 2 2 3" xfId="16548" xr:uid="{91D8D5D8-1F6C-434A-8A0F-F583BD139208}"/>
    <cellStyle name="Normal 3 2 3 2 2 4 2 3" xfId="20771" xr:uid="{51DBAAFA-AA74-4254-874F-CC2D52DACF03}"/>
    <cellStyle name="Normal 3 2 3 2 2 4 2 4" xfId="12330" xr:uid="{814828C6-F50D-4283-B9B4-3598014B61D7}"/>
    <cellStyle name="Normal 3 2 3 2 2 4 3" xfId="5953" xr:uid="{00000000-0005-0000-0000-00008C110000}"/>
    <cellStyle name="Normal 3 2 3 2 2 4 3 2" xfId="22844" xr:uid="{85A6CD7E-9321-4EE9-BE8E-6121A052DBFF}"/>
    <cellStyle name="Normal 3 2 3 2 2 4 3 3" xfId="14403" xr:uid="{98979C29-DEBB-400E-A6F5-C3F2C044411B}"/>
    <cellStyle name="Normal 3 2 3 2 2 4 4" xfId="18626" xr:uid="{12693E08-E84C-47B6-B347-A2655E7E7E26}"/>
    <cellStyle name="Normal 3 2 3 2 2 4 5" xfId="10185" xr:uid="{25B42EC0-8BE4-4E12-B003-F090AE6EE3C9}"/>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25402" xr:uid="{FAA3C939-FC27-4168-9A39-E0847BBD094B}"/>
    <cellStyle name="Normal 3 2 3 2 2 5 2 2 3" xfId="16961" xr:uid="{35691522-465F-47E9-9528-8C568253EF40}"/>
    <cellStyle name="Normal 3 2 3 2 2 5 2 3" xfId="21184" xr:uid="{36476D7C-202F-4C88-B158-84187089BF3E}"/>
    <cellStyle name="Normal 3 2 3 2 2 5 2 4" xfId="12743" xr:uid="{DF5CDC53-0FB9-489A-8B17-FF0E90362895}"/>
    <cellStyle name="Normal 3 2 3 2 2 5 3" xfId="6366" xr:uid="{00000000-0005-0000-0000-000090110000}"/>
    <cellStyle name="Normal 3 2 3 2 2 5 3 2" xfId="23257" xr:uid="{A0E5BF52-84A3-4E32-B3FB-DADEFCFF3BD2}"/>
    <cellStyle name="Normal 3 2 3 2 2 5 3 3" xfId="14816" xr:uid="{C178C894-24A0-43D0-98F8-BB85B37D811E}"/>
    <cellStyle name="Normal 3 2 3 2 2 5 4" xfId="19039" xr:uid="{946CFF41-1EB2-4270-BBF0-E7A7FD23A84D}"/>
    <cellStyle name="Normal 3 2 3 2 2 5 5" xfId="10598" xr:uid="{0DB471B9-D710-41DC-8C78-A91BAACC4C9E}"/>
    <cellStyle name="Normal 3 2 3 2 2 6" xfId="2496" xr:uid="{00000000-0005-0000-0000-000091110000}"/>
    <cellStyle name="Normal 3 2 3 2 2 6 2" xfId="6779" xr:uid="{00000000-0005-0000-0000-000092110000}"/>
    <cellStyle name="Normal 3 2 3 2 2 6 2 2" xfId="23670" xr:uid="{BFDA5C4B-71CB-4D9A-AF16-4677C916E34A}"/>
    <cellStyle name="Normal 3 2 3 2 2 6 2 3" xfId="15229" xr:uid="{5037E73F-F659-43DA-B0F3-4CB02BCC12AC}"/>
    <cellStyle name="Normal 3 2 3 2 2 6 3" xfId="19452" xr:uid="{5E4856FE-970B-4901-B25B-0EB47C5726CB}"/>
    <cellStyle name="Normal 3 2 3 2 2 6 4" xfId="11011" xr:uid="{4A15CE5D-A3B0-47A1-8902-EC9B2F710A63}"/>
    <cellStyle name="Normal 3 2 3 2 2 7" xfId="4713" xr:uid="{00000000-0005-0000-0000-000093110000}"/>
    <cellStyle name="Normal 3 2 3 2 2 7 2" xfId="21604" xr:uid="{C743BC39-5583-46D1-B2CB-929BE3A58EDB}"/>
    <cellStyle name="Normal 3 2 3 2 2 7 3" xfId="13163" xr:uid="{01745B40-6B8E-460F-B41C-C924B1DD3991}"/>
    <cellStyle name="Normal 3 2 3 2 2 8" xfId="17386" xr:uid="{DF969200-CF7A-4F7C-8976-FCEF7759B3C9}"/>
    <cellStyle name="Normal 3 2 3 2 2 9" xfId="8945" xr:uid="{5CCCFC48-A22B-47E3-A48B-38ED66410305}"/>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24162" xr:uid="{BA3B2FA7-3E64-4D9E-AB26-B86B3ED9FE93}"/>
    <cellStyle name="Normal 3 2 3 2 3 2 2 3" xfId="15721" xr:uid="{69BEF191-F8F5-4B3F-8340-5E761960258A}"/>
    <cellStyle name="Normal 3 2 3 2 3 2 3" xfId="19944" xr:uid="{6209AC17-C35B-4AAA-BD55-070B8F3D13F4}"/>
    <cellStyle name="Normal 3 2 3 2 3 2 4" xfId="11503" xr:uid="{FB49EDD1-1265-47D0-94F8-471A4220E321}"/>
    <cellStyle name="Normal 3 2 3 2 3 3" xfId="5126" xr:uid="{00000000-0005-0000-0000-000097110000}"/>
    <cellStyle name="Normal 3 2 3 2 3 3 2" xfId="22017" xr:uid="{B4330947-BC55-46B6-A2C1-6884B31220A8}"/>
    <cellStyle name="Normal 3 2 3 2 3 3 3" xfId="13576" xr:uid="{5997277D-CEF3-412D-9837-7AE482673CD9}"/>
    <cellStyle name="Normal 3 2 3 2 3 4" xfId="17799" xr:uid="{DAC328E9-AF5E-4104-A286-6F3B6B855E26}"/>
    <cellStyle name="Normal 3 2 3 2 3 5" xfId="9358" xr:uid="{99DA9624-C803-40A5-8645-76D6F33674E3}"/>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24575" xr:uid="{AACA22C3-9F31-415D-9C80-BE96A67D371E}"/>
    <cellStyle name="Normal 3 2 3 2 4 2 2 3" xfId="16134" xr:uid="{BD707D2A-1384-4585-8484-B92DEEA07919}"/>
    <cellStyle name="Normal 3 2 3 2 4 2 3" xfId="20357" xr:uid="{44A7604D-5517-4262-A581-5640F8EF461B}"/>
    <cellStyle name="Normal 3 2 3 2 4 2 4" xfId="11916" xr:uid="{7BACFA19-9EB1-47D4-86CA-4CB91727CD19}"/>
    <cellStyle name="Normal 3 2 3 2 4 3" xfId="5539" xr:uid="{00000000-0005-0000-0000-00009B110000}"/>
    <cellStyle name="Normal 3 2 3 2 4 3 2" xfId="22430" xr:uid="{B4B22CEF-3438-4DBB-B4F0-F61DA528EE27}"/>
    <cellStyle name="Normal 3 2 3 2 4 3 3" xfId="13989" xr:uid="{B9E6B312-B2E4-4CD4-A8B7-AE38E9D789D4}"/>
    <cellStyle name="Normal 3 2 3 2 4 4" xfId="18212" xr:uid="{7D3990F0-DA26-463B-B911-F602C6C04DB1}"/>
    <cellStyle name="Normal 3 2 3 2 4 5" xfId="9771" xr:uid="{35AF2DD4-1E9B-4FF4-9A29-602EBA77B78F}"/>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24988" xr:uid="{A8E48541-1FCB-4814-A89B-849F70D41676}"/>
    <cellStyle name="Normal 3 2 3 2 5 2 2 3" xfId="16547" xr:uid="{0F06687B-FEC9-47DD-96D9-62CC01FC3C88}"/>
    <cellStyle name="Normal 3 2 3 2 5 2 3" xfId="20770" xr:uid="{BAE2F4F8-646E-46CF-BE9D-8203C2D9BEE7}"/>
    <cellStyle name="Normal 3 2 3 2 5 2 4" xfId="12329" xr:uid="{7791FB29-5587-426E-91B9-B692EF2E8A5A}"/>
    <cellStyle name="Normal 3 2 3 2 5 3" xfId="5952" xr:uid="{00000000-0005-0000-0000-00009F110000}"/>
    <cellStyle name="Normal 3 2 3 2 5 3 2" xfId="22843" xr:uid="{02F3A1BE-017C-4007-8E0C-72AA17896F1D}"/>
    <cellStyle name="Normal 3 2 3 2 5 3 3" xfId="14402" xr:uid="{EB360428-788E-46C0-B4E9-038BAEE78714}"/>
    <cellStyle name="Normal 3 2 3 2 5 4" xfId="18625" xr:uid="{C82027F3-08BA-4A11-9C41-62375BAD16D9}"/>
    <cellStyle name="Normal 3 2 3 2 5 5" xfId="10184" xr:uid="{107F84F0-25F9-4641-84BE-6762418FC4BE}"/>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25401" xr:uid="{45CCA134-1104-49FE-AE8E-6E9F984BA06F}"/>
    <cellStyle name="Normal 3 2 3 2 6 2 2 3" xfId="16960" xr:uid="{F2D93EDE-864C-4B75-92D0-E94F7D303AAE}"/>
    <cellStyle name="Normal 3 2 3 2 6 2 3" xfId="21183" xr:uid="{71C73A37-1D88-4409-B4E2-8740C6B34313}"/>
    <cellStyle name="Normal 3 2 3 2 6 2 4" xfId="12742" xr:uid="{CEC3C6C5-F058-4BB4-A6BE-00C26639109C}"/>
    <cellStyle name="Normal 3 2 3 2 6 3" xfId="6365" xr:uid="{00000000-0005-0000-0000-0000A3110000}"/>
    <cellStyle name="Normal 3 2 3 2 6 3 2" xfId="23256" xr:uid="{846F7AC7-DF58-4E67-B21F-0ADC81F5210A}"/>
    <cellStyle name="Normal 3 2 3 2 6 3 3" xfId="14815" xr:uid="{A7CCBF4B-C95F-47B1-8C79-8C1BCF5EDA79}"/>
    <cellStyle name="Normal 3 2 3 2 6 4" xfId="19038" xr:uid="{EC095A6C-8070-4F36-84C1-7DB1A2ECED89}"/>
    <cellStyle name="Normal 3 2 3 2 6 5" xfId="10597" xr:uid="{840A1233-F891-4D5E-8CD7-3346C4BE21FF}"/>
    <cellStyle name="Normal 3 2 3 2 7" xfId="2495" xr:uid="{00000000-0005-0000-0000-0000A4110000}"/>
    <cellStyle name="Normal 3 2 3 2 7 2" xfId="6778" xr:uid="{00000000-0005-0000-0000-0000A5110000}"/>
    <cellStyle name="Normal 3 2 3 2 7 2 2" xfId="23669" xr:uid="{8E03667A-8097-4D5B-AE06-85F6F14B8C85}"/>
    <cellStyle name="Normal 3 2 3 2 7 2 3" xfId="15228" xr:uid="{9A6FE2A4-197A-4BE4-B841-F16B6DFDA34A}"/>
    <cellStyle name="Normal 3 2 3 2 7 3" xfId="19451" xr:uid="{89E41F2D-1E10-47F4-ABFC-0DAB7F12C14E}"/>
    <cellStyle name="Normal 3 2 3 2 7 4" xfId="11010" xr:uid="{99AAED41-ECDE-44DD-9E5C-CDFF7313FFE8}"/>
    <cellStyle name="Normal 3 2 3 2 8" xfId="4712" xr:uid="{00000000-0005-0000-0000-0000A6110000}"/>
    <cellStyle name="Normal 3 2 3 2 8 2" xfId="21603" xr:uid="{C534886D-E270-473C-BDB7-E74545B02A59}"/>
    <cellStyle name="Normal 3 2 3 2 8 3" xfId="13162" xr:uid="{2C2A8A4C-0A34-479C-857A-8581405C12E0}"/>
    <cellStyle name="Normal 3 2 3 2 9" xfId="17385" xr:uid="{636EB596-AF64-40C7-BE2D-4CEAA1CBBAEE}"/>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24164" xr:uid="{C1135BDB-B66B-4E84-BCF1-EE31C3FA71D4}"/>
    <cellStyle name="Normal 3 2 3 3 2 2 2 3" xfId="15723" xr:uid="{390A4EEC-199D-4C4D-A2DC-E106395650F1}"/>
    <cellStyle name="Normal 3 2 3 3 2 2 3" xfId="19946" xr:uid="{CC93E352-D86E-4B13-B90C-A7B097479161}"/>
    <cellStyle name="Normal 3 2 3 3 2 2 4" xfId="11505" xr:uid="{BCE9F331-87EB-434E-BE06-5F98D999F88C}"/>
    <cellStyle name="Normal 3 2 3 3 2 3" xfId="5128" xr:uid="{00000000-0005-0000-0000-0000AB110000}"/>
    <cellStyle name="Normal 3 2 3 3 2 3 2" xfId="22019" xr:uid="{9C659D10-FD9A-4FD9-8B85-58248E58FB3A}"/>
    <cellStyle name="Normal 3 2 3 3 2 3 3" xfId="13578" xr:uid="{BE7DBFED-06DD-4C35-A6F8-4E1D5C3592D8}"/>
    <cellStyle name="Normal 3 2 3 3 2 4" xfId="17801" xr:uid="{464A2594-C3B7-4AA6-8A92-D0A0C0B331EA}"/>
    <cellStyle name="Normal 3 2 3 3 2 5" xfId="9360" xr:uid="{332F3A9D-910A-4DAE-BA6F-64D49F4CCBCD}"/>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24577" xr:uid="{BC9A03BE-E853-4636-8A09-8419526FFF1D}"/>
    <cellStyle name="Normal 3 2 3 3 3 2 2 3" xfId="16136" xr:uid="{C9B454D2-E161-4C4F-9BD3-18317A3C897B}"/>
    <cellStyle name="Normal 3 2 3 3 3 2 3" xfId="20359" xr:uid="{EADA80B3-4E97-4C5F-A636-0FA42FC7BEF1}"/>
    <cellStyle name="Normal 3 2 3 3 3 2 4" xfId="11918" xr:uid="{4A38DE69-DDD0-4F0C-9E5F-4B3DCF784AC4}"/>
    <cellStyle name="Normal 3 2 3 3 3 3" xfId="5541" xr:uid="{00000000-0005-0000-0000-0000AF110000}"/>
    <cellStyle name="Normal 3 2 3 3 3 3 2" xfId="22432" xr:uid="{9C65F88C-E0E1-4BB8-B462-D8BFB883135B}"/>
    <cellStyle name="Normal 3 2 3 3 3 3 3" xfId="13991" xr:uid="{7AD1900B-C234-495D-9E9D-A1D3494FB40F}"/>
    <cellStyle name="Normal 3 2 3 3 3 4" xfId="18214" xr:uid="{568F1B3E-406A-49A9-971C-708E0AF1646D}"/>
    <cellStyle name="Normal 3 2 3 3 3 5" xfId="9773" xr:uid="{3DA32C04-14BA-4256-A2B6-428363EDD161}"/>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24990" xr:uid="{B18595F7-A52C-4D2C-9AA2-EF06ED1EF5EF}"/>
    <cellStyle name="Normal 3 2 3 3 4 2 2 3" xfId="16549" xr:uid="{0CE7E519-1712-4282-A6AB-8D0C8C0BD05E}"/>
    <cellStyle name="Normal 3 2 3 3 4 2 3" xfId="20772" xr:uid="{0162F271-DBDF-4E17-905A-DA31A40A3BE5}"/>
    <cellStyle name="Normal 3 2 3 3 4 2 4" xfId="12331" xr:uid="{E2A7C5B4-021B-443E-BFC1-29E6E5F855BD}"/>
    <cellStyle name="Normal 3 2 3 3 4 3" xfId="5954" xr:uid="{00000000-0005-0000-0000-0000B3110000}"/>
    <cellStyle name="Normal 3 2 3 3 4 3 2" xfId="22845" xr:uid="{DECFED52-B35E-4E42-881C-211106830C00}"/>
    <cellStyle name="Normal 3 2 3 3 4 3 3" xfId="14404" xr:uid="{7B1325FE-B089-4F8F-8E0B-CDA594ED84B7}"/>
    <cellStyle name="Normal 3 2 3 3 4 4" xfId="18627" xr:uid="{F018C120-9C07-44E7-9B4D-96C2100E6E8A}"/>
    <cellStyle name="Normal 3 2 3 3 4 5" xfId="10186" xr:uid="{4FE83174-6E3D-4723-BFC1-C9AA95573DEB}"/>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25403" xr:uid="{3BC4202B-445B-49FF-96A1-7A287E6B2F45}"/>
    <cellStyle name="Normal 3 2 3 3 5 2 2 3" xfId="16962" xr:uid="{3B24033E-5CB0-4208-AF27-CE48B6E77DBE}"/>
    <cellStyle name="Normal 3 2 3 3 5 2 3" xfId="21185" xr:uid="{367BA037-BFAF-491F-B8C0-146F41E928A4}"/>
    <cellStyle name="Normal 3 2 3 3 5 2 4" xfId="12744" xr:uid="{9C79C7BC-01F3-4A12-92D0-66CD0E265B50}"/>
    <cellStyle name="Normal 3 2 3 3 5 3" xfId="6367" xr:uid="{00000000-0005-0000-0000-0000B7110000}"/>
    <cellStyle name="Normal 3 2 3 3 5 3 2" xfId="23258" xr:uid="{DFD42EDB-ACA2-4320-932C-4E80DA4B0077}"/>
    <cellStyle name="Normal 3 2 3 3 5 3 3" xfId="14817" xr:uid="{F6B78DCE-1A60-4206-8400-33D2ED2B7D92}"/>
    <cellStyle name="Normal 3 2 3 3 5 4" xfId="19040" xr:uid="{73777A59-EEC3-4E33-AF92-DDA6CD8A5E57}"/>
    <cellStyle name="Normal 3 2 3 3 5 5" xfId="10599" xr:uid="{2B6504BA-0FC6-40FE-A9A7-BF2BAFB6DE6A}"/>
    <cellStyle name="Normal 3 2 3 3 6" xfId="2497" xr:uid="{00000000-0005-0000-0000-0000B8110000}"/>
    <cellStyle name="Normal 3 2 3 3 6 2" xfId="6780" xr:uid="{00000000-0005-0000-0000-0000B9110000}"/>
    <cellStyle name="Normal 3 2 3 3 6 2 2" xfId="23671" xr:uid="{0AE0258E-7FE1-42E1-AE22-F46154E72470}"/>
    <cellStyle name="Normal 3 2 3 3 6 2 3" xfId="15230" xr:uid="{CD0DEA65-3229-40C5-9623-C14901DC35FB}"/>
    <cellStyle name="Normal 3 2 3 3 6 3" xfId="19453" xr:uid="{01013CCC-EB40-4E93-B4B0-D1EBA7A2118E}"/>
    <cellStyle name="Normal 3 2 3 3 6 4" xfId="11012" xr:uid="{6D0E4660-4825-4724-91A5-D8E62F4B9CE9}"/>
    <cellStyle name="Normal 3 2 3 3 7" xfId="4714" xr:uid="{00000000-0005-0000-0000-0000BA110000}"/>
    <cellStyle name="Normal 3 2 3 3 7 2" xfId="21605" xr:uid="{799527AE-2E59-4A56-9F6C-D27329B2F809}"/>
    <cellStyle name="Normal 3 2 3 3 7 3" xfId="13164" xr:uid="{647AB0A1-4EC4-4073-B7E6-0697A5362F6D}"/>
    <cellStyle name="Normal 3 2 3 3 8" xfId="17387" xr:uid="{42E21C59-56D1-4B61-9042-FFEFC1E0BA01}"/>
    <cellStyle name="Normal 3 2 3 3 9" xfId="8946" xr:uid="{B59CA71D-CACA-4749-9CED-0E3D090783C1}"/>
    <cellStyle name="Normal 3 2 3 4" xfId="811" xr:uid="{00000000-0005-0000-0000-0000BB110000}"/>
    <cellStyle name="Normal 3 2 3 4 2" xfId="3048" xr:uid="{00000000-0005-0000-0000-0000BC110000}"/>
    <cellStyle name="Normal 3 2 3 4 2 2" xfId="7270" xr:uid="{00000000-0005-0000-0000-0000BD110000}"/>
    <cellStyle name="Normal 3 2 3 4 2 2 2" xfId="24161" xr:uid="{2A0CE31F-8A23-4D92-9520-FA0ECB23C63A}"/>
    <cellStyle name="Normal 3 2 3 4 2 2 3" xfId="15720" xr:uid="{90D64EB2-C38E-4CC6-A4FA-B83CCC11FC5D}"/>
    <cellStyle name="Normal 3 2 3 4 2 3" xfId="19943" xr:uid="{845B03B9-8A72-4ED2-A11D-D6FBFCA5C023}"/>
    <cellStyle name="Normal 3 2 3 4 2 4" xfId="11502" xr:uid="{9C669E9F-995E-4B46-A0FC-860715142FB4}"/>
    <cellStyle name="Normal 3 2 3 4 3" xfId="5125" xr:uid="{00000000-0005-0000-0000-0000BE110000}"/>
    <cellStyle name="Normal 3 2 3 4 3 2" xfId="22016" xr:uid="{E1CD22A4-3835-467F-B2BB-B244E5A9938A}"/>
    <cellStyle name="Normal 3 2 3 4 3 3" xfId="13575" xr:uid="{31D4D60E-5604-4A8D-B433-BCB4C4457E0D}"/>
    <cellStyle name="Normal 3 2 3 4 4" xfId="17798" xr:uid="{9B6F3960-0458-48C8-86CA-324357CAFE42}"/>
    <cellStyle name="Normal 3 2 3 4 5" xfId="9357" xr:uid="{2828C4E5-AB1C-459D-9665-D0E4A7A286DD}"/>
    <cellStyle name="Normal 3 2 3 5" xfId="1231" xr:uid="{00000000-0005-0000-0000-0000BF110000}"/>
    <cellStyle name="Normal 3 2 3 5 2" xfId="3461" xr:uid="{00000000-0005-0000-0000-0000C0110000}"/>
    <cellStyle name="Normal 3 2 3 5 2 2" xfId="7683" xr:uid="{00000000-0005-0000-0000-0000C1110000}"/>
    <cellStyle name="Normal 3 2 3 5 2 2 2" xfId="24574" xr:uid="{B80070DD-AD95-4A98-8603-E3F737B635E2}"/>
    <cellStyle name="Normal 3 2 3 5 2 2 3" xfId="16133" xr:uid="{A8652BA4-8A77-449D-8D79-F123D759AD03}"/>
    <cellStyle name="Normal 3 2 3 5 2 3" xfId="20356" xr:uid="{0222F3CB-EA4D-4F57-86F1-8B5AE33FA222}"/>
    <cellStyle name="Normal 3 2 3 5 2 4" xfId="11915" xr:uid="{5697237F-2461-4D66-9E0D-2DE1E0125035}"/>
    <cellStyle name="Normal 3 2 3 5 3" xfId="5538" xr:uid="{00000000-0005-0000-0000-0000C2110000}"/>
    <cellStyle name="Normal 3 2 3 5 3 2" xfId="22429" xr:uid="{578D85F3-C742-4F69-8031-A996F566C834}"/>
    <cellStyle name="Normal 3 2 3 5 3 3" xfId="13988" xr:uid="{6DD5040F-E60F-4280-819F-6C00B23DE7DE}"/>
    <cellStyle name="Normal 3 2 3 5 4" xfId="18211" xr:uid="{01ED30B9-03BA-41B6-9FF3-DDB92A117A9F}"/>
    <cellStyle name="Normal 3 2 3 5 5" xfId="9770" xr:uid="{C4DC5975-8872-4B09-99AB-A2A449FDE4FE}"/>
    <cellStyle name="Normal 3 2 3 6" xfId="1644" xr:uid="{00000000-0005-0000-0000-0000C3110000}"/>
    <cellStyle name="Normal 3 2 3 6 2" xfId="3874" xr:uid="{00000000-0005-0000-0000-0000C4110000}"/>
    <cellStyle name="Normal 3 2 3 6 2 2" xfId="8096" xr:uid="{00000000-0005-0000-0000-0000C5110000}"/>
    <cellStyle name="Normal 3 2 3 6 2 2 2" xfId="24987" xr:uid="{6EE6B935-C160-4E50-A68D-593B03AE33DC}"/>
    <cellStyle name="Normal 3 2 3 6 2 2 3" xfId="16546" xr:uid="{A9B6E6D6-B9EF-4D1C-9233-3FD97EF20165}"/>
    <cellStyle name="Normal 3 2 3 6 2 3" xfId="20769" xr:uid="{5E88DBA6-1567-4F87-B71E-DEE9508F2004}"/>
    <cellStyle name="Normal 3 2 3 6 2 4" xfId="12328" xr:uid="{3320FF86-C249-4D5E-B274-540F3568795B}"/>
    <cellStyle name="Normal 3 2 3 6 3" xfId="5951" xr:uid="{00000000-0005-0000-0000-0000C6110000}"/>
    <cellStyle name="Normal 3 2 3 6 3 2" xfId="22842" xr:uid="{D2415946-F269-481F-B085-6ACD6D223F25}"/>
    <cellStyle name="Normal 3 2 3 6 3 3" xfId="14401" xr:uid="{DA988091-D312-4CCF-9FF3-B9D0254EA5E8}"/>
    <cellStyle name="Normal 3 2 3 6 4" xfId="18624" xr:uid="{1EAD8E45-63F8-4C38-980F-9FBF4226DD2C}"/>
    <cellStyle name="Normal 3 2 3 6 5" xfId="10183" xr:uid="{9ADD79BE-26CF-4B51-A50A-A82F02CDC25E}"/>
    <cellStyle name="Normal 3 2 3 7" xfId="2058" xr:uid="{00000000-0005-0000-0000-0000C7110000}"/>
    <cellStyle name="Normal 3 2 3 7 2" xfId="4287" xr:uid="{00000000-0005-0000-0000-0000C8110000}"/>
    <cellStyle name="Normal 3 2 3 7 2 2" xfId="8509" xr:uid="{00000000-0005-0000-0000-0000C9110000}"/>
    <cellStyle name="Normal 3 2 3 7 2 2 2" xfId="25400" xr:uid="{B0659286-66C9-48D2-84E3-100673233098}"/>
    <cellStyle name="Normal 3 2 3 7 2 2 3" xfId="16959" xr:uid="{D9376858-EBE4-4994-B273-512CFF1DF8EF}"/>
    <cellStyle name="Normal 3 2 3 7 2 3" xfId="21182" xr:uid="{36AC52F4-BAAA-4617-B857-9C4101027368}"/>
    <cellStyle name="Normal 3 2 3 7 2 4" xfId="12741" xr:uid="{5E83E88F-653F-4D23-9BA7-AB98A894D293}"/>
    <cellStyle name="Normal 3 2 3 7 3" xfId="6364" xr:uid="{00000000-0005-0000-0000-0000CA110000}"/>
    <cellStyle name="Normal 3 2 3 7 3 2" xfId="23255" xr:uid="{5437FA36-4A34-4EB2-9ABD-6EDFC11BC7B7}"/>
    <cellStyle name="Normal 3 2 3 7 3 3" xfId="14814" xr:uid="{E6CEE0C3-5F72-42C9-B050-DA2A9B20F4E6}"/>
    <cellStyle name="Normal 3 2 3 7 4" xfId="19037" xr:uid="{3E6328DD-49BC-41CE-B03A-2D5457C85A9A}"/>
    <cellStyle name="Normal 3 2 3 7 5" xfId="10596" xr:uid="{3920161A-A6A2-465C-9EE8-0DD66421D2D8}"/>
    <cellStyle name="Normal 3 2 3 8" xfId="2494" xr:uid="{00000000-0005-0000-0000-0000CB110000}"/>
    <cellStyle name="Normal 3 2 3 8 2" xfId="6777" xr:uid="{00000000-0005-0000-0000-0000CC110000}"/>
    <cellStyle name="Normal 3 2 3 8 2 2" xfId="23668" xr:uid="{34A238A7-D17C-4415-8407-2C7F664EB50E}"/>
    <cellStyle name="Normal 3 2 3 8 2 3" xfId="15227" xr:uid="{E7D7F25F-A38A-4FD3-B8B9-BABCF8DFBA19}"/>
    <cellStyle name="Normal 3 2 3 8 3" xfId="19450" xr:uid="{DE3E84B8-B6D9-43F8-BC66-0AE9A9BE0D31}"/>
    <cellStyle name="Normal 3 2 3 8 4" xfId="11009" xr:uid="{451540ED-3B9D-42E5-9D7E-D30E6AB761B8}"/>
    <cellStyle name="Normal 3 2 3 9" xfId="4711" xr:uid="{00000000-0005-0000-0000-0000CD110000}"/>
    <cellStyle name="Normal 3 2 3 9 2" xfId="21602" xr:uid="{FD73CFD9-C243-4868-9ADD-4FBA6E02842A}"/>
    <cellStyle name="Normal 3 2 3 9 3" xfId="13161" xr:uid="{888FFBB5-82D7-4215-B426-A773FC048304}"/>
    <cellStyle name="Normal 3 2 4" xfId="809" xr:uid="{00000000-0005-0000-0000-0000CE110000}"/>
    <cellStyle name="Normal 3 2 4 2" xfId="3047" xr:uid="{00000000-0005-0000-0000-0000CF110000}"/>
    <cellStyle name="Normal 3 2 4 2 2" xfId="7269" xr:uid="{00000000-0005-0000-0000-0000D0110000}"/>
    <cellStyle name="Normal 3 2 4 2 2 2" xfId="24160" xr:uid="{DD969879-CF52-4D27-B4CB-57E1307ACC30}"/>
    <cellStyle name="Normal 3 2 4 2 2 3" xfId="15719" xr:uid="{CA4540DC-FF1D-43E1-BEEB-DBC415DF88B1}"/>
    <cellStyle name="Normal 3 2 4 2 3" xfId="19942" xr:uid="{1A5E6D4D-412F-4532-BB9F-F7B3809F9B97}"/>
    <cellStyle name="Normal 3 2 4 2 4" xfId="11501" xr:uid="{D2BCF1BB-DDD8-4A31-AFDE-0D1380D213A2}"/>
    <cellStyle name="Normal 3 2 4 3" xfId="5124" xr:uid="{00000000-0005-0000-0000-0000D1110000}"/>
    <cellStyle name="Normal 3 2 4 3 2" xfId="22015" xr:uid="{FBC2A47E-C8E2-4718-8D18-D66F3E3563F8}"/>
    <cellStyle name="Normal 3 2 4 3 3" xfId="13574" xr:uid="{B98EA779-BA7F-4B52-A847-F262AF223CA3}"/>
    <cellStyle name="Normal 3 2 4 4" xfId="17797" xr:uid="{8252BA97-A3C4-4D2F-9691-E47DA3ACEC0D}"/>
    <cellStyle name="Normal 3 2 4 5" xfId="9356" xr:uid="{07CEE6AD-120B-4123-99C1-29EB2130D23C}"/>
    <cellStyle name="Normal 3 2 5" xfId="1230" xr:uid="{00000000-0005-0000-0000-0000D2110000}"/>
    <cellStyle name="Normal 3 2 5 2" xfId="3460" xr:uid="{00000000-0005-0000-0000-0000D3110000}"/>
    <cellStyle name="Normal 3 2 5 2 2" xfId="7682" xr:uid="{00000000-0005-0000-0000-0000D4110000}"/>
    <cellStyle name="Normal 3 2 5 2 2 2" xfId="24573" xr:uid="{F53390CA-F942-4C77-AB81-EABB1CA9010E}"/>
    <cellStyle name="Normal 3 2 5 2 2 3" xfId="16132" xr:uid="{FC94F5CC-5946-4F1D-9815-BC5A0783C991}"/>
    <cellStyle name="Normal 3 2 5 2 3" xfId="20355" xr:uid="{589FE56E-1FAB-4B51-9DB6-AEDFDAA21B20}"/>
    <cellStyle name="Normal 3 2 5 2 4" xfId="11914" xr:uid="{285858B7-264D-4AF8-A397-7E8B73700A3A}"/>
    <cellStyle name="Normal 3 2 5 3" xfId="5537" xr:uid="{00000000-0005-0000-0000-0000D5110000}"/>
    <cellStyle name="Normal 3 2 5 3 2" xfId="22428" xr:uid="{FE6D9A74-46AF-4030-A2DA-C3148614F95F}"/>
    <cellStyle name="Normal 3 2 5 3 3" xfId="13987" xr:uid="{7EE240EC-B204-40EB-8B42-CA535CD05B38}"/>
    <cellStyle name="Normal 3 2 5 4" xfId="18210" xr:uid="{30EEE474-F8B1-4646-B5FC-F2A91690AB34}"/>
    <cellStyle name="Normal 3 2 5 5" xfId="9769" xr:uid="{01F03BF9-F5D4-4A2E-807E-642948D2CCF4}"/>
    <cellStyle name="Normal 3 2 6" xfId="1643" xr:uid="{00000000-0005-0000-0000-0000D6110000}"/>
    <cellStyle name="Normal 3 2 6 2" xfId="3873" xr:uid="{00000000-0005-0000-0000-0000D7110000}"/>
    <cellStyle name="Normal 3 2 6 2 2" xfId="8095" xr:uid="{00000000-0005-0000-0000-0000D8110000}"/>
    <cellStyle name="Normal 3 2 6 2 2 2" xfId="24986" xr:uid="{88959040-58F7-45DE-B8C2-0A2A4530104C}"/>
    <cellStyle name="Normal 3 2 6 2 2 3" xfId="16545" xr:uid="{A8CB4F9D-9E6C-48BC-A451-65506CB5399B}"/>
    <cellStyle name="Normal 3 2 6 2 3" xfId="20768" xr:uid="{33EA6C3E-6751-44DF-953B-29B846BD2165}"/>
    <cellStyle name="Normal 3 2 6 2 4" xfId="12327" xr:uid="{CC57FC0C-AE0B-4636-89A3-629F465AF16A}"/>
    <cellStyle name="Normal 3 2 6 3" xfId="5950" xr:uid="{00000000-0005-0000-0000-0000D9110000}"/>
    <cellStyle name="Normal 3 2 6 3 2" xfId="22841" xr:uid="{A81D0037-2DDE-4F77-B8B9-8F7ADE7A0463}"/>
    <cellStyle name="Normal 3 2 6 3 3" xfId="14400" xr:uid="{05343D28-6D3F-4B9B-986D-1880CB26BD6C}"/>
    <cellStyle name="Normal 3 2 6 4" xfId="18623" xr:uid="{F79EF163-BD6C-4B78-A2E8-48A4922E9130}"/>
    <cellStyle name="Normal 3 2 6 5" xfId="10182" xr:uid="{AC627D88-C27A-40FD-A221-450B960903D7}"/>
    <cellStyle name="Normal 3 2 7" xfId="2057" xr:uid="{00000000-0005-0000-0000-0000DA110000}"/>
    <cellStyle name="Normal 3 2 7 2" xfId="4286" xr:uid="{00000000-0005-0000-0000-0000DB110000}"/>
    <cellStyle name="Normal 3 2 7 2 2" xfId="8508" xr:uid="{00000000-0005-0000-0000-0000DC110000}"/>
    <cellStyle name="Normal 3 2 7 2 2 2" xfId="25399" xr:uid="{6F16F2E6-F4FE-43C1-ADEF-819EC5DF45AD}"/>
    <cellStyle name="Normal 3 2 7 2 2 3" xfId="16958" xr:uid="{D0E88E5E-E8B1-4E2A-8A09-4A40BE1FC080}"/>
    <cellStyle name="Normal 3 2 7 2 3" xfId="21181" xr:uid="{4EF3B81D-989C-4797-8ECF-91FF2EBC1246}"/>
    <cellStyle name="Normal 3 2 7 2 4" xfId="12740" xr:uid="{DEB194B1-942A-45BC-9DFB-A188826C24A6}"/>
    <cellStyle name="Normal 3 2 7 3" xfId="6363" xr:uid="{00000000-0005-0000-0000-0000DD110000}"/>
    <cellStyle name="Normal 3 2 7 3 2" xfId="23254" xr:uid="{56D9A448-BC2B-4FB5-99C3-B92B1514D495}"/>
    <cellStyle name="Normal 3 2 7 3 3" xfId="14813" xr:uid="{9F667703-E567-42FA-8F69-5FC175E41E53}"/>
    <cellStyle name="Normal 3 2 7 4" xfId="19036" xr:uid="{62727498-9AEB-4289-82A4-AE9D19BA6500}"/>
    <cellStyle name="Normal 3 2 7 5" xfId="10595" xr:uid="{87062F7A-590D-4FED-8C7B-598D9FFBC645}"/>
    <cellStyle name="Normal 3 2 8" xfId="2493" xr:uid="{00000000-0005-0000-0000-0000DE110000}"/>
    <cellStyle name="Normal 3 2 8 2" xfId="6776" xr:uid="{00000000-0005-0000-0000-0000DF110000}"/>
    <cellStyle name="Normal 3 2 8 2 2" xfId="23667" xr:uid="{98930862-DD3F-4FB2-816C-EA4B3911BBDC}"/>
    <cellStyle name="Normal 3 2 8 2 3" xfId="15226" xr:uid="{F40CA357-42A2-4C10-8919-AB470A045229}"/>
    <cellStyle name="Normal 3 2 8 3" xfId="19449" xr:uid="{C067C462-177A-40B3-BAAF-64FA8A3D3159}"/>
    <cellStyle name="Normal 3 2 8 4" xfId="11008" xr:uid="{15968E99-C1E1-4545-A1F2-81416BCEDCA0}"/>
    <cellStyle name="Normal 3 2 9" xfId="4710" xr:uid="{00000000-0005-0000-0000-0000E0110000}"/>
    <cellStyle name="Normal 3 2 9 2" xfId="21601" xr:uid="{0267106A-4E12-4B55-ADED-9CC36B5D5252}"/>
    <cellStyle name="Normal 3 2 9 3" xfId="13160" xr:uid="{89184655-3B5A-436B-90C0-3DB57411B43E}"/>
    <cellStyle name="Normal 3 2_Item C7" xfId="25749" xr:uid="{2487E96C-F4B8-4C3D-AA5D-E3045CDD89BF}"/>
    <cellStyle name="Normal 3 3" xfId="330" xr:uid="{00000000-0005-0000-0000-0000E1110000}"/>
    <cellStyle name="Normal 3 3 2" xfId="331" xr:uid="{00000000-0005-0000-0000-0000E2110000}"/>
    <cellStyle name="Normal 3 3 2 2" xfId="25751" xr:uid="{FB5BAF35-A3E6-4714-9858-304FC5735814}"/>
    <cellStyle name="Normal 3 3 3" xfId="332" xr:uid="{00000000-0005-0000-0000-0000E3110000}"/>
    <cellStyle name="Normal 3 3 4" xfId="25649" xr:uid="{FA0479E9-8948-4D59-9711-7CF1B9FBF5F5}"/>
    <cellStyle name="Normal 3 3_Dropdowns" xfId="25750" xr:uid="{966FBD7D-3737-4A45-922E-FEE00A100401}"/>
    <cellStyle name="Normal 3 4" xfId="333" xr:uid="{00000000-0005-0000-0000-0000E4110000}"/>
    <cellStyle name="Normal 3 4 2" xfId="25752" xr:uid="{02E27584-1F00-4F45-8185-8EFB36024977}"/>
    <cellStyle name="Normal 3 5" xfId="334" xr:uid="{00000000-0005-0000-0000-0000E5110000}"/>
    <cellStyle name="Normal 3 5 2" xfId="25754" xr:uid="{5FB72570-40DF-41F9-A083-4CDA4E87E736}"/>
    <cellStyle name="Normal 3 5 3" xfId="25755" xr:uid="{0A39391C-6C65-4373-B72F-CDB4D441C685}"/>
    <cellStyle name="Normal 3 5 4" xfId="25827" xr:uid="{02A85661-82CB-421F-B46E-6BE2A84B1ED9}"/>
    <cellStyle name="Normal 3 5 5" xfId="25668" xr:uid="{14EC5049-CD9A-4E2F-961D-543623AC1383}"/>
    <cellStyle name="Normal 3 5_Dropdowns" xfId="25753" xr:uid="{B231E422-CC8E-469A-ACE1-D7459501D841}"/>
    <cellStyle name="Normal 3 6" xfId="808" xr:uid="{00000000-0005-0000-0000-0000E6110000}"/>
    <cellStyle name="Normal 3 7" xfId="25756" xr:uid="{55833596-3BEC-44C2-9751-7C2F59AFAE59}"/>
    <cellStyle name="Normal 3 8" xfId="25621" xr:uid="{CFA7972D-ADB1-4CAB-AD11-F01D6AA4EE71}"/>
    <cellStyle name="Normal 3_Dropdowns" xfId="25746" xr:uid="{652CB10F-B2AA-47A2-A210-80651498E5BA}"/>
    <cellStyle name="Normal 4" xfId="335" xr:uid="{00000000-0005-0000-0000-0000E7110000}"/>
    <cellStyle name="Normal 4 10" xfId="17388" xr:uid="{33282323-20E8-4D07-9A47-AB18F56C29E4}"/>
    <cellStyle name="Normal 4 11" xfId="8947" xr:uid="{874D2F8E-0353-4B7E-AC8A-34E0C4926D54}"/>
    <cellStyle name="Normal 4 12" xfId="25650" xr:uid="{EA2934F7-45E8-4714-8C99-7D5CC7F21DAD}"/>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25404" xr:uid="{1C5D2043-B9AB-4F9E-8167-9F30766C40BB}"/>
    <cellStyle name="Normal 4 2 2 10 2 2 3" xfId="16963" xr:uid="{29B1F9F8-EF73-42B5-8146-7FD28508DE90}"/>
    <cellStyle name="Normal 4 2 2 10 2 3" xfId="21186" xr:uid="{E81C84BC-764D-4C02-9D95-2587E569F4A9}"/>
    <cellStyle name="Normal 4 2 2 10 2 4" xfId="12745" xr:uid="{8C147268-2574-4511-95D7-66B1D91D1A5A}"/>
    <cellStyle name="Normal 4 2 2 10 3" xfId="6368" xr:uid="{00000000-0005-0000-0000-0000ED110000}"/>
    <cellStyle name="Normal 4 2 2 10 3 2" xfId="23259" xr:uid="{49583730-0658-4FA3-9787-A640CE1C30F4}"/>
    <cellStyle name="Normal 4 2 2 10 3 3" xfId="14818" xr:uid="{60C3315D-054A-4617-86CD-82E6E93F8458}"/>
    <cellStyle name="Normal 4 2 2 10 4" xfId="19041" xr:uid="{5CE578B1-4590-40AE-B41E-CE0D14237993}"/>
    <cellStyle name="Normal 4 2 2 10 5" xfId="10600" xr:uid="{F5BF0B25-4C16-48DE-B0F4-EB013FD4A1CA}"/>
    <cellStyle name="Normal 4 2 2 11" xfId="2498" xr:uid="{00000000-0005-0000-0000-0000EE110000}"/>
    <cellStyle name="Normal 4 2 2 11 2" xfId="6781" xr:uid="{00000000-0005-0000-0000-0000EF110000}"/>
    <cellStyle name="Normal 4 2 2 11 2 2" xfId="23672" xr:uid="{449DB156-9FB4-4157-851A-4C12EE38DEC5}"/>
    <cellStyle name="Normal 4 2 2 11 2 3" xfId="15231" xr:uid="{25ABA16B-1D3D-458B-A0AC-AAEE20235DB1}"/>
    <cellStyle name="Normal 4 2 2 11 3" xfId="19454" xr:uid="{8CAC0B45-677D-4AF4-B708-97F342D8C535}"/>
    <cellStyle name="Normal 4 2 2 11 4" xfId="11013" xr:uid="{55D58A20-4DCC-467C-9D38-5284466BEFE6}"/>
    <cellStyle name="Normal 4 2 2 12" xfId="4716" xr:uid="{00000000-0005-0000-0000-0000F0110000}"/>
    <cellStyle name="Normal 4 2 2 12 2" xfId="21607" xr:uid="{D964B2AB-083F-479F-B755-798127142C00}"/>
    <cellStyle name="Normal 4 2 2 12 3" xfId="13166" xr:uid="{A2811A97-54CE-44A9-8283-54E162091BFB}"/>
    <cellStyle name="Normal 4 2 2 13" xfId="17389" xr:uid="{15528B1A-0943-4B56-8691-F4AE69172B5C}"/>
    <cellStyle name="Normal 4 2 2 14" xfId="8948" xr:uid="{B81FF2FE-7801-4CD5-BE25-1FD63ABDF738}"/>
    <cellStyle name="Normal 4 2 2 15" xfId="25658" xr:uid="{65CB942C-406F-46C4-BF78-0250D45E4354}"/>
    <cellStyle name="Normal 4 2 2 2" xfId="338" xr:uid="{00000000-0005-0000-0000-0000F1110000}"/>
    <cellStyle name="Normal 4 2 2 2 2" xfId="25821" xr:uid="{7EAF152E-68C0-46B8-9BC2-E985F9AC5893}"/>
    <cellStyle name="Normal 4 2 2 3" xfId="339" xr:uid="{00000000-0005-0000-0000-0000F2110000}"/>
    <cellStyle name="Normal 4 2 2 3 10" xfId="4717" xr:uid="{00000000-0005-0000-0000-0000F3110000}"/>
    <cellStyle name="Normal 4 2 2 3 10 2" xfId="21608" xr:uid="{51E10553-476A-48C7-B8FD-07F495C37109}"/>
    <cellStyle name="Normal 4 2 2 3 10 3" xfId="13167" xr:uid="{B8FED3EE-E126-45EC-A8D8-6B31FCF911CD}"/>
    <cellStyle name="Normal 4 2 2 3 11" xfId="17390" xr:uid="{27D0A050-3EAD-418C-A491-587C56EE68D0}"/>
    <cellStyle name="Normal 4 2 2 3 12" xfId="8949" xr:uid="{36309D8C-84A7-4777-B9D5-83F37FBE436F}"/>
    <cellStyle name="Normal 4 2 2 3 2" xfId="340" xr:uid="{00000000-0005-0000-0000-0000F4110000}"/>
    <cellStyle name="Normal 4 2 2 3 2 10" xfId="17391" xr:uid="{6F49480D-9F34-4E37-AF9C-10ABD0981D71}"/>
    <cellStyle name="Normal 4 2 2 3 2 11" xfId="8950" xr:uid="{D078F8C8-FAB3-4C54-AD7F-9EA48D697B11}"/>
    <cellStyle name="Normal 4 2 2 3 2 2" xfId="341" xr:uid="{00000000-0005-0000-0000-0000F5110000}"/>
    <cellStyle name="Normal 4 2 2 3 2 2 10" xfId="8951" xr:uid="{17B0EDD9-DD40-405C-9063-4243F5662C91}"/>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24169" xr:uid="{B2095C96-F860-424E-863E-CFE912F3A6E2}"/>
    <cellStyle name="Normal 4 2 2 3 2 2 2 2 2 2 3" xfId="15728" xr:uid="{426390CD-20BD-4083-AF0C-16B3A9D21D4F}"/>
    <cellStyle name="Normal 4 2 2 3 2 2 2 2 2 3" xfId="19951" xr:uid="{2086CD79-7727-4997-AA01-4E46ADFB8338}"/>
    <cellStyle name="Normal 4 2 2 3 2 2 2 2 2 4" xfId="11510" xr:uid="{378B985A-96CD-4B09-BDD8-9B24769383C1}"/>
    <cellStyle name="Normal 4 2 2 3 2 2 2 2 3" xfId="5133" xr:uid="{00000000-0005-0000-0000-0000FA110000}"/>
    <cellStyle name="Normal 4 2 2 3 2 2 2 2 3 2" xfId="22024" xr:uid="{85387F19-0BEE-451B-A362-88A44AF5524A}"/>
    <cellStyle name="Normal 4 2 2 3 2 2 2 2 3 3" xfId="13583" xr:uid="{F462B740-1043-4416-9FCD-7D2DB36B0AD9}"/>
    <cellStyle name="Normal 4 2 2 3 2 2 2 2 4" xfId="17806" xr:uid="{ACE21E09-2F8B-460E-83C7-ECCA2A204F12}"/>
    <cellStyle name="Normal 4 2 2 3 2 2 2 2 5" xfId="9365" xr:uid="{0E7BF1DE-6E77-41B0-9AD7-20D0F71119C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24582" xr:uid="{88646703-DFBD-4150-B6EC-6B4D47F5F7A4}"/>
    <cellStyle name="Normal 4 2 2 3 2 2 2 3 2 2 3" xfId="16141" xr:uid="{524A3AAE-BD03-4A7B-8471-A42CE01A4199}"/>
    <cellStyle name="Normal 4 2 2 3 2 2 2 3 2 3" xfId="20364" xr:uid="{3A1BDD4B-5DAD-4958-8674-846F17BE74E8}"/>
    <cellStyle name="Normal 4 2 2 3 2 2 2 3 2 4" xfId="11923" xr:uid="{5DCA48C4-2449-4074-9905-19641EB676B1}"/>
    <cellStyle name="Normal 4 2 2 3 2 2 2 3 3" xfId="5546" xr:uid="{00000000-0005-0000-0000-0000FE110000}"/>
    <cellStyle name="Normal 4 2 2 3 2 2 2 3 3 2" xfId="22437" xr:uid="{1115060D-BB46-46C0-895A-455B90A46CC2}"/>
    <cellStyle name="Normal 4 2 2 3 2 2 2 3 3 3" xfId="13996" xr:uid="{8AADE77E-CEFA-4C95-A783-8AAF80646F1D}"/>
    <cellStyle name="Normal 4 2 2 3 2 2 2 3 4" xfId="18219" xr:uid="{8708512E-656E-47EC-97CF-8D514D9EFC32}"/>
    <cellStyle name="Normal 4 2 2 3 2 2 2 3 5" xfId="9778" xr:uid="{ED83C5B2-6C7B-4DF3-8D24-892B9BDE84B4}"/>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24995" xr:uid="{82E3D33F-F1A3-423E-8B13-713914D9EA0A}"/>
    <cellStyle name="Normal 4 2 2 3 2 2 2 4 2 2 3" xfId="16554" xr:uid="{BFA72004-9A5F-42F9-BBF2-76863310ED2A}"/>
    <cellStyle name="Normal 4 2 2 3 2 2 2 4 2 3" xfId="20777" xr:uid="{2B742BFC-D1FA-43F4-B510-B89089294219}"/>
    <cellStyle name="Normal 4 2 2 3 2 2 2 4 2 4" xfId="12336" xr:uid="{4C48D4AF-85E9-4050-9FA1-E27E9C1518E5}"/>
    <cellStyle name="Normal 4 2 2 3 2 2 2 4 3" xfId="5959" xr:uid="{00000000-0005-0000-0000-000002120000}"/>
    <cellStyle name="Normal 4 2 2 3 2 2 2 4 3 2" xfId="22850" xr:uid="{5E13C5EE-67AB-4538-AC5D-18584386CE03}"/>
    <cellStyle name="Normal 4 2 2 3 2 2 2 4 3 3" xfId="14409" xr:uid="{7944A326-3B55-45AF-9406-7278D69D3A5D}"/>
    <cellStyle name="Normal 4 2 2 3 2 2 2 4 4" xfId="18632" xr:uid="{5C4537FE-6B93-4046-9E82-800ED3484BB7}"/>
    <cellStyle name="Normal 4 2 2 3 2 2 2 4 5" xfId="10191" xr:uid="{B7E52218-D31B-491F-A20D-2B6C04CD032D}"/>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25408" xr:uid="{7ADF5015-AA35-4A7A-BF12-7914CC888037}"/>
    <cellStyle name="Normal 4 2 2 3 2 2 2 5 2 2 3" xfId="16967" xr:uid="{6AAE27BF-A2C6-4101-95C1-99CCB02DDB6C}"/>
    <cellStyle name="Normal 4 2 2 3 2 2 2 5 2 3" xfId="21190" xr:uid="{C8538002-35CD-43EA-A38F-D8D86744EFE3}"/>
    <cellStyle name="Normal 4 2 2 3 2 2 2 5 2 4" xfId="12749" xr:uid="{F0626906-30FC-448E-95A5-7BB9E7A2CA4E}"/>
    <cellStyle name="Normal 4 2 2 3 2 2 2 5 3" xfId="6372" xr:uid="{00000000-0005-0000-0000-000006120000}"/>
    <cellStyle name="Normal 4 2 2 3 2 2 2 5 3 2" xfId="23263" xr:uid="{7A57FA82-7DEC-490E-B173-28E5022CEEB0}"/>
    <cellStyle name="Normal 4 2 2 3 2 2 2 5 3 3" xfId="14822" xr:uid="{0A3EFF31-5FF6-42B4-909A-D26AAEB9A653}"/>
    <cellStyle name="Normal 4 2 2 3 2 2 2 5 4" xfId="19045" xr:uid="{990C3E1C-AC81-4EDB-906D-D0AD3ED2B006}"/>
    <cellStyle name="Normal 4 2 2 3 2 2 2 5 5" xfId="10604" xr:uid="{6456E978-C65A-4B6A-B915-E68FD7A047F7}"/>
    <cellStyle name="Normal 4 2 2 3 2 2 2 6" xfId="2502" xr:uid="{00000000-0005-0000-0000-000007120000}"/>
    <cellStyle name="Normal 4 2 2 3 2 2 2 6 2" xfId="6785" xr:uid="{00000000-0005-0000-0000-000008120000}"/>
    <cellStyle name="Normal 4 2 2 3 2 2 2 6 2 2" xfId="23676" xr:uid="{325BF71E-C300-49E3-8A0D-139F4BB88075}"/>
    <cellStyle name="Normal 4 2 2 3 2 2 2 6 2 3" xfId="15235" xr:uid="{D5FF6363-2CBB-4228-9DA1-262FFAFB0E00}"/>
    <cellStyle name="Normal 4 2 2 3 2 2 2 6 3" xfId="19458" xr:uid="{2B529F52-415B-40F6-8BE1-C3471CBE29BA}"/>
    <cellStyle name="Normal 4 2 2 3 2 2 2 6 4" xfId="11017" xr:uid="{9B9809F6-EC90-424F-87EA-F37277C9AE8A}"/>
    <cellStyle name="Normal 4 2 2 3 2 2 2 7" xfId="4720" xr:uid="{00000000-0005-0000-0000-000009120000}"/>
    <cellStyle name="Normal 4 2 2 3 2 2 2 7 2" xfId="21611" xr:uid="{CDE95DD8-E147-44C5-8646-8D1FAA98D369}"/>
    <cellStyle name="Normal 4 2 2 3 2 2 2 7 3" xfId="13170" xr:uid="{0273A82C-56F7-433E-9FC7-EB42B2698A67}"/>
    <cellStyle name="Normal 4 2 2 3 2 2 2 8" xfId="17393" xr:uid="{EA7DFFF0-3B1A-45FC-9978-2F0DA178CED4}"/>
    <cellStyle name="Normal 4 2 2 3 2 2 2 9" xfId="8952" xr:uid="{E2C14D7E-3744-4F5D-A1B4-414070FB3315}"/>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24168" xr:uid="{82D28837-CA3E-4C43-86CE-F7773F6F3F85}"/>
    <cellStyle name="Normal 4 2 2 3 2 2 3 2 2 3" xfId="15727" xr:uid="{0FE030C5-198D-4F7C-959E-A871F3F0DDA3}"/>
    <cellStyle name="Normal 4 2 2 3 2 2 3 2 3" xfId="19950" xr:uid="{5EE28343-A5FC-4C51-B3E7-56ABE05D14EF}"/>
    <cellStyle name="Normal 4 2 2 3 2 2 3 2 4" xfId="11509" xr:uid="{0EC3A50E-8C94-4717-8A3A-C03A46191B2E}"/>
    <cellStyle name="Normal 4 2 2 3 2 2 3 3" xfId="5132" xr:uid="{00000000-0005-0000-0000-00000D120000}"/>
    <cellStyle name="Normal 4 2 2 3 2 2 3 3 2" xfId="22023" xr:uid="{E793A884-2889-4E69-BBD3-804D9288D54E}"/>
    <cellStyle name="Normal 4 2 2 3 2 2 3 3 3" xfId="13582" xr:uid="{7FD4EC4A-B67B-4B0D-9B97-7198A3671FD4}"/>
    <cellStyle name="Normal 4 2 2 3 2 2 3 4" xfId="17805" xr:uid="{9BDB3C6E-70F3-491D-87B8-1FA3F61F9E85}"/>
    <cellStyle name="Normal 4 2 2 3 2 2 3 5" xfId="9364" xr:uid="{664FE1CC-AD78-4A59-BE51-B431FEE65384}"/>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24581" xr:uid="{551FE60A-FAD0-480D-A0CE-304C407AEB85}"/>
    <cellStyle name="Normal 4 2 2 3 2 2 4 2 2 3" xfId="16140" xr:uid="{04FD0365-D82C-4431-8694-6C53A3628A29}"/>
    <cellStyle name="Normal 4 2 2 3 2 2 4 2 3" xfId="20363" xr:uid="{2B5F11DD-1450-4678-815C-B4517950DC7F}"/>
    <cellStyle name="Normal 4 2 2 3 2 2 4 2 4" xfId="11922" xr:uid="{A0B3E3C1-710C-4BA5-994D-D13B99BD4CAA}"/>
    <cellStyle name="Normal 4 2 2 3 2 2 4 3" xfId="5545" xr:uid="{00000000-0005-0000-0000-000011120000}"/>
    <cellStyle name="Normal 4 2 2 3 2 2 4 3 2" xfId="22436" xr:uid="{EBF6B993-388E-417A-9E9B-95A8F63CB2DE}"/>
    <cellStyle name="Normal 4 2 2 3 2 2 4 3 3" xfId="13995" xr:uid="{34CBA491-5854-429B-BC74-910B1B73A714}"/>
    <cellStyle name="Normal 4 2 2 3 2 2 4 4" xfId="18218" xr:uid="{93ABD988-9FA0-43DE-B611-BBB451DD18D2}"/>
    <cellStyle name="Normal 4 2 2 3 2 2 4 5" xfId="9777" xr:uid="{3BD0C8B7-B7D9-4D9E-8B3E-2A3AAB4A26D8}"/>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24994" xr:uid="{0F2A45BD-D2F7-4A79-8E03-CA1AC1E0CDDB}"/>
    <cellStyle name="Normal 4 2 2 3 2 2 5 2 2 3" xfId="16553" xr:uid="{CDCCD9DC-9E10-4E9F-AA99-0619AA9C9A37}"/>
    <cellStyle name="Normal 4 2 2 3 2 2 5 2 3" xfId="20776" xr:uid="{2ACD89B4-4AFA-4E49-B46A-A120818B65DA}"/>
    <cellStyle name="Normal 4 2 2 3 2 2 5 2 4" xfId="12335" xr:uid="{8ADCA113-4110-4AA1-BAB0-B3EA28629814}"/>
    <cellStyle name="Normal 4 2 2 3 2 2 5 3" xfId="5958" xr:uid="{00000000-0005-0000-0000-000015120000}"/>
    <cellStyle name="Normal 4 2 2 3 2 2 5 3 2" xfId="22849" xr:uid="{B91B3836-21A8-499B-ADF1-5AADEB1EC311}"/>
    <cellStyle name="Normal 4 2 2 3 2 2 5 3 3" xfId="14408" xr:uid="{1B8F0AB8-9B92-4996-963D-0B488A2C396F}"/>
    <cellStyle name="Normal 4 2 2 3 2 2 5 4" xfId="18631" xr:uid="{5FF5C824-F4A7-4176-9EC4-11015ECB7775}"/>
    <cellStyle name="Normal 4 2 2 3 2 2 5 5" xfId="10190" xr:uid="{FAB58123-CF6E-447A-B297-DF333106266D}"/>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25407" xr:uid="{223F0F48-386A-455F-B6F3-8F20D3E24E71}"/>
    <cellStyle name="Normal 4 2 2 3 2 2 6 2 2 3" xfId="16966" xr:uid="{A6C80EC5-3F0D-4B07-B5FF-5FAB9BDF75B4}"/>
    <cellStyle name="Normal 4 2 2 3 2 2 6 2 3" xfId="21189" xr:uid="{C2CD3A0C-C45A-44AA-A4E2-728DA38D996C}"/>
    <cellStyle name="Normal 4 2 2 3 2 2 6 2 4" xfId="12748" xr:uid="{E0712D83-E750-4B44-955F-BD2F0F9190E9}"/>
    <cellStyle name="Normal 4 2 2 3 2 2 6 3" xfId="6371" xr:uid="{00000000-0005-0000-0000-000019120000}"/>
    <cellStyle name="Normal 4 2 2 3 2 2 6 3 2" xfId="23262" xr:uid="{0C34684B-DD32-42B6-8EDF-8A80051100BA}"/>
    <cellStyle name="Normal 4 2 2 3 2 2 6 3 3" xfId="14821" xr:uid="{E39BDB5E-3619-460A-A4A7-568BD2E8E3F1}"/>
    <cellStyle name="Normal 4 2 2 3 2 2 6 4" xfId="19044" xr:uid="{5A62C233-97BB-400F-960C-774508BF661B}"/>
    <cellStyle name="Normal 4 2 2 3 2 2 6 5" xfId="10603" xr:uid="{0D2FDE9E-6ED7-412E-A66C-5FC96DBB1E74}"/>
    <cellStyle name="Normal 4 2 2 3 2 2 7" xfId="2501" xr:uid="{00000000-0005-0000-0000-00001A120000}"/>
    <cellStyle name="Normal 4 2 2 3 2 2 7 2" xfId="6784" xr:uid="{00000000-0005-0000-0000-00001B120000}"/>
    <cellStyle name="Normal 4 2 2 3 2 2 7 2 2" xfId="23675" xr:uid="{0C0F0A03-856C-4789-9B49-DC00636CC6F2}"/>
    <cellStyle name="Normal 4 2 2 3 2 2 7 2 3" xfId="15234" xr:uid="{3D4E69CB-DEA9-419A-B3D4-B1D189467D60}"/>
    <cellStyle name="Normal 4 2 2 3 2 2 7 3" xfId="19457" xr:uid="{9029A81A-B18D-47DE-ADD5-49D9C4F09247}"/>
    <cellStyle name="Normal 4 2 2 3 2 2 7 4" xfId="11016" xr:uid="{F1A78687-6511-4570-A8AC-A38D82355ECC}"/>
    <cellStyle name="Normal 4 2 2 3 2 2 8" xfId="4719" xr:uid="{00000000-0005-0000-0000-00001C120000}"/>
    <cellStyle name="Normal 4 2 2 3 2 2 8 2" xfId="21610" xr:uid="{E7188B53-06D1-490F-9D97-DCC09922162B}"/>
    <cellStyle name="Normal 4 2 2 3 2 2 8 3" xfId="13169" xr:uid="{2578D1F7-28A5-4C3E-B935-2F7C584E7C0D}"/>
    <cellStyle name="Normal 4 2 2 3 2 2 9" xfId="17392" xr:uid="{9AF548C7-4F9A-491D-8D1A-738BAA3F0892}"/>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24170" xr:uid="{D839EEAA-8B5A-434E-A46F-9450A4C6E6D9}"/>
    <cellStyle name="Normal 4 2 2 3 2 3 2 2 2 3" xfId="15729" xr:uid="{886C43A0-E83A-42BB-BEFE-9947B885AE0A}"/>
    <cellStyle name="Normal 4 2 2 3 2 3 2 2 3" xfId="19952" xr:uid="{C6CEBF87-8CEA-4C72-8E35-7C7FA191D72D}"/>
    <cellStyle name="Normal 4 2 2 3 2 3 2 2 4" xfId="11511" xr:uid="{E8291AEB-7F8C-41DD-97D5-D95173C8C6D6}"/>
    <cellStyle name="Normal 4 2 2 3 2 3 2 3" xfId="5134" xr:uid="{00000000-0005-0000-0000-000021120000}"/>
    <cellStyle name="Normal 4 2 2 3 2 3 2 3 2" xfId="22025" xr:uid="{D6F0E3A0-6D27-4DAD-A2AF-B9DDF60761D2}"/>
    <cellStyle name="Normal 4 2 2 3 2 3 2 3 3" xfId="13584" xr:uid="{0CF42D52-AA51-4AAD-B189-99357D3CF5CF}"/>
    <cellStyle name="Normal 4 2 2 3 2 3 2 4" xfId="17807" xr:uid="{0E6574C8-3971-47C0-AFA8-B297CCBAB7EB}"/>
    <cellStyle name="Normal 4 2 2 3 2 3 2 5" xfId="9366" xr:uid="{F6CFECC6-7894-4316-89AD-4A90F4F4CBB4}"/>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24583" xr:uid="{4DE35C56-01C2-4943-8CD1-611ACB871B5C}"/>
    <cellStyle name="Normal 4 2 2 3 2 3 3 2 2 3" xfId="16142" xr:uid="{F0C2E88E-B3D2-47DF-92EF-457FCF605140}"/>
    <cellStyle name="Normal 4 2 2 3 2 3 3 2 3" xfId="20365" xr:uid="{AAF961A5-46ED-4692-905D-5C1C02B5F6BF}"/>
    <cellStyle name="Normal 4 2 2 3 2 3 3 2 4" xfId="11924" xr:uid="{D483CB5C-D87E-49CC-8CC7-5962AD5FBA6E}"/>
    <cellStyle name="Normal 4 2 2 3 2 3 3 3" xfId="5547" xr:uid="{00000000-0005-0000-0000-000025120000}"/>
    <cellStyle name="Normal 4 2 2 3 2 3 3 3 2" xfId="22438" xr:uid="{4BC46A07-B5C3-4946-BA54-59F3DE165EA0}"/>
    <cellStyle name="Normal 4 2 2 3 2 3 3 3 3" xfId="13997" xr:uid="{2CF29F33-435B-45C3-9ABC-09AE2813EE12}"/>
    <cellStyle name="Normal 4 2 2 3 2 3 3 4" xfId="18220" xr:uid="{71E180DB-4666-4C61-8060-5C696ADC54CC}"/>
    <cellStyle name="Normal 4 2 2 3 2 3 3 5" xfId="9779" xr:uid="{6BE33E28-0637-4FD4-8953-F278E8120124}"/>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24996" xr:uid="{A4D5C890-7485-480F-8389-9C8E0960A22E}"/>
    <cellStyle name="Normal 4 2 2 3 2 3 4 2 2 3" xfId="16555" xr:uid="{5902CC81-AA5D-430C-9414-D3789958346E}"/>
    <cellStyle name="Normal 4 2 2 3 2 3 4 2 3" xfId="20778" xr:uid="{AB5DB920-BCC7-4A9D-A4BE-0995152423D8}"/>
    <cellStyle name="Normal 4 2 2 3 2 3 4 2 4" xfId="12337" xr:uid="{1CED5DCA-1196-4F88-A60E-85549C05F506}"/>
    <cellStyle name="Normal 4 2 2 3 2 3 4 3" xfId="5960" xr:uid="{00000000-0005-0000-0000-000029120000}"/>
    <cellStyle name="Normal 4 2 2 3 2 3 4 3 2" xfId="22851" xr:uid="{23A0A8C3-70E3-49D3-9E82-F65F12564C62}"/>
    <cellStyle name="Normal 4 2 2 3 2 3 4 3 3" xfId="14410" xr:uid="{098BEC4A-FF15-44D8-BCC4-14511EF810FF}"/>
    <cellStyle name="Normal 4 2 2 3 2 3 4 4" xfId="18633" xr:uid="{348B9C38-ADB1-4FDD-B486-638A6B9C4313}"/>
    <cellStyle name="Normal 4 2 2 3 2 3 4 5" xfId="10192" xr:uid="{FA168657-02FA-4FE5-A2DA-C845FFD7FD84}"/>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25409" xr:uid="{FC0BE091-9842-4F52-88B1-3F62D7E7ECF8}"/>
    <cellStyle name="Normal 4 2 2 3 2 3 5 2 2 3" xfId="16968" xr:uid="{EB706D80-469B-4378-A541-AE57D8A442BF}"/>
    <cellStyle name="Normal 4 2 2 3 2 3 5 2 3" xfId="21191" xr:uid="{85374986-B973-4D36-B8E6-1DE8CB16FD79}"/>
    <cellStyle name="Normal 4 2 2 3 2 3 5 2 4" xfId="12750" xr:uid="{3830233F-BB06-498A-81EE-45CA3F50AF9C}"/>
    <cellStyle name="Normal 4 2 2 3 2 3 5 3" xfId="6373" xr:uid="{00000000-0005-0000-0000-00002D120000}"/>
    <cellStyle name="Normal 4 2 2 3 2 3 5 3 2" xfId="23264" xr:uid="{E37E9106-1D5E-4972-96F4-0CBA9DF2994F}"/>
    <cellStyle name="Normal 4 2 2 3 2 3 5 3 3" xfId="14823" xr:uid="{87C1CB5B-1498-43BA-BA30-E3C9892B2F50}"/>
    <cellStyle name="Normal 4 2 2 3 2 3 5 4" xfId="19046" xr:uid="{006D260E-64A8-4D8C-86E9-CB563104A477}"/>
    <cellStyle name="Normal 4 2 2 3 2 3 5 5" xfId="10605" xr:uid="{10055EB8-D151-4E65-A0E6-ADF1DA7D3589}"/>
    <cellStyle name="Normal 4 2 2 3 2 3 6" xfId="2503" xr:uid="{00000000-0005-0000-0000-00002E120000}"/>
    <cellStyle name="Normal 4 2 2 3 2 3 6 2" xfId="6786" xr:uid="{00000000-0005-0000-0000-00002F120000}"/>
    <cellStyle name="Normal 4 2 2 3 2 3 6 2 2" xfId="23677" xr:uid="{2E476C05-8E84-4C85-A1ED-E1E10C30EDCA}"/>
    <cellStyle name="Normal 4 2 2 3 2 3 6 2 3" xfId="15236" xr:uid="{B7E8F7CF-6E7A-4211-96AD-97C22D2A39EC}"/>
    <cellStyle name="Normal 4 2 2 3 2 3 6 3" xfId="19459" xr:uid="{B938DDA5-F927-454B-B8DE-BB0D724BF138}"/>
    <cellStyle name="Normal 4 2 2 3 2 3 6 4" xfId="11018" xr:uid="{26FCC2DA-B501-4B82-9C59-C29D6DF65D44}"/>
    <cellStyle name="Normal 4 2 2 3 2 3 7" xfId="4721" xr:uid="{00000000-0005-0000-0000-000030120000}"/>
    <cellStyle name="Normal 4 2 2 3 2 3 7 2" xfId="21612" xr:uid="{E9696F0B-A446-4380-BE6E-BB0CE4AA7252}"/>
    <cellStyle name="Normal 4 2 2 3 2 3 7 3" xfId="13171" xr:uid="{426B8EFF-E2B0-4501-8F8D-51B274C7DDAD}"/>
    <cellStyle name="Normal 4 2 2 3 2 3 8" xfId="17394" xr:uid="{20DB1A2D-9687-4A3E-AE4A-1A70DF2A43FB}"/>
    <cellStyle name="Normal 4 2 2 3 2 3 9" xfId="8953" xr:uid="{FA2B2239-CF94-4F4E-8B88-2A95D21F6E17}"/>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24167" xr:uid="{10B28B8D-300F-485B-AC37-B4577EC6C276}"/>
    <cellStyle name="Normal 4 2 2 3 2 4 2 2 3" xfId="15726" xr:uid="{CD1254C7-921D-4026-9463-8B7A774A0B11}"/>
    <cellStyle name="Normal 4 2 2 3 2 4 2 3" xfId="19949" xr:uid="{0D1D6AAC-87B6-4507-8E2A-43417634EF82}"/>
    <cellStyle name="Normal 4 2 2 3 2 4 2 4" xfId="11508" xr:uid="{B8CA4170-8F94-435B-AA78-714A2D901A0A}"/>
    <cellStyle name="Normal 4 2 2 3 2 4 3" xfId="5131" xr:uid="{00000000-0005-0000-0000-000034120000}"/>
    <cellStyle name="Normal 4 2 2 3 2 4 3 2" xfId="22022" xr:uid="{9B3B77D0-B8B0-4876-8B43-D472CCE0FC8A}"/>
    <cellStyle name="Normal 4 2 2 3 2 4 3 3" xfId="13581" xr:uid="{582F896B-7840-4E31-949B-296E61FEA28A}"/>
    <cellStyle name="Normal 4 2 2 3 2 4 4" xfId="17804" xr:uid="{5FE7A4FE-C0E7-439D-AB69-F464227EE00B}"/>
    <cellStyle name="Normal 4 2 2 3 2 4 5" xfId="9363" xr:uid="{12C2740D-8CD0-4CB4-8F9E-90972F448C71}"/>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24580" xr:uid="{96F6A92E-7A5E-4033-8873-67129BFF724F}"/>
    <cellStyle name="Normal 4 2 2 3 2 5 2 2 3" xfId="16139" xr:uid="{2DE101FC-9932-4651-A185-B543DA27605F}"/>
    <cellStyle name="Normal 4 2 2 3 2 5 2 3" xfId="20362" xr:uid="{8FCA0CD9-7114-429D-82FE-0BF7C8D4BD5C}"/>
    <cellStyle name="Normal 4 2 2 3 2 5 2 4" xfId="11921" xr:uid="{310ABAF4-24C2-4AB7-A9D2-D4EB6F4CB0D0}"/>
    <cellStyle name="Normal 4 2 2 3 2 5 3" xfId="5544" xr:uid="{00000000-0005-0000-0000-000038120000}"/>
    <cellStyle name="Normal 4 2 2 3 2 5 3 2" xfId="22435" xr:uid="{4DA9F965-2D92-4655-B1D4-9C3136A68FF5}"/>
    <cellStyle name="Normal 4 2 2 3 2 5 3 3" xfId="13994" xr:uid="{5BDDE71E-B9BA-47D0-8802-444BDDDEA56D}"/>
    <cellStyle name="Normal 4 2 2 3 2 5 4" xfId="18217" xr:uid="{5721DF53-DA4D-4770-8104-36C802741B55}"/>
    <cellStyle name="Normal 4 2 2 3 2 5 5" xfId="9776" xr:uid="{A12A9FA3-866A-4D4F-9C69-811CD2777CAE}"/>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24993" xr:uid="{F4403063-5AFE-458F-AA69-FB64C0DD6822}"/>
    <cellStyle name="Normal 4 2 2 3 2 6 2 2 3" xfId="16552" xr:uid="{6F47CD48-1A87-447D-BAA3-2C6A88825F52}"/>
    <cellStyle name="Normal 4 2 2 3 2 6 2 3" xfId="20775" xr:uid="{B0F7D593-0D29-46C1-8480-6A97DE9E5FE0}"/>
    <cellStyle name="Normal 4 2 2 3 2 6 2 4" xfId="12334" xr:uid="{DF3B523A-3CB1-49FF-BCB9-E364474D9EA7}"/>
    <cellStyle name="Normal 4 2 2 3 2 6 3" xfId="5957" xr:uid="{00000000-0005-0000-0000-00003C120000}"/>
    <cellStyle name="Normal 4 2 2 3 2 6 3 2" xfId="22848" xr:uid="{0010FE56-490A-4AD7-9C18-97F0C6CEAD6B}"/>
    <cellStyle name="Normal 4 2 2 3 2 6 3 3" xfId="14407" xr:uid="{BBEC2333-0406-4806-B174-0D5D50295A28}"/>
    <cellStyle name="Normal 4 2 2 3 2 6 4" xfId="18630" xr:uid="{27505343-3BAD-4892-A905-35726F786989}"/>
    <cellStyle name="Normal 4 2 2 3 2 6 5" xfId="10189" xr:uid="{D2208A49-C2F6-4B2E-A08E-7DFDE752E843}"/>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25406" xr:uid="{15FA593B-E42C-4974-9AB5-B160A16529A6}"/>
    <cellStyle name="Normal 4 2 2 3 2 7 2 2 3" xfId="16965" xr:uid="{B9C2B6B4-8821-4871-811F-794616821C5F}"/>
    <cellStyle name="Normal 4 2 2 3 2 7 2 3" xfId="21188" xr:uid="{17D5ACE8-A85C-4EB7-B888-F108FA1A1E0F}"/>
    <cellStyle name="Normal 4 2 2 3 2 7 2 4" xfId="12747" xr:uid="{304857DE-ABD2-44FB-9B19-407A66E2BB7C}"/>
    <cellStyle name="Normal 4 2 2 3 2 7 3" xfId="6370" xr:uid="{00000000-0005-0000-0000-000040120000}"/>
    <cellStyle name="Normal 4 2 2 3 2 7 3 2" xfId="23261" xr:uid="{BA946E05-1DB2-413B-81D7-FADB40400816}"/>
    <cellStyle name="Normal 4 2 2 3 2 7 3 3" xfId="14820" xr:uid="{EB4C72AF-022C-4ADA-A2CD-AC53859471DA}"/>
    <cellStyle name="Normal 4 2 2 3 2 7 4" xfId="19043" xr:uid="{CDC4010F-CDDE-466C-96CB-A296DA9A59E4}"/>
    <cellStyle name="Normal 4 2 2 3 2 7 5" xfId="10602" xr:uid="{E382A615-5D69-408E-9071-44EF8E5EE6E1}"/>
    <cellStyle name="Normal 4 2 2 3 2 8" xfId="2500" xr:uid="{00000000-0005-0000-0000-000041120000}"/>
    <cellStyle name="Normal 4 2 2 3 2 8 2" xfId="6783" xr:uid="{00000000-0005-0000-0000-000042120000}"/>
    <cellStyle name="Normal 4 2 2 3 2 8 2 2" xfId="23674" xr:uid="{A1F9B2F1-2931-4ADB-B327-F793229FF10C}"/>
    <cellStyle name="Normal 4 2 2 3 2 8 2 3" xfId="15233" xr:uid="{A343F345-E7FF-4DA1-B05A-46C9D8A22379}"/>
    <cellStyle name="Normal 4 2 2 3 2 8 3" xfId="19456" xr:uid="{C9FFFD7C-9C4A-4F03-A193-29EA6503DC60}"/>
    <cellStyle name="Normal 4 2 2 3 2 8 4" xfId="11015" xr:uid="{65F2504C-01F6-481D-B11A-7A900C09BAE1}"/>
    <cellStyle name="Normal 4 2 2 3 2 9" xfId="4718" xr:uid="{00000000-0005-0000-0000-000043120000}"/>
    <cellStyle name="Normal 4 2 2 3 2 9 2" xfId="21609" xr:uid="{47B5063D-2E07-4C7A-A5F3-474D908870DC}"/>
    <cellStyle name="Normal 4 2 2 3 2 9 3" xfId="13168" xr:uid="{51AE163F-1DA7-4553-93F2-88D4066148FD}"/>
    <cellStyle name="Normal 4 2 2 3 3" xfId="344" xr:uid="{00000000-0005-0000-0000-000044120000}"/>
    <cellStyle name="Normal 4 2 2 3 3 10" xfId="8954" xr:uid="{89EA6B1A-A0A1-4E55-9227-4FA4CB9B21C7}"/>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24172" xr:uid="{747DDE98-E929-4F23-B8BA-C7FB18ACF6FE}"/>
    <cellStyle name="Normal 4 2 2 3 3 2 2 2 2 3" xfId="15731" xr:uid="{C9FBBCAE-A327-4DC4-8FEB-6ECC71DFD8A4}"/>
    <cellStyle name="Normal 4 2 2 3 3 2 2 2 3" xfId="19954" xr:uid="{5DBF58D0-6A98-43AD-BD2C-C5C0F83F0878}"/>
    <cellStyle name="Normal 4 2 2 3 3 2 2 2 4" xfId="11513" xr:uid="{B9536475-6FAB-4FA9-86D0-E8CBBC160933}"/>
    <cellStyle name="Normal 4 2 2 3 3 2 2 3" xfId="5136" xr:uid="{00000000-0005-0000-0000-000049120000}"/>
    <cellStyle name="Normal 4 2 2 3 3 2 2 3 2" xfId="22027" xr:uid="{2DBE67D9-883A-47C0-B8E3-9F7C898F3589}"/>
    <cellStyle name="Normal 4 2 2 3 3 2 2 3 3" xfId="13586" xr:uid="{54F0A15D-DCD0-4AAA-84E9-961062A26105}"/>
    <cellStyle name="Normal 4 2 2 3 3 2 2 4" xfId="17809" xr:uid="{5F923D32-D627-4669-91B1-30949185738F}"/>
    <cellStyle name="Normal 4 2 2 3 3 2 2 5" xfId="9368" xr:uid="{D8EE04E6-A69B-4A8C-93FA-295CC9225941}"/>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24585" xr:uid="{58FEF69C-FD8F-48C8-A2C7-F95251374412}"/>
    <cellStyle name="Normal 4 2 2 3 3 2 3 2 2 3" xfId="16144" xr:uid="{89F1A939-66C7-4C65-9A5D-1DB59099B62B}"/>
    <cellStyle name="Normal 4 2 2 3 3 2 3 2 3" xfId="20367" xr:uid="{DA0A5896-540A-4F9B-919E-DCFF927CD115}"/>
    <cellStyle name="Normal 4 2 2 3 3 2 3 2 4" xfId="11926" xr:uid="{03C2E770-6CD0-4885-84D4-652415973F8D}"/>
    <cellStyle name="Normal 4 2 2 3 3 2 3 3" xfId="5549" xr:uid="{00000000-0005-0000-0000-00004D120000}"/>
    <cellStyle name="Normal 4 2 2 3 3 2 3 3 2" xfId="22440" xr:uid="{D200A9A9-2A58-46AD-B52B-BE07FEF86D81}"/>
    <cellStyle name="Normal 4 2 2 3 3 2 3 3 3" xfId="13999" xr:uid="{5D1FB66C-3390-4EF6-9A08-4B18A3128834}"/>
    <cellStyle name="Normal 4 2 2 3 3 2 3 4" xfId="18222" xr:uid="{7F694467-0D71-48F0-9B79-F7382357BBAC}"/>
    <cellStyle name="Normal 4 2 2 3 3 2 3 5" xfId="9781" xr:uid="{D129C866-3AF2-4792-BEBD-FFBC8908457D}"/>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24998" xr:uid="{DC06FC12-9565-41DB-A3A5-93B3DE899336}"/>
    <cellStyle name="Normal 4 2 2 3 3 2 4 2 2 3" xfId="16557" xr:uid="{95D7C5B4-350D-4A54-9959-F9B17A430C63}"/>
    <cellStyle name="Normal 4 2 2 3 3 2 4 2 3" xfId="20780" xr:uid="{9F39C03F-2023-4FCF-AB2F-E4E4C66D0FF3}"/>
    <cellStyle name="Normal 4 2 2 3 3 2 4 2 4" xfId="12339" xr:uid="{2A6B0830-2D5F-49B2-9D67-3FCD4A6887F9}"/>
    <cellStyle name="Normal 4 2 2 3 3 2 4 3" xfId="5962" xr:uid="{00000000-0005-0000-0000-000051120000}"/>
    <cellStyle name="Normal 4 2 2 3 3 2 4 3 2" xfId="22853" xr:uid="{6ACEC156-CD9E-4CAB-B1D9-96FDB1848978}"/>
    <cellStyle name="Normal 4 2 2 3 3 2 4 3 3" xfId="14412" xr:uid="{DAF2C980-248D-451C-8F68-97B4FE6CB936}"/>
    <cellStyle name="Normal 4 2 2 3 3 2 4 4" xfId="18635" xr:uid="{3A110BCD-009B-46D5-AEF5-389994A978F7}"/>
    <cellStyle name="Normal 4 2 2 3 3 2 4 5" xfId="10194" xr:uid="{06997EF2-ED55-4716-8B6A-8F9C157E7F2A}"/>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25411" xr:uid="{A98FEC99-5365-4ACF-A9C6-B467F6C417D0}"/>
    <cellStyle name="Normal 4 2 2 3 3 2 5 2 2 3" xfId="16970" xr:uid="{605399F5-000C-4429-BE21-321B775775A8}"/>
    <cellStyle name="Normal 4 2 2 3 3 2 5 2 3" xfId="21193" xr:uid="{9A08AA2F-6B5D-4815-88DD-C90E759E7521}"/>
    <cellStyle name="Normal 4 2 2 3 3 2 5 2 4" xfId="12752" xr:uid="{13E9A90B-5910-4500-A5F4-F89BC5C120F7}"/>
    <cellStyle name="Normal 4 2 2 3 3 2 5 3" xfId="6375" xr:uid="{00000000-0005-0000-0000-000055120000}"/>
    <cellStyle name="Normal 4 2 2 3 3 2 5 3 2" xfId="23266" xr:uid="{8CBB5C43-CECF-42B0-905E-6F0021819481}"/>
    <cellStyle name="Normal 4 2 2 3 3 2 5 3 3" xfId="14825" xr:uid="{30BF58C2-03F0-4C86-A7F3-02081BD975D3}"/>
    <cellStyle name="Normal 4 2 2 3 3 2 5 4" xfId="19048" xr:uid="{369FAA2D-FDF0-4660-BBB2-7F8EE9D35831}"/>
    <cellStyle name="Normal 4 2 2 3 3 2 5 5" xfId="10607" xr:uid="{7B910057-42B4-4C7A-9371-E56E14D0F3FC}"/>
    <cellStyle name="Normal 4 2 2 3 3 2 6" xfId="2505" xr:uid="{00000000-0005-0000-0000-000056120000}"/>
    <cellStyle name="Normal 4 2 2 3 3 2 6 2" xfId="6788" xr:uid="{00000000-0005-0000-0000-000057120000}"/>
    <cellStyle name="Normal 4 2 2 3 3 2 6 2 2" xfId="23679" xr:uid="{5D65CB3D-8CCC-4CDB-8C35-3FEE5CB01D8D}"/>
    <cellStyle name="Normal 4 2 2 3 3 2 6 2 3" xfId="15238" xr:uid="{1F66840A-5F50-4EFD-82ED-EE8371F0E29B}"/>
    <cellStyle name="Normal 4 2 2 3 3 2 6 3" xfId="19461" xr:uid="{B7DE3771-83AC-41FA-8E18-CE067834BAB6}"/>
    <cellStyle name="Normal 4 2 2 3 3 2 6 4" xfId="11020" xr:uid="{34689636-84CF-4356-BB53-66CBAB8D3402}"/>
    <cellStyle name="Normal 4 2 2 3 3 2 7" xfId="4723" xr:uid="{00000000-0005-0000-0000-000058120000}"/>
    <cellStyle name="Normal 4 2 2 3 3 2 7 2" xfId="21614" xr:uid="{6D01ECF5-79E0-49B4-861B-9DCAA0F07695}"/>
    <cellStyle name="Normal 4 2 2 3 3 2 7 3" xfId="13173" xr:uid="{2A375458-B603-45AC-929E-2401DEB680DA}"/>
    <cellStyle name="Normal 4 2 2 3 3 2 8" xfId="17396" xr:uid="{0702150D-4472-4BAA-9018-FEDBC55F5758}"/>
    <cellStyle name="Normal 4 2 2 3 3 2 9" xfId="8955" xr:uid="{7A819EEE-33C7-4AF0-8CFE-775B568054BE}"/>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24171" xr:uid="{30285086-3AA6-4CE2-96BE-12F9F7A17F4F}"/>
    <cellStyle name="Normal 4 2 2 3 3 3 2 2 3" xfId="15730" xr:uid="{3F81DC81-3BE3-4D85-BEB0-32625E5DDA23}"/>
    <cellStyle name="Normal 4 2 2 3 3 3 2 3" xfId="19953" xr:uid="{F89A3FDF-7F3D-48DF-98B4-DB2D19CF4090}"/>
    <cellStyle name="Normal 4 2 2 3 3 3 2 4" xfId="11512" xr:uid="{1797C18E-710D-428E-9B1A-A891D632390F}"/>
    <cellStyle name="Normal 4 2 2 3 3 3 3" xfId="5135" xr:uid="{00000000-0005-0000-0000-00005C120000}"/>
    <cellStyle name="Normal 4 2 2 3 3 3 3 2" xfId="22026" xr:uid="{E521D958-A389-41B1-ACC5-B058ED8A5363}"/>
    <cellStyle name="Normal 4 2 2 3 3 3 3 3" xfId="13585" xr:uid="{33D76772-BA6F-416C-8754-9D6702E1659B}"/>
    <cellStyle name="Normal 4 2 2 3 3 3 4" xfId="17808" xr:uid="{AC3A5B99-E151-4878-B4EC-1DF00FD95025}"/>
    <cellStyle name="Normal 4 2 2 3 3 3 5" xfId="9367" xr:uid="{03EBB601-7598-4E5D-A99C-BBD36B183A25}"/>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24584" xr:uid="{A0D96B62-A87E-40E3-B1E1-16D37D5D2CC9}"/>
    <cellStyle name="Normal 4 2 2 3 3 4 2 2 3" xfId="16143" xr:uid="{51F383E1-A900-4B38-8C89-A4EC995B890B}"/>
    <cellStyle name="Normal 4 2 2 3 3 4 2 3" xfId="20366" xr:uid="{16294DDB-C3EC-488B-89B6-5F8BE56A49BB}"/>
    <cellStyle name="Normal 4 2 2 3 3 4 2 4" xfId="11925" xr:uid="{B27DEC68-66B0-4C92-9FBA-65696AE9FA87}"/>
    <cellStyle name="Normal 4 2 2 3 3 4 3" xfId="5548" xr:uid="{00000000-0005-0000-0000-000060120000}"/>
    <cellStyle name="Normal 4 2 2 3 3 4 3 2" xfId="22439" xr:uid="{ACB7BFB8-7D4E-4578-85C8-A7291EAD84DE}"/>
    <cellStyle name="Normal 4 2 2 3 3 4 3 3" xfId="13998" xr:uid="{91EDB83C-1B83-4E37-8A88-C42B6260516F}"/>
    <cellStyle name="Normal 4 2 2 3 3 4 4" xfId="18221" xr:uid="{45DC6C80-5751-436E-BC6C-267BE4CEAA10}"/>
    <cellStyle name="Normal 4 2 2 3 3 4 5" xfId="9780" xr:uid="{5BADF273-D4F9-4E96-A1DC-48FED3F2364B}"/>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24997" xr:uid="{A689AAC3-66D2-40B4-A827-3490AC2CB466}"/>
    <cellStyle name="Normal 4 2 2 3 3 5 2 2 3" xfId="16556" xr:uid="{01D98F90-71B4-4EF5-9125-E4B8CC23866A}"/>
    <cellStyle name="Normal 4 2 2 3 3 5 2 3" xfId="20779" xr:uid="{AAC035E8-F437-48FD-9FDF-5C758E48F52F}"/>
    <cellStyle name="Normal 4 2 2 3 3 5 2 4" xfId="12338" xr:uid="{6F9D688D-9499-4822-8C1C-45C43773A87B}"/>
    <cellStyle name="Normal 4 2 2 3 3 5 3" xfId="5961" xr:uid="{00000000-0005-0000-0000-000064120000}"/>
    <cellStyle name="Normal 4 2 2 3 3 5 3 2" xfId="22852" xr:uid="{38151D12-34F8-4986-B99D-18CBC3E6224A}"/>
    <cellStyle name="Normal 4 2 2 3 3 5 3 3" xfId="14411" xr:uid="{27E407D4-3887-4F1A-80CA-984D4685D284}"/>
    <cellStyle name="Normal 4 2 2 3 3 5 4" xfId="18634" xr:uid="{B24E6315-95CD-415C-BEF5-00BF72349CBC}"/>
    <cellStyle name="Normal 4 2 2 3 3 5 5" xfId="10193" xr:uid="{55F54EDA-2B0A-4795-AB13-3231F937BDA2}"/>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25410" xr:uid="{18C9FCF2-231C-4DE4-BBCC-FAE903CE4697}"/>
    <cellStyle name="Normal 4 2 2 3 3 6 2 2 3" xfId="16969" xr:uid="{C7F7AF12-FE4F-42C1-ACD4-EEA8014C757B}"/>
    <cellStyle name="Normal 4 2 2 3 3 6 2 3" xfId="21192" xr:uid="{B929A568-746F-448D-960C-D1F1B65D199F}"/>
    <cellStyle name="Normal 4 2 2 3 3 6 2 4" xfId="12751" xr:uid="{12BFB82D-22D1-486B-9EC9-273E252D0349}"/>
    <cellStyle name="Normal 4 2 2 3 3 6 3" xfId="6374" xr:uid="{00000000-0005-0000-0000-000068120000}"/>
    <cellStyle name="Normal 4 2 2 3 3 6 3 2" xfId="23265" xr:uid="{AC7DC035-16CE-4376-AAF6-F4C7CD126046}"/>
    <cellStyle name="Normal 4 2 2 3 3 6 3 3" xfId="14824" xr:uid="{AD4E1ABE-5F0B-47D2-8214-F7A7A9A7F2C8}"/>
    <cellStyle name="Normal 4 2 2 3 3 6 4" xfId="19047" xr:uid="{3BE16BEE-CB4C-45A8-93E4-25746B346324}"/>
    <cellStyle name="Normal 4 2 2 3 3 6 5" xfId="10606" xr:uid="{CCFD39B6-D80C-4470-B711-A33F104F467D}"/>
    <cellStyle name="Normal 4 2 2 3 3 7" xfId="2504" xr:uid="{00000000-0005-0000-0000-000069120000}"/>
    <cellStyle name="Normal 4 2 2 3 3 7 2" xfId="6787" xr:uid="{00000000-0005-0000-0000-00006A120000}"/>
    <cellStyle name="Normal 4 2 2 3 3 7 2 2" xfId="23678" xr:uid="{C30ABAF2-7CAA-49AF-B50C-FD4C16E6C511}"/>
    <cellStyle name="Normal 4 2 2 3 3 7 2 3" xfId="15237" xr:uid="{C530E55C-8C6A-4885-ABD4-84C51C2721C2}"/>
    <cellStyle name="Normal 4 2 2 3 3 7 3" xfId="19460" xr:uid="{E634960D-DAE7-4829-9B66-A21114743555}"/>
    <cellStyle name="Normal 4 2 2 3 3 7 4" xfId="11019" xr:uid="{AE8ADD93-03EA-448B-A8BD-30B69926C1AC}"/>
    <cellStyle name="Normal 4 2 2 3 3 8" xfId="4722" xr:uid="{00000000-0005-0000-0000-00006B120000}"/>
    <cellStyle name="Normal 4 2 2 3 3 8 2" xfId="21613" xr:uid="{7AF3896C-765A-4F8D-9329-59DE850E173A}"/>
    <cellStyle name="Normal 4 2 2 3 3 8 3" xfId="13172" xr:uid="{3A899B1C-BAD7-4911-963C-3B9FEF04085A}"/>
    <cellStyle name="Normal 4 2 2 3 3 9" xfId="17395" xr:uid="{EF8A6E4F-B36F-42D0-BE7A-1132BE0ACFF4}"/>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24173" xr:uid="{458DEB43-A272-4CD8-B628-7F65BB57DC19}"/>
    <cellStyle name="Normal 4 2 2 3 4 2 2 2 3" xfId="15732" xr:uid="{F5B846CB-1869-478B-8ABB-288EE7FC81D8}"/>
    <cellStyle name="Normal 4 2 2 3 4 2 2 3" xfId="19955" xr:uid="{6769AF2D-8CE3-4267-A7FC-57AA786449C6}"/>
    <cellStyle name="Normal 4 2 2 3 4 2 2 4" xfId="11514" xr:uid="{A67720A4-9CBB-4F0F-BF54-D21A92C033C3}"/>
    <cellStyle name="Normal 4 2 2 3 4 2 3" xfId="5137" xr:uid="{00000000-0005-0000-0000-000070120000}"/>
    <cellStyle name="Normal 4 2 2 3 4 2 3 2" xfId="22028" xr:uid="{64CDB095-53CB-4DAF-B27C-FEA68ED43CDC}"/>
    <cellStyle name="Normal 4 2 2 3 4 2 3 3" xfId="13587" xr:uid="{3958A85C-755A-44E1-B05B-F7BBC70324CF}"/>
    <cellStyle name="Normal 4 2 2 3 4 2 4" xfId="17810" xr:uid="{9CD55EC3-BEA3-4874-9965-88E948388B67}"/>
    <cellStyle name="Normal 4 2 2 3 4 2 5" xfId="9369" xr:uid="{842F3E9F-20D4-44C3-9946-C71B54281CC8}"/>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24586" xr:uid="{105B14EC-6C36-49EA-A60D-B78FD401F435}"/>
    <cellStyle name="Normal 4 2 2 3 4 3 2 2 3" xfId="16145" xr:uid="{402EBF9F-2A49-4C5F-9807-18200BFE4998}"/>
    <cellStyle name="Normal 4 2 2 3 4 3 2 3" xfId="20368" xr:uid="{28611E91-49BF-4F21-9564-0377464D0545}"/>
    <cellStyle name="Normal 4 2 2 3 4 3 2 4" xfId="11927" xr:uid="{BAC7DFA0-A986-44F6-97B8-564700FD5ECC}"/>
    <cellStyle name="Normal 4 2 2 3 4 3 3" xfId="5550" xr:uid="{00000000-0005-0000-0000-000074120000}"/>
    <cellStyle name="Normal 4 2 2 3 4 3 3 2" xfId="22441" xr:uid="{606E184F-61A7-4D16-8849-070E5BBBD423}"/>
    <cellStyle name="Normal 4 2 2 3 4 3 3 3" xfId="14000" xr:uid="{4C9E3F9B-BC1E-4FD6-8886-0D33DDFA42B4}"/>
    <cellStyle name="Normal 4 2 2 3 4 3 4" xfId="18223" xr:uid="{86BD16C8-A371-4E88-A140-8E275829CA4D}"/>
    <cellStyle name="Normal 4 2 2 3 4 3 5" xfId="9782" xr:uid="{1F46BB4B-EC55-4193-809C-01C4A21BFBF6}"/>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24999" xr:uid="{AFC043C6-7E2C-4906-8F16-04EB5D32A59E}"/>
    <cellStyle name="Normal 4 2 2 3 4 4 2 2 3" xfId="16558" xr:uid="{F44ADC94-5C7E-4223-9551-BD3C3AB40B05}"/>
    <cellStyle name="Normal 4 2 2 3 4 4 2 3" xfId="20781" xr:uid="{27D4A986-915E-4685-854B-880AC44DC25D}"/>
    <cellStyle name="Normal 4 2 2 3 4 4 2 4" xfId="12340" xr:uid="{AC22AC03-7570-45BA-8F4D-B3A9E6F22A02}"/>
    <cellStyle name="Normal 4 2 2 3 4 4 3" xfId="5963" xr:uid="{00000000-0005-0000-0000-000078120000}"/>
    <cellStyle name="Normal 4 2 2 3 4 4 3 2" xfId="22854" xr:uid="{FBDA9A4F-2E99-4E5B-8E19-16FE1BDE2D24}"/>
    <cellStyle name="Normal 4 2 2 3 4 4 3 3" xfId="14413" xr:uid="{2BAFAAE0-5F11-4D7C-B54E-326CECC97D52}"/>
    <cellStyle name="Normal 4 2 2 3 4 4 4" xfId="18636" xr:uid="{A3523125-DBE0-4B05-A220-A29307E38474}"/>
    <cellStyle name="Normal 4 2 2 3 4 4 5" xfId="10195" xr:uid="{335EA542-4FE6-4962-AB19-C3B590227BF1}"/>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25412" xr:uid="{3A909A06-50BA-4ABF-8E0E-30ADF51BEAAA}"/>
    <cellStyle name="Normal 4 2 2 3 4 5 2 2 3" xfId="16971" xr:uid="{99FB4888-36F2-4FC0-8863-D7466B856088}"/>
    <cellStyle name="Normal 4 2 2 3 4 5 2 3" xfId="21194" xr:uid="{840204D4-490D-4620-BB64-7D7E83541286}"/>
    <cellStyle name="Normal 4 2 2 3 4 5 2 4" xfId="12753" xr:uid="{4337A8A1-779E-4D02-80FC-DC428EFDE822}"/>
    <cellStyle name="Normal 4 2 2 3 4 5 3" xfId="6376" xr:uid="{00000000-0005-0000-0000-00007C120000}"/>
    <cellStyle name="Normal 4 2 2 3 4 5 3 2" xfId="23267" xr:uid="{6E32AC4A-5651-47C6-9E93-5F4AFDCE7738}"/>
    <cellStyle name="Normal 4 2 2 3 4 5 3 3" xfId="14826" xr:uid="{864664E0-06AF-4A34-BBF9-12A16C639086}"/>
    <cellStyle name="Normal 4 2 2 3 4 5 4" xfId="19049" xr:uid="{946948CA-8E5F-4C81-AF22-83D721124FD3}"/>
    <cellStyle name="Normal 4 2 2 3 4 5 5" xfId="10608" xr:uid="{A262F58B-1347-4960-B602-F94E6ECAC790}"/>
    <cellStyle name="Normal 4 2 2 3 4 6" xfId="2506" xr:uid="{00000000-0005-0000-0000-00007D120000}"/>
    <cellStyle name="Normal 4 2 2 3 4 6 2" xfId="6789" xr:uid="{00000000-0005-0000-0000-00007E120000}"/>
    <cellStyle name="Normal 4 2 2 3 4 6 2 2" xfId="23680" xr:uid="{64477E1D-ECF5-4F7C-9588-914FFD14C23B}"/>
    <cellStyle name="Normal 4 2 2 3 4 6 2 3" xfId="15239" xr:uid="{AAB43F4D-BAE1-4A9B-B66C-3113257C38CD}"/>
    <cellStyle name="Normal 4 2 2 3 4 6 3" xfId="19462" xr:uid="{C706351D-F6DC-46D3-A758-A32CBCDD334F}"/>
    <cellStyle name="Normal 4 2 2 3 4 6 4" xfId="11021" xr:uid="{0D060A6B-84DE-4E50-AD07-4B4D10E74A09}"/>
    <cellStyle name="Normal 4 2 2 3 4 7" xfId="4724" xr:uid="{00000000-0005-0000-0000-00007F120000}"/>
    <cellStyle name="Normal 4 2 2 3 4 7 2" xfId="21615" xr:uid="{10C76AD4-3A34-42BC-B81F-BE89BD4654E4}"/>
    <cellStyle name="Normal 4 2 2 3 4 7 3" xfId="13174" xr:uid="{BC82DA49-F0F8-47A8-9768-4DC2CB54A68F}"/>
    <cellStyle name="Normal 4 2 2 3 4 8" xfId="17397" xr:uid="{3B94E6DA-4995-446C-A75E-44209F206B98}"/>
    <cellStyle name="Normal 4 2 2 3 4 9" xfId="8956" xr:uid="{8BD95BDE-D166-4681-B62C-6C5AD82D78F3}"/>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24166" xr:uid="{EB2F922B-E99D-4CFF-AFFA-9C08173BE6D9}"/>
    <cellStyle name="Normal 4 2 2 3 5 2 2 3" xfId="15725" xr:uid="{1FD7CD94-F16A-45F0-AC1A-AF465FCBB232}"/>
    <cellStyle name="Normal 4 2 2 3 5 2 3" xfId="19948" xr:uid="{A4376201-2C7D-40A0-A31A-28D3D9A1741A}"/>
    <cellStyle name="Normal 4 2 2 3 5 2 4" xfId="11507" xr:uid="{EDDEBCFD-EB80-4ED0-AB38-770BA15BA4E9}"/>
    <cellStyle name="Normal 4 2 2 3 5 3" xfId="5130" xr:uid="{00000000-0005-0000-0000-000083120000}"/>
    <cellStyle name="Normal 4 2 2 3 5 3 2" xfId="22021" xr:uid="{9DEC8C29-8B48-4535-9FDC-F91BEF4AEA90}"/>
    <cellStyle name="Normal 4 2 2 3 5 3 3" xfId="13580" xr:uid="{3E5A951E-1264-4741-A33C-13298001BCE7}"/>
    <cellStyle name="Normal 4 2 2 3 5 4" xfId="17803" xr:uid="{6A55F47F-D943-4FE4-974E-B5FED9F84F78}"/>
    <cellStyle name="Normal 4 2 2 3 5 5" xfId="9362" xr:uid="{4CE224D8-B197-4144-B607-0D1D1A9BF8D5}"/>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24579" xr:uid="{2C1B36F6-6100-421A-A261-468F81781997}"/>
    <cellStyle name="Normal 4 2 2 3 6 2 2 3" xfId="16138" xr:uid="{5B751724-7CB0-4BC1-87DD-BAA2C6C3F9CE}"/>
    <cellStyle name="Normal 4 2 2 3 6 2 3" xfId="20361" xr:uid="{33761F97-68D9-4571-A4EA-C47A1AD5FFB3}"/>
    <cellStyle name="Normal 4 2 2 3 6 2 4" xfId="11920" xr:uid="{8CCB173A-B36B-4FAE-87C0-6961CA167654}"/>
    <cellStyle name="Normal 4 2 2 3 6 3" xfId="5543" xr:uid="{00000000-0005-0000-0000-000087120000}"/>
    <cellStyle name="Normal 4 2 2 3 6 3 2" xfId="22434" xr:uid="{D1299CBF-8A04-461B-9AC3-01F321E4E061}"/>
    <cellStyle name="Normal 4 2 2 3 6 3 3" xfId="13993" xr:uid="{BE4F85E2-8A98-49AD-8200-A57991CF4D87}"/>
    <cellStyle name="Normal 4 2 2 3 6 4" xfId="18216" xr:uid="{2A0458C0-00DB-45F6-AE8D-FF62F463D566}"/>
    <cellStyle name="Normal 4 2 2 3 6 5" xfId="9775" xr:uid="{80200761-53AE-4983-8C8D-8C56F271FFD2}"/>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24992" xr:uid="{4DCCB163-7507-4F70-B164-9535CAB95CF8}"/>
    <cellStyle name="Normal 4 2 2 3 7 2 2 3" xfId="16551" xr:uid="{7F5E205A-8FFA-4C50-AC12-B80970B520D6}"/>
    <cellStyle name="Normal 4 2 2 3 7 2 3" xfId="20774" xr:uid="{894CBBA1-0329-494B-9B9B-7F9F1ABCD1BB}"/>
    <cellStyle name="Normal 4 2 2 3 7 2 4" xfId="12333" xr:uid="{34C5CAE7-15FF-4B4D-9544-0986F36E73A0}"/>
    <cellStyle name="Normal 4 2 2 3 7 3" xfId="5956" xr:uid="{00000000-0005-0000-0000-00008B120000}"/>
    <cellStyle name="Normal 4 2 2 3 7 3 2" xfId="22847" xr:uid="{C661CA05-5AE1-4241-B554-5DC8B39192D0}"/>
    <cellStyle name="Normal 4 2 2 3 7 3 3" xfId="14406" xr:uid="{0DD5DB68-2158-4D6B-874E-D1D0E5B4FAB1}"/>
    <cellStyle name="Normal 4 2 2 3 7 4" xfId="18629" xr:uid="{4EA7D732-CD88-4D0D-9CE8-13A82D7A97C5}"/>
    <cellStyle name="Normal 4 2 2 3 7 5" xfId="10188" xr:uid="{A5E00DBD-F4C9-4582-B457-2899191BB3EC}"/>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25405" xr:uid="{13F36372-40BC-449C-AEBB-EB61B1A98B60}"/>
    <cellStyle name="Normal 4 2 2 3 8 2 2 3" xfId="16964" xr:uid="{63916633-D8D1-458A-BB49-DF46329BE844}"/>
    <cellStyle name="Normal 4 2 2 3 8 2 3" xfId="21187" xr:uid="{F9243639-1411-49EE-8366-5052FD0D41FB}"/>
    <cellStyle name="Normal 4 2 2 3 8 2 4" xfId="12746" xr:uid="{EE566748-33F3-4C9E-AD60-81B9BE55D3B4}"/>
    <cellStyle name="Normal 4 2 2 3 8 3" xfId="6369" xr:uid="{00000000-0005-0000-0000-00008F120000}"/>
    <cellStyle name="Normal 4 2 2 3 8 3 2" xfId="23260" xr:uid="{6F6C1FD9-7FFF-4E6B-A545-0AA3F5DCD1FE}"/>
    <cellStyle name="Normal 4 2 2 3 8 3 3" xfId="14819" xr:uid="{04A77D84-404A-4C40-BFB5-F69B676FF8D9}"/>
    <cellStyle name="Normal 4 2 2 3 8 4" xfId="19042" xr:uid="{814B3227-47D6-455A-BE6C-37E0A4F1E951}"/>
    <cellStyle name="Normal 4 2 2 3 8 5" xfId="10601" xr:uid="{5FFC5D51-DB86-43A6-8094-D110E07833F4}"/>
    <cellStyle name="Normal 4 2 2 3 9" xfId="2499" xr:uid="{00000000-0005-0000-0000-000090120000}"/>
    <cellStyle name="Normal 4 2 2 3 9 2" xfId="6782" xr:uid="{00000000-0005-0000-0000-000091120000}"/>
    <cellStyle name="Normal 4 2 2 3 9 2 2" xfId="23673" xr:uid="{0491A527-73AC-41B0-B4A4-F9E4CD73240E}"/>
    <cellStyle name="Normal 4 2 2 3 9 2 3" xfId="15232" xr:uid="{95FE1595-99DB-493B-B687-755E23BC26A9}"/>
    <cellStyle name="Normal 4 2 2 3 9 3" xfId="19455" xr:uid="{8F85C53E-FC84-4059-A43A-12CBE6B3CC89}"/>
    <cellStyle name="Normal 4 2 2 3 9 4" xfId="11014" xr:uid="{5849BFD3-89FC-4821-AEFE-62F62F4C4A9E}"/>
    <cellStyle name="Normal 4 2 2 4" xfId="347" xr:uid="{00000000-0005-0000-0000-000092120000}"/>
    <cellStyle name="Normal 4 2 2 4 10" xfId="17398" xr:uid="{CCD3F93E-3251-4954-B487-44C78EBF5720}"/>
    <cellStyle name="Normal 4 2 2 4 11" xfId="8957" xr:uid="{46DFEEE3-EF5D-425F-9E14-C0F8C5D194FC}"/>
    <cellStyle name="Normal 4 2 2 4 2" xfId="348" xr:uid="{00000000-0005-0000-0000-000093120000}"/>
    <cellStyle name="Normal 4 2 2 4 2 10" xfId="8958" xr:uid="{3160A521-4231-4F1E-A6AF-2BEAA23475F9}"/>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24176" xr:uid="{E3A2D6F7-D5DE-44EE-B318-D2CC8A27C1C5}"/>
    <cellStyle name="Normal 4 2 2 4 2 2 2 2 2 3" xfId="15735" xr:uid="{E0A2EE09-C85B-44D4-9AE2-ADD95FAC5176}"/>
    <cellStyle name="Normal 4 2 2 4 2 2 2 2 3" xfId="19958" xr:uid="{7C158069-EF97-48CF-A4AE-3A5A6BB9A86F}"/>
    <cellStyle name="Normal 4 2 2 4 2 2 2 2 4" xfId="11517" xr:uid="{5363E18F-DE2A-4FBF-9FF5-E1ED17D0E2A1}"/>
    <cellStyle name="Normal 4 2 2 4 2 2 2 3" xfId="5140" xr:uid="{00000000-0005-0000-0000-000098120000}"/>
    <cellStyle name="Normal 4 2 2 4 2 2 2 3 2" xfId="22031" xr:uid="{6CAD5B3C-71CC-468C-8559-BEF5A0AF60E3}"/>
    <cellStyle name="Normal 4 2 2 4 2 2 2 3 3" xfId="13590" xr:uid="{5C5D94C9-EEB0-48E5-8753-9711AD057A23}"/>
    <cellStyle name="Normal 4 2 2 4 2 2 2 4" xfId="17813" xr:uid="{5917B6D9-E54D-4FA0-A324-9A10F5416392}"/>
    <cellStyle name="Normal 4 2 2 4 2 2 2 5" xfId="9372" xr:uid="{1F5BF1F0-D4C5-4049-B92B-B3B830C7BA94}"/>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24589" xr:uid="{451EF281-C1AE-443E-80D8-F4331D777BC0}"/>
    <cellStyle name="Normal 4 2 2 4 2 2 3 2 2 3" xfId="16148" xr:uid="{89A34DDA-53FD-42CA-A85F-BC17A01563AE}"/>
    <cellStyle name="Normal 4 2 2 4 2 2 3 2 3" xfId="20371" xr:uid="{22D163AD-4113-4E9F-A4B1-46168F85F2DD}"/>
    <cellStyle name="Normal 4 2 2 4 2 2 3 2 4" xfId="11930" xr:uid="{219C11D1-5341-450B-A3C1-EEF3C159740C}"/>
    <cellStyle name="Normal 4 2 2 4 2 2 3 3" xfId="5553" xr:uid="{00000000-0005-0000-0000-00009C120000}"/>
    <cellStyle name="Normal 4 2 2 4 2 2 3 3 2" xfId="22444" xr:uid="{A3A84EDB-3869-406E-8FED-D43CF467A5C7}"/>
    <cellStyle name="Normal 4 2 2 4 2 2 3 3 3" xfId="14003" xr:uid="{6A5BE5ED-C78D-4ECC-BBD8-FA8930B2710B}"/>
    <cellStyle name="Normal 4 2 2 4 2 2 3 4" xfId="18226" xr:uid="{C94E6689-13FE-426D-A833-A862336FE81F}"/>
    <cellStyle name="Normal 4 2 2 4 2 2 3 5" xfId="9785" xr:uid="{41F03691-D7F7-487C-A86A-C361255FA878}"/>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25002" xr:uid="{76A21941-2B8C-44D1-B8EC-5964F9CE3BB7}"/>
    <cellStyle name="Normal 4 2 2 4 2 2 4 2 2 3" xfId="16561" xr:uid="{CC10EFE5-5599-48C9-B3DC-CF676B3357D1}"/>
    <cellStyle name="Normal 4 2 2 4 2 2 4 2 3" xfId="20784" xr:uid="{3200E58E-A975-4F76-826E-6E18848657A5}"/>
    <cellStyle name="Normal 4 2 2 4 2 2 4 2 4" xfId="12343" xr:uid="{E011A68B-59E4-4AD4-B70E-EDC13F8DD2E4}"/>
    <cellStyle name="Normal 4 2 2 4 2 2 4 3" xfId="5966" xr:uid="{00000000-0005-0000-0000-0000A0120000}"/>
    <cellStyle name="Normal 4 2 2 4 2 2 4 3 2" xfId="22857" xr:uid="{B4802E5B-28C2-4F00-92F0-0840551A94A1}"/>
    <cellStyle name="Normal 4 2 2 4 2 2 4 3 3" xfId="14416" xr:uid="{3B79041F-3A18-4895-830B-4D6B188CEB1A}"/>
    <cellStyle name="Normal 4 2 2 4 2 2 4 4" xfId="18639" xr:uid="{4AC45103-DD34-40B9-B6B3-01485943B201}"/>
    <cellStyle name="Normal 4 2 2 4 2 2 4 5" xfId="10198" xr:uid="{3CB631DF-C11E-4150-BBB8-B93CEAEEF922}"/>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25415" xr:uid="{952B263D-B98B-4147-91C2-F898AF168B89}"/>
    <cellStyle name="Normal 4 2 2 4 2 2 5 2 2 3" xfId="16974" xr:uid="{30756568-5A88-4C3E-9899-25E5D8CCCC71}"/>
    <cellStyle name="Normal 4 2 2 4 2 2 5 2 3" xfId="21197" xr:uid="{38A0626C-BA2D-48AA-9C7E-EB8AF4C95490}"/>
    <cellStyle name="Normal 4 2 2 4 2 2 5 2 4" xfId="12756" xr:uid="{897ADB99-D29D-4BBA-8DCB-B730F93039C6}"/>
    <cellStyle name="Normal 4 2 2 4 2 2 5 3" xfId="6379" xr:uid="{00000000-0005-0000-0000-0000A4120000}"/>
    <cellStyle name="Normal 4 2 2 4 2 2 5 3 2" xfId="23270" xr:uid="{C1E1CCD8-4037-4FBF-B447-08AD09412426}"/>
    <cellStyle name="Normal 4 2 2 4 2 2 5 3 3" xfId="14829" xr:uid="{9B964F9C-0A8D-4C66-A66D-8C7DDF7EEF2A}"/>
    <cellStyle name="Normal 4 2 2 4 2 2 5 4" xfId="19052" xr:uid="{2071F0B1-091D-4503-AB61-9D927735D0A6}"/>
    <cellStyle name="Normal 4 2 2 4 2 2 5 5" xfId="10611" xr:uid="{746572BA-1BB4-4112-BBAD-AFCB15286CEA}"/>
    <cellStyle name="Normal 4 2 2 4 2 2 6" xfId="2509" xr:uid="{00000000-0005-0000-0000-0000A5120000}"/>
    <cellStyle name="Normal 4 2 2 4 2 2 6 2" xfId="6792" xr:uid="{00000000-0005-0000-0000-0000A6120000}"/>
    <cellStyle name="Normal 4 2 2 4 2 2 6 2 2" xfId="23683" xr:uid="{737C5939-EA1A-4A51-95B9-CDE2517AA518}"/>
    <cellStyle name="Normal 4 2 2 4 2 2 6 2 3" xfId="15242" xr:uid="{17F9D529-CDDE-4663-A2B8-95EE05D083BD}"/>
    <cellStyle name="Normal 4 2 2 4 2 2 6 3" xfId="19465" xr:uid="{2EED8997-FBFE-42A7-AB50-BF8F5111CA69}"/>
    <cellStyle name="Normal 4 2 2 4 2 2 6 4" xfId="11024" xr:uid="{1CA75A8E-8255-48F7-975A-55D91A7507FF}"/>
    <cellStyle name="Normal 4 2 2 4 2 2 7" xfId="4727" xr:uid="{00000000-0005-0000-0000-0000A7120000}"/>
    <cellStyle name="Normal 4 2 2 4 2 2 7 2" xfId="21618" xr:uid="{B6537AB3-58A0-47CA-8353-1B07D40C004E}"/>
    <cellStyle name="Normal 4 2 2 4 2 2 7 3" xfId="13177" xr:uid="{74EBDA0C-3615-44AD-B1EA-D77A2F9E83AA}"/>
    <cellStyle name="Normal 4 2 2 4 2 2 8" xfId="17400" xr:uid="{7C578823-B93B-4261-8464-38896ACD07DE}"/>
    <cellStyle name="Normal 4 2 2 4 2 2 9" xfId="8959" xr:uid="{7E272C7C-6DEF-46F5-86C1-BE8143C9A1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24175" xr:uid="{B2F95AA3-6214-49E2-A5DA-6C0734BF157D}"/>
    <cellStyle name="Normal 4 2 2 4 2 3 2 2 3" xfId="15734" xr:uid="{2B60C5DD-E867-4141-AD86-D54F59F46263}"/>
    <cellStyle name="Normal 4 2 2 4 2 3 2 3" xfId="19957" xr:uid="{B00C13C2-8FE3-4E23-BD46-D2433792F4A0}"/>
    <cellStyle name="Normal 4 2 2 4 2 3 2 4" xfId="11516" xr:uid="{F651E675-69F9-46F0-AB01-89A7CE2A2785}"/>
    <cellStyle name="Normal 4 2 2 4 2 3 3" xfId="5139" xr:uid="{00000000-0005-0000-0000-0000AB120000}"/>
    <cellStyle name="Normal 4 2 2 4 2 3 3 2" xfId="22030" xr:uid="{4747EE4D-A47F-4874-9D96-19673FE0EC7E}"/>
    <cellStyle name="Normal 4 2 2 4 2 3 3 3" xfId="13589" xr:uid="{47F93404-9627-4B35-8DF8-A8B29275A19F}"/>
    <cellStyle name="Normal 4 2 2 4 2 3 4" xfId="17812" xr:uid="{DC5F8458-3B7B-45C6-8BF0-397E59FA0167}"/>
    <cellStyle name="Normal 4 2 2 4 2 3 5" xfId="9371" xr:uid="{A64607F9-8927-4439-9251-1E1BC9F71C55}"/>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24588" xr:uid="{22D96391-64BC-4CAA-9F7F-A5E6BE276D8E}"/>
    <cellStyle name="Normal 4 2 2 4 2 4 2 2 3" xfId="16147" xr:uid="{550B5008-0D98-46B5-BC64-F35F27098D64}"/>
    <cellStyle name="Normal 4 2 2 4 2 4 2 3" xfId="20370" xr:uid="{811F0B66-5DBC-46AB-B0CB-D814BBE57DFA}"/>
    <cellStyle name="Normal 4 2 2 4 2 4 2 4" xfId="11929" xr:uid="{3892B26C-BDBB-4AD2-82F0-A5FE8203FA6C}"/>
    <cellStyle name="Normal 4 2 2 4 2 4 3" xfId="5552" xr:uid="{00000000-0005-0000-0000-0000AF120000}"/>
    <cellStyle name="Normal 4 2 2 4 2 4 3 2" xfId="22443" xr:uid="{6B659F12-318C-4547-8295-9DE30D21869C}"/>
    <cellStyle name="Normal 4 2 2 4 2 4 3 3" xfId="14002" xr:uid="{20D791B6-D7FC-476C-BB8F-0D5859FA901D}"/>
    <cellStyle name="Normal 4 2 2 4 2 4 4" xfId="18225" xr:uid="{AC6CED27-4DB2-4637-8557-C11BCB061542}"/>
    <cellStyle name="Normal 4 2 2 4 2 4 5" xfId="9784" xr:uid="{C1202920-E4A3-4BA8-8991-32E439E1294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25001" xr:uid="{78D5EC16-E099-425A-BAE5-8B6201257530}"/>
    <cellStyle name="Normal 4 2 2 4 2 5 2 2 3" xfId="16560" xr:uid="{F8624229-EFA6-4A71-BB03-B4FED720DB80}"/>
    <cellStyle name="Normal 4 2 2 4 2 5 2 3" xfId="20783" xr:uid="{596B84D8-8A22-4B1A-B047-5321904535F9}"/>
    <cellStyle name="Normal 4 2 2 4 2 5 2 4" xfId="12342" xr:uid="{BB6E20DA-0BEC-4029-B286-F081B5C31A10}"/>
    <cellStyle name="Normal 4 2 2 4 2 5 3" xfId="5965" xr:uid="{00000000-0005-0000-0000-0000B3120000}"/>
    <cellStyle name="Normal 4 2 2 4 2 5 3 2" xfId="22856" xr:uid="{E80CF705-AA15-4C74-8401-76ED87E1C8D3}"/>
    <cellStyle name="Normal 4 2 2 4 2 5 3 3" xfId="14415" xr:uid="{153AE34F-237D-4DCF-ADF3-0B96DE7EEEBF}"/>
    <cellStyle name="Normal 4 2 2 4 2 5 4" xfId="18638" xr:uid="{598DA2C7-EAC7-4A9C-8923-4ABD38E34F3E}"/>
    <cellStyle name="Normal 4 2 2 4 2 5 5" xfId="10197" xr:uid="{5E9D905B-2AF3-46D5-955D-D2087CBCDD56}"/>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25414" xr:uid="{5D5AE692-ABF5-4552-9F1A-4934D1409908}"/>
    <cellStyle name="Normal 4 2 2 4 2 6 2 2 3" xfId="16973" xr:uid="{913344DC-803D-4ACC-B6E1-EDC80C7A1106}"/>
    <cellStyle name="Normal 4 2 2 4 2 6 2 3" xfId="21196" xr:uid="{2FF53535-1B9C-49C3-A990-A259F8B91223}"/>
    <cellStyle name="Normal 4 2 2 4 2 6 2 4" xfId="12755" xr:uid="{12C91682-52A2-401C-AB4F-540C165D9970}"/>
    <cellStyle name="Normal 4 2 2 4 2 6 3" xfId="6378" xr:uid="{00000000-0005-0000-0000-0000B7120000}"/>
    <cellStyle name="Normal 4 2 2 4 2 6 3 2" xfId="23269" xr:uid="{45DF61F5-ADD6-4988-8962-06BBE22835EE}"/>
    <cellStyle name="Normal 4 2 2 4 2 6 3 3" xfId="14828" xr:uid="{26D7CAAA-A8C8-4C02-8551-58E5E75E46C8}"/>
    <cellStyle name="Normal 4 2 2 4 2 6 4" xfId="19051" xr:uid="{6BB2D159-C9D9-4821-BF3B-6709898A151E}"/>
    <cellStyle name="Normal 4 2 2 4 2 6 5" xfId="10610" xr:uid="{16F674A0-FA13-494F-B7C2-EFBE49411A49}"/>
    <cellStyle name="Normal 4 2 2 4 2 7" xfId="2508" xr:uid="{00000000-0005-0000-0000-0000B8120000}"/>
    <cellStyle name="Normal 4 2 2 4 2 7 2" xfId="6791" xr:uid="{00000000-0005-0000-0000-0000B9120000}"/>
    <cellStyle name="Normal 4 2 2 4 2 7 2 2" xfId="23682" xr:uid="{2323F0D5-26C6-45EA-BD0C-FB8FB0A6DE88}"/>
    <cellStyle name="Normal 4 2 2 4 2 7 2 3" xfId="15241" xr:uid="{F69FB8B8-1821-4DBD-B7A5-90A28EB4DD08}"/>
    <cellStyle name="Normal 4 2 2 4 2 7 3" xfId="19464" xr:uid="{56FA92AC-E149-44A8-83F5-DB9C1E063D51}"/>
    <cellStyle name="Normal 4 2 2 4 2 7 4" xfId="11023" xr:uid="{430CCEE4-0ADE-4785-9797-C454ABF80683}"/>
    <cellStyle name="Normal 4 2 2 4 2 8" xfId="4726" xr:uid="{00000000-0005-0000-0000-0000BA120000}"/>
    <cellStyle name="Normal 4 2 2 4 2 8 2" xfId="21617" xr:uid="{423278C7-E214-4C02-81CA-065F588FEB5A}"/>
    <cellStyle name="Normal 4 2 2 4 2 8 3" xfId="13176" xr:uid="{BDBCDC93-D6F6-4F19-B20A-4CB3869CA11F}"/>
    <cellStyle name="Normal 4 2 2 4 2 9" xfId="17399" xr:uid="{AFD07C9C-638F-45BF-B9E5-649495FA8CF7}"/>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24177" xr:uid="{752AC21C-317F-41A2-B95F-F43D41409CA3}"/>
    <cellStyle name="Normal 4 2 2 4 3 2 2 2 3" xfId="15736" xr:uid="{CCDB3F9F-1597-48DC-B387-19F1EA57F2B6}"/>
    <cellStyle name="Normal 4 2 2 4 3 2 2 3" xfId="19959" xr:uid="{432F30B1-643C-4E2B-B752-737A3CEBBFFD}"/>
    <cellStyle name="Normal 4 2 2 4 3 2 2 4" xfId="11518" xr:uid="{5172CF1D-B58C-41ED-993C-E38442694A24}"/>
    <cellStyle name="Normal 4 2 2 4 3 2 3" xfId="5141" xr:uid="{00000000-0005-0000-0000-0000BF120000}"/>
    <cellStyle name="Normal 4 2 2 4 3 2 3 2" xfId="22032" xr:uid="{35B29278-0A32-4B57-8AA0-234B3A748FDF}"/>
    <cellStyle name="Normal 4 2 2 4 3 2 3 3" xfId="13591" xr:uid="{C8D3E18B-C2F8-4754-9C24-A3E289D76D49}"/>
    <cellStyle name="Normal 4 2 2 4 3 2 4" xfId="17814" xr:uid="{E6442958-CF3F-4585-B5A3-C037E76C9AC2}"/>
    <cellStyle name="Normal 4 2 2 4 3 2 5" xfId="9373" xr:uid="{726E3483-6BFE-4B6E-9CF8-0624F84E62F4}"/>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24590" xr:uid="{5BC80A50-B31F-486C-8B11-98BE5FEA97B7}"/>
    <cellStyle name="Normal 4 2 2 4 3 3 2 2 3" xfId="16149" xr:uid="{415D697A-BBAF-4630-9909-5B85DA6F1C49}"/>
    <cellStyle name="Normal 4 2 2 4 3 3 2 3" xfId="20372" xr:uid="{008CD7CB-163E-42D5-B06E-680C63F015CC}"/>
    <cellStyle name="Normal 4 2 2 4 3 3 2 4" xfId="11931" xr:uid="{9246AE41-08C1-4F1E-8A18-07EE54E508B9}"/>
    <cellStyle name="Normal 4 2 2 4 3 3 3" xfId="5554" xr:uid="{00000000-0005-0000-0000-0000C3120000}"/>
    <cellStyle name="Normal 4 2 2 4 3 3 3 2" xfId="22445" xr:uid="{DFF89C09-0433-4DEC-A63A-91B23E9EDE90}"/>
    <cellStyle name="Normal 4 2 2 4 3 3 3 3" xfId="14004" xr:uid="{C80EFE0E-A894-4CAF-B569-05404FC23150}"/>
    <cellStyle name="Normal 4 2 2 4 3 3 4" xfId="18227" xr:uid="{4D0708AF-9620-4E01-8B12-D5D6339FFB34}"/>
    <cellStyle name="Normal 4 2 2 4 3 3 5" xfId="9786" xr:uid="{DFA4EAB8-8425-459E-941E-AEE0902FF737}"/>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25003" xr:uid="{849DD7E4-D819-4C9E-9300-6BBFF4B25B18}"/>
    <cellStyle name="Normal 4 2 2 4 3 4 2 2 3" xfId="16562" xr:uid="{9566BF86-442B-4CD1-BCC7-9D6B181BE296}"/>
    <cellStyle name="Normal 4 2 2 4 3 4 2 3" xfId="20785" xr:uid="{1668D890-B616-450E-8F91-B09B21F99B25}"/>
    <cellStyle name="Normal 4 2 2 4 3 4 2 4" xfId="12344" xr:uid="{7398566D-3D79-428F-9325-7D6857616283}"/>
    <cellStyle name="Normal 4 2 2 4 3 4 3" xfId="5967" xr:uid="{00000000-0005-0000-0000-0000C7120000}"/>
    <cellStyle name="Normal 4 2 2 4 3 4 3 2" xfId="22858" xr:uid="{CA3F601B-84D8-49B0-8718-AEDD6549890B}"/>
    <cellStyle name="Normal 4 2 2 4 3 4 3 3" xfId="14417" xr:uid="{DB7EB546-A8EA-4907-B2C8-E89331F9FFB1}"/>
    <cellStyle name="Normal 4 2 2 4 3 4 4" xfId="18640" xr:uid="{87725C6E-80E0-498F-B881-7423FDD5238A}"/>
    <cellStyle name="Normal 4 2 2 4 3 4 5" xfId="10199" xr:uid="{CED5FEF3-E3DC-4252-B69E-661A75DD5D5A}"/>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25416" xr:uid="{AC9D4007-DC8F-4510-8A49-D1286AC73715}"/>
    <cellStyle name="Normal 4 2 2 4 3 5 2 2 3" xfId="16975" xr:uid="{07158532-E747-4C1B-9DD9-071EEBD7E030}"/>
    <cellStyle name="Normal 4 2 2 4 3 5 2 3" xfId="21198" xr:uid="{DE369756-3A1E-4BFA-97ED-C49BD40773A7}"/>
    <cellStyle name="Normal 4 2 2 4 3 5 2 4" xfId="12757" xr:uid="{13F09129-78EB-4F48-BD09-4B396DD363F8}"/>
    <cellStyle name="Normal 4 2 2 4 3 5 3" xfId="6380" xr:uid="{00000000-0005-0000-0000-0000CB120000}"/>
    <cellStyle name="Normal 4 2 2 4 3 5 3 2" xfId="23271" xr:uid="{6B0C004B-E3F9-472D-BCC7-AB26028C92A8}"/>
    <cellStyle name="Normal 4 2 2 4 3 5 3 3" xfId="14830" xr:uid="{1EBC9E0F-EED2-46B9-A257-11070200A3B7}"/>
    <cellStyle name="Normal 4 2 2 4 3 5 4" xfId="19053" xr:uid="{DDDE48AF-4184-4F7D-B2DC-8C031BE0696B}"/>
    <cellStyle name="Normal 4 2 2 4 3 5 5" xfId="10612" xr:uid="{8619C939-7B94-4EE3-AA9C-C7641E13CB04}"/>
    <cellStyle name="Normal 4 2 2 4 3 6" xfId="2510" xr:uid="{00000000-0005-0000-0000-0000CC120000}"/>
    <cellStyle name="Normal 4 2 2 4 3 6 2" xfId="6793" xr:uid="{00000000-0005-0000-0000-0000CD120000}"/>
    <cellStyle name="Normal 4 2 2 4 3 6 2 2" xfId="23684" xr:uid="{62B379C5-F168-4A62-A320-B4CFCCF0313C}"/>
    <cellStyle name="Normal 4 2 2 4 3 6 2 3" xfId="15243" xr:uid="{24A6C1BD-CA3A-4415-8730-B6795625FF94}"/>
    <cellStyle name="Normal 4 2 2 4 3 6 3" xfId="19466" xr:uid="{F4C9D5C6-04C6-4878-8821-9B28283643A3}"/>
    <cellStyle name="Normal 4 2 2 4 3 6 4" xfId="11025" xr:uid="{58F47352-7358-4BBB-BC54-63709CBD24C5}"/>
    <cellStyle name="Normal 4 2 2 4 3 7" xfId="4728" xr:uid="{00000000-0005-0000-0000-0000CE120000}"/>
    <cellStyle name="Normal 4 2 2 4 3 7 2" xfId="21619" xr:uid="{E28A6927-43B5-4455-A38B-FCD84C525915}"/>
    <cellStyle name="Normal 4 2 2 4 3 7 3" xfId="13178" xr:uid="{9ECD6D44-D5C3-4D59-AE32-BCE77786B687}"/>
    <cellStyle name="Normal 4 2 2 4 3 8" xfId="17401" xr:uid="{4FE5CEE1-F4D1-4611-968A-2D21733D2090}"/>
    <cellStyle name="Normal 4 2 2 4 3 9" xfId="8960" xr:uid="{4ECA808D-B398-4A0E-8F3D-984AAD987733}"/>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24174" xr:uid="{65B99637-478C-4FF9-A7B1-B42E4E62632F}"/>
    <cellStyle name="Normal 4 2 2 4 4 2 2 3" xfId="15733" xr:uid="{B0B641E6-BB69-4D1F-B5B6-84AD98746772}"/>
    <cellStyle name="Normal 4 2 2 4 4 2 3" xfId="19956" xr:uid="{E2A6CA98-0725-44C9-9433-30D846D4A957}"/>
    <cellStyle name="Normal 4 2 2 4 4 2 4" xfId="11515" xr:uid="{69B4133F-51A5-4B6D-914B-F0BF684F74F8}"/>
    <cellStyle name="Normal 4 2 2 4 4 3" xfId="5138" xr:uid="{00000000-0005-0000-0000-0000D2120000}"/>
    <cellStyle name="Normal 4 2 2 4 4 3 2" xfId="22029" xr:uid="{B41C869F-4FA4-45B7-AE04-E301288E8C92}"/>
    <cellStyle name="Normal 4 2 2 4 4 3 3" xfId="13588" xr:uid="{CDE99B8E-6011-47FF-8BEC-B7B485E1008E}"/>
    <cellStyle name="Normal 4 2 2 4 4 4" xfId="17811" xr:uid="{ED476E5C-DACD-4ADA-B9A1-76B3EFB29DAB}"/>
    <cellStyle name="Normal 4 2 2 4 4 5" xfId="9370" xr:uid="{C63221F8-B16A-4023-8A40-809D7B4A4DEA}"/>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24587" xr:uid="{D9690D77-BED6-46BD-B1CD-DF417AA1C4C8}"/>
    <cellStyle name="Normal 4 2 2 4 5 2 2 3" xfId="16146" xr:uid="{1C0179DF-6011-4A3E-A557-1C391FAE150A}"/>
    <cellStyle name="Normal 4 2 2 4 5 2 3" xfId="20369" xr:uid="{0FAFFCA4-3155-4427-80B5-2DE4CF61E58D}"/>
    <cellStyle name="Normal 4 2 2 4 5 2 4" xfId="11928" xr:uid="{36B03833-85EC-4C7E-A461-C7618A2E1141}"/>
    <cellStyle name="Normal 4 2 2 4 5 3" xfId="5551" xr:uid="{00000000-0005-0000-0000-0000D6120000}"/>
    <cellStyle name="Normal 4 2 2 4 5 3 2" xfId="22442" xr:uid="{D4DD1857-C095-4D48-8B6B-45A3F10E8599}"/>
    <cellStyle name="Normal 4 2 2 4 5 3 3" xfId="14001" xr:uid="{70E64F43-D09D-44DC-BA94-0E9E385EC3C3}"/>
    <cellStyle name="Normal 4 2 2 4 5 4" xfId="18224" xr:uid="{5C95443D-311D-4765-9A7C-D3AB581B39F5}"/>
    <cellStyle name="Normal 4 2 2 4 5 5" xfId="9783" xr:uid="{AEA4FC04-8850-4A88-9FCA-65D22C49E219}"/>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25000" xr:uid="{B9D2EC6A-7725-442A-AD00-3AB3AA507A1C}"/>
    <cellStyle name="Normal 4 2 2 4 6 2 2 3" xfId="16559" xr:uid="{A1D56311-0538-4141-95C1-023C1F6178FA}"/>
    <cellStyle name="Normal 4 2 2 4 6 2 3" xfId="20782" xr:uid="{96E9AEB7-67EF-4734-A738-6C42A115063A}"/>
    <cellStyle name="Normal 4 2 2 4 6 2 4" xfId="12341" xr:uid="{CB9F941F-E57B-452F-9434-2FA6361F12F0}"/>
    <cellStyle name="Normal 4 2 2 4 6 3" xfId="5964" xr:uid="{00000000-0005-0000-0000-0000DA120000}"/>
    <cellStyle name="Normal 4 2 2 4 6 3 2" xfId="22855" xr:uid="{75886F79-3A78-42E6-8E1C-2EE84F668B51}"/>
    <cellStyle name="Normal 4 2 2 4 6 3 3" xfId="14414" xr:uid="{47C6E518-2BCD-43E3-A9D6-E547EFB669BB}"/>
    <cellStyle name="Normal 4 2 2 4 6 4" xfId="18637" xr:uid="{6E532C71-D24A-4C2F-B7D0-6E645F61BDF7}"/>
    <cellStyle name="Normal 4 2 2 4 6 5" xfId="10196" xr:uid="{9942F829-A223-43C9-92EB-46EC41E91E7E}"/>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25413" xr:uid="{A367AA3C-CA07-4462-A2ED-A230D99AE4C6}"/>
    <cellStyle name="Normal 4 2 2 4 7 2 2 3" xfId="16972" xr:uid="{FB2B00BD-84DF-47DE-89D4-A567D26872B9}"/>
    <cellStyle name="Normal 4 2 2 4 7 2 3" xfId="21195" xr:uid="{6814EDC4-2A6B-4B90-B5E9-EA5E875B6B37}"/>
    <cellStyle name="Normal 4 2 2 4 7 2 4" xfId="12754" xr:uid="{EDCB68D4-366F-483E-84E9-7E2F9FFFC624}"/>
    <cellStyle name="Normal 4 2 2 4 7 3" xfId="6377" xr:uid="{00000000-0005-0000-0000-0000DE120000}"/>
    <cellStyle name="Normal 4 2 2 4 7 3 2" xfId="23268" xr:uid="{9664C5FA-C375-48CD-876C-41A4DDAF540C}"/>
    <cellStyle name="Normal 4 2 2 4 7 3 3" xfId="14827" xr:uid="{5B0EACCE-8195-409C-9873-65E58FECB89E}"/>
    <cellStyle name="Normal 4 2 2 4 7 4" xfId="19050" xr:uid="{E9F15CFD-36FF-47E8-8CEB-3C5F21A40C71}"/>
    <cellStyle name="Normal 4 2 2 4 7 5" xfId="10609" xr:uid="{D5DF5FA3-77D4-4712-92E2-41CBFE8C04C2}"/>
    <cellStyle name="Normal 4 2 2 4 8" xfId="2507" xr:uid="{00000000-0005-0000-0000-0000DF120000}"/>
    <cellStyle name="Normal 4 2 2 4 8 2" xfId="6790" xr:uid="{00000000-0005-0000-0000-0000E0120000}"/>
    <cellStyle name="Normal 4 2 2 4 8 2 2" xfId="23681" xr:uid="{7E7F068B-8BAE-4BA6-84CC-1A47348E1C02}"/>
    <cellStyle name="Normal 4 2 2 4 8 2 3" xfId="15240" xr:uid="{1185CEBA-BA31-4EEB-BEE1-C17B448A86FD}"/>
    <cellStyle name="Normal 4 2 2 4 8 3" xfId="19463" xr:uid="{F92D6F3B-924F-4B77-82F8-4F2474252632}"/>
    <cellStyle name="Normal 4 2 2 4 8 4" xfId="11022" xr:uid="{9C092F85-6B72-4FFA-B18B-98D3E332DA9F}"/>
    <cellStyle name="Normal 4 2 2 4 9" xfId="4725" xr:uid="{00000000-0005-0000-0000-0000E1120000}"/>
    <cellStyle name="Normal 4 2 2 4 9 2" xfId="21616" xr:uid="{A77D0F6A-05E2-4BE7-8E4D-ED06A859265D}"/>
    <cellStyle name="Normal 4 2 2 4 9 3" xfId="13175" xr:uid="{DA4E9C47-2FC4-4B11-94D4-636095FB91E8}"/>
    <cellStyle name="Normal 4 2 2 5" xfId="351" xr:uid="{00000000-0005-0000-0000-0000E2120000}"/>
    <cellStyle name="Normal 4 2 2 5 10" xfId="8961" xr:uid="{A6827DF7-FD2A-4B81-BD28-B4E9E5780E58}"/>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24179" xr:uid="{B5DABFBB-B4B6-40CB-B967-D200DAFA1E00}"/>
    <cellStyle name="Normal 4 2 2 5 2 2 2 2 3" xfId="15738" xr:uid="{7E3EDCE5-F27C-44C3-A840-7CFE7DF7D309}"/>
    <cellStyle name="Normal 4 2 2 5 2 2 2 3" xfId="19961" xr:uid="{24CB290C-EE8E-4C66-95D4-ED7AC9F3BCB3}"/>
    <cellStyle name="Normal 4 2 2 5 2 2 2 4" xfId="11520" xr:uid="{FEDF09CE-FFB0-4986-A45A-6CF269035C61}"/>
    <cellStyle name="Normal 4 2 2 5 2 2 3" xfId="5143" xr:uid="{00000000-0005-0000-0000-0000E7120000}"/>
    <cellStyle name="Normal 4 2 2 5 2 2 3 2" xfId="22034" xr:uid="{94E99307-EB72-44D9-8005-8C8922AE4B8C}"/>
    <cellStyle name="Normal 4 2 2 5 2 2 3 3" xfId="13593" xr:uid="{0EE35BE2-1F1A-4960-9D44-8894B03FE9B3}"/>
    <cellStyle name="Normal 4 2 2 5 2 2 4" xfId="17816" xr:uid="{2B95C768-AE02-4DC8-826A-B8AAD81E803C}"/>
    <cellStyle name="Normal 4 2 2 5 2 2 5" xfId="9375" xr:uid="{270E2EC3-3506-4C82-9A83-50CD2FC7821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24592" xr:uid="{8CA9CE63-8F1C-40E0-9A8C-F4FE3BE28FFD}"/>
    <cellStyle name="Normal 4 2 2 5 2 3 2 2 3" xfId="16151" xr:uid="{0FC8BE77-2109-4103-87FC-A76F6744E3E3}"/>
    <cellStyle name="Normal 4 2 2 5 2 3 2 3" xfId="20374" xr:uid="{227BDE42-550E-469E-8171-853E1A31BC26}"/>
    <cellStyle name="Normal 4 2 2 5 2 3 2 4" xfId="11933" xr:uid="{837C7BE3-F0A0-4F5C-9FC7-7FC6A69C8BFD}"/>
    <cellStyle name="Normal 4 2 2 5 2 3 3" xfId="5556" xr:uid="{00000000-0005-0000-0000-0000EB120000}"/>
    <cellStyle name="Normal 4 2 2 5 2 3 3 2" xfId="22447" xr:uid="{CE3FC1C3-947F-43F3-9A0F-ADCC3EAB4AE1}"/>
    <cellStyle name="Normal 4 2 2 5 2 3 3 3" xfId="14006" xr:uid="{5E1462E8-3164-4DC7-9D33-F12FB923FDD2}"/>
    <cellStyle name="Normal 4 2 2 5 2 3 4" xfId="18229" xr:uid="{2C735C90-AAD4-437A-9009-DC1A00C86AB0}"/>
    <cellStyle name="Normal 4 2 2 5 2 3 5" xfId="9788" xr:uid="{5E5EBA43-2BFE-4979-844F-A01C7F9AD065}"/>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25005" xr:uid="{E9B98447-610E-4507-8334-45F6FDD62C68}"/>
    <cellStyle name="Normal 4 2 2 5 2 4 2 2 3" xfId="16564" xr:uid="{B26BB943-2BAF-4292-AD2D-8CFF875EA755}"/>
    <cellStyle name="Normal 4 2 2 5 2 4 2 3" xfId="20787" xr:uid="{EFF5D4F7-773F-45BD-AB8D-6A29E673D05A}"/>
    <cellStyle name="Normal 4 2 2 5 2 4 2 4" xfId="12346" xr:uid="{EB72E4C4-E1B8-4B8F-B72F-0F9A5E78EBAC}"/>
    <cellStyle name="Normal 4 2 2 5 2 4 3" xfId="5969" xr:uid="{00000000-0005-0000-0000-0000EF120000}"/>
    <cellStyle name="Normal 4 2 2 5 2 4 3 2" xfId="22860" xr:uid="{A9A4B191-44AF-4F34-A4EF-6B2F3B1CD40C}"/>
    <cellStyle name="Normal 4 2 2 5 2 4 3 3" xfId="14419" xr:uid="{29077746-3613-4E8F-9F9F-3297C4D73907}"/>
    <cellStyle name="Normal 4 2 2 5 2 4 4" xfId="18642" xr:uid="{1D44242A-A489-4A24-A758-ABBAAA4A262F}"/>
    <cellStyle name="Normal 4 2 2 5 2 4 5" xfId="10201" xr:uid="{B869A7AD-FEF4-4148-A952-31B45A462AAB}"/>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25418" xr:uid="{FA398D9C-CA40-4512-B230-86B290642245}"/>
    <cellStyle name="Normal 4 2 2 5 2 5 2 2 3" xfId="16977" xr:uid="{A66E1B57-2FEA-49EA-B28A-4AE3A927887A}"/>
    <cellStyle name="Normal 4 2 2 5 2 5 2 3" xfId="21200" xr:uid="{0A558FAC-61AA-483F-96C3-ED84715A5C24}"/>
    <cellStyle name="Normal 4 2 2 5 2 5 2 4" xfId="12759" xr:uid="{89D76A7B-CACD-4E21-8318-FD4DAB20FD0A}"/>
    <cellStyle name="Normal 4 2 2 5 2 5 3" xfId="6382" xr:uid="{00000000-0005-0000-0000-0000F3120000}"/>
    <cellStyle name="Normal 4 2 2 5 2 5 3 2" xfId="23273" xr:uid="{1B3BA3D9-872F-4BEF-85B4-2D6C77C88B45}"/>
    <cellStyle name="Normal 4 2 2 5 2 5 3 3" xfId="14832" xr:uid="{93E089B2-DDC5-4D63-B24A-D3CD418925BB}"/>
    <cellStyle name="Normal 4 2 2 5 2 5 4" xfId="19055" xr:uid="{3EA0B930-BE17-4E5F-B691-9D4A5C442E57}"/>
    <cellStyle name="Normal 4 2 2 5 2 5 5" xfId="10614" xr:uid="{40D75FFF-511D-4D1E-B5C7-224971E86493}"/>
    <cellStyle name="Normal 4 2 2 5 2 6" xfId="2512" xr:uid="{00000000-0005-0000-0000-0000F4120000}"/>
    <cellStyle name="Normal 4 2 2 5 2 6 2" xfId="6795" xr:uid="{00000000-0005-0000-0000-0000F5120000}"/>
    <cellStyle name="Normal 4 2 2 5 2 6 2 2" xfId="23686" xr:uid="{35E054C3-2C14-4B63-943D-8C3289C4EBF6}"/>
    <cellStyle name="Normal 4 2 2 5 2 6 2 3" xfId="15245" xr:uid="{1055B2A2-C3E7-4FEA-94EE-962D10F623B1}"/>
    <cellStyle name="Normal 4 2 2 5 2 6 3" xfId="19468" xr:uid="{BD1793F8-CCC0-4D6A-9BD2-1248D3B9588E}"/>
    <cellStyle name="Normal 4 2 2 5 2 6 4" xfId="11027" xr:uid="{7F440C5A-A869-4784-B8E0-02A1356AF2CB}"/>
    <cellStyle name="Normal 4 2 2 5 2 7" xfId="4730" xr:uid="{00000000-0005-0000-0000-0000F6120000}"/>
    <cellStyle name="Normal 4 2 2 5 2 7 2" xfId="21621" xr:uid="{01D231AC-C504-4061-8E28-82DCEA119275}"/>
    <cellStyle name="Normal 4 2 2 5 2 7 3" xfId="13180" xr:uid="{360C1C78-55C2-4301-949F-059DAB35546D}"/>
    <cellStyle name="Normal 4 2 2 5 2 8" xfId="17403" xr:uid="{3F771F88-FCA1-4026-8288-6BCA957117FD}"/>
    <cellStyle name="Normal 4 2 2 5 2 9" xfId="8962" xr:uid="{FC6CFDA3-D967-4350-83ED-9B9829F5CB6E}"/>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24178" xr:uid="{59B7A9A8-7DAC-409A-8B31-C04AE0E38B07}"/>
    <cellStyle name="Normal 4 2 2 5 3 2 2 3" xfId="15737" xr:uid="{359D5D75-0011-4413-B10F-B1A331AB4B3F}"/>
    <cellStyle name="Normal 4 2 2 5 3 2 3" xfId="19960" xr:uid="{249C43D6-4A49-419A-BA3C-80AB109BE8A4}"/>
    <cellStyle name="Normal 4 2 2 5 3 2 4" xfId="11519" xr:uid="{0EE0E84C-13E0-4F4B-912F-B90DC45DE660}"/>
    <cellStyle name="Normal 4 2 2 5 3 3" xfId="5142" xr:uid="{00000000-0005-0000-0000-0000FA120000}"/>
    <cellStyle name="Normal 4 2 2 5 3 3 2" xfId="22033" xr:uid="{7A3600F9-7A01-488A-9FCE-D9DB2805CCD6}"/>
    <cellStyle name="Normal 4 2 2 5 3 3 3" xfId="13592" xr:uid="{8DBE1C83-D5FD-4494-B45C-AE704C39F004}"/>
    <cellStyle name="Normal 4 2 2 5 3 4" xfId="17815" xr:uid="{0A8F2850-6BD7-4E32-95E4-6E2EA8D5468A}"/>
    <cellStyle name="Normal 4 2 2 5 3 5" xfId="9374" xr:uid="{FD9B3733-40AB-431A-BA9B-69008E2B360F}"/>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24591" xr:uid="{80E1D3B9-C5DD-41A0-B34A-01E072D2DDAD}"/>
    <cellStyle name="Normal 4 2 2 5 4 2 2 3" xfId="16150" xr:uid="{91170CA5-E1A5-4F8D-918F-DCF9DEDB126B}"/>
    <cellStyle name="Normal 4 2 2 5 4 2 3" xfId="20373" xr:uid="{9248DF20-A1B2-4FE0-A9C3-43A79E84A7E1}"/>
    <cellStyle name="Normal 4 2 2 5 4 2 4" xfId="11932" xr:uid="{7873B756-F436-423E-B941-D3B6797B9931}"/>
    <cellStyle name="Normal 4 2 2 5 4 3" xfId="5555" xr:uid="{00000000-0005-0000-0000-0000FE120000}"/>
    <cellStyle name="Normal 4 2 2 5 4 3 2" xfId="22446" xr:uid="{3B8027B3-A652-427B-99CA-4FE533EBDF96}"/>
    <cellStyle name="Normal 4 2 2 5 4 3 3" xfId="14005" xr:uid="{61458AA2-9A46-44E5-8B40-F4C7A06587C0}"/>
    <cellStyle name="Normal 4 2 2 5 4 4" xfId="18228" xr:uid="{9FF5A518-295B-4F7E-9F10-15E82FB2A1A5}"/>
    <cellStyle name="Normal 4 2 2 5 4 5" xfId="9787" xr:uid="{11390E17-2109-4EF6-9334-23DFA86A6B96}"/>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25004" xr:uid="{4630DBE2-5825-468B-87B9-4D12CA2F3E67}"/>
    <cellStyle name="Normal 4 2 2 5 5 2 2 3" xfId="16563" xr:uid="{82CDF722-1C32-4832-97C0-B231450D450B}"/>
    <cellStyle name="Normal 4 2 2 5 5 2 3" xfId="20786" xr:uid="{BD332337-CEFC-408E-B6A1-3AA4F2BE1951}"/>
    <cellStyle name="Normal 4 2 2 5 5 2 4" xfId="12345" xr:uid="{86F4C32B-DE1E-4E7E-83DE-0B265125A639}"/>
    <cellStyle name="Normal 4 2 2 5 5 3" xfId="5968" xr:uid="{00000000-0005-0000-0000-000002130000}"/>
    <cellStyle name="Normal 4 2 2 5 5 3 2" xfId="22859" xr:uid="{747F506C-74E1-46F9-9E99-DF8FD3555525}"/>
    <cellStyle name="Normal 4 2 2 5 5 3 3" xfId="14418" xr:uid="{E559BA25-7524-4007-8342-0EDD90CE1F40}"/>
    <cellStyle name="Normal 4 2 2 5 5 4" xfId="18641" xr:uid="{5C7F359B-0FC4-46BA-8E6E-329F35CD5E27}"/>
    <cellStyle name="Normal 4 2 2 5 5 5" xfId="10200" xr:uid="{E1689E27-D811-49FA-9E0F-5D0AEC92975A}"/>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25417" xr:uid="{C5F96EE6-2278-4A92-9F45-A30B85051904}"/>
    <cellStyle name="Normal 4 2 2 5 6 2 2 3" xfId="16976" xr:uid="{0D2CB16A-A360-496B-8D9C-10CAE77FADFF}"/>
    <cellStyle name="Normal 4 2 2 5 6 2 3" xfId="21199" xr:uid="{10613F38-0874-42F3-9E59-5ADB77589AAC}"/>
    <cellStyle name="Normal 4 2 2 5 6 2 4" xfId="12758" xr:uid="{134057A5-278B-4FC9-864A-E138F64432B6}"/>
    <cellStyle name="Normal 4 2 2 5 6 3" xfId="6381" xr:uid="{00000000-0005-0000-0000-000006130000}"/>
    <cellStyle name="Normal 4 2 2 5 6 3 2" xfId="23272" xr:uid="{7112F8BA-775A-4D8F-80C4-469001BC4165}"/>
    <cellStyle name="Normal 4 2 2 5 6 3 3" xfId="14831" xr:uid="{3A36C14D-23E1-41F8-9D1D-FF724ADC65B4}"/>
    <cellStyle name="Normal 4 2 2 5 6 4" xfId="19054" xr:uid="{45419A9F-5C3F-4084-B48F-6B0A770528F1}"/>
    <cellStyle name="Normal 4 2 2 5 6 5" xfId="10613" xr:uid="{D7AF224A-CE1C-458F-B1C4-4317AD5512B0}"/>
    <cellStyle name="Normal 4 2 2 5 7" xfId="2511" xr:uid="{00000000-0005-0000-0000-000007130000}"/>
    <cellStyle name="Normal 4 2 2 5 7 2" xfId="6794" xr:uid="{00000000-0005-0000-0000-000008130000}"/>
    <cellStyle name="Normal 4 2 2 5 7 2 2" xfId="23685" xr:uid="{AA4A351D-C20E-41FF-ACB8-F3309041EBE1}"/>
    <cellStyle name="Normal 4 2 2 5 7 2 3" xfId="15244" xr:uid="{F3964036-61BB-4D6C-843A-DA1D2B4BDFF1}"/>
    <cellStyle name="Normal 4 2 2 5 7 3" xfId="19467" xr:uid="{C131AF47-7B0C-450A-9A71-5ACD3415BA22}"/>
    <cellStyle name="Normal 4 2 2 5 7 4" xfId="11026" xr:uid="{2B92E51B-58CD-4D28-9F74-FC66B960D31E}"/>
    <cellStyle name="Normal 4 2 2 5 8" xfId="4729" xr:uid="{00000000-0005-0000-0000-000009130000}"/>
    <cellStyle name="Normal 4 2 2 5 8 2" xfId="21620" xr:uid="{9A4FBCE8-784A-4006-9404-E95ED01D778E}"/>
    <cellStyle name="Normal 4 2 2 5 8 3" xfId="13179" xr:uid="{5411F682-930A-4901-AA06-90A727E30B6B}"/>
    <cellStyle name="Normal 4 2 2 5 9" xfId="17402" xr:uid="{C7ED30AF-F05F-4DC3-ACCC-614D70D477F4}"/>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24180" xr:uid="{B7895C7F-B92A-48C4-8D28-96D2D0318425}"/>
    <cellStyle name="Normal 4 2 2 6 2 2 2 3" xfId="15739" xr:uid="{76F7567A-01F0-4B82-869B-E478030E0E1C}"/>
    <cellStyle name="Normal 4 2 2 6 2 2 3" xfId="19962" xr:uid="{CF61A9D1-644B-4AA6-961A-90EBDCDD808B}"/>
    <cellStyle name="Normal 4 2 2 6 2 2 4" xfId="11521" xr:uid="{64831392-5503-4092-B8E1-B552F6151DE7}"/>
    <cellStyle name="Normal 4 2 2 6 2 3" xfId="5144" xr:uid="{00000000-0005-0000-0000-00000E130000}"/>
    <cellStyle name="Normal 4 2 2 6 2 3 2" xfId="22035" xr:uid="{5147A498-B0DE-42DF-A295-9511AA013A37}"/>
    <cellStyle name="Normal 4 2 2 6 2 3 3" xfId="13594" xr:uid="{ADC454F7-05EC-472D-8951-DAD41AFBBC3C}"/>
    <cellStyle name="Normal 4 2 2 6 2 4" xfId="17817" xr:uid="{F6176581-CA63-4102-B695-D91D09A91999}"/>
    <cellStyle name="Normal 4 2 2 6 2 5" xfId="9376" xr:uid="{3E0E724C-DBB0-4356-BB99-898639F0D5A6}"/>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24593" xr:uid="{54494845-8370-4270-BE4E-A3CFB4287654}"/>
    <cellStyle name="Normal 4 2 2 6 3 2 2 3" xfId="16152" xr:uid="{51FE4CA4-0DD0-420C-B6A2-75BDAFEE8760}"/>
    <cellStyle name="Normal 4 2 2 6 3 2 3" xfId="20375" xr:uid="{36B0DFE6-3319-474A-925F-5782D8F3C912}"/>
    <cellStyle name="Normal 4 2 2 6 3 2 4" xfId="11934" xr:uid="{A735CEA1-B842-4EED-B776-DC0F5CBCFF40}"/>
    <cellStyle name="Normal 4 2 2 6 3 3" xfId="5557" xr:uid="{00000000-0005-0000-0000-000012130000}"/>
    <cellStyle name="Normal 4 2 2 6 3 3 2" xfId="22448" xr:uid="{7A39086C-3EBF-47ED-A4FD-5EBB3224F8EC}"/>
    <cellStyle name="Normal 4 2 2 6 3 3 3" xfId="14007" xr:uid="{19A7B135-2CA0-40AD-A546-7284A84827F5}"/>
    <cellStyle name="Normal 4 2 2 6 3 4" xfId="18230" xr:uid="{38372270-A7A5-400E-BD60-F53889AA109A}"/>
    <cellStyle name="Normal 4 2 2 6 3 5" xfId="9789" xr:uid="{9F2C6208-C8B6-4534-9791-62291DB1CF75}"/>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25006" xr:uid="{31A00D47-1E20-43B2-AEA4-170EAB3276B0}"/>
    <cellStyle name="Normal 4 2 2 6 4 2 2 3" xfId="16565" xr:uid="{5DDC21FE-6888-4B6B-9FFE-822CFC39831B}"/>
    <cellStyle name="Normal 4 2 2 6 4 2 3" xfId="20788" xr:uid="{98F94773-9B00-4968-8541-EC7022D2990E}"/>
    <cellStyle name="Normal 4 2 2 6 4 2 4" xfId="12347" xr:uid="{A2703DE5-14D8-4223-BD32-4240C4374D60}"/>
    <cellStyle name="Normal 4 2 2 6 4 3" xfId="5970" xr:uid="{00000000-0005-0000-0000-000016130000}"/>
    <cellStyle name="Normal 4 2 2 6 4 3 2" xfId="22861" xr:uid="{EA26EFF3-C681-4572-BDCD-04B8980E1163}"/>
    <cellStyle name="Normal 4 2 2 6 4 3 3" xfId="14420" xr:uid="{0035A451-3D24-46D2-BFE7-458CA5ED1827}"/>
    <cellStyle name="Normal 4 2 2 6 4 4" xfId="18643" xr:uid="{C3FAC2A4-93D7-4597-951D-96342CD331CE}"/>
    <cellStyle name="Normal 4 2 2 6 4 5" xfId="10202" xr:uid="{7BB28736-FFFC-4422-9E50-77D9A17530CC}"/>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25419" xr:uid="{D8A7FBB8-FBE1-4772-9FB0-6AE6954AE1C2}"/>
    <cellStyle name="Normal 4 2 2 6 5 2 2 3" xfId="16978" xr:uid="{171B8B7C-FAA9-4950-8556-E6E1AF93E465}"/>
    <cellStyle name="Normal 4 2 2 6 5 2 3" xfId="21201" xr:uid="{726DBAA9-194D-4A1D-9E68-D42F92E3542D}"/>
    <cellStyle name="Normal 4 2 2 6 5 2 4" xfId="12760" xr:uid="{650984E2-64A8-40FC-A19E-0F89D1669676}"/>
    <cellStyle name="Normal 4 2 2 6 5 3" xfId="6383" xr:uid="{00000000-0005-0000-0000-00001A130000}"/>
    <cellStyle name="Normal 4 2 2 6 5 3 2" xfId="23274" xr:uid="{7CD370BB-3D41-4909-B5B3-3799EDA74127}"/>
    <cellStyle name="Normal 4 2 2 6 5 3 3" xfId="14833" xr:uid="{67474236-3165-4C8E-BFB7-33AC0C50040D}"/>
    <cellStyle name="Normal 4 2 2 6 5 4" xfId="19056" xr:uid="{89F48F53-F917-47E7-8809-6A2CDFE169CA}"/>
    <cellStyle name="Normal 4 2 2 6 5 5" xfId="10615" xr:uid="{AC95C290-F2C8-45D0-958A-B49293521CA5}"/>
    <cellStyle name="Normal 4 2 2 6 6" xfId="2513" xr:uid="{00000000-0005-0000-0000-00001B130000}"/>
    <cellStyle name="Normal 4 2 2 6 6 2" xfId="6796" xr:uid="{00000000-0005-0000-0000-00001C130000}"/>
    <cellStyle name="Normal 4 2 2 6 6 2 2" xfId="23687" xr:uid="{2C8256D7-C4A8-4A65-91F0-71FA51FFE8F7}"/>
    <cellStyle name="Normal 4 2 2 6 6 2 3" xfId="15246" xr:uid="{6F7A7586-80C9-48B0-A2FC-C081920F7DC0}"/>
    <cellStyle name="Normal 4 2 2 6 6 3" xfId="19469" xr:uid="{5CAC33E7-2016-4779-8D6B-954C6D72B530}"/>
    <cellStyle name="Normal 4 2 2 6 6 4" xfId="11028" xr:uid="{42D4E7F5-5C53-407E-B984-2256DFF3DC67}"/>
    <cellStyle name="Normal 4 2 2 6 7" xfId="4731" xr:uid="{00000000-0005-0000-0000-00001D130000}"/>
    <cellStyle name="Normal 4 2 2 6 7 2" xfId="21622" xr:uid="{873F71A1-8750-4B92-81D5-018961F908BF}"/>
    <cellStyle name="Normal 4 2 2 6 7 3" xfId="13181" xr:uid="{D273EB22-F916-4144-AF99-07C2CB3B7984}"/>
    <cellStyle name="Normal 4 2 2 6 8" xfId="17404" xr:uid="{FC6BB1B8-BFD6-4A36-9EBE-364047149D2D}"/>
    <cellStyle name="Normal 4 2 2 6 9" xfId="8963" xr:uid="{57FBAD85-F966-4404-93D6-CCE380E0DD5F}"/>
    <cellStyle name="Normal 4 2 2 7" xfId="815" xr:uid="{00000000-0005-0000-0000-00001E130000}"/>
    <cellStyle name="Normal 4 2 2 7 2" xfId="3052" xr:uid="{00000000-0005-0000-0000-00001F130000}"/>
    <cellStyle name="Normal 4 2 2 7 2 2" xfId="7274" xr:uid="{00000000-0005-0000-0000-000020130000}"/>
    <cellStyle name="Normal 4 2 2 7 2 2 2" xfId="24165" xr:uid="{16F6E9D6-6150-49A4-9FC5-A8634D120F32}"/>
    <cellStyle name="Normal 4 2 2 7 2 2 3" xfId="15724" xr:uid="{131F8572-80FF-4AB5-A3AD-DEF6A93CE83B}"/>
    <cellStyle name="Normal 4 2 2 7 2 3" xfId="19947" xr:uid="{AEA4E079-FF70-47F2-A509-EF46A74577EA}"/>
    <cellStyle name="Normal 4 2 2 7 2 4" xfId="11506" xr:uid="{0D166E71-2569-4D49-BBF9-E1A256183098}"/>
    <cellStyle name="Normal 4 2 2 7 3" xfId="5129" xr:uid="{00000000-0005-0000-0000-000021130000}"/>
    <cellStyle name="Normal 4 2 2 7 3 2" xfId="22020" xr:uid="{1D2D9ACF-11D1-48C3-B857-FCCDB75827F0}"/>
    <cellStyle name="Normal 4 2 2 7 3 3" xfId="13579" xr:uid="{E4567368-88FB-4665-AD92-042BA7596810}"/>
    <cellStyle name="Normal 4 2 2 7 4" xfId="17802" xr:uid="{0F184E26-7EB8-4DA0-A065-3256FEDC6EB8}"/>
    <cellStyle name="Normal 4 2 2 7 5" xfId="9361" xr:uid="{133F2872-3374-4274-A70F-F046BB7E4178}"/>
    <cellStyle name="Normal 4 2 2 8" xfId="1235" xr:uid="{00000000-0005-0000-0000-000022130000}"/>
    <cellStyle name="Normal 4 2 2 8 2" xfId="3465" xr:uid="{00000000-0005-0000-0000-000023130000}"/>
    <cellStyle name="Normal 4 2 2 8 2 2" xfId="7687" xr:uid="{00000000-0005-0000-0000-000024130000}"/>
    <cellStyle name="Normal 4 2 2 8 2 2 2" xfId="24578" xr:uid="{3039C37B-284F-4A32-8C76-494B12B04404}"/>
    <cellStyle name="Normal 4 2 2 8 2 2 3" xfId="16137" xr:uid="{AD05EA7C-ABA3-4EC6-B02C-C4695598C854}"/>
    <cellStyle name="Normal 4 2 2 8 2 3" xfId="20360" xr:uid="{6D530B70-4735-4513-8E3D-BA3A4F0BB08D}"/>
    <cellStyle name="Normal 4 2 2 8 2 4" xfId="11919" xr:uid="{B1CF5B4F-3C42-4E5A-9C0B-3308FC1A4C27}"/>
    <cellStyle name="Normal 4 2 2 8 3" xfId="5542" xr:uid="{00000000-0005-0000-0000-000025130000}"/>
    <cellStyle name="Normal 4 2 2 8 3 2" xfId="22433" xr:uid="{624BC3D3-63C4-4C70-A5A3-38E72E490037}"/>
    <cellStyle name="Normal 4 2 2 8 3 3" xfId="13992" xr:uid="{159BA593-F9B2-49D6-80C0-68552A5E8EDC}"/>
    <cellStyle name="Normal 4 2 2 8 4" xfId="18215" xr:uid="{8F71268A-4585-40B2-877E-6720062EBBA7}"/>
    <cellStyle name="Normal 4 2 2 8 5" xfId="9774" xr:uid="{404BDD6D-23E0-4979-9049-528C27ED6EB2}"/>
    <cellStyle name="Normal 4 2 2 9" xfId="1648" xr:uid="{00000000-0005-0000-0000-000026130000}"/>
    <cellStyle name="Normal 4 2 2 9 2" xfId="3878" xr:uid="{00000000-0005-0000-0000-000027130000}"/>
    <cellStyle name="Normal 4 2 2 9 2 2" xfId="8100" xr:uid="{00000000-0005-0000-0000-000028130000}"/>
    <cellStyle name="Normal 4 2 2 9 2 2 2" xfId="24991" xr:uid="{98D735B5-0208-4EFD-BAA6-BBCD372F2FE0}"/>
    <cellStyle name="Normal 4 2 2 9 2 2 3" xfId="16550" xr:uid="{80CB5979-690A-4F53-8F1B-99D29AB44227}"/>
    <cellStyle name="Normal 4 2 2 9 2 3" xfId="20773" xr:uid="{A2DD5CFD-3269-48E9-8734-2A15A493D234}"/>
    <cellStyle name="Normal 4 2 2 9 2 4" xfId="12332" xr:uid="{96A9C6E1-B698-4DA0-A6DA-48AE52666CD3}"/>
    <cellStyle name="Normal 4 2 2 9 3" xfId="5955" xr:uid="{00000000-0005-0000-0000-000029130000}"/>
    <cellStyle name="Normal 4 2 2 9 3 2" xfId="22846" xr:uid="{8AA3593C-E40D-48B4-8797-66A17EE8D2A8}"/>
    <cellStyle name="Normal 4 2 2 9 3 3" xfId="14405" xr:uid="{574A7790-EAAE-4346-8155-4295D61604A6}"/>
    <cellStyle name="Normal 4 2 2 9 4" xfId="18628" xr:uid="{2FAD94DE-A6A6-4E5A-8B3A-DF160A3CD051}"/>
    <cellStyle name="Normal 4 2 2 9 5" xfId="10187" xr:uid="{6E1168E7-1310-4D23-A353-0C1A9DECE8DA}"/>
    <cellStyle name="Normal 4 2 3" xfId="354" xr:uid="{00000000-0005-0000-0000-00002A130000}"/>
    <cellStyle name="Normal 4 2 3 2" xfId="25760" xr:uid="{5FC2FA27-9886-4CA9-801A-F15FDBE25AFA}"/>
    <cellStyle name="Normal 4 2 3 3" xfId="25761" xr:uid="{F995255A-9745-45CD-9330-5E539F81CCD8}"/>
    <cellStyle name="Normal 4 2 3 4" xfId="25826" xr:uid="{D7611423-4B65-4F6F-AF47-8C6566883F55}"/>
    <cellStyle name="Normal 4 2 3 5" xfId="25667" xr:uid="{8E4ED04D-602A-4BCC-9E16-155BAD8F00A8}"/>
    <cellStyle name="Normal 4 2 3_Dropdowns" xfId="25759" xr:uid="{2D693C68-96CD-485E-A544-95F14F9715A8}"/>
    <cellStyle name="Normal 4 2 4" xfId="355" xr:uid="{00000000-0005-0000-0000-00002B130000}"/>
    <cellStyle name="Normal 4 2 4 10" xfId="4732" xr:uid="{00000000-0005-0000-0000-00002C130000}"/>
    <cellStyle name="Normal 4 2 4 10 2" xfId="21623" xr:uid="{533A8C8D-E58C-4B50-878F-5210EA81EB30}"/>
    <cellStyle name="Normal 4 2 4 10 3" xfId="13182" xr:uid="{433AFA16-7960-4062-BC3E-E061D07CA47E}"/>
    <cellStyle name="Normal 4 2 4 11" xfId="17405" xr:uid="{3E8135D2-9DBA-4372-8720-BCDCF176273E}"/>
    <cellStyle name="Normal 4 2 4 12" xfId="8964" xr:uid="{F4310CC8-CAE1-4DAB-9E8C-8BD0298E502F}"/>
    <cellStyle name="Normal 4 2 4 13" xfId="25762" xr:uid="{F850B2A9-DFAE-4C60-A150-94C37A711F0D}"/>
    <cellStyle name="Normal 4 2 4 2" xfId="356" xr:uid="{00000000-0005-0000-0000-00002D130000}"/>
    <cellStyle name="Normal 4 2 4 2 10" xfId="17406" xr:uid="{19F8A69E-F2B5-4B45-B5F1-DD65B7F95783}"/>
    <cellStyle name="Normal 4 2 4 2 11" xfId="8965" xr:uid="{72A39507-26DD-47AA-862A-97C49103CDCD}"/>
    <cellStyle name="Normal 4 2 4 2 2" xfId="357" xr:uid="{00000000-0005-0000-0000-00002E130000}"/>
    <cellStyle name="Normal 4 2 4 2 2 10" xfId="8966" xr:uid="{F5B35E46-4D39-424A-B4AA-67B79222D614}"/>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24184" xr:uid="{459D2653-62C0-48FE-974B-9D0550251336}"/>
    <cellStyle name="Normal 4 2 4 2 2 2 2 2 2 3" xfId="15743" xr:uid="{D1CBA626-8B30-4AC1-9857-A5AE9DED9B55}"/>
    <cellStyle name="Normal 4 2 4 2 2 2 2 2 3" xfId="19966" xr:uid="{FFCC4505-B58B-4EEA-A08D-4E4D21A6B530}"/>
    <cellStyle name="Normal 4 2 4 2 2 2 2 2 4" xfId="11525" xr:uid="{6F1F783B-0F8A-4A88-BF47-9615A68395F5}"/>
    <cellStyle name="Normal 4 2 4 2 2 2 2 3" xfId="5148" xr:uid="{00000000-0005-0000-0000-000033130000}"/>
    <cellStyle name="Normal 4 2 4 2 2 2 2 3 2" xfId="22039" xr:uid="{5DB97936-C603-40A0-817E-D1B8D1E83C56}"/>
    <cellStyle name="Normal 4 2 4 2 2 2 2 3 3" xfId="13598" xr:uid="{B28EA3E6-AACD-4DB2-AB2D-20B289A98AC7}"/>
    <cellStyle name="Normal 4 2 4 2 2 2 2 4" xfId="17821" xr:uid="{A0E6F5E3-FC96-4394-A6FB-9D05621554A6}"/>
    <cellStyle name="Normal 4 2 4 2 2 2 2 5" xfId="9380" xr:uid="{6CFD3BC1-0E47-4FAB-AA72-281BC376EF68}"/>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24597" xr:uid="{8D15A41B-0A0E-4B3D-A8FA-C84107D242C9}"/>
    <cellStyle name="Normal 4 2 4 2 2 2 3 2 2 3" xfId="16156" xr:uid="{A8E97380-929A-40C4-95E2-A33AE957875C}"/>
    <cellStyle name="Normal 4 2 4 2 2 2 3 2 3" xfId="20379" xr:uid="{72D27076-1491-406B-A76B-149769187A9B}"/>
    <cellStyle name="Normal 4 2 4 2 2 2 3 2 4" xfId="11938" xr:uid="{010932F9-729A-4FDA-A1AB-52D08250C0AB}"/>
    <cellStyle name="Normal 4 2 4 2 2 2 3 3" xfId="5561" xr:uid="{00000000-0005-0000-0000-000037130000}"/>
    <cellStyle name="Normal 4 2 4 2 2 2 3 3 2" xfId="22452" xr:uid="{1A9A4885-7597-4525-8167-F34B20C88B58}"/>
    <cellStyle name="Normal 4 2 4 2 2 2 3 3 3" xfId="14011" xr:uid="{B0C81E8F-5EFC-456F-A669-D697E04FA9DD}"/>
    <cellStyle name="Normal 4 2 4 2 2 2 3 4" xfId="18234" xr:uid="{7F6BF45B-82FB-4683-9C8E-82BC1C377AC2}"/>
    <cellStyle name="Normal 4 2 4 2 2 2 3 5" xfId="9793" xr:uid="{21A91AFE-4882-44CA-BD57-CC30C22396BC}"/>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25010" xr:uid="{750F8093-97F0-40CE-AAE3-DA71FD9E2795}"/>
    <cellStyle name="Normal 4 2 4 2 2 2 4 2 2 3" xfId="16569" xr:uid="{80B19C90-9BAC-49FB-9E93-92425A48A9B6}"/>
    <cellStyle name="Normal 4 2 4 2 2 2 4 2 3" xfId="20792" xr:uid="{DD3EAC10-F606-4E46-841B-5A22E5A1359B}"/>
    <cellStyle name="Normal 4 2 4 2 2 2 4 2 4" xfId="12351" xr:uid="{9A6AA5E6-C765-4333-AE0F-2BEE4671BE84}"/>
    <cellStyle name="Normal 4 2 4 2 2 2 4 3" xfId="5974" xr:uid="{00000000-0005-0000-0000-00003B130000}"/>
    <cellStyle name="Normal 4 2 4 2 2 2 4 3 2" xfId="22865" xr:uid="{C8FE9951-0F04-440F-AE7C-B1F89BC4C28C}"/>
    <cellStyle name="Normal 4 2 4 2 2 2 4 3 3" xfId="14424" xr:uid="{BD16ED7D-5F27-45C4-BE8D-5D39DDD6F11F}"/>
    <cellStyle name="Normal 4 2 4 2 2 2 4 4" xfId="18647" xr:uid="{29C3675C-EA14-40A1-AD36-6D633A219CAC}"/>
    <cellStyle name="Normal 4 2 4 2 2 2 4 5" xfId="10206" xr:uid="{7945B536-73DA-464D-9030-2B8757AF9A16}"/>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25423" xr:uid="{2E4D4042-FADA-4065-B4C2-8C5F5A1F5DC2}"/>
    <cellStyle name="Normal 4 2 4 2 2 2 5 2 2 3" xfId="16982" xr:uid="{5662451C-3A7E-4529-9EC5-A940357AD7A4}"/>
    <cellStyle name="Normal 4 2 4 2 2 2 5 2 3" xfId="21205" xr:uid="{AA196A91-ED31-480F-93C6-4C59885A24CA}"/>
    <cellStyle name="Normal 4 2 4 2 2 2 5 2 4" xfId="12764" xr:uid="{15CAD209-9C5E-4967-A5D1-C177CD3CEACD}"/>
    <cellStyle name="Normal 4 2 4 2 2 2 5 3" xfId="6387" xr:uid="{00000000-0005-0000-0000-00003F130000}"/>
    <cellStyle name="Normal 4 2 4 2 2 2 5 3 2" xfId="23278" xr:uid="{97757FEE-0C2B-4CAD-9478-9501119DE15A}"/>
    <cellStyle name="Normal 4 2 4 2 2 2 5 3 3" xfId="14837" xr:uid="{A1CAB5D8-7E8C-4610-8D20-A954D539A61D}"/>
    <cellStyle name="Normal 4 2 4 2 2 2 5 4" xfId="19060" xr:uid="{C308B35E-B8EF-4776-A331-8C528D1D982E}"/>
    <cellStyle name="Normal 4 2 4 2 2 2 5 5" xfId="10619" xr:uid="{BB5FE698-3255-4BDF-B70A-7C0D47E6D8E3}"/>
    <cellStyle name="Normal 4 2 4 2 2 2 6" xfId="2517" xr:uid="{00000000-0005-0000-0000-000040130000}"/>
    <cellStyle name="Normal 4 2 4 2 2 2 6 2" xfId="6800" xr:uid="{00000000-0005-0000-0000-000041130000}"/>
    <cellStyle name="Normal 4 2 4 2 2 2 6 2 2" xfId="23691" xr:uid="{874BD74F-1495-4DAD-B3AF-71C5C6142363}"/>
    <cellStyle name="Normal 4 2 4 2 2 2 6 2 3" xfId="15250" xr:uid="{0F40BBE3-6D4F-4B8E-BE3B-931FA324B84C}"/>
    <cellStyle name="Normal 4 2 4 2 2 2 6 3" xfId="19473" xr:uid="{26F1ECE4-7CB2-48B8-A545-3958A755FE59}"/>
    <cellStyle name="Normal 4 2 4 2 2 2 6 4" xfId="11032" xr:uid="{6BE4B2BF-C923-456B-B83E-336677AA4FBD}"/>
    <cellStyle name="Normal 4 2 4 2 2 2 7" xfId="4735" xr:uid="{00000000-0005-0000-0000-000042130000}"/>
    <cellStyle name="Normal 4 2 4 2 2 2 7 2" xfId="21626" xr:uid="{92D4D9BD-907E-4856-BA35-C80A9E52954D}"/>
    <cellStyle name="Normal 4 2 4 2 2 2 7 3" xfId="13185" xr:uid="{E9DDB2C1-8C57-4C60-8674-C9E7FBE4F977}"/>
    <cellStyle name="Normal 4 2 4 2 2 2 8" xfId="17408" xr:uid="{30DFC011-509D-4857-9AEE-BAB79D398874}"/>
    <cellStyle name="Normal 4 2 4 2 2 2 9" xfId="8967" xr:uid="{ADA47B17-758A-41B5-8544-DC3FF07A75C2}"/>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24183" xr:uid="{2E935D9D-5BD1-47E4-B523-C14B1E8B6C72}"/>
    <cellStyle name="Normal 4 2 4 2 2 3 2 2 3" xfId="15742" xr:uid="{CC77CB49-5255-40A0-960C-C8E798504DE5}"/>
    <cellStyle name="Normal 4 2 4 2 2 3 2 3" xfId="19965" xr:uid="{6C9D56C7-E548-49D1-A1E4-311D5F76D349}"/>
    <cellStyle name="Normal 4 2 4 2 2 3 2 4" xfId="11524" xr:uid="{65FBA544-407B-45CB-8D78-28BC5D43BD1C}"/>
    <cellStyle name="Normal 4 2 4 2 2 3 3" xfId="5147" xr:uid="{00000000-0005-0000-0000-000046130000}"/>
    <cellStyle name="Normal 4 2 4 2 2 3 3 2" xfId="22038" xr:uid="{8A6668F4-239A-4ED3-BCE2-B435229A0E26}"/>
    <cellStyle name="Normal 4 2 4 2 2 3 3 3" xfId="13597" xr:uid="{BB3DDBD7-F5DE-40E3-8C5A-49847ADF37D6}"/>
    <cellStyle name="Normal 4 2 4 2 2 3 4" xfId="17820" xr:uid="{ED5F7BBC-25E1-4CAC-BE78-C89ED5536BFF}"/>
    <cellStyle name="Normal 4 2 4 2 2 3 5" xfId="9379" xr:uid="{74CC6743-F5CA-4D9D-8A0A-90C6995AF256}"/>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24596" xr:uid="{6D92E5AC-CCEB-4FC3-80AC-F609174FB3C2}"/>
    <cellStyle name="Normal 4 2 4 2 2 4 2 2 3" xfId="16155" xr:uid="{CF1A3EBB-9280-4DED-B57A-BAD39EE3E575}"/>
    <cellStyle name="Normal 4 2 4 2 2 4 2 3" xfId="20378" xr:uid="{F5BCC300-9832-4D86-A0DE-BE0F5E17F350}"/>
    <cellStyle name="Normal 4 2 4 2 2 4 2 4" xfId="11937" xr:uid="{F612C201-6418-4F6D-8F2C-C1210648A83B}"/>
    <cellStyle name="Normal 4 2 4 2 2 4 3" xfId="5560" xr:uid="{00000000-0005-0000-0000-00004A130000}"/>
    <cellStyle name="Normal 4 2 4 2 2 4 3 2" xfId="22451" xr:uid="{AB66D2E4-1757-402A-B691-C7878057DEFF}"/>
    <cellStyle name="Normal 4 2 4 2 2 4 3 3" xfId="14010" xr:uid="{96DC099B-B715-43D2-AC76-83F9DDB3F60F}"/>
    <cellStyle name="Normal 4 2 4 2 2 4 4" xfId="18233" xr:uid="{C082C7C9-36E3-409D-8EA4-01EB297FFC46}"/>
    <cellStyle name="Normal 4 2 4 2 2 4 5" xfId="9792" xr:uid="{7AB429B1-9413-4EA5-929C-0EF05D24B78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25009" xr:uid="{7F54D256-4D53-4C30-829B-528475EC1BB4}"/>
    <cellStyle name="Normal 4 2 4 2 2 5 2 2 3" xfId="16568" xr:uid="{870EC586-E68B-4748-8873-BB584B4539BE}"/>
    <cellStyle name="Normal 4 2 4 2 2 5 2 3" xfId="20791" xr:uid="{6B6472EF-0041-4931-9ACD-09DA172292DE}"/>
    <cellStyle name="Normal 4 2 4 2 2 5 2 4" xfId="12350" xr:uid="{FB1096D8-D323-4E62-9396-9D66EBC24FD0}"/>
    <cellStyle name="Normal 4 2 4 2 2 5 3" xfId="5973" xr:uid="{00000000-0005-0000-0000-00004E130000}"/>
    <cellStyle name="Normal 4 2 4 2 2 5 3 2" xfId="22864" xr:uid="{A1788A07-7D6F-4AD9-A893-04D32595EC81}"/>
    <cellStyle name="Normal 4 2 4 2 2 5 3 3" xfId="14423" xr:uid="{128180E6-D6B5-4D29-A1A4-88F54E50B719}"/>
    <cellStyle name="Normal 4 2 4 2 2 5 4" xfId="18646" xr:uid="{3AF886C9-E38E-4D77-B79A-F2ACFC1F942B}"/>
    <cellStyle name="Normal 4 2 4 2 2 5 5" xfId="10205" xr:uid="{7DD4CCC5-AF61-4BC8-A0BA-2C2AA9EACE6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25422" xr:uid="{375F3018-9C1F-46AD-BA12-B01A7FEB3B3C}"/>
    <cellStyle name="Normal 4 2 4 2 2 6 2 2 3" xfId="16981" xr:uid="{23D82F63-67E5-429F-9024-1A403C36850B}"/>
    <cellStyle name="Normal 4 2 4 2 2 6 2 3" xfId="21204" xr:uid="{E6922C9E-6725-432A-8CA7-F58F64E5B18F}"/>
    <cellStyle name="Normal 4 2 4 2 2 6 2 4" xfId="12763" xr:uid="{8737BC13-86B6-4F70-9123-A748F4623441}"/>
    <cellStyle name="Normal 4 2 4 2 2 6 3" xfId="6386" xr:uid="{00000000-0005-0000-0000-000052130000}"/>
    <cellStyle name="Normal 4 2 4 2 2 6 3 2" xfId="23277" xr:uid="{D49A0DE4-36A2-4D8B-BBE6-C728771E7937}"/>
    <cellStyle name="Normal 4 2 4 2 2 6 3 3" xfId="14836" xr:uid="{F48583E9-A871-4759-9E1E-630649685878}"/>
    <cellStyle name="Normal 4 2 4 2 2 6 4" xfId="19059" xr:uid="{56DC6817-3942-4CDF-A0EB-C97C2507ECAE}"/>
    <cellStyle name="Normal 4 2 4 2 2 6 5" xfId="10618" xr:uid="{BAFD43F7-F2DD-47EB-A35F-FCED6313D611}"/>
    <cellStyle name="Normal 4 2 4 2 2 7" xfId="2516" xr:uid="{00000000-0005-0000-0000-000053130000}"/>
    <cellStyle name="Normal 4 2 4 2 2 7 2" xfId="6799" xr:uid="{00000000-0005-0000-0000-000054130000}"/>
    <cellStyle name="Normal 4 2 4 2 2 7 2 2" xfId="23690" xr:uid="{6B85C1A2-6696-49B3-A03D-4125D193D491}"/>
    <cellStyle name="Normal 4 2 4 2 2 7 2 3" xfId="15249" xr:uid="{D901308E-DC32-40BC-B0C6-9FC09C17AECE}"/>
    <cellStyle name="Normal 4 2 4 2 2 7 3" xfId="19472" xr:uid="{FE064A01-DF05-4255-8050-DC1F345FE6FF}"/>
    <cellStyle name="Normal 4 2 4 2 2 7 4" xfId="11031" xr:uid="{E6BDDD79-CA32-4228-B15E-E901A6339F46}"/>
    <cellStyle name="Normal 4 2 4 2 2 8" xfId="4734" xr:uid="{00000000-0005-0000-0000-000055130000}"/>
    <cellStyle name="Normal 4 2 4 2 2 8 2" xfId="21625" xr:uid="{CD7EC851-4454-42E5-9142-66CF36F4131C}"/>
    <cellStyle name="Normal 4 2 4 2 2 8 3" xfId="13184" xr:uid="{AC47B424-3BBE-4BA7-B186-80C1CA584DDB}"/>
    <cellStyle name="Normal 4 2 4 2 2 9" xfId="17407" xr:uid="{0AD36BA6-3A7E-4751-A382-DFFC0FE5956C}"/>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24185" xr:uid="{FC0FF20E-CB28-4A6C-B532-0609D04BABBA}"/>
    <cellStyle name="Normal 4 2 4 2 3 2 2 2 3" xfId="15744" xr:uid="{9332F232-78FA-4CDD-B54E-205D6F468F9E}"/>
    <cellStyle name="Normal 4 2 4 2 3 2 2 3" xfId="19967" xr:uid="{9F8BD13C-9A50-4C42-83F5-5167BE10ED83}"/>
    <cellStyle name="Normal 4 2 4 2 3 2 2 4" xfId="11526" xr:uid="{CA126027-2025-4AF3-B389-D9998154C150}"/>
    <cellStyle name="Normal 4 2 4 2 3 2 3" xfId="5149" xr:uid="{00000000-0005-0000-0000-00005A130000}"/>
    <cellStyle name="Normal 4 2 4 2 3 2 3 2" xfId="22040" xr:uid="{529CE66E-F17A-4A06-9872-014E28747BAE}"/>
    <cellStyle name="Normal 4 2 4 2 3 2 3 3" xfId="13599" xr:uid="{CD1F60DB-4DB6-46BC-962A-BBFD2621518E}"/>
    <cellStyle name="Normal 4 2 4 2 3 2 4" xfId="17822" xr:uid="{B64A72B8-32C8-40B3-A1CF-9E80EF578AD4}"/>
    <cellStyle name="Normal 4 2 4 2 3 2 5" xfId="9381" xr:uid="{A0674F42-62A0-4750-96DA-F8530D6555F3}"/>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24598" xr:uid="{975728ED-EB4A-42F7-BD49-02CAECDA03C5}"/>
    <cellStyle name="Normal 4 2 4 2 3 3 2 2 3" xfId="16157" xr:uid="{69163F96-A518-4EA2-9C21-F2D652AE10B6}"/>
    <cellStyle name="Normal 4 2 4 2 3 3 2 3" xfId="20380" xr:uid="{61E10EB3-093F-4F50-8D91-EEB4DB210DB5}"/>
    <cellStyle name="Normal 4 2 4 2 3 3 2 4" xfId="11939" xr:uid="{FF9D5D1A-FD28-48E8-862C-B9E71BCBB157}"/>
    <cellStyle name="Normal 4 2 4 2 3 3 3" xfId="5562" xr:uid="{00000000-0005-0000-0000-00005E130000}"/>
    <cellStyle name="Normal 4 2 4 2 3 3 3 2" xfId="22453" xr:uid="{38E88784-E73D-46B2-97B5-30D33773E2A6}"/>
    <cellStyle name="Normal 4 2 4 2 3 3 3 3" xfId="14012" xr:uid="{DC2A4855-12CE-4C8F-AA22-8B6E3285ADD8}"/>
    <cellStyle name="Normal 4 2 4 2 3 3 4" xfId="18235" xr:uid="{8D0EEB77-44D9-4929-A98F-4E2272F4DF6A}"/>
    <cellStyle name="Normal 4 2 4 2 3 3 5" xfId="9794" xr:uid="{F41376BC-6AEC-4229-9C9E-9D898B4F4AD6}"/>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25011" xr:uid="{83843C85-AB82-4DBD-A179-EE5F069ACDAD}"/>
    <cellStyle name="Normal 4 2 4 2 3 4 2 2 3" xfId="16570" xr:uid="{88D51087-4102-4BD2-AB36-1A907CAF0187}"/>
    <cellStyle name="Normal 4 2 4 2 3 4 2 3" xfId="20793" xr:uid="{AA5F20C2-D662-4EE6-9E36-87B2B6D0F0D0}"/>
    <cellStyle name="Normal 4 2 4 2 3 4 2 4" xfId="12352" xr:uid="{669C0C90-8835-4923-AF95-8CD1FC5758B7}"/>
    <cellStyle name="Normal 4 2 4 2 3 4 3" xfId="5975" xr:uid="{00000000-0005-0000-0000-000062130000}"/>
    <cellStyle name="Normal 4 2 4 2 3 4 3 2" xfId="22866" xr:uid="{C14169A2-B06B-45C8-8B53-30B1E1BFAA02}"/>
    <cellStyle name="Normal 4 2 4 2 3 4 3 3" xfId="14425" xr:uid="{23CC8A5B-21F4-4634-811E-EA7FE06127E1}"/>
    <cellStyle name="Normal 4 2 4 2 3 4 4" xfId="18648" xr:uid="{A4331762-62A6-4A84-8830-0CB2D4685152}"/>
    <cellStyle name="Normal 4 2 4 2 3 4 5" xfId="10207" xr:uid="{26F0EE05-E7FC-4D06-B724-CE69F448A439}"/>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25424" xr:uid="{1AFD346E-6E94-4913-A4CE-DD9B0F1998FC}"/>
    <cellStyle name="Normal 4 2 4 2 3 5 2 2 3" xfId="16983" xr:uid="{8EC18F3D-3291-467B-945A-465B912FD827}"/>
    <cellStyle name="Normal 4 2 4 2 3 5 2 3" xfId="21206" xr:uid="{3CC294E7-2174-48B5-BBB4-453547DF49BE}"/>
    <cellStyle name="Normal 4 2 4 2 3 5 2 4" xfId="12765" xr:uid="{64E74674-E258-4F0D-9C2A-90A5ADBE53C6}"/>
    <cellStyle name="Normal 4 2 4 2 3 5 3" xfId="6388" xr:uid="{00000000-0005-0000-0000-000066130000}"/>
    <cellStyle name="Normal 4 2 4 2 3 5 3 2" xfId="23279" xr:uid="{6087201F-FBB1-4186-BE00-A578B0223C7F}"/>
    <cellStyle name="Normal 4 2 4 2 3 5 3 3" xfId="14838" xr:uid="{8FC392C3-EDC6-4105-BAC2-B025B3851911}"/>
    <cellStyle name="Normal 4 2 4 2 3 5 4" xfId="19061" xr:uid="{D4CE347D-46DB-4323-82F1-0E8D69A58676}"/>
    <cellStyle name="Normal 4 2 4 2 3 5 5" xfId="10620" xr:uid="{EBF21E30-7F61-41B9-9AA7-9DAE1991678C}"/>
    <cellStyle name="Normal 4 2 4 2 3 6" xfId="2518" xr:uid="{00000000-0005-0000-0000-000067130000}"/>
    <cellStyle name="Normal 4 2 4 2 3 6 2" xfId="6801" xr:uid="{00000000-0005-0000-0000-000068130000}"/>
    <cellStyle name="Normal 4 2 4 2 3 6 2 2" xfId="23692" xr:uid="{461D590A-ED9D-46EF-9537-78046A96171D}"/>
    <cellStyle name="Normal 4 2 4 2 3 6 2 3" xfId="15251" xr:uid="{A531C252-FD62-43AF-91F9-200D3CF817BB}"/>
    <cellStyle name="Normal 4 2 4 2 3 6 3" xfId="19474" xr:uid="{7511CF34-4BF5-46CB-8A21-38364964EC33}"/>
    <cellStyle name="Normal 4 2 4 2 3 6 4" xfId="11033" xr:uid="{08C1DAAA-F3FE-4250-89B4-9327F5AF79C1}"/>
    <cellStyle name="Normal 4 2 4 2 3 7" xfId="4736" xr:uid="{00000000-0005-0000-0000-000069130000}"/>
    <cellStyle name="Normal 4 2 4 2 3 7 2" xfId="21627" xr:uid="{F529CB60-214F-40E0-892D-1DD0473E3F8A}"/>
    <cellStyle name="Normal 4 2 4 2 3 7 3" xfId="13186" xr:uid="{9768F6B0-C0FC-447F-9FF2-B35E5B884286}"/>
    <cellStyle name="Normal 4 2 4 2 3 8" xfId="17409" xr:uid="{0D8514DA-5AEE-4344-9264-CF6A477A8206}"/>
    <cellStyle name="Normal 4 2 4 2 3 9" xfId="8968" xr:uid="{05899110-A472-4E17-991E-C2597C0DC62B}"/>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24182" xr:uid="{70FBDCAF-5225-4EA0-AABE-CB73286F50AA}"/>
    <cellStyle name="Normal 4 2 4 2 4 2 2 3" xfId="15741" xr:uid="{8BBE2CB4-A8B5-4C87-BDB5-7A791265C5D6}"/>
    <cellStyle name="Normal 4 2 4 2 4 2 3" xfId="19964" xr:uid="{105BB59C-C404-4611-B6CF-703538A564C5}"/>
    <cellStyle name="Normal 4 2 4 2 4 2 4" xfId="11523" xr:uid="{1976D107-1F98-4B8D-933F-C3B5500C36F0}"/>
    <cellStyle name="Normal 4 2 4 2 4 3" xfId="5146" xr:uid="{00000000-0005-0000-0000-00006D130000}"/>
    <cellStyle name="Normal 4 2 4 2 4 3 2" xfId="22037" xr:uid="{40662B6F-B50B-4D85-ABD3-B3CA4380C71C}"/>
    <cellStyle name="Normal 4 2 4 2 4 3 3" xfId="13596" xr:uid="{42EF452A-D203-4B5C-BB63-43B751984752}"/>
    <cellStyle name="Normal 4 2 4 2 4 4" xfId="17819" xr:uid="{E81E34FA-945A-4D60-A518-EB3F89C29DCA}"/>
    <cellStyle name="Normal 4 2 4 2 4 5" xfId="9378" xr:uid="{53EFBA69-FDFB-4DE8-81C0-85200EEC90AD}"/>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24595" xr:uid="{BFC2088C-23E8-41BD-8AC9-F4F9B7E2A13C}"/>
    <cellStyle name="Normal 4 2 4 2 5 2 2 3" xfId="16154" xr:uid="{F3CB8E85-D15E-4535-8FFF-7663B06DAF8E}"/>
    <cellStyle name="Normal 4 2 4 2 5 2 3" xfId="20377" xr:uid="{48E15D5B-314F-4D94-B27A-34867BB71863}"/>
    <cellStyle name="Normal 4 2 4 2 5 2 4" xfId="11936" xr:uid="{0C0A46EF-7947-41CC-88A5-A0E0C88BB084}"/>
    <cellStyle name="Normal 4 2 4 2 5 3" xfId="5559" xr:uid="{00000000-0005-0000-0000-000071130000}"/>
    <cellStyle name="Normal 4 2 4 2 5 3 2" xfId="22450" xr:uid="{9225AD61-C640-4DFD-B104-413441BEF252}"/>
    <cellStyle name="Normal 4 2 4 2 5 3 3" xfId="14009" xr:uid="{B0981C8D-1D95-43D3-8417-C599CC42AB07}"/>
    <cellStyle name="Normal 4 2 4 2 5 4" xfId="18232" xr:uid="{AA957CB3-576D-4612-9900-2AB1A7B8D77C}"/>
    <cellStyle name="Normal 4 2 4 2 5 5" xfId="9791" xr:uid="{BA449207-560C-4B03-B82C-37190671F769}"/>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25008" xr:uid="{1C566C5C-4151-4FEF-A88B-533422DBC0BE}"/>
    <cellStyle name="Normal 4 2 4 2 6 2 2 3" xfId="16567" xr:uid="{1CBA9427-B71C-47B6-88A9-A53DA0CCBA60}"/>
    <cellStyle name="Normal 4 2 4 2 6 2 3" xfId="20790" xr:uid="{50BE99D6-66D8-4DB4-ABF9-E995B2A1943B}"/>
    <cellStyle name="Normal 4 2 4 2 6 2 4" xfId="12349" xr:uid="{687E7FFF-1408-41F1-8361-4B4EA9E3704B}"/>
    <cellStyle name="Normal 4 2 4 2 6 3" xfId="5972" xr:uid="{00000000-0005-0000-0000-000075130000}"/>
    <cellStyle name="Normal 4 2 4 2 6 3 2" xfId="22863" xr:uid="{6EE55582-C3D3-4F21-882D-BFBAD472B33A}"/>
    <cellStyle name="Normal 4 2 4 2 6 3 3" xfId="14422" xr:uid="{C69C7E4B-7D2E-4540-B1C0-65D1732FEB4A}"/>
    <cellStyle name="Normal 4 2 4 2 6 4" xfId="18645" xr:uid="{1A2C23B7-A3DE-43F4-BB6D-39CD425D7B6C}"/>
    <cellStyle name="Normal 4 2 4 2 6 5" xfId="10204" xr:uid="{354EE980-6C83-4D04-89BD-BAA857C3E3AF}"/>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25421" xr:uid="{1828EAE5-D3E0-41D1-BB2A-9410C9F02648}"/>
    <cellStyle name="Normal 4 2 4 2 7 2 2 3" xfId="16980" xr:uid="{A025D4B3-A0EC-43B1-A56A-138512597E86}"/>
    <cellStyle name="Normal 4 2 4 2 7 2 3" xfId="21203" xr:uid="{8DD4E25E-FD6D-48AC-8A0D-4FD4DA8CE1B4}"/>
    <cellStyle name="Normal 4 2 4 2 7 2 4" xfId="12762" xr:uid="{EFBCD508-FD96-4A16-90C5-C8896E614D11}"/>
    <cellStyle name="Normal 4 2 4 2 7 3" xfId="6385" xr:uid="{00000000-0005-0000-0000-000079130000}"/>
    <cellStyle name="Normal 4 2 4 2 7 3 2" xfId="23276" xr:uid="{FFDD6822-83DE-4631-BF60-D7BC11E811FB}"/>
    <cellStyle name="Normal 4 2 4 2 7 3 3" xfId="14835" xr:uid="{3995E2E3-EDA6-4D83-AF06-532FFAA97A3E}"/>
    <cellStyle name="Normal 4 2 4 2 7 4" xfId="19058" xr:uid="{33C08B6B-167E-4049-A7D7-B925CD95B8D9}"/>
    <cellStyle name="Normal 4 2 4 2 7 5" xfId="10617" xr:uid="{6D523C01-A9DD-402F-B1E2-5E5A4EE96722}"/>
    <cellStyle name="Normal 4 2 4 2 8" xfId="2515" xr:uid="{00000000-0005-0000-0000-00007A130000}"/>
    <cellStyle name="Normal 4 2 4 2 8 2" xfId="6798" xr:uid="{00000000-0005-0000-0000-00007B130000}"/>
    <cellStyle name="Normal 4 2 4 2 8 2 2" xfId="23689" xr:uid="{CC4491C7-5C76-4A50-B4F2-1FFD16320FCF}"/>
    <cellStyle name="Normal 4 2 4 2 8 2 3" xfId="15248" xr:uid="{06312A28-E835-4A74-B65B-535240D9FBB1}"/>
    <cellStyle name="Normal 4 2 4 2 8 3" xfId="19471" xr:uid="{CD238D8C-339B-459B-BCBD-70B7C2B43484}"/>
    <cellStyle name="Normal 4 2 4 2 8 4" xfId="11030" xr:uid="{AC1618B3-88EF-4BFD-9035-7C479CE06ADB}"/>
    <cellStyle name="Normal 4 2 4 2 9" xfId="4733" xr:uid="{00000000-0005-0000-0000-00007C130000}"/>
    <cellStyle name="Normal 4 2 4 2 9 2" xfId="21624" xr:uid="{683F409F-2940-463D-8235-A57423886E27}"/>
    <cellStyle name="Normal 4 2 4 2 9 3" xfId="13183" xr:uid="{96CE69B9-B5EB-4C1A-9E12-8987BD339356}"/>
    <cellStyle name="Normal 4 2 4 3" xfId="360" xr:uid="{00000000-0005-0000-0000-00007D130000}"/>
    <cellStyle name="Normal 4 2 4 3 10" xfId="8969" xr:uid="{D57B8CD2-C22E-443D-BD9C-2F0B613B9628}"/>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24187" xr:uid="{3E8CBD52-AAA0-4320-AF90-8B4E3AD4B346}"/>
    <cellStyle name="Normal 4 2 4 3 2 2 2 2 3" xfId="15746" xr:uid="{959D4312-76CD-4099-A525-F88DA00E718B}"/>
    <cellStyle name="Normal 4 2 4 3 2 2 2 3" xfId="19969" xr:uid="{2B2A9362-A07C-4417-8112-B17FD085E3C7}"/>
    <cellStyle name="Normal 4 2 4 3 2 2 2 4" xfId="11528" xr:uid="{6CDE5195-F48C-4324-B477-1840C5F8320C}"/>
    <cellStyle name="Normal 4 2 4 3 2 2 3" xfId="5151" xr:uid="{00000000-0005-0000-0000-000082130000}"/>
    <cellStyle name="Normal 4 2 4 3 2 2 3 2" xfId="22042" xr:uid="{FBDD7086-8C03-4AB8-92E5-C787A7270121}"/>
    <cellStyle name="Normal 4 2 4 3 2 2 3 3" xfId="13601" xr:uid="{DD0A95E0-4F7A-4DF1-97F5-BEADEAC60CCC}"/>
    <cellStyle name="Normal 4 2 4 3 2 2 4" xfId="17824" xr:uid="{184C574B-9C26-402C-BD6C-BEE5177F6C60}"/>
    <cellStyle name="Normal 4 2 4 3 2 2 5" xfId="9383" xr:uid="{A1EA0BED-56F5-4FB1-BF68-78C96B36B3DB}"/>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24600" xr:uid="{1A40AED3-4ABC-45FC-B9F8-7C21E576299E}"/>
    <cellStyle name="Normal 4 2 4 3 2 3 2 2 3" xfId="16159" xr:uid="{74508FC6-E79C-42DF-B390-71ABD95CC956}"/>
    <cellStyle name="Normal 4 2 4 3 2 3 2 3" xfId="20382" xr:uid="{4C649C79-48DF-494C-8D6E-41A0E7AF1CE7}"/>
    <cellStyle name="Normal 4 2 4 3 2 3 2 4" xfId="11941" xr:uid="{0A2A27FD-B809-413C-8C56-5465E521553A}"/>
    <cellStyle name="Normal 4 2 4 3 2 3 3" xfId="5564" xr:uid="{00000000-0005-0000-0000-000086130000}"/>
    <cellStyle name="Normal 4 2 4 3 2 3 3 2" xfId="22455" xr:uid="{BB5C534E-6BAC-483A-899F-CB39C0C0C2B0}"/>
    <cellStyle name="Normal 4 2 4 3 2 3 3 3" xfId="14014" xr:uid="{ABF650EA-5869-4874-ACE2-F7D91560F754}"/>
    <cellStyle name="Normal 4 2 4 3 2 3 4" xfId="18237" xr:uid="{3358CA7C-E1A9-4D6D-8460-80384BD8C234}"/>
    <cellStyle name="Normal 4 2 4 3 2 3 5" xfId="9796" xr:uid="{998A677F-CE14-44E5-87B7-1FBBEE508F6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25013" xr:uid="{252581CD-F857-40EF-B9AC-A1D249E7033E}"/>
    <cellStyle name="Normal 4 2 4 3 2 4 2 2 3" xfId="16572" xr:uid="{43D623D7-C68F-446B-B9DB-90707F077544}"/>
    <cellStyle name="Normal 4 2 4 3 2 4 2 3" xfId="20795" xr:uid="{833C8094-E4AA-489C-92FD-371A1CFD04BA}"/>
    <cellStyle name="Normal 4 2 4 3 2 4 2 4" xfId="12354" xr:uid="{5DBF14BB-EB78-44E4-8804-ABEADFD02AC1}"/>
    <cellStyle name="Normal 4 2 4 3 2 4 3" xfId="5977" xr:uid="{00000000-0005-0000-0000-00008A130000}"/>
    <cellStyle name="Normal 4 2 4 3 2 4 3 2" xfId="22868" xr:uid="{0603ACED-623F-4018-97E0-3FA6C4402D1C}"/>
    <cellStyle name="Normal 4 2 4 3 2 4 3 3" xfId="14427" xr:uid="{D8A35601-5AA1-490A-B6E4-308ED1B9A63B}"/>
    <cellStyle name="Normal 4 2 4 3 2 4 4" xfId="18650" xr:uid="{E5212B87-FF27-4E50-B39B-0A949BF11668}"/>
    <cellStyle name="Normal 4 2 4 3 2 4 5" xfId="10209" xr:uid="{F6C9BF86-A958-4CEC-84AB-C2028AC20E1E}"/>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25426" xr:uid="{CB141569-0E85-4F26-9FDA-626460CB9786}"/>
    <cellStyle name="Normal 4 2 4 3 2 5 2 2 3" xfId="16985" xr:uid="{40B520ED-ADA4-47F6-B7BB-318B43F87538}"/>
    <cellStyle name="Normal 4 2 4 3 2 5 2 3" xfId="21208" xr:uid="{CD49A7FC-622B-4344-8343-5C835B4123FF}"/>
    <cellStyle name="Normal 4 2 4 3 2 5 2 4" xfId="12767" xr:uid="{8438F481-1491-4EE3-AFFD-B9C9F4E5FCE7}"/>
    <cellStyle name="Normal 4 2 4 3 2 5 3" xfId="6390" xr:uid="{00000000-0005-0000-0000-00008E130000}"/>
    <cellStyle name="Normal 4 2 4 3 2 5 3 2" xfId="23281" xr:uid="{8BC10602-4827-4297-AF97-FB50C824058D}"/>
    <cellStyle name="Normal 4 2 4 3 2 5 3 3" xfId="14840" xr:uid="{0EA3B8BF-2116-49E8-9962-AB43F8CB4FCE}"/>
    <cellStyle name="Normal 4 2 4 3 2 5 4" xfId="19063" xr:uid="{C2B0F4B7-F435-4DF2-84AD-9EBC4B3276EA}"/>
    <cellStyle name="Normal 4 2 4 3 2 5 5" xfId="10622" xr:uid="{E7A2AA88-2C6B-4F91-A307-B8165ED65C2A}"/>
    <cellStyle name="Normal 4 2 4 3 2 6" xfId="2520" xr:uid="{00000000-0005-0000-0000-00008F130000}"/>
    <cellStyle name="Normal 4 2 4 3 2 6 2" xfId="6803" xr:uid="{00000000-0005-0000-0000-000090130000}"/>
    <cellStyle name="Normal 4 2 4 3 2 6 2 2" xfId="23694" xr:uid="{0CF6FBD8-53D8-4677-82C2-39922CB669AE}"/>
    <cellStyle name="Normal 4 2 4 3 2 6 2 3" xfId="15253" xr:uid="{BE9ECB32-51BE-4369-B97A-1F8D5C0FB78F}"/>
    <cellStyle name="Normal 4 2 4 3 2 6 3" xfId="19476" xr:uid="{DDD30F77-0449-4CDB-97E6-01F5D3BB73E6}"/>
    <cellStyle name="Normal 4 2 4 3 2 6 4" xfId="11035" xr:uid="{4BE21D28-F8A7-48A1-A8F3-36F97FC2F13B}"/>
    <cellStyle name="Normal 4 2 4 3 2 7" xfId="4738" xr:uid="{00000000-0005-0000-0000-000091130000}"/>
    <cellStyle name="Normal 4 2 4 3 2 7 2" xfId="21629" xr:uid="{EFB9C0BE-EEEA-4AA9-AD23-0CA1B58BDF18}"/>
    <cellStyle name="Normal 4 2 4 3 2 7 3" xfId="13188" xr:uid="{B80F8092-D3AC-4372-8FD5-058083FF1FAF}"/>
    <cellStyle name="Normal 4 2 4 3 2 8" xfId="17411" xr:uid="{C53E0B56-5576-47EC-B9F7-C5F87C5ED14F}"/>
    <cellStyle name="Normal 4 2 4 3 2 9" xfId="8970" xr:uid="{AABEA8F0-A118-48D2-9C65-DC5CB23DC9F5}"/>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24186" xr:uid="{C6162500-6625-4EE4-9243-559ED4367D5C}"/>
    <cellStyle name="Normal 4 2 4 3 3 2 2 3" xfId="15745" xr:uid="{B4060FEB-D4E7-4BF9-BBB2-152707F8613E}"/>
    <cellStyle name="Normal 4 2 4 3 3 2 3" xfId="19968" xr:uid="{8B3B36DC-137D-4AF8-B08C-6D5609768CD5}"/>
    <cellStyle name="Normal 4 2 4 3 3 2 4" xfId="11527" xr:uid="{71DD9F25-B57E-44A3-BD8F-E4B4C9D9C784}"/>
    <cellStyle name="Normal 4 2 4 3 3 3" xfId="5150" xr:uid="{00000000-0005-0000-0000-000095130000}"/>
    <cellStyle name="Normal 4 2 4 3 3 3 2" xfId="22041" xr:uid="{4F05B7F4-39FA-47F0-81EC-CB52A4D76752}"/>
    <cellStyle name="Normal 4 2 4 3 3 3 3" xfId="13600" xr:uid="{6243FBEC-F561-4D82-B91F-D74FB8378623}"/>
    <cellStyle name="Normal 4 2 4 3 3 4" xfId="17823" xr:uid="{C7E5F06E-E837-4135-BBB4-277534F20A18}"/>
    <cellStyle name="Normal 4 2 4 3 3 5" xfId="9382" xr:uid="{08EB5A37-13BA-4908-861B-08F67CE72C54}"/>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24599" xr:uid="{BD8E1929-004B-456E-8740-FA20DB61BC46}"/>
    <cellStyle name="Normal 4 2 4 3 4 2 2 3" xfId="16158" xr:uid="{E34EDD38-B307-428C-A9D2-C4106DE7D5CA}"/>
    <cellStyle name="Normal 4 2 4 3 4 2 3" xfId="20381" xr:uid="{2514A3F0-56C5-43B3-B9FB-5C30E8DBDD0A}"/>
    <cellStyle name="Normal 4 2 4 3 4 2 4" xfId="11940" xr:uid="{6E8829EF-C1BC-4CFA-8BAD-970FB33BC665}"/>
    <cellStyle name="Normal 4 2 4 3 4 3" xfId="5563" xr:uid="{00000000-0005-0000-0000-000099130000}"/>
    <cellStyle name="Normal 4 2 4 3 4 3 2" xfId="22454" xr:uid="{50067C71-9B32-446A-9AEF-CE7CBAE6E890}"/>
    <cellStyle name="Normal 4 2 4 3 4 3 3" xfId="14013" xr:uid="{46843A61-FF94-46D9-85EF-B3A547B5CA6C}"/>
    <cellStyle name="Normal 4 2 4 3 4 4" xfId="18236" xr:uid="{F7B22059-168A-49FF-BEEB-03E274C08B5A}"/>
    <cellStyle name="Normal 4 2 4 3 4 5" xfId="9795" xr:uid="{CDF6DFD5-0A10-420C-ABDA-BFA86EDE624E}"/>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25012" xr:uid="{272AE512-4ABC-401C-8A8B-9D2D2B09B7E9}"/>
    <cellStyle name="Normal 4 2 4 3 5 2 2 3" xfId="16571" xr:uid="{40712EBC-4CED-4A1D-B75A-9E4B652ABE3F}"/>
    <cellStyle name="Normal 4 2 4 3 5 2 3" xfId="20794" xr:uid="{C1AF44CA-E453-449E-9533-68E774F6442C}"/>
    <cellStyle name="Normal 4 2 4 3 5 2 4" xfId="12353" xr:uid="{ACEB748F-16C7-4A29-81AD-EACD31813716}"/>
    <cellStyle name="Normal 4 2 4 3 5 3" xfId="5976" xr:uid="{00000000-0005-0000-0000-00009D130000}"/>
    <cellStyle name="Normal 4 2 4 3 5 3 2" xfId="22867" xr:uid="{BDF4CE63-BF7E-4FFC-AA96-3402307460AF}"/>
    <cellStyle name="Normal 4 2 4 3 5 3 3" xfId="14426" xr:uid="{6C29D786-AC77-4AE4-9A36-8D181F545E51}"/>
    <cellStyle name="Normal 4 2 4 3 5 4" xfId="18649" xr:uid="{63E51AF3-B723-45D7-B103-8D4F958E36AF}"/>
    <cellStyle name="Normal 4 2 4 3 5 5" xfId="10208" xr:uid="{173A3F17-9B8B-450B-8079-AC1137DBA899}"/>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25425" xr:uid="{AF96DCC1-58C8-4F9A-9EB2-33598447D57C}"/>
    <cellStyle name="Normal 4 2 4 3 6 2 2 3" xfId="16984" xr:uid="{46BFAC9A-0C19-4FBA-9F89-5D85132CBDEA}"/>
    <cellStyle name="Normal 4 2 4 3 6 2 3" xfId="21207" xr:uid="{2E048479-A62E-41F9-BAAA-A04FB43C7A7E}"/>
    <cellStyle name="Normal 4 2 4 3 6 2 4" xfId="12766" xr:uid="{951254B6-979E-463F-814D-2AFEA01B2B84}"/>
    <cellStyle name="Normal 4 2 4 3 6 3" xfId="6389" xr:uid="{00000000-0005-0000-0000-0000A1130000}"/>
    <cellStyle name="Normal 4 2 4 3 6 3 2" xfId="23280" xr:uid="{D16B6543-4A30-4D2C-9212-0BC2516B344E}"/>
    <cellStyle name="Normal 4 2 4 3 6 3 3" xfId="14839" xr:uid="{7178384C-2368-4AE0-9A48-4A4BD0AE4B5F}"/>
    <cellStyle name="Normal 4 2 4 3 6 4" xfId="19062" xr:uid="{3C4E1D54-E34E-44E4-A76D-FB667B57FB23}"/>
    <cellStyle name="Normal 4 2 4 3 6 5" xfId="10621" xr:uid="{5440FF7D-EAEB-4BA7-A786-B988231E1FCA}"/>
    <cellStyle name="Normal 4 2 4 3 7" xfId="2519" xr:uid="{00000000-0005-0000-0000-0000A2130000}"/>
    <cellStyle name="Normal 4 2 4 3 7 2" xfId="6802" xr:uid="{00000000-0005-0000-0000-0000A3130000}"/>
    <cellStyle name="Normal 4 2 4 3 7 2 2" xfId="23693" xr:uid="{2ACC95F5-C911-49EA-B77A-09DB326070CD}"/>
    <cellStyle name="Normal 4 2 4 3 7 2 3" xfId="15252" xr:uid="{7101B187-4B22-4775-9FE3-B8E63C3B2B62}"/>
    <cellStyle name="Normal 4 2 4 3 7 3" xfId="19475" xr:uid="{6CC5F635-B9BD-48FA-970D-B6D79460CA5D}"/>
    <cellStyle name="Normal 4 2 4 3 7 4" xfId="11034" xr:uid="{9BFA5457-B0AE-4F99-AD01-E38B58D85DF7}"/>
    <cellStyle name="Normal 4 2 4 3 8" xfId="4737" xr:uid="{00000000-0005-0000-0000-0000A4130000}"/>
    <cellStyle name="Normal 4 2 4 3 8 2" xfId="21628" xr:uid="{FA19CC1B-4913-49FA-BC76-C25158C19017}"/>
    <cellStyle name="Normal 4 2 4 3 8 3" xfId="13187" xr:uid="{FCB6EB5D-6BA9-4CE1-83CA-AB7C97F8140B}"/>
    <cellStyle name="Normal 4 2 4 3 9" xfId="17410" xr:uid="{A085148C-EB31-47AD-B95C-CB4989AAFAAC}"/>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24188" xr:uid="{86F60B97-0E8B-47C8-BE06-47CB27EDA969}"/>
    <cellStyle name="Normal 4 2 4 4 2 2 2 3" xfId="15747" xr:uid="{1D5BBDC0-C382-49DB-B222-98221711E62E}"/>
    <cellStyle name="Normal 4 2 4 4 2 2 3" xfId="19970" xr:uid="{A5AC017D-CCB8-4111-877A-3CB97884BBA2}"/>
    <cellStyle name="Normal 4 2 4 4 2 2 4" xfId="11529" xr:uid="{FADFF794-83CE-4615-9D0F-2465902B718E}"/>
    <cellStyle name="Normal 4 2 4 4 2 3" xfId="5152" xr:uid="{00000000-0005-0000-0000-0000A9130000}"/>
    <cellStyle name="Normal 4 2 4 4 2 3 2" xfId="22043" xr:uid="{BA2B51A8-1CF5-4CD3-B697-AABC98A60A93}"/>
    <cellStyle name="Normal 4 2 4 4 2 3 3" xfId="13602" xr:uid="{4E5D8524-4BDA-44E7-8E78-5F369F76B210}"/>
    <cellStyle name="Normal 4 2 4 4 2 4" xfId="17825" xr:uid="{B569FDA9-4E62-43E6-A5B8-69789F153C17}"/>
    <cellStyle name="Normal 4 2 4 4 2 5" xfId="9384" xr:uid="{FE22B970-DC79-4F97-846A-7407303133A0}"/>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24601" xr:uid="{7CBF1EE9-E58B-4FD6-801C-68D9A469D143}"/>
    <cellStyle name="Normal 4 2 4 4 3 2 2 3" xfId="16160" xr:uid="{54C11968-CDF0-45FC-9033-2565BA66B704}"/>
    <cellStyle name="Normal 4 2 4 4 3 2 3" xfId="20383" xr:uid="{C34E49E3-E28A-4FAE-916F-04E4273996E4}"/>
    <cellStyle name="Normal 4 2 4 4 3 2 4" xfId="11942" xr:uid="{973BE001-EF3E-48BB-8792-05C7080BF567}"/>
    <cellStyle name="Normal 4 2 4 4 3 3" xfId="5565" xr:uid="{00000000-0005-0000-0000-0000AD130000}"/>
    <cellStyle name="Normal 4 2 4 4 3 3 2" xfId="22456" xr:uid="{2BF225F2-8577-4761-8997-77BB1BD5026D}"/>
    <cellStyle name="Normal 4 2 4 4 3 3 3" xfId="14015" xr:uid="{2D7A8F01-7867-4D9E-B1D9-049CE0BEF4DE}"/>
    <cellStyle name="Normal 4 2 4 4 3 4" xfId="18238" xr:uid="{93C37822-F930-4F2D-BB89-BE6D40FD220D}"/>
    <cellStyle name="Normal 4 2 4 4 3 5" xfId="9797" xr:uid="{B28DBC73-75A9-4D22-AE7F-7F54D1D4DCE4}"/>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25014" xr:uid="{FF7DA355-AB02-4005-AD2E-F41E928740D4}"/>
    <cellStyle name="Normal 4 2 4 4 4 2 2 3" xfId="16573" xr:uid="{E176FF88-60C4-43AD-A794-0A33539C9819}"/>
    <cellStyle name="Normal 4 2 4 4 4 2 3" xfId="20796" xr:uid="{281DEF4F-6D7A-4A54-A89F-E09F2BFAFF29}"/>
    <cellStyle name="Normal 4 2 4 4 4 2 4" xfId="12355" xr:uid="{B363DF6A-A823-4F60-8703-44C720FDD155}"/>
    <cellStyle name="Normal 4 2 4 4 4 3" xfId="5978" xr:uid="{00000000-0005-0000-0000-0000B1130000}"/>
    <cellStyle name="Normal 4 2 4 4 4 3 2" xfId="22869" xr:uid="{4A6F7FB3-C3BF-47DF-86C9-39EBE48B75CF}"/>
    <cellStyle name="Normal 4 2 4 4 4 3 3" xfId="14428" xr:uid="{A787F8E1-3FB5-4A51-B1E6-F9602A46236D}"/>
    <cellStyle name="Normal 4 2 4 4 4 4" xfId="18651" xr:uid="{C46E3D70-B9EB-4A82-A80F-9604DE620F93}"/>
    <cellStyle name="Normal 4 2 4 4 4 5" xfId="10210" xr:uid="{A4BB0F21-2E8F-4719-8F14-B002088F3BF2}"/>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25427" xr:uid="{F9F6393F-1331-44EA-B13A-C42297F9581C}"/>
    <cellStyle name="Normal 4 2 4 4 5 2 2 3" xfId="16986" xr:uid="{572144A6-2C3D-443E-A55A-2D743899FA3F}"/>
    <cellStyle name="Normal 4 2 4 4 5 2 3" xfId="21209" xr:uid="{0D8763EF-3BF2-43FA-B451-01071F7E6D49}"/>
    <cellStyle name="Normal 4 2 4 4 5 2 4" xfId="12768" xr:uid="{9E495D70-750A-47C3-8C05-BAE9BB9857B6}"/>
    <cellStyle name="Normal 4 2 4 4 5 3" xfId="6391" xr:uid="{00000000-0005-0000-0000-0000B5130000}"/>
    <cellStyle name="Normal 4 2 4 4 5 3 2" xfId="23282" xr:uid="{265565CE-CD93-433E-AD4E-23151B666B4D}"/>
    <cellStyle name="Normal 4 2 4 4 5 3 3" xfId="14841" xr:uid="{DB8AF15D-D45A-4D33-9456-1F5CF36A5B81}"/>
    <cellStyle name="Normal 4 2 4 4 5 4" xfId="19064" xr:uid="{34A9DBAF-0AF5-432D-A4B1-C7C680871EEF}"/>
    <cellStyle name="Normal 4 2 4 4 5 5" xfId="10623" xr:uid="{77B5896B-BCF4-4B00-92A1-B8E83831C5B3}"/>
    <cellStyle name="Normal 4 2 4 4 6" xfId="2521" xr:uid="{00000000-0005-0000-0000-0000B6130000}"/>
    <cellStyle name="Normal 4 2 4 4 6 2" xfId="6804" xr:uid="{00000000-0005-0000-0000-0000B7130000}"/>
    <cellStyle name="Normal 4 2 4 4 6 2 2" xfId="23695" xr:uid="{71BBC31A-4C5C-4EEE-937A-C5BE25562DAA}"/>
    <cellStyle name="Normal 4 2 4 4 6 2 3" xfId="15254" xr:uid="{3FD11BDB-6579-4F5F-AECB-EFB40268AB0E}"/>
    <cellStyle name="Normal 4 2 4 4 6 3" xfId="19477" xr:uid="{3AF150B2-81BF-47AD-A196-8171922647A2}"/>
    <cellStyle name="Normal 4 2 4 4 6 4" xfId="11036" xr:uid="{0960F46C-85AE-4869-8080-599E1B1A41D4}"/>
    <cellStyle name="Normal 4 2 4 4 7" xfId="4739" xr:uid="{00000000-0005-0000-0000-0000B8130000}"/>
    <cellStyle name="Normal 4 2 4 4 7 2" xfId="21630" xr:uid="{63031F18-E007-4497-BC47-83DD65BF4CFE}"/>
    <cellStyle name="Normal 4 2 4 4 7 3" xfId="13189" xr:uid="{ADA5C81D-37E0-4F23-B1E8-705F9F0BD13B}"/>
    <cellStyle name="Normal 4 2 4 4 8" xfId="17412" xr:uid="{A1CCF9AE-8402-478E-8A17-289A7364F43C}"/>
    <cellStyle name="Normal 4 2 4 4 9" xfId="8971" xr:uid="{91DFDBD2-DCB1-4848-AF90-54A3508E6E04}"/>
    <cellStyle name="Normal 4 2 4 5" xfId="831" xr:uid="{00000000-0005-0000-0000-0000B9130000}"/>
    <cellStyle name="Normal 4 2 4 5 2" xfId="3068" xr:uid="{00000000-0005-0000-0000-0000BA130000}"/>
    <cellStyle name="Normal 4 2 4 5 2 2" xfId="7290" xr:uid="{00000000-0005-0000-0000-0000BB130000}"/>
    <cellStyle name="Normal 4 2 4 5 2 2 2" xfId="24181" xr:uid="{2C858BC8-0D5B-44A7-B3D6-48E2C7ADC26A}"/>
    <cellStyle name="Normal 4 2 4 5 2 2 3" xfId="15740" xr:uid="{26F509B1-E54D-4446-8D1A-B798B95E0E06}"/>
    <cellStyle name="Normal 4 2 4 5 2 3" xfId="19963" xr:uid="{4B72351C-4DF8-45F6-BF04-641236274624}"/>
    <cellStyle name="Normal 4 2 4 5 2 4" xfId="11522" xr:uid="{A7FA468F-40C8-4316-B8FE-F547FE7488AB}"/>
    <cellStyle name="Normal 4 2 4 5 3" xfId="5145" xr:uid="{00000000-0005-0000-0000-0000BC130000}"/>
    <cellStyle name="Normal 4 2 4 5 3 2" xfId="22036" xr:uid="{34BFD32F-6E89-4B57-8C63-D859B2389A52}"/>
    <cellStyle name="Normal 4 2 4 5 3 3" xfId="13595" xr:uid="{13515BD9-2765-42D0-9B7D-1B74E77801FD}"/>
    <cellStyle name="Normal 4 2 4 5 4" xfId="17818" xr:uid="{429C0AD1-6DEA-4EC2-A365-01E582387647}"/>
    <cellStyle name="Normal 4 2 4 5 5" xfId="9377" xr:uid="{BD61421D-3D16-4CF3-BACE-83AF6CD3F98B}"/>
    <cellStyle name="Normal 4 2 4 6" xfId="1251" xr:uid="{00000000-0005-0000-0000-0000BD130000}"/>
    <cellStyle name="Normal 4 2 4 6 2" xfId="3481" xr:uid="{00000000-0005-0000-0000-0000BE130000}"/>
    <cellStyle name="Normal 4 2 4 6 2 2" xfId="7703" xr:uid="{00000000-0005-0000-0000-0000BF130000}"/>
    <cellStyle name="Normal 4 2 4 6 2 2 2" xfId="24594" xr:uid="{E6F2506C-76F6-4528-8E4B-42D4A1FC5F08}"/>
    <cellStyle name="Normal 4 2 4 6 2 2 3" xfId="16153" xr:uid="{D238960A-FE2B-4E38-A73A-754B646A2873}"/>
    <cellStyle name="Normal 4 2 4 6 2 3" xfId="20376" xr:uid="{430319E2-01BA-44DD-960F-4D89354B4A60}"/>
    <cellStyle name="Normal 4 2 4 6 2 4" xfId="11935" xr:uid="{83A3C81A-9DA8-4956-928D-C6D47A0474A8}"/>
    <cellStyle name="Normal 4 2 4 6 3" xfId="5558" xr:uid="{00000000-0005-0000-0000-0000C0130000}"/>
    <cellStyle name="Normal 4 2 4 6 3 2" xfId="22449" xr:uid="{891062AF-79CB-4561-94F9-9DA097848235}"/>
    <cellStyle name="Normal 4 2 4 6 3 3" xfId="14008" xr:uid="{B644F381-3C86-4914-8674-114B647EB91A}"/>
    <cellStyle name="Normal 4 2 4 6 4" xfId="18231" xr:uid="{1BE10001-12D4-4030-9C80-4B23C63F6C89}"/>
    <cellStyle name="Normal 4 2 4 6 5" xfId="9790" xr:uid="{FFAA5AC4-7861-4161-973C-194B52D5A99F}"/>
    <cellStyle name="Normal 4 2 4 7" xfId="1664" xr:uid="{00000000-0005-0000-0000-0000C1130000}"/>
    <cellStyle name="Normal 4 2 4 7 2" xfId="3894" xr:uid="{00000000-0005-0000-0000-0000C2130000}"/>
    <cellStyle name="Normal 4 2 4 7 2 2" xfId="8116" xr:uid="{00000000-0005-0000-0000-0000C3130000}"/>
    <cellStyle name="Normal 4 2 4 7 2 2 2" xfId="25007" xr:uid="{A7B888E1-E1CF-4EB0-9711-D941F1ED28D0}"/>
    <cellStyle name="Normal 4 2 4 7 2 2 3" xfId="16566" xr:uid="{F19F1B66-D417-4092-B869-1E81D8511ACF}"/>
    <cellStyle name="Normal 4 2 4 7 2 3" xfId="20789" xr:uid="{DEE93480-A005-4BEC-BC15-587A952E509F}"/>
    <cellStyle name="Normal 4 2 4 7 2 4" xfId="12348" xr:uid="{FE351BE0-995A-4C8C-9B5C-F3141F213256}"/>
    <cellStyle name="Normal 4 2 4 7 3" xfId="5971" xr:uid="{00000000-0005-0000-0000-0000C4130000}"/>
    <cellStyle name="Normal 4 2 4 7 3 2" xfId="22862" xr:uid="{9C80D3F4-E2E0-4A30-BA96-69F3A97D4DD9}"/>
    <cellStyle name="Normal 4 2 4 7 3 3" xfId="14421" xr:uid="{7FC10F90-E8DF-4F17-9EE2-D69C79BFFF2F}"/>
    <cellStyle name="Normal 4 2 4 7 4" xfId="18644" xr:uid="{E080B438-EB5C-4190-817C-5A28D2E78089}"/>
    <cellStyle name="Normal 4 2 4 7 5" xfId="10203" xr:uid="{8AC2A512-A127-42C5-BFBF-0961B1850D90}"/>
    <cellStyle name="Normal 4 2 4 8" xfId="2078" xr:uid="{00000000-0005-0000-0000-0000C5130000}"/>
    <cellStyle name="Normal 4 2 4 8 2" xfId="4307" xr:uid="{00000000-0005-0000-0000-0000C6130000}"/>
    <cellStyle name="Normal 4 2 4 8 2 2" xfId="8529" xr:uid="{00000000-0005-0000-0000-0000C7130000}"/>
    <cellStyle name="Normal 4 2 4 8 2 2 2" xfId="25420" xr:uid="{B7087F40-AEF5-482A-A751-BACC146E4D10}"/>
    <cellStyle name="Normal 4 2 4 8 2 2 3" xfId="16979" xr:uid="{8603C190-81A4-48C7-9544-FFC36B2800FE}"/>
    <cellStyle name="Normal 4 2 4 8 2 3" xfId="21202" xr:uid="{4311513B-41B3-40BC-9BE5-93A36D158A26}"/>
    <cellStyle name="Normal 4 2 4 8 2 4" xfId="12761" xr:uid="{9F1260DC-75FD-4FD4-9B02-B1A1CD0E37D2}"/>
    <cellStyle name="Normal 4 2 4 8 3" xfId="6384" xr:uid="{00000000-0005-0000-0000-0000C8130000}"/>
    <cellStyle name="Normal 4 2 4 8 3 2" xfId="23275" xr:uid="{C1933089-DFD6-44E5-A1B0-A171359B1016}"/>
    <cellStyle name="Normal 4 2 4 8 3 3" xfId="14834" xr:uid="{57FC8845-BFFC-4992-A3BE-DDD9C10538CC}"/>
    <cellStyle name="Normal 4 2 4 8 4" xfId="19057" xr:uid="{1C190447-6CFC-40AF-A464-9E73ACB0D2A0}"/>
    <cellStyle name="Normal 4 2 4 8 5" xfId="10616" xr:uid="{2FFB6ADD-61BE-439C-88A4-F35F8F36B54D}"/>
    <cellStyle name="Normal 4 2 4 9" xfId="2514" xr:uid="{00000000-0005-0000-0000-0000C9130000}"/>
    <cellStyle name="Normal 4 2 4 9 2" xfId="6797" xr:uid="{00000000-0005-0000-0000-0000CA130000}"/>
    <cellStyle name="Normal 4 2 4 9 2 2" xfId="23688" xr:uid="{7ED29DE8-2D36-4132-83CF-9A38AA83F92C}"/>
    <cellStyle name="Normal 4 2 4 9 2 3" xfId="15247" xr:uid="{8CB4660E-C2BC-4530-BAEF-69A65F5C731F}"/>
    <cellStyle name="Normal 4 2 4 9 3" xfId="19470" xr:uid="{020F095C-6C28-4A0C-BF66-12D5C7E74F3A}"/>
    <cellStyle name="Normal 4 2 4 9 4" xfId="11029" xr:uid="{19ED24B3-5B9B-45C6-9A3C-5F39DF3A2D73}"/>
    <cellStyle name="Normal 4 2 5" xfId="363" xr:uid="{00000000-0005-0000-0000-0000CB130000}"/>
    <cellStyle name="Normal 4 2 5 10" xfId="8972" xr:uid="{77EC5809-382C-4E4D-8311-76D6831C234B}"/>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24190" xr:uid="{C6C32216-215B-4007-B3F1-E8CCD111D8B8}"/>
    <cellStyle name="Normal 4 2 5 2 2 2 2 3" xfId="15749" xr:uid="{E4257789-2F9E-420C-9BF1-BC53433BD852}"/>
    <cellStyle name="Normal 4 2 5 2 2 2 3" xfId="19972" xr:uid="{0FAA856F-6F9B-48CE-A695-05DF0F5F7C2F}"/>
    <cellStyle name="Normal 4 2 5 2 2 2 4" xfId="11531" xr:uid="{6CAB7C87-B364-4E65-B814-E00C148BDF0C}"/>
    <cellStyle name="Normal 4 2 5 2 2 3" xfId="5154" xr:uid="{00000000-0005-0000-0000-0000D0130000}"/>
    <cellStyle name="Normal 4 2 5 2 2 3 2" xfId="22045" xr:uid="{0AE283FD-8CC3-4BF7-96A2-E7CB8BCB0469}"/>
    <cellStyle name="Normal 4 2 5 2 2 3 3" xfId="13604" xr:uid="{68D6C790-7C00-45F4-8504-757C63E0ABBA}"/>
    <cellStyle name="Normal 4 2 5 2 2 4" xfId="17827" xr:uid="{7B224719-49E7-4E35-91DD-426754DBDD90}"/>
    <cellStyle name="Normal 4 2 5 2 2 5" xfId="9386" xr:uid="{B727A274-C651-426F-A5E6-E3C85F9BF897}"/>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24603" xr:uid="{7EE05B4A-5929-46F7-B877-968433E86399}"/>
    <cellStyle name="Normal 4 2 5 2 3 2 2 3" xfId="16162" xr:uid="{A4684B8F-2416-454B-A7A9-70CA8F4F5353}"/>
    <cellStyle name="Normal 4 2 5 2 3 2 3" xfId="20385" xr:uid="{EDC26E84-9D9F-4D42-AA8A-4D256A20D523}"/>
    <cellStyle name="Normal 4 2 5 2 3 2 4" xfId="11944" xr:uid="{1CD619D1-F97B-4E14-8A15-098C423B2E7E}"/>
    <cellStyle name="Normal 4 2 5 2 3 3" xfId="5567" xr:uid="{00000000-0005-0000-0000-0000D4130000}"/>
    <cellStyle name="Normal 4 2 5 2 3 3 2" xfId="22458" xr:uid="{2D90FDBE-1336-47C6-A51C-49C935806B39}"/>
    <cellStyle name="Normal 4 2 5 2 3 3 3" xfId="14017" xr:uid="{2D8FFBE0-A8AC-464F-BEC5-0090E0899923}"/>
    <cellStyle name="Normal 4 2 5 2 3 4" xfId="18240" xr:uid="{3230705E-65B3-4DFE-9F0C-6CC2BDA9F4E5}"/>
    <cellStyle name="Normal 4 2 5 2 3 5" xfId="9799" xr:uid="{CE91C5A5-C9F8-4CD1-A5E1-F98040CDB475}"/>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25016" xr:uid="{EF69D41D-A631-421B-A728-F45BB1991690}"/>
    <cellStyle name="Normal 4 2 5 2 4 2 2 3" xfId="16575" xr:uid="{B4F6AB64-ECB3-455E-A900-34B16E6A09AF}"/>
    <cellStyle name="Normal 4 2 5 2 4 2 3" xfId="20798" xr:uid="{A6D34159-AC37-4D9D-9B42-953894C75FAE}"/>
    <cellStyle name="Normal 4 2 5 2 4 2 4" xfId="12357" xr:uid="{71F9A6DF-E649-459C-A710-05230BA8F07B}"/>
    <cellStyle name="Normal 4 2 5 2 4 3" xfId="5980" xr:uid="{00000000-0005-0000-0000-0000D8130000}"/>
    <cellStyle name="Normal 4 2 5 2 4 3 2" xfId="22871" xr:uid="{73BAA903-E450-4099-8463-CB9BCCB3C99F}"/>
    <cellStyle name="Normal 4 2 5 2 4 3 3" xfId="14430" xr:uid="{B245F799-A0E2-47BF-BC65-F162BB457145}"/>
    <cellStyle name="Normal 4 2 5 2 4 4" xfId="18653" xr:uid="{4A41E5D2-7C6B-4CF2-BAF3-9A8EAE87EFD0}"/>
    <cellStyle name="Normal 4 2 5 2 4 5" xfId="10212" xr:uid="{9165F344-3559-4114-88F2-B136BB42E3B2}"/>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25429" xr:uid="{A9C584DD-A27F-4799-B07B-46A15918F1B2}"/>
    <cellStyle name="Normal 4 2 5 2 5 2 2 3" xfId="16988" xr:uid="{98E0E84C-1C75-49AC-A6A6-81247AF179AA}"/>
    <cellStyle name="Normal 4 2 5 2 5 2 3" xfId="21211" xr:uid="{CFCD81C8-33AF-4C70-BF91-C6771C063195}"/>
    <cellStyle name="Normal 4 2 5 2 5 2 4" xfId="12770" xr:uid="{A25BF3CA-5130-459F-ADFB-B50764510B5B}"/>
    <cellStyle name="Normal 4 2 5 2 5 3" xfId="6393" xr:uid="{00000000-0005-0000-0000-0000DC130000}"/>
    <cellStyle name="Normal 4 2 5 2 5 3 2" xfId="23284" xr:uid="{5038B1EA-3373-47DD-98C8-4C32F9123A9C}"/>
    <cellStyle name="Normal 4 2 5 2 5 3 3" xfId="14843" xr:uid="{3F714D6B-810F-4B5C-A4F6-5B2FB41BF4DB}"/>
    <cellStyle name="Normal 4 2 5 2 5 4" xfId="19066" xr:uid="{E3FF2D83-F8B0-406C-97E7-49318DA5093D}"/>
    <cellStyle name="Normal 4 2 5 2 5 5" xfId="10625" xr:uid="{B8837823-3DF8-4F9B-81F9-5FE98377507F}"/>
    <cellStyle name="Normal 4 2 5 2 6" xfId="2523" xr:uid="{00000000-0005-0000-0000-0000DD130000}"/>
    <cellStyle name="Normal 4 2 5 2 6 2" xfId="6806" xr:uid="{00000000-0005-0000-0000-0000DE130000}"/>
    <cellStyle name="Normal 4 2 5 2 6 2 2" xfId="23697" xr:uid="{1F70911A-244C-4F99-8E70-B5F4E78DC571}"/>
    <cellStyle name="Normal 4 2 5 2 6 2 3" xfId="15256" xr:uid="{BF13E981-FAB3-47D3-829C-3D7B69BE39DC}"/>
    <cellStyle name="Normal 4 2 5 2 6 3" xfId="19479" xr:uid="{FFB600D7-CF0A-4976-B5D2-684A4DD6414F}"/>
    <cellStyle name="Normal 4 2 5 2 6 4" xfId="11038" xr:uid="{BC2E4040-A2E5-4AA0-95B9-BDEDBE79B5EE}"/>
    <cellStyle name="Normal 4 2 5 2 7" xfId="4741" xr:uid="{00000000-0005-0000-0000-0000DF130000}"/>
    <cellStyle name="Normal 4 2 5 2 7 2" xfId="21632" xr:uid="{5570989D-07D5-43F0-8CAB-D93AEA215B9F}"/>
    <cellStyle name="Normal 4 2 5 2 7 3" xfId="13191" xr:uid="{AA2BAF79-0151-48F7-9C97-8DE1CFE60866}"/>
    <cellStyle name="Normal 4 2 5 2 8" xfId="17414" xr:uid="{27BC8B7E-E48D-4163-8A70-841A706127A4}"/>
    <cellStyle name="Normal 4 2 5 2 9" xfId="8973" xr:uid="{2A64D5B2-20B4-42F6-80D6-D62F13277F7D}"/>
    <cellStyle name="Normal 4 2 5 3" xfId="839" xr:uid="{00000000-0005-0000-0000-0000E0130000}"/>
    <cellStyle name="Normal 4 2 5 3 2" xfId="3076" xr:uid="{00000000-0005-0000-0000-0000E1130000}"/>
    <cellStyle name="Normal 4 2 5 3 2 2" xfId="7298" xr:uid="{00000000-0005-0000-0000-0000E2130000}"/>
    <cellStyle name="Normal 4 2 5 3 2 2 2" xfId="24189" xr:uid="{BCEFE8AD-61DD-4B16-B7C0-0326A1523687}"/>
    <cellStyle name="Normal 4 2 5 3 2 2 3" xfId="15748" xr:uid="{1329D95C-D263-4A07-840B-FD896AC32CE5}"/>
    <cellStyle name="Normal 4 2 5 3 2 3" xfId="19971" xr:uid="{077B72EC-3ACD-4924-B030-BBC38D846F16}"/>
    <cellStyle name="Normal 4 2 5 3 2 4" xfId="11530" xr:uid="{AB69560D-15A8-4AC6-B31F-BA170E4A9B47}"/>
    <cellStyle name="Normal 4 2 5 3 3" xfId="5153" xr:uid="{00000000-0005-0000-0000-0000E3130000}"/>
    <cellStyle name="Normal 4 2 5 3 3 2" xfId="22044" xr:uid="{9EBEE5B3-D2AD-42D9-A71D-F2A437BA5969}"/>
    <cellStyle name="Normal 4 2 5 3 3 3" xfId="13603" xr:uid="{D02BB31F-77E8-41D9-B63E-10E85E27C709}"/>
    <cellStyle name="Normal 4 2 5 3 4" xfId="17826" xr:uid="{D73EC2D4-C5B3-4A8F-950C-D9FCD63118DA}"/>
    <cellStyle name="Normal 4 2 5 3 5" xfId="9385" xr:uid="{39FFD4D2-DDA7-420C-B40E-D2C249845DE9}"/>
    <cellStyle name="Normal 4 2 5 4" xfId="1259" xr:uid="{00000000-0005-0000-0000-0000E4130000}"/>
    <cellStyle name="Normal 4 2 5 4 2" xfId="3489" xr:uid="{00000000-0005-0000-0000-0000E5130000}"/>
    <cellStyle name="Normal 4 2 5 4 2 2" xfId="7711" xr:uid="{00000000-0005-0000-0000-0000E6130000}"/>
    <cellStyle name="Normal 4 2 5 4 2 2 2" xfId="24602" xr:uid="{6791CDB0-A228-4893-ADA3-DE56CE183AE3}"/>
    <cellStyle name="Normal 4 2 5 4 2 2 3" xfId="16161" xr:uid="{560A9F3D-855B-4DF4-9611-B7633CE924AB}"/>
    <cellStyle name="Normal 4 2 5 4 2 3" xfId="20384" xr:uid="{9273702B-D2EE-4948-8802-2EF0DF1DC30D}"/>
    <cellStyle name="Normal 4 2 5 4 2 4" xfId="11943" xr:uid="{614487BC-93D6-4EF0-B873-0310D92D33E4}"/>
    <cellStyle name="Normal 4 2 5 4 3" xfId="5566" xr:uid="{00000000-0005-0000-0000-0000E7130000}"/>
    <cellStyle name="Normal 4 2 5 4 3 2" xfId="22457" xr:uid="{F1B2DCF6-8B2A-47B6-BAFA-C2A867D27D08}"/>
    <cellStyle name="Normal 4 2 5 4 3 3" xfId="14016" xr:uid="{DD176662-9576-4568-B24F-EE1F85551F21}"/>
    <cellStyle name="Normal 4 2 5 4 4" xfId="18239" xr:uid="{A3FF4C3A-A1EF-44C7-BDBD-5D1145AE8C9A}"/>
    <cellStyle name="Normal 4 2 5 4 5" xfId="9798" xr:uid="{A6CB73FB-8DC3-4301-958B-801E85B5843B}"/>
    <cellStyle name="Normal 4 2 5 5" xfId="1672" xr:uid="{00000000-0005-0000-0000-0000E8130000}"/>
    <cellStyle name="Normal 4 2 5 5 2" xfId="3902" xr:uid="{00000000-0005-0000-0000-0000E9130000}"/>
    <cellStyle name="Normal 4 2 5 5 2 2" xfId="8124" xr:uid="{00000000-0005-0000-0000-0000EA130000}"/>
    <cellStyle name="Normal 4 2 5 5 2 2 2" xfId="25015" xr:uid="{7CE9EEA3-D4CD-4CEA-85FB-9A3AA80EF000}"/>
    <cellStyle name="Normal 4 2 5 5 2 2 3" xfId="16574" xr:uid="{CC77CED4-A467-4217-8962-EE9671F3EAD0}"/>
    <cellStyle name="Normal 4 2 5 5 2 3" xfId="20797" xr:uid="{B3F7F9A9-9320-4A38-911D-8E88F748B27D}"/>
    <cellStyle name="Normal 4 2 5 5 2 4" xfId="12356" xr:uid="{CAA1D52A-1C38-42F5-A659-AB0F044FDB30}"/>
    <cellStyle name="Normal 4 2 5 5 3" xfId="5979" xr:uid="{00000000-0005-0000-0000-0000EB130000}"/>
    <cellStyle name="Normal 4 2 5 5 3 2" xfId="22870" xr:uid="{F98BE455-153C-4E7F-ADB2-EAC7D42C7462}"/>
    <cellStyle name="Normal 4 2 5 5 3 3" xfId="14429" xr:uid="{5D2E40F3-8F10-42D3-8C8E-2138FD3B173F}"/>
    <cellStyle name="Normal 4 2 5 5 4" xfId="18652" xr:uid="{74006E79-4EB4-43E6-883B-FDEBB599A90B}"/>
    <cellStyle name="Normal 4 2 5 5 5" xfId="10211" xr:uid="{78B67EEB-7AC1-4692-9505-4E27396B1BBB}"/>
    <cellStyle name="Normal 4 2 5 6" xfId="2086" xr:uid="{00000000-0005-0000-0000-0000EC130000}"/>
    <cellStyle name="Normal 4 2 5 6 2" xfId="4315" xr:uid="{00000000-0005-0000-0000-0000ED130000}"/>
    <cellStyle name="Normal 4 2 5 6 2 2" xfId="8537" xr:uid="{00000000-0005-0000-0000-0000EE130000}"/>
    <cellStyle name="Normal 4 2 5 6 2 2 2" xfId="25428" xr:uid="{E310AD09-0B35-4559-8527-97405F40A05C}"/>
    <cellStyle name="Normal 4 2 5 6 2 2 3" xfId="16987" xr:uid="{9DA62C53-E529-45F9-9FF2-67CCAFE5BD00}"/>
    <cellStyle name="Normal 4 2 5 6 2 3" xfId="21210" xr:uid="{D628E3C6-E673-4EF0-B3F7-6A450638A586}"/>
    <cellStyle name="Normal 4 2 5 6 2 4" xfId="12769" xr:uid="{EDA25959-814B-44A6-BE38-E8ACB1576951}"/>
    <cellStyle name="Normal 4 2 5 6 3" xfId="6392" xr:uid="{00000000-0005-0000-0000-0000EF130000}"/>
    <cellStyle name="Normal 4 2 5 6 3 2" xfId="23283" xr:uid="{9236718F-F14F-42D6-BF32-6D5782A7D929}"/>
    <cellStyle name="Normal 4 2 5 6 3 3" xfId="14842" xr:uid="{CFF5D42C-686F-4835-AE56-C0FDC152BC0C}"/>
    <cellStyle name="Normal 4 2 5 6 4" xfId="19065" xr:uid="{82C9C655-47FF-4C4F-830A-5677C683BC5C}"/>
    <cellStyle name="Normal 4 2 5 6 5" xfId="10624" xr:uid="{1B83C111-6E0D-4F51-B07B-8DF8E749B86D}"/>
    <cellStyle name="Normal 4 2 5 7" xfId="2522" xr:uid="{00000000-0005-0000-0000-0000F0130000}"/>
    <cellStyle name="Normal 4 2 5 7 2" xfId="6805" xr:uid="{00000000-0005-0000-0000-0000F1130000}"/>
    <cellStyle name="Normal 4 2 5 7 2 2" xfId="23696" xr:uid="{116E55CB-9BE7-42DD-A655-5B767500AA26}"/>
    <cellStyle name="Normal 4 2 5 7 2 3" xfId="15255" xr:uid="{FCF8B712-5C9D-4F81-A3AE-67DFFDF228B3}"/>
    <cellStyle name="Normal 4 2 5 7 3" xfId="19478" xr:uid="{2A9F01C3-2F60-4527-9F69-B1673A11CEE9}"/>
    <cellStyle name="Normal 4 2 5 7 4" xfId="11037" xr:uid="{CA0B9D4D-3687-42DC-BE17-A613F453E4A1}"/>
    <cellStyle name="Normal 4 2 5 8" xfId="4740" xr:uid="{00000000-0005-0000-0000-0000F2130000}"/>
    <cellStyle name="Normal 4 2 5 8 2" xfId="21631" xr:uid="{56D1A70E-D825-409A-86AE-AC74E7150FD5}"/>
    <cellStyle name="Normal 4 2 5 8 3" xfId="13190" xr:uid="{5326F70D-EB77-4732-9856-A50749BD9E85}"/>
    <cellStyle name="Normal 4 2 5 9" xfId="17413" xr:uid="{465307A9-1A4F-46A8-B45F-3767669F6AE9}"/>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2 2 2" xfId="24191" xr:uid="{5DD410B1-D3CC-4599-AB8F-FFB04B3CFF40}"/>
    <cellStyle name="Normal 4 2 6 2 2 2 3" xfId="15750" xr:uid="{A90BE845-7603-44CC-8C7B-1F60569AEEFE}"/>
    <cellStyle name="Normal 4 2 6 2 2 3" xfId="19973" xr:uid="{4EA11C0B-973E-496D-BD85-78C8FBFA626F}"/>
    <cellStyle name="Normal 4 2 6 2 2 4" xfId="11532" xr:uid="{A474E4E5-7D39-4767-A912-72361E0A330A}"/>
    <cellStyle name="Normal 4 2 6 2 3" xfId="5155" xr:uid="{00000000-0005-0000-0000-0000F7130000}"/>
    <cellStyle name="Normal 4 2 6 2 3 2" xfId="22046" xr:uid="{B405CFC5-D8B8-4614-8EB3-B886A18E38F1}"/>
    <cellStyle name="Normal 4 2 6 2 3 3" xfId="13605" xr:uid="{2DFAD5FE-408A-41B1-849D-2CA9A96F4827}"/>
    <cellStyle name="Normal 4 2 6 2 4" xfId="17828" xr:uid="{50E8CA4B-0B1F-4F0A-BE2B-061C7657C524}"/>
    <cellStyle name="Normal 4 2 6 2 5" xfId="9387" xr:uid="{69B1EA7A-07D6-413A-82AA-5C85350702CD}"/>
    <cellStyle name="Normal 4 2 6 3" xfId="1261" xr:uid="{00000000-0005-0000-0000-0000F8130000}"/>
    <cellStyle name="Normal 4 2 6 3 2" xfId="3491" xr:uid="{00000000-0005-0000-0000-0000F9130000}"/>
    <cellStyle name="Normal 4 2 6 3 2 2" xfId="7713" xr:uid="{00000000-0005-0000-0000-0000FA130000}"/>
    <cellStyle name="Normal 4 2 6 3 2 2 2" xfId="24604" xr:uid="{515C9FE0-3813-44FD-A0AA-0D49CD89FBEA}"/>
    <cellStyle name="Normal 4 2 6 3 2 2 3" xfId="16163" xr:uid="{CDBDCE86-3B12-4CBD-B36B-CBEE2CFFFF83}"/>
    <cellStyle name="Normal 4 2 6 3 2 3" xfId="20386" xr:uid="{DA39E7C4-9E60-4D63-9DD2-8D2136457DEF}"/>
    <cellStyle name="Normal 4 2 6 3 2 4" xfId="11945" xr:uid="{74C2B30D-FC5F-4F36-A1E5-1FFCCB926D1D}"/>
    <cellStyle name="Normal 4 2 6 3 3" xfId="5568" xr:uid="{00000000-0005-0000-0000-0000FB130000}"/>
    <cellStyle name="Normal 4 2 6 3 3 2" xfId="22459" xr:uid="{14403EA4-EDD9-4257-9F15-F647755A9F51}"/>
    <cellStyle name="Normal 4 2 6 3 3 3" xfId="14018" xr:uid="{E8D8375E-D4D4-4DA6-B22D-86EC439B15EE}"/>
    <cellStyle name="Normal 4 2 6 3 4" xfId="18241" xr:uid="{97836341-C1A5-45C6-9771-48580310D79C}"/>
    <cellStyle name="Normal 4 2 6 3 5" xfId="9800" xr:uid="{025FD8F5-1B14-4838-AB34-29F6CA16F54E}"/>
    <cellStyle name="Normal 4 2 6 4" xfId="1674" xr:uid="{00000000-0005-0000-0000-0000FC130000}"/>
    <cellStyle name="Normal 4 2 6 4 2" xfId="3904" xr:uid="{00000000-0005-0000-0000-0000FD130000}"/>
    <cellStyle name="Normal 4 2 6 4 2 2" xfId="8126" xr:uid="{00000000-0005-0000-0000-0000FE130000}"/>
    <cellStyle name="Normal 4 2 6 4 2 2 2" xfId="25017" xr:uid="{76F9FC91-C761-4A94-995F-8F307A25B0CF}"/>
    <cellStyle name="Normal 4 2 6 4 2 2 3" xfId="16576" xr:uid="{9A0A4C72-63AC-4FC9-8858-9744BE877A4E}"/>
    <cellStyle name="Normal 4 2 6 4 2 3" xfId="20799" xr:uid="{CF6BA046-1AEE-42FA-A3D8-23C26578F3E2}"/>
    <cellStyle name="Normal 4 2 6 4 2 4" xfId="12358" xr:uid="{8DA044AE-69C1-40B6-862C-4C042609BC02}"/>
    <cellStyle name="Normal 4 2 6 4 3" xfId="5981" xr:uid="{00000000-0005-0000-0000-0000FF130000}"/>
    <cellStyle name="Normal 4 2 6 4 3 2" xfId="22872" xr:uid="{01B3C40A-7380-470B-BEF4-94902707D383}"/>
    <cellStyle name="Normal 4 2 6 4 3 3" xfId="14431" xr:uid="{B3FE95A8-E56E-4E8D-A524-9F215689E075}"/>
    <cellStyle name="Normal 4 2 6 4 4" xfId="18654" xr:uid="{C9C41954-EB3C-4749-96CA-1A8347FAAA2D}"/>
    <cellStyle name="Normal 4 2 6 4 5" xfId="10213" xr:uid="{FDF40AD9-257A-4263-8B4E-BA832E5D2474}"/>
    <cellStyle name="Normal 4 2 6 5" xfId="2088" xr:uid="{00000000-0005-0000-0000-000000140000}"/>
    <cellStyle name="Normal 4 2 6 5 2" xfId="4317" xr:uid="{00000000-0005-0000-0000-000001140000}"/>
    <cellStyle name="Normal 4 2 6 5 2 2" xfId="8539" xr:uid="{00000000-0005-0000-0000-000002140000}"/>
    <cellStyle name="Normal 4 2 6 5 2 2 2" xfId="25430" xr:uid="{10AFB871-4E7E-47DC-9560-39A36B600ECE}"/>
    <cellStyle name="Normal 4 2 6 5 2 2 3" xfId="16989" xr:uid="{A988AAED-2541-46BF-9B98-DA13EEA82FFF}"/>
    <cellStyle name="Normal 4 2 6 5 2 3" xfId="21212" xr:uid="{F4A117BB-372D-462E-8965-9FD9E10D54E9}"/>
    <cellStyle name="Normal 4 2 6 5 2 4" xfId="12771" xr:uid="{ECF1443B-8084-4032-A981-B3A1BAF900EC}"/>
    <cellStyle name="Normal 4 2 6 5 3" xfId="6394" xr:uid="{00000000-0005-0000-0000-000003140000}"/>
    <cellStyle name="Normal 4 2 6 5 3 2" xfId="23285" xr:uid="{02DFE2F0-3013-4F8E-9E8A-2E99AE389A89}"/>
    <cellStyle name="Normal 4 2 6 5 3 3" xfId="14844" xr:uid="{E5ABC2C8-F3B4-479F-A13D-4513B9EF50F3}"/>
    <cellStyle name="Normal 4 2 6 5 4" xfId="19067" xr:uid="{AD5B8D4D-ED99-44EB-9C06-8E5182C5F51B}"/>
    <cellStyle name="Normal 4 2 6 5 5" xfId="10626" xr:uid="{0840DE12-0B10-4A64-989F-33821AE372C0}"/>
    <cellStyle name="Normal 4 2 6 6" xfId="2524" xr:uid="{00000000-0005-0000-0000-000004140000}"/>
    <cellStyle name="Normal 4 2 6 6 2" xfId="6807" xr:uid="{00000000-0005-0000-0000-000005140000}"/>
    <cellStyle name="Normal 4 2 6 6 2 2" xfId="23698" xr:uid="{F0FEC323-0DD7-4479-95A6-7130604F6084}"/>
    <cellStyle name="Normal 4 2 6 6 2 3" xfId="15257" xr:uid="{2B7A9B9B-6510-4D41-AA75-53FAD2C4B34D}"/>
    <cellStyle name="Normal 4 2 6 6 3" xfId="19480" xr:uid="{E84A6BA7-CA51-48A6-8B0D-5892E0322241}"/>
    <cellStyle name="Normal 4 2 6 6 4" xfId="11039" xr:uid="{6F7402FC-B578-4F37-947B-778BEC01667A}"/>
    <cellStyle name="Normal 4 2 6 7" xfId="4742" xr:uid="{00000000-0005-0000-0000-000006140000}"/>
    <cellStyle name="Normal 4 2 6 7 2" xfId="21633" xr:uid="{D9204E19-4D39-46D6-AE88-85A5587D0D35}"/>
    <cellStyle name="Normal 4 2 6 7 3" xfId="13192" xr:uid="{DF44C586-DF1F-4321-92BB-1CCF9808CDBA}"/>
    <cellStyle name="Normal 4 2 6 8" xfId="17415" xr:uid="{AB2AFAB1-DBF4-48C1-805C-C0E98F1C719C}"/>
    <cellStyle name="Normal 4 2 6 9" xfId="8974" xr:uid="{6B8E950C-987A-493C-8A05-8AD016F83917}"/>
    <cellStyle name="Normal 4 2 7" xfId="25758" xr:uid="{D0AD9B53-8757-46D6-89D1-3EC027D8754B}"/>
    <cellStyle name="Normal 4 2_Item C7" xfId="25763" xr:uid="{931F3340-C53A-4A03-AE9D-AA6A057C0589}"/>
    <cellStyle name="Normal 4 3" xfId="366" xr:uid="{00000000-0005-0000-0000-000007140000}"/>
    <cellStyle name="Normal 4 3 10" xfId="17416" xr:uid="{30A7BE7A-56EE-4421-A0B1-E7820FA66DAD}"/>
    <cellStyle name="Normal 4 3 11" xfId="8975" xr:uid="{CFBB6DA9-E10F-4B7D-9BE0-6939475BA2C0}"/>
    <cellStyle name="Normal 4 3 12" xfId="25764" xr:uid="{A3B0E336-D198-4D28-A0D2-8EBDF8AE928A}"/>
    <cellStyle name="Normal 4 3 2" xfId="367" xr:uid="{00000000-0005-0000-0000-000008140000}"/>
    <cellStyle name="Normal 4 3 2 2" xfId="368" xr:uid="{00000000-0005-0000-0000-000009140000}"/>
    <cellStyle name="Normal 4 3 2 2 2" xfId="369" xr:uid="{00000000-0005-0000-0000-00000A140000}"/>
    <cellStyle name="Normal 4 3 2 2 2 10" xfId="17417" xr:uid="{FCAE2775-A6C5-4D55-8948-15547053301B}"/>
    <cellStyle name="Normal 4 3 2 2 2 11" xfId="8976" xr:uid="{2F541EA0-B020-4304-9D08-90DAA26F7657}"/>
    <cellStyle name="Normal 4 3 2 2 2 2" xfId="370" xr:uid="{00000000-0005-0000-0000-00000B140000}"/>
    <cellStyle name="Normal 4 3 2 2 2 2 10" xfId="8977" xr:uid="{5B592D82-D676-4459-8836-8FE777010802}"/>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24195" xr:uid="{96E9AD5F-E3EE-45F5-9903-C588CA5B2C1F}"/>
    <cellStyle name="Normal 4 3 2 2 2 2 2 2 2 2 3" xfId="15754" xr:uid="{11D55558-5365-429B-8F09-46908C347D1F}"/>
    <cellStyle name="Normal 4 3 2 2 2 2 2 2 2 3" xfId="19977" xr:uid="{15445480-2252-433A-9108-5C2BD7536943}"/>
    <cellStyle name="Normal 4 3 2 2 2 2 2 2 2 4" xfId="11536" xr:uid="{5FC0FD91-033A-47C0-8BA7-B092894B5861}"/>
    <cellStyle name="Normal 4 3 2 2 2 2 2 2 3" xfId="5159" xr:uid="{00000000-0005-0000-0000-000010140000}"/>
    <cellStyle name="Normal 4 3 2 2 2 2 2 2 3 2" xfId="22050" xr:uid="{02FB2D2B-0E62-4A57-B29C-BAADB23949DE}"/>
    <cellStyle name="Normal 4 3 2 2 2 2 2 2 3 3" xfId="13609" xr:uid="{A3761486-22A7-4BA6-BF7C-67694EFF5CE9}"/>
    <cellStyle name="Normal 4 3 2 2 2 2 2 2 4" xfId="17832" xr:uid="{1D0472F1-8B96-4DB9-B634-0248E86CD897}"/>
    <cellStyle name="Normal 4 3 2 2 2 2 2 2 5" xfId="9391" xr:uid="{D1B20955-81F3-4924-BE68-4BB54B44D985}"/>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24608" xr:uid="{9EDC3411-9BD2-4C48-977C-5AD81FECF2C4}"/>
    <cellStyle name="Normal 4 3 2 2 2 2 2 3 2 2 3" xfId="16167" xr:uid="{BB60822D-D0E8-4CCF-A2C1-1F6292CE49F5}"/>
    <cellStyle name="Normal 4 3 2 2 2 2 2 3 2 3" xfId="20390" xr:uid="{B6C3A6CB-D5D3-4FCC-B90D-63A87CCD94B7}"/>
    <cellStyle name="Normal 4 3 2 2 2 2 2 3 2 4" xfId="11949" xr:uid="{31BA5CC9-5329-4EBF-A97A-ED8023BD3BDC}"/>
    <cellStyle name="Normal 4 3 2 2 2 2 2 3 3" xfId="5572" xr:uid="{00000000-0005-0000-0000-000014140000}"/>
    <cellStyle name="Normal 4 3 2 2 2 2 2 3 3 2" xfId="22463" xr:uid="{A1F75C51-243F-422D-A96E-7B276F06F319}"/>
    <cellStyle name="Normal 4 3 2 2 2 2 2 3 3 3" xfId="14022" xr:uid="{2C9DCBB5-46DB-41EF-A450-E7B9087B8333}"/>
    <cellStyle name="Normal 4 3 2 2 2 2 2 3 4" xfId="18245" xr:uid="{3D2E19D6-06AE-4F4A-917E-26EB4A2BE692}"/>
    <cellStyle name="Normal 4 3 2 2 2 2 2 3 5" xfId="9804" xr:uid="{668C9BAF-4865-4B2E-BDD6-D3FCDD162B78}"/>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25021" xr:uid="{4B489854-62DB-4218-8644-C952D0B6B3C0}"/>
    <cellStyle name="Normal 4 3 2 2 2 2 2 4 2 2 3" xfId="16580" xr:uid="{BDC5C1C4-5FA5-4D45-A51D-6C76225B1ACF}"/>
    <cellStyle name="Normal 4 3 2 2 2 2 2 4 2 3" xfId="20803" xr:uid="{F5481805-8DC9-4207-82F5-997C9583AD10}"/>
    <cellStyle name="Normal 4 3 2 2 2 2 2 4 2 4" xfId="12362" xr:uid="{019C2F61-460D-457F-B133-B49F71DD20D6}"/>
    <cellStyle name="Normal 4 3 2 2 2 2 2 4 3" xfId="5985" xr:uid="{00000000-0005-0000-0000-000018140000}"/>
    <cellStyle name="Normal 4 3 2 2 2 2 2 4 3 2" xfId="22876" xr:uid="{D377BE0C-545D-4C89-B21A-13A33A97DA3B}"/>
    <cellStyle name="Normal 4 3 2 2 2 2 2 4 3 3" xfId="14435" xr:uid="{403CB145-6C93-4339-BFC7-0069E0A94EEE}"/>
    <cellStyle name="Normal 4 3 2 2 2 2 2 4 4" xfId="18658" xr:uid="{6BD2FE1F-04CB-4D21-9CC6-F84D4BD32DCB}"/>
    <cellStyle name="Normal 4 3 2 2 2 2 2 4 5" xfId="10217" xr:uid="{08A4735F-BED5-49F6-B27F-BB725A72921F}"/>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25434" xr:uid="{23748842-2DC2-495E-B060-EB97265FC17D}"/>
    <cellStyle name="Normal 4 3 2 2 2 2 2 5 2 2 3" xfId="16993" xr:uid="{3FD7E27B-02C5-41E9-AB0A-05AF6E3B4800}"/>
    <cellStyle name="Normal 4 3 2 2 2 2 2 5 2 3" xfId="21216" xr:uid="{6AAA25E8-D8B8-49A9-9BD9-B00A6C70C0C6}"/>
    <cellStyle name="Normal 4 3 2 2 2 2 2 5 2 4" xfId="12775" xr:uid="{53BF7E55-39EA-4663-968E-4CDD5E6DC10B}"/>
    <cellStyle name="Normal 4 3 2 2 2 2 2 5 3" xfId="6398" xr:uid="{00000000-0005-0000-0000-00001C140000}"/>
    <cellStyle name="Normal 4 3 2 2 2 2 2 5 3 2" xfId="23289" xr:uid="{3FCF892F-B8DE-4315-B1A5-9CBB1D7985EC}"/>
    <cellStyle name="Normal 4 3 2 2 2 2 2 5 3 3" xfId="14848" xr:uid="{365EEE31-02AE-4AEA-83A8-5ECF34C7C1F7}"/>
    <cellStyle name="Normal 4 3 2 2 2 2 2 5 4" xfId="19071" xr:uid="{391A0742-F679-4246-B296-A16132A9D86E}"/>
    <cellStyle name="Normal 4 3 2 2 2 2 2 5 5" xfId="10630" xr:uid="{7B10EF7E-B80D-4141-AFC8-2063D54868EB}"/>
    <cellStyle name="Normal 4 3 2 2 2 2 2 6" xfId="2528" xr:uid="{00000000-0005-0000-0000-00001D140000}"/>
    <cellStyle name="Normal 4 3 2 2 2 2 2 6 2" xfId="6811" xr:uid="{00000000-0005-0000-0000-00001E140000}"/>
    <cellStyle name="Normal 4 3 2 2 2 2 2 6 2 2" xfId="23702" xr:uid="{782F5884-88A5-4005-AB6F-15979892F5CC}"/>
    <cellStyle name="Normal 4 3 2 2 2 2 2 6 2 3" xfId="15261" xr:uid="{2C32CCD5-0E02-490C-B678-4217366F4828}"/>
    <cellStyle name="Normal 4 3 2 2 2 2 2 6 3" xfId="19484" xr:uid="{12CC7D72-7F06-4C48-9592-064B1FDA24D3}"/>
    <cellStyle name="Normal 4 3 2 2 2 2 2 6 4" xfId="11043" xr:uid="{B7F051C4-ACF1-4C39-AE25-D367B57EFA13}"/>
    <cellStyle name="Normal 4 3 2 2 2 2 2 7" xfId="4746" xr:uid="{00000000-0005-0000-0000-00001F140000}"/>
    <cellStyle name="Normal 4 3 2 2 2 2 2 7 2" xfId="21637" xr:uid="{99DC8C49-83E7-4445-8037-39788300922D}"/>
    <cellStyle name="Normal 4 3 2 2 2 2 2 7 3" xfId="13196" xr:uid="{C1353BE2-D4A6-4093-8D91-549DD4F839E5}"/>
    <cellStyle name="Normal 4 3 2 2 2 2 2 8" xfId="17419" xr:uid="{4525C2BA-1E67-42D5-8B35-16AD878DDD77}"/>
    <cellStyle name="Normal 4 3 2 2 2 2 2 9" xfId="8978" xr:uid="{6D01E24A-051E-4CDF-83E8-3F11F2C8DF97}"/>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24194" xr:uid="{A6CDEBAF-634F-466D-BCDE-31F15571948A}"/>
    <cellStyle name="Normal 4 3 2 2 2 2 3 2 2 3" xfId="15753" xr:uid="{E90608A5-479C-4FFD-9F72-D843D9C5C1B9}"/>
    <cellStyle name="Normal 4 3 2 2 2 2 3 2 3" xfId="19976" xr:uid="{5B680F13-2665-4578-8685-6E5FE9F77E49}"/>
    <cellStyle name="Normal 4 3 2 2 2 2 3 2 4" xfId="11535" xr:uid="{B9A9BB54-2CE3-414E-BCD4-29D9E91E0846}"/>
    <cellStyle name="Normal 4 3 2 2 2 2 3 3" xfId="5158" xr:uid="{00000000-0005-0000-0000-000023140000}"/>
    <cellStyle name="Normal 4 3 2 2 2 2 3 3 2" xfId="22049" xr:uid="{5E2825D2-6F9B-4AC9-A782-6521A728DF07}"/>
    <cellStyle name="Normal 4 3 2 2 2 2 3 3 3" xfId="13608" xr:uid="{EEAE678B-9BFC-4258-9D23-7EE4DBAF6A08}"/>
    <cellStyle name="Normal 4 3 2 2 2 2 3 4" xfId="17831" xr:uid="{16F4E990-F31F-4D43-A92A-AE45DD307052}"/>
    <cellStyle name="Normal 4 3 2 2 2 2 3 5" xfId="9390" xr:uid="{0020B5A7-A520-4D89-8CBB-061135DC5324}"/>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24607" xr:uid="{1668A333-5A66-4401-8AAB-BF7F978972FD}"/>
    <cellStyle name="Normal 4 3 2 2 2 2 4 2 2 3" xfId="16166" xr:uid="{BA9C8511-8CA1-4D6E-AFAB-C1930AD287D8}"/>
    <cellStyle name="Normal 4 3 2 2 2 2 4 2 3" xfId="20389" xr:uid="{87BE2434-7E53-4AF6-A15F-05A4D918EB4D}"/>
    <cellStyle name="Normal 4 3 2 2 2 2 4 2 4" xfId="11948" xr:uid="{0E9AD195-74C7-459D-9C92-0BE7D9E83A51}"/>
    <cellStyle name="Normal 4 3 2 2 2 2 4 3" xfId="5571" xr:uid="{00000000-0005-0000-0000-000027140000}"/>
    <cellStyle name="Normal 4 3 2 2 2 2 4 3 2" xfId="22462" xr:uid="{32BDEDB4-7219-4A8E-8D2B-F50828367EBB}"/>
    <cellStyle name="Normal 4 3 2 2 2 2 4 3 3" xfId="14021" xr:uid="{7102D64B-04AA-44FE-A612-57A469C6CB37}"/>
    <cellStyle name="Normal 4 3 2 2 2 2 4 4" xfId="18244" xr:uid="{38C16696-8866-4FB6-8379-774015EBE1C8}"/>
    <cellStyle name="Normal 4 3 2 2 2 2 4 5" xfId="9803" xr:uid="{A4020700-3572-48D4-8041-CE6D95C632A7}"/>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25020" xr:uid="{58A66530-513F-4202-8710-4F463938DB28}"/>
    <cellStyle name="Normal 4 3 2 2 2 2 5 2 2 3" xfId="16579" xr:uid="{13397911-8416-494B-B09C-E50ECF9A08B2}"/>
    <cellStyle name="Normal 4 3 2 2 2 2 5 2 3" xfId="20802" xr:uid="{7B3B27E5-30BE-4607-9239-70F25DD664B8}"/>
    <cellStyle name="Normal 4 3 2 2 2 2 5 2 4" xfId="12361" xr:uid="{9DC8C185-D168-42E3-BA60-197D8AD32D6B}"/>
    <cellStyle name="Normal 4 3 2 2 2 2 5 3" xfId="5984" xr:uid="{00000000-0005-0000-0000-00002B140000}"/>
    <cellStyle name="Normal 4 3 2 2 2 2 5 3 2" xfId="22875" xr:uid="{9422B68E-2EC0-4140-9969-1E411B6DE55C}"/>
    <cellStyle name="Normal 4 3 2 2 2 2 5 3 3" xfId="14434" xr:uid="{B3E1E9C2-0FEB-46E3-A8C1-969F15C541D4}"/>
    <cellStyle name="Normal 4 3 2 2 2 2 5 4" xfId="18657" xr:uid="{127E0523-8084-4578-8B79-955FA3583DA4}"/>
    <cellStyle name="Normal 4 3 2 2 2 2 5 5" xfId="10216" xr:uid="{36758F41-452A-4261-85D1-25970B96D8FD}"/>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25433" xr:uid="{3A7D2981-B9FD-422A-8956-08995A7CAE86}"/>
    <cellStyle name="Normal 4 3 2 2 2 2 6 2 2 3" xfId="16992" xr:uid="{AAEF923B-6AE4-417A-8B86-09D92BB24011}"/>
    <cellStyle name="Normal 4 3 2 2 2 2 6 2 3" xfId="21215" xr:uid="{CEA0075D-01E0-4864-8D9C-7842BA5EBA3C}"/>
    <cellStyle name="Normal 4 3 2 2 2 2 6 2 4" xfId="12774" xr:uid="{6A78D83D-8D92-4F5F-B5CB-45C535DA7C26}"/>
    <cellStyle name="Normal 4 3 2 2 2 2 6 3" xfId="6397" xr:uid="{00000000-0005-0000-0000-00002F140000}"/>
    <cellStyle name="Normal 4 3 2 2 2 2 6 3 2" xfId="23288" xr:uid="{4C0A65A8-CF70-4927-A2B5-C014E5AC037F}"/>
    <cellStyle name="Normal 4 3 2 2 2 2 6 3 3" xfId="14847" xr:uid="{AEAB802B-5BE2-4C27-913A-B6A7A5D83C4B}"/>
    <cellStyle name="Normal 4 3 2 2 2 2 6 4" xfId="19070" xr:uid="{EF1B1878-46FD-4A7E-9EBF-02956B88F425}"/>
    <cellStyle name="Normal 4 3 2 2 2 2 6 5" xfId="10629" xr:uid="{491E8288-753A-4B84-84F3-35643C0367E9}"/>
    <cellStyle name="Normal 4 3 2 2 2 2 7" xfId="2527" xr:uid="{00000000-0005-0000-0000-000030140000}"/>
    <cellStyle name="Normal 4 3 2 2 2 2 7 2" xfId="6810" xr:uid="{00000000-0005-0000-0000-000031140000}"/>
    <cellStyle name="Normal 4 3 2 2 2 2 7 2 2" xfId="23701" xr:uid="{638F8A31-3D0E-436D-97C7-A90C27704FC0}"/>
    <cellStyle name="Normal 4 3 2 2 2 2 7 2 3" xfId="15260" xr:uid="{319C1316-A10D-41FC-95A9-BA44148EE6C8}"/>
    <cellStyle name="Normal 4 3 2 2 2 2 7 3" xfId="19483" xr:uid="{DC63358E-4190-4896-A992-96B32E1E2FA5}"/>
    <cellStyle name="Normal 4 3 2 2 2 2 7 4" xfId="11042" xr:uid="{33B4C0C2-C03F-4672-AB92-7813C6B60BA8}"/>
    <cellStyle name="Normal 4 3 2 2 2 2 8" xfId="4745" xr:uid="{00000000-0005-0000-0000-000032140000}"/>
    <cellStyle name="Normal 4 3 2 2 2 2 8 2" xfId="21636" xr:uid="{ADE8E558-5812-4AFA-B74D-FC2641CA974F}"/>
    <cellStyle name="Normal 4 3 2 2 2 2 8 3" xfId="13195" xr:uid="{97E7078C-FD11-4C48-AD21-5E412E4C8512}"/>
    <cellStyle name="Normal 4 3 2 2 2 2 9" xfId="17418" xr:uid="{ABFB52CB-2A4E-4D07-A169-26E0B1275229}"/>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24196" xr:uid="{7DD0CCF8-2BB6-4AD2-B06B-1581EB744A19}"/>
    <cellStyle name="Normal 4 3 2 2 2 3 2 2 2 3" xfId="15755" xr:uid="{59ACB820-B8A0-45CB-B861-692192F079B0}"/>
    <cellStyle name="Normal 4 3 2 2 2 3 2 2 3" xfId="19978" xr:uid="{05F115D9-0F7B-438E-A2B4-CE8E7D4944FD}"/>
    <cellStyle name="Normal 4 3 2 2 2 3 2 2 4" xfId="11537" xr:uid="{CB88698D-D4E9-4D25-8D3E-6D28CF36A2C6}"/>
    <cellStyle name="Normal 4 3 2 2 2 3 2 3" xfId="5160" xr:uid="{00000000-0005-0000-0000-000037140000}"/>
    <cellStyle name="Normal 4 3 2 2 2 3 2 3 2" xfId="22051" xr:uid="{6FF59798-1A73-4A60-9AE2-4758F2C68639}"/>
    <cellStyle name="Normal 4 3 2 2 2 3 2 3 3" xfId="13610" xr:uid="{01D95373-C58E-4059-BDC1-4571B37B340D}"/>
    <cellStyle name="Normal 4 3 2 2 2 3 2 4" xfId="17833" xr:uid="{9741078E-E7DE-402F-9061-11F96355FB4E}"/>
    <cellStyle name="Normal 4 3 2 2 2 3 2 5" xfId="9392" xr:uid="{C8989DB1-1149-4886-84A3-09AFB2E5C5CC}"/>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24609" xr:uid="{AE0D575C-E4B7-4BEF-A6A5-32C1BBB1424D}"/>
    <cellStyle name="Normal 4 3 2 2 2 3 3 2 2 3" xfId="16168" xr:uid="{4E42645E-E1F1-49CB-860F-7909E3B789C5}"/>
    <cellStyle name="Normal 4 3 2 2 2 3 3 2 3" xfId="20391" xr:uid="{3A2327FA-AC50-4D86-96AC-4744E5F9CBD8}"/>
    <cellStyle name="Normal 4 3 2 2 2 3 3 2 4" xfId="11950" xr:uid="{CBE4B007-0C16-4383-A496-0E973E7CEB8F}"/>
    <cellStyle name="Normal 4 3 2 2 2 3 3 3" xfId="5573" xr:uid="{00000000-0005-0000-0000-00003B140000}"/>
    <cellStyle name="Normal 4 3 2 2 2 3 3 3 2" xfId="22464" xr:uid="{B8ABB9B9-526A-4CF2-9A48-E0FA0D83370F}"/>
    <cellStyle name="Normal 4 3 2 2 2 3 3 3 3" xfId="14023" xr:uid="{76BEC18D-7D0A-4D64-949E-7BA180D8CE4E}"/>
    <cellStyle name="Normal 4 3 2 2 2 3 3 4" xfId="18246" xr:uid="{29920F58-513C-4DFD-89F9-B60A9D715DF6}"/>
    <cellStyle name="Normal 4 3 2 2 2 3 3 5" xfId="9805" xr:uid="{864170FD-074B-4C77-89FD-C21E306E4192}"/>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25022" xr:uid="{758F125C-E9AB-439E-9B8E-81FEAE45E8E9}"/>
    <cellStyle name="Normal 4 3 2 2 2 3 4 2 2 3" xfId="16581" xr:uid="{774CB57C-DF76-45B2-80AE-AE104261B5E4}"/>
    <cellStyle name="Normal 4 3 2 2 2 3 4 2 3" xfId="20804" xr:uid="{403AA7B0-BF35-4BBA-A8AD-53ECDF005580}"/>
    <cellStyle name="Normal 4 3 2 2 2 3 4 2 4" xfId="12363" xr:uid="{24E3A11D-8A19-43DC-B4BF-6FD4B64DEE6A}"/>
    <cellStyle name="Normal 4 3 2 2 2 3 4 3" xfId="5986" xr:uid="{00000000-0005-0000-0000-00003F140000}"/>
    <cellStyle name="Normal 4 3 2 2 2 3 4 3 2" xfId="22877" xr:uid="{E02FDFD0-01AD-4956-9C64-74DCAAB04E89}"/>
    <cellStyle name="Normal 4 3 2 2 2 3 4 3 3" xfId="14436" xr:uid="{EE7903ED-4F04-45E4-8703-D1884D8041FC}"/>
    <cellStyle name="Normal 4 3 2 2 2 3 4 4" xfId="18659" xr:uid="{301C4DAE-45AB-4033-AED2-3949A6C4B976}"/>
    <cellStyle name="Normal 4 3 2 2 2 3 4 5" xfId="10218" xr:uid="{C67A10B8-B6A4-4FF2-845A-B9F3A678B6A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25435" xr:uid="{905BFFE3-19CA-4E92-A317-DC00DEF32B29}"/>
    <cellStyle name="Normal 4 3 2 2 2 3 5 2 2 3" xfId="16994" xr:uid="{102EE9EC-77FA-4AA8-AF7E-E9CDD6801DA8}"/>
    <cellStyle name="Normal 4 3 2 2 2 3 5 2 3" xfId="21217" xr:uid="{53D92B6D-9621-4E20-85DD-AE12B8691ECF}"/>
    <cellStyle name="Normal 4 3 2 2 2 3 5 2 4" xfId="12776" xr:uid="{13633999-314F-4FDB-912D-A3921555FA34}"/>
    <cellStyle name="Normal 4 3 2 2 2 3 5 3" xfId="6399" xr:uid="{00000000-0005-0000-0000-000043140000}"/>
    <cellStyle name="Normal 4 3 2 2 2 3 5 3 2" xfId="23290" xr:uid="{B6812FAA-934E-419C-BDF0-9E743D24FE4C}"/>
    <cellStyle name="Normal 4 3 2 2 2 3 5 3 3" xfId="14849" xr:uid="{B862DCAA-4079-457B-AC84-3998DE78A7F8}"/>
    <cellStyle name="Normal 4 3 2 2 2 3 5 4" xfId="19072" xr:uid="{045E7449-EFF9-45A7-BD1A-6D87E1D1BD5A}"/>
    <cellStyle name="Normal 4 3 2 2 2 3 5 5" xfId="10631" xr:uid="{DE097892-C354-4115-811D-5FA68BFCF586}"/>
    <cellStyle name="Normal 4 3 2 2 2 3 6" xfId="2529" xr:uid="{00000000-0005-0000-0000-000044140000}"/>
    <cellStyle name="Normal 4 3 2 2 2 3 6 2" xfId="6812" xr:uid="{00000000-0005-0000-0000-000045140000}"/>
    <cellStyle name="Normal 4 3 2 2 2 3 6 2 2" xfId="23703" xr:uid="{9D890F31-0D4A-4D3A-A96B-1B86531240CE}"/>
    <cellStyle name="Normal 4 3 2 2 2 3 6 2 3" xfId="15262" xr:uid="{93540DA6-E550-4B6E-A445-E9236DADF009}"/>
    <cellStyle name="Normal 4 3 2 2 2 3 6 3" xfId="19485" xr:uid="{E81C44B9-3147-4E5D-9CFB-00496922F76E}"/>
    <cellStyle name="Normal 4 3 2 2 2 3 6 4" xfId="11044" xr:uid="{542C796F-266C-4A59-BEEB-E3732A1699E6}"/>
    <cellStyle name="Normal 4 3 2 2 2 3 7" xfId="4747" xr:uid="{00000000-0005-0000-0000-000046140000}"/>
    <cellStyle name="Normal 4 3 2 2 2 3 7 2" xfId="21638" xr:uid="{622FC509-1232-4742-A25A-78F6EB5329CB}"/>
    <cellStyle name="Normal 4 3 2 2 2 3 7 3" xfId="13197" xr:uid="{72380E41-A358-456D-B05E-7E21D382EF48}"/>
    <cellStyle name="Normal 4 3 2 2 2 3 8" xfId="17420" xr:uid="{E37A14C2-685E-42EF-8293-F88DEFCB6722}"/>
    <cellStyle name="Normal 4 3 2 2 2 3 9" xfId="8979" xr:uid="{269B6BB8-CFFF-4F29-88A0-188B1972E464}"/>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24193" xr:uid="{0979D320-8F20-4051-A1DA-604C7821B9DD}"/>
    <cellStyle name="Normal 4 3 2 2 2 4 2 2 3" xfId="15752" xr:uid="{4DF64BC2-4664-430C-B603-0C4B7A01F292}"/>
    <cellStyle name="Normal 4 3 2 2 2 4 2 3" xfId="19975" xr:uid="{89D48566-330C-4601-ACD6-99528A27375E}"/>
    <cellStyle name="Normal 4 3 2 2 2 4 2 4" xfId="11534" xr:uid="{41B73D05-D518-4368-AAE4-629D3C933BF3}"/>
    <cellStyle name="Normal 4 3 2 2 2 4 3" xfId="5157" xr:uid="{00000000-0005-0000-0000-00004A140000}"/>
    <cellStyle name="Normal 4 3 2 2 2 4 3 2" xfId="22048" xr:uid="{D4733CFE-DADE-4FCE-A68C-25BAD092E6AC}"/>
    <cellStyle name="Normal 4 3 2 2 2 4 3 3" xfId="13607" xr:uid="{2DE640AB-38C5-4A0C-9A33-A8E58A42A334}"/>
    <cellStyle name="Normal 4 3 2 2 2 4 4" xfId="17830" xr:uid="{E9BF8A8F-350A-4690-9529-1D862ADC3DB3}"/>
    <cellStyle name="Normal 4 3 2 2 2 4 5" xfId="9389" xr:uid="{E64B4777-F41D-4848-B9C6-00257373B8FE}"/>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24606" xr:uid="{3BC0F500-511B-40D3-9CE6-A402C5B6C231}"/>
    <cellStyle name="Normal 4 3 2 2 2 5 2 2 3" xfId="16165" xr:uid="{26028B72-F141-4D23-9D5B-2E337609C997}"/>
    <cellStyle name="Normal 4 3 2 2 2 5 2 3" xfId="20388" xr:uid="{DE8332E2-6958-4402-9789-C8FFA5667C79}"/>
    <cellStyle name="Normal 4 3 2 2 2 5 2 4" xfId="11947" xr:uid="{5D4D7F95-8CA3-4B0B-A32A-79F4A452FA0C}"/>
    <cellStyle name="Normal 4 3 2 2 2 5 3" xfId="5570" xr:uid="{00000000-0005-0000-0000-00004E140000}"/>
    <cellStyle name="Normal 4 3 2 2 2 5 3 2" xfId="22461" xr:uid="{F1F068AC-2D90-4FD3-9D9E-C0C44DC270B0}"/>
    <cellStyle name="Normal 4 3 2 2 2 5 3 3" xfId="14020" xr:uid="{A6E0A22D-11CE-46EF-A072-C897751CC82E}"/>
    <cellStyle name="Normal 4 3 2 2 2 5 4" xfId="18243" xr:uid="{3F367CF0-D658-45D8-ABD0-40B7A72DE134}"/>
    <cellStyle name="Normal 4 3 2 2 2 5 5" xfId="9802" xr:uid="{51808F8B-646F-4F77-93BC-2382B6AB7AA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25019" xr:uid="{A0374E6E-25B1-4256-8FB7-E016572D5A46}"/>
    <cellStyle name="Normal 4 3 2 2 2 6 2 2 3" xfId="16578" xr:uid="{BF0E7087-75A4-4677-9BA0-B3BF63776FE2}"/>
    <cellStyle name="Normal 4 3 2 2 2 6 2 3" xfId="20801" xr:uid="{63AE0367-7D28-42A6-BDBD-184485F64224}"/>
    <cellStyle name="Normal 4 3 2 2 2 6 2 4" xfId="12360" xr:uid="{C319BBED-B83F-435E-9DDB-3EEDCECF8D32}"/>
    <cellStyle name="Normal 4 3 2 2 2 6 3" xfId="5983" xr:uid="{00000000-0005-0000-0000-000052140000}"/>
    <cellStyle name="Normal 4 3 2 2 2 6 3 2" xfId="22874" xr:uid="{BFF81ED4-5B67-40A6-A880-E6F41771298A}"/>
    <cellStyle name="Normal 4 3 2 2 2 6 3 3" xfId="14433" xr:uid="{00C0737F-E9AB-4202-9C6B-636B88E5F108}"/>
    <cellStyle name="Normal 4 3 2 2 2 6 4" xfId="18656" xr:uid="{D6148F12-E434-4DEE-9893-DCD261A61549}"/>
    <cellStyle name="Normal 4 3 2 2 2 6 5" xfId="10215" xr:uid="{E708B4A9-8D8E-4A9B-8C86-A3565BD7556A}"/>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25432" xr:uid="{5A0325B4-3E0E-4296-89A6-D8488FD8E1F9}"/>
    <cellStyle name="Normal 4 3 2 2 2 7 2 2 3" xfId="16991" xr:uid="{FE01EB53-C175-4226-931E-F1C09239EE64}"/>
    <cellStyle name="Normal 4 3 2 2 2 7 2 3" xfId="21214" xr:uid="{A0AF2466-DE5A-49A3-B494-71DB666ACE98}"/>
    <cellStyle name="Normal 4 3 2 2 2 7 2 4" xfId="12773" xr:uid="{132FE827-2E88-49B7-81FA-14C3F0FF3415}"/>
    <cellStyle name="Normal 4 3 2 2 2 7 3" xfId="6396" xr:uid="{00000000-0005-0000-0000-000056140000}"/>
    <cellStyle name="Normal 4 3 2 2 2 7 3 2" xfId="23287" xr:uid="{A5E6063F-6040-4D20-95D8-8B96684A0A80}"/>
    <cellStyle name="Normal 4 3 2 2 2 7 3 3" xfId="14846" xr:uid="{664B1BBE-09EA-43AD-9382-A914E96F5A20}"/>
    <cellStyle name="Normal 4 3 2 2 2 7 4" xfId="19069" xr:uid="{E23D57D1-BCF8-4661-B0A3-FABCEBDE65D0}"/>
    <cellStyle name="Normal 4 3 2 2 2 7 5" xfId="10628" xr:uid="{DD5BBE50-EB22-43D5-BA9D-671D12BD7AF5}"/>
    <cellStyle name="Normal 4 3 2 2 2 8" xfId="2526" xr:uid="{00000000-0005-0000-0000-000057140000}"/>
    <cellStyle name="Normal 4 3 2 2 2 8 2" xfId="6809" xr:uid="{00000000-0005-0000-0000-000058140000}"/>
    <cellStyle name="Normal 4 3 2 2 2 8 2 2" xfId="23700" xr:uid="{4E2DFE06-3531-4B0D-A223-D82532887020}"/>
    <cellStyle name="Normal 4 3 2 2 2 8 2 3" xfId="15259" xr:uid="{5FFD5B43-E0BD-4736-BDDA-D1B473069D4B}"/>
    <cellStyle name="Normal 4 3 2 2 2 8 3" xfId="19482" xr:uid="{43828C4D-0E02-4974-89B1-7FC45F058C0D}"/>
    <cellStyle name="Normal 4 3 2 2 2 8 4" xfId="11041" xr:uid="{7EDE17F5-F544-4418-A8A9-C9CCFA64FBCC}"/>
    <cellStyle name="Normal 4 3 2 2 2 9" xfId="4744" xr:uid="{00000000-0005-0000-0000-000059140000}"/>
    <cellStyle name="Normal 4 3 2 2 2 9 2" xfId="21635" xr:uid="{233C451A-2869-43BF-8DCB-77D571E622AA}"/>
    <cellStyle name="Normal 4 3 2 2 2 9 3" xfId="13194" xr:uid="{B65717F8-0DEB-4DA2-B172-5D80AE4A6AAC}"/>
    <cellStyle name="Normal 4 3 2 3" xfId="373" xr:uid="{00000000-0005-0000-0000-00005A140000}"/>
    <cellStyle name="Normal 4 3 2 3 2" xfId="848" xr:uid="{00000000-0005-0000-0000-00005B140000}"/>
    <cellStyle name="Normal 4 3 2 4" xfId="843" xr:uid="{00000000-0005-0000-0000-00005C140000}"/>
    <cellStyle name="Normal 4 3 2 5" xfId="25765" xr:uid="{D8B1ABB2-AD8B-4B59-A25D-FCE03F5A475B}"/>
    <cellStyle name="Normal 4 3 3" xfId="374" xr:uid="{00000000-0005-0000-0000-00005D140000}"/>
    <cellStyle name="Normal 4 3 3 10" xfId="17421" xr:uid="{E5D33E16-6A28-4AB9-879B-4979CB8F4E6E}"/>
    <cellStyle name="Normal 4 3 3 11" xfId="8980" xr:uid="{9F8A13E5-E390-4948-9E21-01482B3A2AF9}"/>
    <cellStyle name="Normal 4 3 3 2" xfId="375" xr:uid="{00000000-0005-0000-0000-00005E140000}"/>
    <cellStyle name="Normal 4 3 3 2 10" xfId="8981" xr:uid="{E1DB39BB-30BB-4F05-9558-C18556F69C09}"/>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24199" xr:uid="{5E90F55F-41E3-46B3-9219-39A471374313}"/>
    <cellStyle name="Normal 4 3 3 2 2 2 2 2 3" xfId="15758" xr:uid="{0B10128A-BCBF-4043-8671-56D70DF17C46}"/>
    <cellStyle name="Normal 4 3 3 2 2 2 2 3" xfId="19981" xr:uid="{A661D1E6-9B24-48B2-9E37-7C83B0CB7569}"/>
    <cellStyle name="Normal 4 3 3 2 2 2 2 4" xfId="11540" xr:uid="{52CF1F40-1FF4-41C9-B4D7-94BD4475495F}"/>
    <cellStyle name="Normal 4 3 3 2 2 2 3" xfId="5163" xr:uid="{00000000-0005-0000-0000-000063140000}"/>
    <cellStyle name="Normal 4 3 3 2 2 2 3 2" xfId="22054" xr:uid="{7B7801F2-D966-41C9-834D-64BF7174EF51}"/>
    <cellStyle name="Normal 4 3 3 2 2 2 3 3" xfId="13613" xr:uid="{98E4745A-DA50-41E6-A934-08F61AFBC1F5}"/>
    <cellStyle name="Normal 4 3 3 2 2 2 4" xfId="17836" xr:uid="{02246DE3-2064-424D-90EA-67A4DB22FEFE}"/>
    <cellStyle name="Normal 4 3 3 2 2 2 5" xfId="9395" xr:uid="{5A37F365-1559-422C-B41C-CA800E41727A}"/>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24612" xr:uid="{9568698D-CD3B-44AC-97AB-E32B1227C30D}"/>
    <cellStyle name="Normal 4 3 3 2 2 3 2 2 3" xfId="16171" xr:uid="{01004F5B-6618-4EF6-A99F-EFB4B49A8F2C}"/>
    <cellStyle name="Normal 4 3 3 2 2 3 2 3" xfId="20394" xr:uid="{42E17894-6B22-49EA-B18B-DF202C305484}"/>
    <cellStyle name="Normal 4 3 3 2 2 3 2 4" xfId="11953" xr:uid="{69682B9C-C39F-4626-8AF6-C52B48D53E03}"/>
    <cellStyle name="Normal 4 3 3 2 2 3 3" xfId="5576" xr:uid="{00000000-0005-0000-0000-000067140000}"/>
    <cellStyle name="Normal 4 3 3 2 2 3 3 2" xfId="22467" xr:uid="{EC3DC76E-78E0-49EB-AA16-EF01A3183D4E}"/>
    <cellStyle name="Normal 4 3 3 2 2 3 3 3" xfId="14026" xr:uid="{58121081-487D-4017-99B7-46F16F38FE5C}"/>
    <cellStyle name="Normal 4 3 3 2 2 3 4" xfId="18249" xr:uid="{D66E8691-19FD-4513-BC1F-D15206AEA209}"/>
    <cellStyle name="Normal 4 3 3 2 2 3 5" xfId="9808" xr:uid="{711EAB65-AAD6-4822-BC25-840F48821E18}"/>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25025" xr:uid="{4E29FCC9-7FA7-4D3C-BA9A-7204B0C83FAC}"/>
    <cellStyle name="Normal 4 3 3 2 2 4 2 2 3" xfId="16584" xr:uid="{1D4395DB-7D5F-45F3-A008-C4122C2C425C}"/>
    <cellStyle name="Normal 4 3 3 2 2 4 2 3" xfId="20807" xr:uid="{F5543249-E9D8-4B86-87DA-EC413ECD5C29}"/>
    <cellStyle name="Normal 4 3 3 2 2 4 2 4" xfId="12366" xr:uid="{E9C36B7F-22E5-45AB-9765-F14523C55178}"/>
    <cellStyle name="Normal 4 3 3 2 2 4 3" xfId="5989" xr:uid="{00000000-0005-0000-0000-00006B140000}"/>
    <cellStyle name="Normal 4 3 3 2 2 4 3 2" xfId="22880" xr:uid="{38A294A8-C2AF-4242-B6CE-ADC535C2DC0E}"/>
    <cellStyle name="Normal 4 3 3 2 2 4 3 3" xfId="14439" xr:uid="{BD0951C2-5388-4FCC-875B-A93737F85EC5}"/>
    <cellStyle name="Normal 4 3 3 2 2 4 4" xfId="18662" xr:uid="{2B214118-3AFD-4FB9-B134-0EA07E8582E1}"/>
    <cellStyle name="Normal 4 3 3 2 2 4 5" xfId="10221" xr:uid="{5A3C2E97-9902-4752-A95C-59A41613CFB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25438" xr:uid="{8E3339F2-C3F5-447E-9620-5AC883B13386}"/>
    <cellStyle name="Normal 4 3 3 2 2 5 2 2 3" xfId="16997" xr:uid="{5A801DF9-EAF4-432E-BC07-98FF547AB60D}"/>
    <cellStyle name="Normal 4 3 3 2 2 5 2 3" xfId="21220" xr:uid="{594871A4-DD96-4053-8CC8-A5D1E57388A2}"/>
    <cellStyle name="Normal 4 3 3 2 2 5 2 4" xfId="12779" xr:uid="{C0A11FD5-ACD1-4722-BEED-494D9C1B3E6D}"/>
    <cellStyle name="Normal 4 3 3 2 2 5 3" xfId="6402" xr:uid="{00000000-0005-0000-0000-00006F140000}"/>
    <cellStyle name="Normal 4 3 3 2 2 5 3 2" xfId="23293" xr:uid="{22E96ECF-37E2-4169-88D4-75AD4CC9992E}"/>
    <cellStyle name="Normal 4 3 3 2 2 5 3 3" xfId="14852" xr:uid="{F957DCCC-CB7F-4FA3-85AC-C666A55BDD79}"/>
    <cellStyle name="Normal 4 3 3 2 2 5 4" xfId="19075" xr:uid="{C40D9065-1F55-4518-A8E0-D6FD3A25F1DD}"/>
    <cellStyle name="Normal 4 3 3 2 2 5 5" xfId="10634" xr:uid="{B4A4F226-5797-4542-96F5-D13915D9F811}"/>
    <cellStyle name="Normal 4 3 3 2 2 6" xfId="2532" xr:uid="{00000000-0005-0000-0000-000070140000}"/>
    <cellStyle name="Normal 4 3 3 2 2 6 2" xfId="6815" xr:uid="{00000000-0005-0000-0000-000071140000}"/>
    <cellStyle name="Normal 4 3 3 2 2 6 2 2" xfId="23706" xr:uid="{D949E131-651B-4DFC-BBC6-0F84B21D3FB5}"/>
    <cellStyle name="Normal 4 3 3 2 2 6 2 3" xfId="15265" xr:uid="{8F91E3E5-03F0-4A96-9A3D-2A74DB956C5F}"/>
    <cellStyle name="Normal 4 3 3 2 2 6 3" xfId="19488" xr:uid="{82987D1C-AC7F-49E2-82C6-BAC24BDE6A57}"/>
    <cellStyle name="Normal 4 3 3 2 2 6 4" xfId="11047" xr:uid="{6C3604EE-771F-4398-959E-D28E74022100}"/>
    <cellStyle name="Normal 4 3 3 2 2 7" xfId="4750" xr:uid="{00000000-0005-0000-0000-000072140000}"/>
    <cellStyle name="Normal 4 3 3 2 2 7 2" xfId="21641" xr:uid="{507A9FFA-E92A-485F-A52E-37A233FE46D1}"/>
    <cellStyle name="Normal 4 3 3 2 2 7 3" xfId="13200" xr:uid="{CC515F04-438D-41F1-9A5F-04BFAF306D9A}"/>
    <cellStyle name="Normal 4 3 3 2 2 8" xfId="17423" xr:uid="{455ECE69-DB61-445F-8C9F-51B825E6A4A5}"/>
    <cellStyle name="Normal 4 3 3 2 2 9" xfId="8982" xr:uid="{D1EBB576-FF84-46CA-BAD6-7CB67AD14518}"/>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24198" xr:uid="{93A10579-B9C5-4FAE-8B4F-69AE848CA689}"/>
    <cellStyle name="Normal 4 3 3 2 3 2 2 3" xfId="15757" xr:uid="{83ABD580-C584-493A-BC3E-71446F6DA8F9}"/>
    <cellStyle name="Normal 4 3 3 2 3 2 3" xfId="19980" xr:uid="{21FECACA-A185-481E-A375-A70F3DE2EF4D}"/>
    <cellStyle name="Normal 4 3 3 2 3 2 4" xfId="11539" xr:uid="{3D1AE28D-AE12-4A40-A4C9-C4B403F1CD69}"/>
    <cellStyle name="Normal 4 3 3 2 3 3" xfId="5162" xr:uid="{00000000-0005-0000-0000-000076140000}"/>
    <cellStyle name="Normal 4 3 3 2 3 3 2" xfId="22053" xr:uid="{4C29BE68-9301-417A-96C7-887B275E86E8}"/>
    <cellStyle name="Normal 4 3 3 2 3 3 3" xfId="13612" xr:uid="{67DE2550-BBDB-4ACD-8C74-879E80561B7C}"/>
    <cellStyle name="Normal 4 3 3 2 3 4" xfId="17835" xr:uid="{A66CE982-AEBD-4A9A-8887-144B1B3155BF}"/>
    <cellStyle name="Normal 4 3 3 2 3 5" xfId="9394" xr:uid="{A3B51515-13C7-49BD-AC0A-70F833382678}"/>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24611" xr:uid="{FDA7C4A9-2E77-42B3-8E11-8470FD63AA5E}"/>
    <cellStyle name="Normal 4 3 3 2 4 2 2 3" xfId="16170" xr:uid="{01E3842E-ED0D-43CD-A9ED-80BB68546EE1}"/>
    <cellStyle name="Normal 4 3 3 2 4 2 3" xfId="20393" xr:uid="{A2E3D3D8-FB94-41F1-A318-D990B348DE7E}"/>
    <cellStyle name="Normal 4 3 3 2 4 2 4" xfId="11952" xr:uid="{E7471F17-CDD1-41FA-9B76-584B66E9B3BD}"/>
    <cellStyle name="Normal 4 3 3 2 4 3" xfId="5575" xr:uid="{00000000-0005-0000-0000-00007A140000}"/>
    <cellStyle name="Normal 4 3 3 2 4 3 2" xfId="22466" xr:uid="{5D9C3D7E-4879-413E-9B44-A740CB0839F4}"/>
    <cellStyle name="Normal 4 3 3 2 4 3 3" xfId="14025" xr:uid="{67262468-71CF-4530-BECC-1F741B169CFE}"/>
    <cellStyle name="Normal 4 3 3 2 4 4" xfId="18248" xr:uid="{193C608E-450B-44D9-A5EA-770279BCCF31}"/>
    <cellStyle name="Normal 4 3 3 2 4 5" xfId="9807" xr:uid="{94FC9725-C3E6-4621-A2FF-B73CAD104815}"/>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25024" xr:uid="{CA8A7BB1-33D8-4579-B387-5AF61A38F41B}"/>
    <cellStyle name="Normal 4 3 3 2 5 2 2 3" xfId="16583" xr:uid="{DD02A3BA-EFE0-4DCC-9770-75003E682615}"/>
    <cellStyle name="Normal 4 3 3 2 5 2 3" xfId="20806" xr:uid="{F52CF72A-F8C8-49FA-8A16-D9CBA6C524E3}"/>
    <cellStyle name="Normal 4 3 3 2 5 2 4" xfId="12365" xr:uid="{7102BB40-92D8-4C13-B4F8-7F4014B787AF}"/>
    <cellStyle name="Normal 4 3 3 2 5 3" xfId="5988" xr:uid="{00000000-0005-0000-0000-00007E140000}"/>
    <cellStyle name="Normal 4 3 3 2 5 3 2" xfId="22879" xr:uid="{8FC240E6-FBBE-4BAE-B5A3-9C643563E3A3}"/>
    <cellStyle name="Normal 4 3 3 2 5 3 3" xfId="14438" xr:uid="{6C5CCC90-0547-40A3-AD22-D1AC21038B61}"/>
    <cellStyle name="Normal 4 3 3 2 5 4" xfId="18661" xr:uid="{E9181023-0D28-4BF7-A1CB-07B9ACEDF62A}"/>
    <cellStyle name="Normal 4 3 3 2 5 5" xfId="10220" xr:uid="{CBFEB0CD-4421-4FEF-876B-54E98A41CE7F}"/>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25437" xr:uid="{4F4049A0-6648-4C36-8F8B-F8816B603A49}"/>
    <cellStyle name="Normal 4 3 3 2 6 2 2 3" xfId="16996" xr:uid="{C6DE34EE-F4F3-4023-806C-2CFDDDB08AA7}"/>
    <cellStyle name="Normal 4 3 3 2 6 2 3" xfId="21219" xr:uid="{639D3425-ED6E-4BB8-8994-7EA48C8D53FB}"/>
    <cellStyle name="Normal 4 3 3 2 6 2 4" xfId="12778" xr:uid="{7C435E62-BDBE-4E86-B0C2-9F48A5A78E24}"/>
    <cellStyle name="Normal 4 3 3 2 6 3" xfId="6401" xr:uid="{00000000-0005-0000-0000-000082140000}"/>
    <cellStyle name="Normal 4 3 3 2 6 3 2" xfId="23292" xr:uid="{16EF9463-A3A4-4064-B104-5C5301763A31}"/>
    <cellStyle name="Normal 4 3 3 2 6 3 3" xfId="14851" xr:uid="{F5A25E2D-842C-40C2-9FEA-C9C5138F4E71}"/>
    <cellStyle name="Normal 4 3 3 2 6 4" xfId="19074" xr:uid="{9CE5CF0C-A587-4B17-AF7B-10344FE925FD}"/>
    <cellStyle name="Normal 4 3 3 2 6 5" xfId="10633" xr:uid="{77FA12D9-A66E-48AF-86C0-1EEBA43A8CA4}"/>
    <cellStyle name="Normal 4 3 3 2 7" xfId="2531" xr:uid="{00000000-0005-0000-0000-000083140000}"/>
    <cellStyle name="Normal 4 3 3 2 7 2" xfId="6814" xr:uid="{00000000-0005-0000-0000-000084140000}"/>
    <cellStyle name="Normal 4 3 3 2 7 2 2" xfId="23705" xr:uid="{DA6F5FD6-B5B4-4815-96D8-53D76454C0A1}"/>
    <cellStyle name="Normal 4 3 3 2 7 2 3" xfId="15264" xr:uid="{50F46A8E-F745-4959-9956-66D38E8E28CA}"/>
    <cellStyle name="Normal 4 3 3 2 7 3" xfId="19487" xr:uid="{9C1F8144-60F4-4DC1-ADF6-17A573A31820}"/>
    <cellStyle name="Normal 4 3 3 2 7 4" xfId="11046" xr:uid="{13B68C63-4A6E-44D8-9384-10134F65E3DF}"/>
    <cellStyle name="Normal 4 3 3 2 8" xfId="4749" xr:uid="{00000000-0005-0000-0000-000085140000}"/>
    <cellStyle name="Normal 4 3 3 2 8 2" xfId="21640" xr:uid="{774EA101-ECD4-40A6-85C1-AFA6044F88FC}"/>
    <cellStyle name="Normal 4 3 3 2 8 3" xfId="13199" xr:uid="{DF41545C-61C1-4686-A109-6D4E84F93875}"/>
    <cellStyle name="Normal 4 3 3 2 9" xfId="17422" xr:uid="{7796661B-513C-4A50-9EF0-7CD1DEAE3799}"/>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24200" xr:uid="{314B7C0F-9575-4E9C-90E6-BD23F6E845A0}"/>
    <cellStyle name="Normal 4 3 3 3 2 2 2 3" xfId="15759" xr:uid="{AFA536AB-25F2-4DAE-8DEE-C56870E2046E}"/>
    <cellStyle name="Normal 4 3 3 3 2 2 3" xfId="19982" xr:uid="{52504A40-211C-4F9E-8A71-9BEB3AAB9A3F}"/>
    <cellStyle name="Normal 4 3 3 3 2 2 4" xfId="11541" xr:uid="{8E17CD7A-4003-420C-9C86-D9E315458D72}"/>
    <cellStyle name="Normal 4 3 3 3 2 3" xfId="5164" xr:uid="{00000000-0005-0000-0000-00008A140000}"/>
    <cellStyle name="Normal 4 3 3 3 2 3 2" xfId="22055" xr:uid="{D39C0C86-2EF5-428F-9EF5-3DC58D5CB2C1}"/>
    <cellStyle name="Normal 4 3 3 3 2 3 3" xfId="13614" xr:uid="{2325DA23-1036-4A21-B2F7-7DE7C7724F58}"/>
    <cellStyle name="Normal 4 3 3 3 2 4" xfId="17837" xr:uid="{2C963369-BE67-4656-BB3D-857E2069F2C5}"/>
    <cellStyle name="Normal 4 3 3 3 2 5" xfId="9396" xr:uid="{A908850A-ED22-40CF-B28F-B1691C342E4A}"/>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24613" xr:uid="{0F94E956-2599-45D2-890F-CACF5A8167EC}"/>
    <cellStyle name="Normal 4 3 3 3 3 2 2 3" xfId="16172" xr:uid="{CC87C672-8084-4689-BE75-02E0AA624F6E}"/>
    <cellStyle name="Normal 4 3 3 3 3 2 3" xfId="20395" xr:uid="{266D95E9-E7FC-4502-9101-E9D91FBC7058}"/>
    <cellStyle name="Normal 4 3 3 3 3 2 4" xfId="11954" xr:uid="{9A13101B-F5AB-4BB1-A574-FD793CEC9773}"/>
    <cellStyle name="Normal 4 3 3 3 3 3" xfId="5577" xr:uid="{00000000-0005-0000-0000-00008E140000}"/>
    <cellStyle name="Normal 4 3 3 3 3 3 2" xfId="22468" xr:uid="{2D034536-8D12-47A8-B772-85197387DF77}"/>
    <cellStyle name="Normal 4 3 3 3 3 3 3" xfId="14027" xr:uid="{4309767D-843D-490A-BDC2-D7367996E42B}"/>
    <cellStyle name="Normal 4 3 3 3 3 4" xfId="18250" xr:uid="{8061E64B-8161-4B59-8F32-63BFFE97BEFE}"/>
    <cellStyle name="Normal 4 3 3 3 3 5" xfId="9809" xr:uid="{BEF0F5F0-524B-4B20-9D9B-40EE9202EE92}"/>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25026" xr:uid="{6991FCC0-2D49-47D5-8625-C068B6334B71}"/>
    <cellStyle name="Normal 4 3 3 3 4 2 2 3" xfId="16585" xr:uid="{CF17FC3A-18A9-4543-970B-21519EE8AD90}"/>
    <cellStyle name="Normal 4 3 3 3 4 2 3" xfId="20808" xr:uid="{E9D6867F-694D-4B49-83FA-788FA34CDFB9}"/>
    <cellStyle name="Normal 4 3 3 3 4 2 4" xfId="12367" xr:uid="{26BF64A4-795E-430C-8B79-77831734ABC2}"/>
    <cellStyle name="Normal 4 3 3 3 4 3" xfId="5990" xr:uid="{00000000-0005-0000-0000-000092140000}"/>
    <cellStyle name="Normal 4 3 3 3 4 3 2" xfId="22881" xr:uid="{8FC1BF39-3DE1-4AF2-B3F3-882F7EE010AD}"/>
    <cellStyle name="Normal 4 3 3 3 4 3 3" xfId="14440" xr:uid="{826A7713-062F-40EB-ADFA-0116E69AEFB5}"/>
    <cellStyle name="Normal 4 3 3 3 4 4" xfId="18663" xr:uid="{6254319C-6414-49AF-B84A-F2C05BC0BF1A}"/>
    <cellStyle name="Normal 4 3 3 3 4 5" xfId="10222" xr:uid="{86F79922-D929-4D57-9C16-A170339B42A0}"/>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25439" xr:uid="{4E5A9CCE-2BB7-4FA2-B8B4-472B8103D7EB}"/>
    <cellStyle name="Normal 4 3 3 3 5 2 2 3" xfId="16998" xr:uid="{AEB38AC6-A1EA-46FA-8510-3C033AF24149}"/>
    <cellStyle name="Normal 4 3 3 3 5 2 3" xfId="21221" xr:uid="{62F27C9A-174A-44AF-801B-4E9A2AB4AF8B}"/>
    <cellStyle name="Normal 4 3 3 3 5 2 4" xfId="12780" xr:uid="{BBFA7A8C-38BB-46C8-A23B-246C5778F201}"/>
    <cellStyle name="Normal 4 3 3 3 5 3" xfId="6403" xr:uid="{00000000-0005-0000-0000-000096140000}"/>
    <cellStyle name="Normal 4 3 3 3 5 3 2" xfId="23294" xr:uid="{919A15CF-91FB-4865-8370-761842CEDF67}"/>
    <cellStyle name="Normal 4 3 3 3 5 3 3" xfId="14853" xr:uid="{7BB1A1A6-FD50-48B7-B491-34C7B95A4444}"/>
    <cellStyle name="Normal 4 3 3 3 5 4" xfId="19076" xr:uid="{B1FC4B5A-755C-4BE3-85D4-02177EFB3EB8}"/>
    <cellStyle name="Normal 4 3 3 3 5 5" xfId="10635" xr:uid="{FE10535B-8F9A-4B13-B58B-1D5767770497}"/>
    <cellStyle name="Normal 4 3 3 3 6" xfId="2533" xr:uid="{00000000-0005-0000-0000-000097140000}"/>
    <cellStyle name="Normal 4 3 3 3 6 2" xfId="6816" xr:uid="{00000000-0005-0000-0000-000098140000}"/>
    <cellStyle name="Normal 4 3 3 3 6 2 2" xfId="23707" xr:uid="{DD7914C0-2E3A-471C-BE9C-C7A81CB9A50A}"/>
    <cellStyle name="Normal 4 3 3 3 6 2 3" xfId="15266" xr:uid="{7A7063C5-F63A-42DB-8CAE-F2DF59237AB3}"/>
    <cellStyle name="Normal 4 3 3 3 6 3" xfId="19489" xr:uid="{8017F054-A1CB-4132-A756-49367C8598C9}"/>
    <cellStyle name="Normal 4 3 3 3 6 4" xfId="11048" xr:uid="{239F2AF5-A8C5-4CBC-9010-1CEB20AB5DE6}"/>
    <cellStyle name="Normal 4 3 3 3 7" xfId="4751" xr:uid="{00000000-0005-0000-0000-000099140000}"/>
    <cellStyle name="Normal 4 3 3 3 7 2" xfId="21642" xr:uid="{70F0E8E0-3731-41F8-9876-55AC984576EF}"/>
    <cellStyle name="Normal 4 3 3 3 7 3" xfId="13201" xr:uid="{9B27CD8B-D290-477A-974B-8381306FFCFC}"/>
    <cellStyle name="Normal 4 3 3 3 8" xfId="17424" xr:uid="{72D23378-FC8F-4215-A97D-022E6510CC1D}"/>
    <cellStyle name="Normal 4 3 3 3 9" xfId="8983" xr:uid="{2CACAA89-9307-4907-AE98-E01208F473B9}"/>
    <cellStyle name="Normal 4 3 3 4" xfId="849" xr:uid="{00000000-0005-0000-0000-00009A140000}"/>
    <cellStyle name="Normal 4 3 3 4 2" xfId="3084" xr:uid="{00000000-0005-0000-0000-00009B140000}"/>
    <cellStyle name="Normal 4 3 3 4 2 2" xfId="7306" xr:uid="{00000000-0005-0000-0000-00009C140000}"/>
    <cellStyle name="Normal 4 3 3 4 2 2 2" xfId="24197" xr:uid="{8D52414B-4D7B-4555-A65E-2AD83D657380}"/>
    <cellStyle name="Normal 4 3 3 4 2 2 3" xfId="15756" xr:uid="{0CEDDECD-1A03-4C83-87C1-13EB80352490}"/>
    <cellStyle name="Normal 4 3 3 4 2 3" xfId="19979" xr:uid="{56C85052-D6AB-4210-B054-652B97D15C83}"/>
    <cellStyle name="Normal 4 3 3 4 2 4" xfId="11538" xr:uid="{44724948-B245-4AD3-AEA1-5DC5D3BE1991}"/>
    <cellStyle name="Normal 4 3 3 4 3" xfId="5161" xr:uid="{00000000-0005-0000-0000-00009D140000}"/>
    <cellStyle name="Normal 4 3 3 4 3 2" xfId="22052" xr:uid="{43C00DB0-5E54-4483-9EA9-D973E40FE39B}"/>
    <cellStyle name="Normal 4 3 3 4 3 3" xfId="13611" xr:uid="{EF9BC5FA-35CE-4234-81D6-EB83811BB991}"/>
    <cellStyle name="Normal 4 3 3 4 4" xfId="17834" xr:uid="{324930E1-43E4-4791-8D98-A9EE3B68B5AE}"/>
    <cellStyle name="Normal 4 3 3 4 5" xfId="9393" xr:uid="{974A2AEF-F2DC-4F3C-BDF2-96C0DAEF5504}"/>
    <cellStyle name="Normal 4 3 3 5" xfId="1267" xr:uid="{00000000-0005-0000-0000-00009E140000}"/>
    <cellStyle name="Normal 4 3 3 5 2" xfId="3497" xr:uid="{00000000-0005-0000-0000-00009F140000}"/>
    <cellStyle name="Normal 4 3 3 5 2 2" xfId="7719" xr:uid="{00000000-0005-0000-0000-0000A0140000}"/>
    <cellStyle name="Normal 4 3 3 5 2 2 2" xfId="24610" xr:uid="{BBDE596D-CB93-4D30-B590-757DA314A87C}"/>
    <cellStyle name="Normal 4 3 3 5 2 2 3" xfId="16169" xr:uid="{A08A83F8-DDF3-493C-AF8A-DC81AB9DD935}"/>
    <cellStyle name="Normal 4 3 3 5 2 3" xfId="20392" xr:uid="{B29A8A1F-E98D-42CD-A64A-01EF359AFFBC}"/>
    <cellStyle name="Normal 4 3 3 5 2 4" xfId="11951" xr:uid="{14F02246-C210-4974-87B6-F71C444296C3}"/>
    <cellStyle name="Normal 4 3 3 5 3" xfId="5574" xr:uid="{00000000-0005-0000-0000-0000A1140000}"/>
    <cellStyle name="Normal 4 3 3 5 3 2" xfId="22465" xr:uid="{79E2BCEE-DAA4-4758-B038-2E91E6180ECA}"/>
    <cellStyle name="Normal 4 3 3 5 3 3" xfId="14024" xr:uid="{3725CA2F-3106-43EA-802A-BC47345779D2}"/>
    <cellStyle name="Normal 4 3 3 5 4" xfId="18247" xr:uid="{7D6A8422-BACF-4FD1-8786-E4564C617350}"/>
    <cellStyle name="Normal 4 3 3 5 5" xfId="9806" xr:uid="{E5A3F0B3-9025-4BF4-9335-F41C9DEC173A}"/>
    <cellStyle name="Normal 4 3 3 6" xfId="1680" xr:uid="{00000000-0005-0000-0000-0000A2140000}"/>
    <cellStyle name="Normal 4 3 3 6 2" xfId="3910" xr:uid="{00000000-0005-0000-0000-0000A3140000}"/>
    <cellStyle name="Normal 4 3 3 6 2 2" xfId="8132" xr:uid="{00000000-0005-0000-0000-0000A4140000}"/>
    <cellStyle name="Normal 4 3 3 6 2 2 2" xfId="25023" xr:uid="{468E770B-B511-41C9-953E-48F657C7F362}"/>
    <cellStyle name="Normal 4 3 3 6 2 2 3" xfId="16582" xr:uid="{3B859C99-9E18-4BDC-8E53-5F71740A0CDE}"/>
    <cellStyle name="Normal 4 3 3 6 2 3" xfId="20805" xr:uid="{E2A4D78B-3672-47FF-B42A-7C1374E6DC13}"/>
    <cellStyle name="Normal 4 3 3 6 2 4" xfId="12364" xr:uid="{43E4A966-B42A-46D5-9407-BF2756F0A834}"/>
    <cellStyle name="Normal 4 3 3 6 3" xfId="5987" xr:uid="{00000000-0005-0000-0000-0000A5140000}"/>
    <cellStyle name="Normal 4 3 3 6 3 2" xfId="22878" xr:uid="{54657E73-8DBF-4D51-9515-D8674F32473C}"/>
    <cellStyle name="Normal 4 3 3 6 3 3" xfId="14437" xr:uid="{7958D3D8-EDAC-405B-B847-695F98762C28}"/>
    <cellStyle name="Normal 4 3 3 6 4" xfId="18660" xr:uid="{17EB0230-2155-4652-9625-93FBD6F24C1F}"/>
    <cellStyle name="Normal 4 3 3 6 5" xfId="10219" xr:uid="{84E94D3E-824C-441B-A358-F89BFA8C64B6}"/>
    <cellStyle name="Normal 4 3 3 7" xfId="2094" xr:uid="{00000000-0005-0000-0000-0000A6140000}"/>
    <cellStyle name="Normal 4 3 3 7 2" xfId="4323" xr:uid="{00000000-0005-0000-0000-0000A7140000}"/>
    <cellStyle name="Normal 4 3 3 7 2 2" xfId="8545" xr:uid="{00000000-0005-0000-0000-0000A8140000}"/>
    <cellStyle name="Normal 4 3 3 7 2 2 2" xfId="25436" xr:uid="{1A92F0F6-E12A-47C8-9D84-24607E9ACA22}"/>
    <cellStyle name="Normal 4 3 3 7 2 2 3" xfId="16995" xr:uid="{D495C59A-5F70-40E5-A337-CF81BFCB1247}"/>
    <cellStyle name="Normal 4 3 3 7 2 3" xfId="21218" xr:uid="{C7C1256F-BF1D-47C2-B312-8297E37141E5}"/>
    <cellStyle name="Normal 4 3 3 7 2 4" xfId="12777" xr:uid="{33D5BEF6-1E7B-47D6-878D-F105A85B4545}"/>
    <cellStyle name="Normal 4 3 3 7 3" xfId="6400" xr:uid="{00000000-0005-0000-0000-0000A9140000}"/>
    <cellStyle name="Normal 4 3 3 7 3 2" xfId="23291" xr:uid="{EFB29936-0462-4FA9-9EFD-0E4F740279C7}"/>
    <cellStyle name="Normal 4 3 3 7 3 3" xfId="14850" xr:uid="{18ADAE09-1E6D-4F3D-BD81-FA2B45ED5A36}"/>
    <cellStyle name="Normal 4 3 3 7 4" xfId="19073" xr:uid="{D287F891-60B7-4396-9C88-809DDD5274B1}"/>
    <cellStyle name="Normal 4 3 3 7 5" xfId="10632" xr:uid="{D5AA75F3-0ADF-463A-BC37-327C168FB7AE}"/>
    <cellStyle name="Normal 4 3 3 8" xfId="2530" xr:uid="{00000000-0005-0000-0000-0000AA140000}"/>
    <cellStyle name="Normal 4 3 3 8 2" xfId="6813" xr:uid="{00000000-0005-0000-0000-0000AB140000}"/>
    <cellStyle name="Normal 4 3 3 8 2 2" xfId="23704" xr:uid="{DC801394-D13C-4EEF-81D3-1D485A8E847D}"/>
    <cellStyle name="Normal 4 3 3 8 2 3" xfId="15263" xr:uid="{EC41B81E-0714-4AAE-BBE9-41DF82BB971E}"/>
    <cellStyle name="Normal 4 3 3 8 3" xfId="19486" xr:uid="{A14DE492-D1A2-44F7-B496-7DE609931090}"/>
    <cellStyle name="Normal 4 3 3 8 4" xfId="11045" xr:uid="{9AEAF73A-B49A-4ACA-B6C9-54BE6DCCF4C9}"/>
    <cellStyle name="Normal 4 3 3 9" xfId="4748" xr:uid="{00000000-0005-0000-0000-0000AC140000}"/>
    <cellStyle name="Normal 4 3 3 9 2" xfId="21639" xr:uid="{2499A236-B4E1-47D4-B63C-8B775D3FAF80}"/>
    <cellStyle name="Normal 4 3 3 9 3" xfId="13198" xr:uid="{82C3B73E-EE3C-4CFF-A7B5-26B83AD4EF28}"/>
    <cellStyle name="Normal 4 3 4" xfId="842" xr:uid="{00000000-0005-0000-0000-0000AD140000}"/>
    <cellStyle name="Normal 4 3 4 2" xfId="3079" xr:uid="{00000000-0005-0000-0000-0000AE140000}"/>
    <cellStyle name="Normal 4 3 4 2 2" xfId="7301" xr:uid="{00000000-0005-0000-0000-0000AF140000}"/>
    <cellStyle name="Normal 4 3 4 2 2 2" xfId="24192" xr:uid="{DF86BFDA-99A9-406D-962E-95756DCE6CD1}"/>
    <cellStyle name="Normal 4 3 4 2 2 3" xfId="15751" xr:uid="{042841AF-51EA-4673-B13A-4B73EB0C6B6F}"/>
    <cellStyle name="Normal 4 3 4 2 3" xfId="19974" xr:uid="{FBC441AB-AF65-481F-88C4-93525D5A28AF}"/>
    <cellStyle name="Normal 4 3 4 2 4" xfId="11533" xr:uid="{416D2A1E-620D-4698-97DF-0506A4EDD1DD}"/>
    <cellStyle name="Normal 4 3 4 3" xfId="5156" xr:uid="{00000000-0005-0000-0000-0000B0140000}"/>
    <cellStyle name="Normal 4 3 4 3 2" xfId="22047" xr:uid="{1D34778B-5CA6-4DE7-8FD2-D163D9D0428A}"/>
    <cellStyle name="Normal 4 3 4 3 3" xfId="13606" xr:uid="{1CAA0EA9-0361-4B9E-8587-E9C1B557625F}"/>
    <cellStyle name="Normal 4 3 4 4" xfId="17829" xr:uid="{149569CC-0581-43CF-BB7C-9BED0259C4CF}"/>
    <cellStyle name="Normal 4 3 4 5" xfId="9388" xr:uid="{B2B17589-CA43-40EA-A092-6D35617EEFD1}"/>
    <cellStyle name="Normal 4 3 5" xfId="1262" xr:uid="{00000000-0005-0000-0000-0000B1140000}"/>
    <cellStyle name="Normal 4 3 5 2" xfId="3492" xr:uid="{00000000-0005-0000-0000-0000B2140000}"/>
    <cellStyle name="Normal 4 3 5 2 2" xfId="7714" xr:uid="{00000000-0005-0000-0000-0000B3140000}"/>
    <cellStyle name="Normal 4 3 5 2 2 2" xfId="24605" xr:uid="{BC6C127A-A4F7-4962-9E94-AB968BAFB999}"/>
    <cellStyle name="Normal 4 3 5 2 2 3" xfId="16164" xr:uid="{B8D8FB38-58D8-4DA5-8894-17AB718BA0AF}"/>
    <cellStyle name="Normal 4 3 5 2 3" xfId="20387" xr:uid="{201CEB17-97E0-4983-98AA-4D3C77E01806}"/>
    <cellStyle name="Normal 4 3 5 2 4" xfId="11946" xr:uid="{ED0C35C2-F595-412F-A92A-9BA1DB88083F}"/>
    <cellStyle name="Normal 4 3 5 3" xfId="5569" xr:uid="{00000000-0005-0000-0000-0000B4140000}"/>
    <cellStyle name="Normal 4 3 5 3 2" xfId="22460" xr:uid="{A841D306-5D69-401A-BEEC-E10E48485066}"/>
    <cellStyle name="Normal 4 3 5 3 3" xfId="14019" xr:uid="{901B6A9A-E467-49A1-94B7-AC289D4DEDF6}"/>
    <cellStyle name="Normal 4 3 5 4" xfId="18242" xr:uid="{E5D1FB88-5674-45C4-9B3A-C00834F42FE0}"/>
    <cellStyle name="Normal 4 3 5 5" xfId="9801" xr:uid="{DC34D54D-81CF-4094-AE1E-2735C9EA15EE}"/>
    <cellStyle name="Normal 4 3 6" xfId="1675" xr:uid="{00000000-0005-0000-0000-0000B5140000}"/>
    <cellStyle name="Normal 4 3 6 2" xfId="3905" xr:uid="{00000000-0005-0000-0000-0000B6140000}"/>
    <cellStyle name="Normal 4 3 6 2 2" xfId="8127" xr:uid="{00000000-0005-0000-0000-0000B7140000}"/>
    <cellStyle name="Normal 4 3 6 2 2 2" xfId="25018" xr:uid="{963FB86C-8240-4EA0-9440-9F43326BCA32}"/>
    <cellStyle name="Normal 4 3 6 2 2 3" xfId="16577" xr:uid="{408BD156-E478-4EB2-960A-7028AB0EFD03}"/>
    <cellStyle name="Normal 4 3 6 2 3" xfId="20800" xr:uid="{42E53EAB-A8FF-4BAE-BEF0-ED592CD7F303}"/>
    <cellStyle name="Normal 4 3 6 2 4" xfId="12359" xr:uid="{F3F680E1-F972-4967-B89F-C93E5E631A1E}"/>
    <cellStyle name="Normal 4 3 6 3" xfId="5982" xr:uid="{00000000-0005-0000-0000-0000B8140000}"/>
    <cellStyle name="Normal 4 3 6 3 2" xfId="22873" xr:uid="{285B850A-B9F8-400A-ACD5-80E4666FDCD1}"/>
    <cellStyle name="Normal 4 3 6 3 3" xfId="14432" xr:uid="{3AC8155E-5173-4F21-8284-29EB63ECA528}"/>
    <cellStyle name="Normal 4 3 6 4" xfId="18655" xr:uid="{93B1AC46-D779-4043-A0E1-EA306D96ED5D}"/>
    <cellStyle name="Normal 4 3 6 5" xfId="10214" xr:uid="{E213A97E-2340-432C-82C7-3A2C9A7B2D0C}"/>
    <cellStyle name="Normal 4 3 7" xfId="2089" xr:uid="{00000000-0005-0000-0000-0000B9140000}"/>
    <cellStyle name="Normal 4 3 7 2" xfId="4318" xr:uid="{00000000-0005-0000-0000-0000BA140000}"/>
    <cellStyle name="Normal 4 3 7 2 2" xfId="8540" xr:uid="{00000000-0005-0000-0000-0000BB140000}"/>
    <cellStyle name="Normal 4 3 7 2 2 2" xfId="25431" xr:uid="{35EE4B20-540E-4DC6-A355-3E03C5E58E1C}"/>
    <cellStyle name="Normal 4 3 7 2 2 3" xfId="16990" xr:uid="{3024DF65-2E31-420A-BBF8-4BDEC5265A23}"/>
    <cellStyle name="Normal 4 3 7 2 3" xfId="21213" xr:uid="{458D45F1-C41C-4345-8228-D55F7E7C1B0B}"/>
    <cellStyle name="Normal 4 3 7 2 4" xfId="12772" xr:uid="{2454683C-1DFB-4DD3-B764-DF2DB8BC3D90}"/>
    <cellStyle name="Normal 4 3 7 3" xfId="6395" xr:uid="{00000000-0005-0000-0000-0000BC140000}"/>
    <cellStyle name="Normal 4 3 7 3 2" xfId="23286" xr:uid="{47DF6C98-5028-44E4-ACCD-03884BD64364}"/>
    <cellStyle name="Normal 4 3 7 3 3" xfId="14845" xr:uid="{2ED623BE-9B44-4CAD-8A47-DF94B71B390D}"/>
    <cellStyle name="Normal 4 3 7 4" xfId="19068" xr:uid="{7E793756-EFBD-4AFD-9551-EAFA066FC994}"/>
    <cellStyle name="Normal 4 3 7 5" xfId="10627" xr:uid="{2F645248-45AF-4B6E-ABBD-9317E3D3B69D}"/>
    <cellStyle name="Normal 4 3 8" xfId="2525" xr:uid="{00000000-0005-0000-0000-0000BD140000}"/>
    <cellStyle name="Normal 4 3 8 2" xfId="6808" xr:uid="{00000000-0005-0000-0000-0000BE140000}"/>
    <cellStyle name="Normal 4 3 8 2 2" xfId="23699" xr:uid="{6AF3556D-A9D6-46DD-A18B-C568B6907DAE}"/>
    <cellStyle name="Normal 4 3 8 2 3" xfId="15258" xr:uid="{C11674FE-C68E-40BA-A5E1-76247CD03272}"/>
    <cellStyle name="Normal 4 3 8 3" xfId="19481" xr:uid="{940AF0C8-0D94-4DA0-A7B5-8BEB65998829}"/>
    <cellStyle name="Normal 4 3 8 4" xfId="11040" xr:uid="{F4868566-9148-40C1-BDBD-2C88E99CC2CA}"/>
    <cellStyle name="Normal 4 3 9" xfId="4743" xr:uid="{00000000-0005-0000-0000-0000BF140000}"/>
    <cellStyle name="Normal 4 3 9 2" xfId="21634" xr:uid="{459536AE-C1CE-4752-97E6-311055A31884}"/>
    <cellStyle name="Normal 4 3 9 3" xfId="13193" xr:uid="{5268CD90-17FE-4114-B4CC-8D81BF1B0443}"/>
    <cellStyle name="Normal 4 3_Item C7" xfId="25766" xr:uid="{F125232C-332A-411D-A7A7-22DCF311427E}"/>
    <cellStyle name="Normal 4 4" xfId="378" xr:uid="{00000000-0005-0000-0000-0000C0140000}"/>
    <cellStyle name="Normal 4 4 10" xfId="2534" xr:uid="{00000000-0005-0000-0000-0000C1140000}"/>
    <cellStyle name="Normal 4 4 10 2" xfId="6817" xr:uid="{00000000-0005-0000-0000-0000C2140000}"/>
    <cellStyle name="Normal 4 4 10 2 2" xfId="23708" xr:uid="{C55DDF33-138C-4128-ABE9-40E0287F14B0}"/>
    <cellStyle name="Normal 4 4 10 2 3" xfId="15267" xr:uid="{5F29F4B8-E0D8-41C8-A371-E529533B666D}"/>
    <cellStyle name="Normal 4 4 10 3" xfId="19490" xr:uid="{9D51203F-AFDB-45BF-984A-A8308F1B3B7D}"/>
    <cellStyle name="Normal 4 4 10 4" xfId="11049" xr:uid="{AB5037E3-62F2-4354-B91D-B8A3E8513B54}"/>
    <cellStyle name="Normal 4 4 11" xfId="4752" xr:uid="{00000000-0005-0000-0000-0000C3140000}"/>
    <cellStyle name="Normal 4 4 11 2" xfId="21643" xr:uid="{788CFAF1-3DD9-4870-9C89-0BBCE5ACA031}"/>
    <cellStyle name="Normal 4 4 11 3" xfId="13202" xr:uid="{BE626255-4976-4A3E-80C0-5F27A7CA9ABF}"/>
    <cellStyle name="Normal 4 4 12" xfId="17425" xr:uid="{84A112FB-6A2C-4A88-A4BC-34B38242A975}"/>
    <cellStyle name="Normal 4 4 13" xfId="8984" xr:uid="{42540D4E-751E-4008-B17F-2F8BD23B3623}"/>
    <cellStyle name="Normal 4 4 14" xfId="25767" xr:uid="{384407FC-A1C7-4D9A-AE7C-A99E52429B0F}"/>
    <cellStyle name="Normal 4 4 2" xfId="379" xr:uid="{00000000-0005-0000-0000-0000C4140000}"/>
    <cellStyle name="Normal 4 4 2 10" xfId="4753" xr:uid="{00000000-0005-0000-0000-0000C5140000}"/>
    <cellStyle name="Normal 4 4 2 10 2" xfId="21644" xr:uid="{6D5CCA4A-02A5-4849-A8B1-9F25AC22B7BC}"/>
    <cellStyle name="Normal 4 4 2 10 3" xfId="13203" xr:uid="{39AE1B31-069B-4624-8314-3EA5039FCF30}"/>
    <cellStyle name="Normal 4 4 2 11" xfId="17426" xr:uid="{C70CCFB4-86B6-4AF7-92BA-2B38719FC8F7}"/>
    <cellStyle name="Normal 4 4 2 12" xfId="8985" xr:uid="{B077AFD2-4434-4EC4-A7CB-6C52F2154DC8}"/>
    <cellStyle name="Normal 4 4 2 2" xfId="380" xr:uid="{00000000-0005-0000-0000-0000C6140000}"/>
    <cellStyle name="Normal 4 4 2 2 10" xfId="17427" xr:uid="{C6E3596E-6850-4E7F-B18B-3C887020F0A6}"/>
    <cellStyle name="Normal 4 4 2 2 11" xfId="8986" xr:uid="{B34F62B9-6039-4DBA-9B73-CB9B31C434C4}"/>
    <cellStyle name="Normal 4 4 2 2 2" xfId="381" xr:uid="{00000000-0005-0000-0000-0000C7140000}"/>
    <cellStyle name="Normal 4 4 2 2 2 10" xfId="8987" xr:uid="{879345E5-0E46-4A83-B37F-80CF96C5EA7B}"/>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24205" xr:uid="{243B1395-5A4E-40D9-B554-B64974EC3C8A}"/>
    <cellStyle name="Normal 4 4 2 2 2 2 2 2 2 3" xfId="15764" xr:uid="{6DAE66BD-E9BA-46C3-83F4-8F69E3CACCB2}"/>
    <cellStyle name="Normal 4 4 2 2 2 2 2 2 3" xfId="19987" xr:uid="{D4046A0F-AA33-4568-B137-1566D9432419}"/>
    <cellStyle name="Normal 4 4 2 2 2 2 2 2 4" xfId="11546" xr:uid="{3B03EB6C-B7C5-434F-A450-437E632754F9}"/>
    <cellStyle name="Normal 4 4 2 2 2 2 2 3" xfId="5169" xr:uid="{00000000-0005-0000-0000-0000CC140000}"/>
    <cellStyle name="Normal 4 4 2 2 2 2 2 3 2" xfId="22060" xr:uid="{DF3EB21C-0CB2-4351-BA00-363F8B71886E}"/>
    <cellStyle name="Normal 4 4 2 2 2 2 2 3 3" xfId="13619" xr:uid="{60F42441-2C8F-475F-9390-FCF4F0A97D3E}"/>
    <cellStyle name="Normal 4 4 2 2 2 2 2 4" xfId="17842" xr:uid="{B89C370A-C9F7-4BB2-987D-C073E3DD46DE}"/>
    <cellStyle name="Normal 4 4 2 2 2 2 2 5" xfId="9401" xr:uid="{CEA33035-578A-4C54-9E8A-0C3A55FFF628}"/>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24618" xr:uid="{A804A95F-A942-46EB-8C35-9273244214EE}"/>
    <cellStyle name="Normal 4 4 2 2 2 2 3 2 2 3" xfId="16177" xr:uid="{CF02795C-4F25-4689-8D1C-E054E32F57A6}"/>
    <cellStyle name="Normal 4 4 2 2 2 2 3 2 3" xfId="20400" xr:uid="{73F56A27-22E5-4856-9379-A1AE628BCA66}"/>
    <cellStyle name="Normal 4 4 2 2 2 2 3 2 4" xfId="11959" xr:uid="{3ADA7491-5EA7-4B93-BDF8-D7A4CAA8917F}"/>
    <cellStyle name="Normal 4 4 2 2 2 2 3 3" xfId="5582" xr:uid="{00000000-0005-0000-0000-0000D0140000}"/>
    <cellStyle name="Normal 4 4 2 2 2 2 3 3 2" xfId="22473" xr:uid="{C3671BEA-A16A-40A2-B8FD-6EA7F5C85A52}"/>
    <cellStyle name="Normal 4 4 2 2 2 2 3 3 3" xfId="14032" xr:uid="{EA3CB084-DBC8-48B5-80B5-B22116922144}"/>
    <cellStyle name="Normal 4 4 2 2 2 2 3 4" xfId="18255" xr:uid="{A2955378-FA4E-4CAB-9901-4CF5E48C8174}"/>
    <cellStyle name="Normal 4 4 2 2 2 2 3 5" xfId="9814" xr:uid="{A5038084-BEF3-46A4-9DBB-60F81B63AFA3}"/>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25031" xr:uid="{AD3604E6-332D-4084-B60C-76818EF49E54}"/>
    <cellStyle name="Normal 4 4 2 2 2 2 4 2 2 3" xfId="16590" xr:uid="{B4A77C27-538A-4B12-9C71-6B3268E0C651}"/>
    <cellStyle name="Normal 4 4 2 2 2 2 4 2 3" xfId="20813" xr:uid="{0F73D28B-179C-4675-B8DD-84BF7FE7D47E}"/>
    <cellStyle name="Normal 4 4 2 2 2 2 4 2 4" xfId="12372" xr:uid="{9A88F070-16F7-448C-A03B-1BA2849A5C71}"/>
    <cellStyle name="Normal 4 4 2 2 2 2 4 3" xfId="5995" xr:uid="{00000000-0005-0000-0000-0000D4140000}"/>
    <cellStyle name="Normal 4 4 2 2 2 2 4 3 2" xfId="22886" xr:uid="{2BB881BD-4EDC-48E3-9859-BA999844B681}"/>
    <cellStyle name="Normal 4 4 2 2 2 2 4 3 3" xfId="14445" xr:uid="{EA58184B-4C39-4071-B9FB-B1E66E0AD1A0}"/>
    <cellStyle name="Normal 4 4 2 2 2 2 4 4" xfId="18668" xr:uid="{EF545A6A-E523-4DD6-B913-5C655DB0718D}"/>
    <cellStyle name="Normal 4 4 2 2 2 2 4 5" xfId="10227" xr:uid="{278C290F-96D4-403A-8EE3-6FB4CD257119}"/>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25444" xr:uid="{D76A23C7-5DDE-4652-BD00-A6E4B5AE60C7}"/>
    <cellStyle name="Normal 4 4 2 2 2 2 5 2 2 3" xfId="17003" xr:uid="{F9829EDD-AEED-4192-B6C1-F3A90230D502}"/>
    <cellStyle name="Normal 4 4 2 2 2 2 5 2 3" xfId="21226" xr:uid="{C0ABEF7E-B7C3-4AA8-8B47-BC8FC6FA6360}"/>
    <cellStyle name="Normal 4 4 2 2 2 2 5 2 4" xfId="12785" xr:uid="{5789B9E7-51C2-4573-959C-3EEE3267E74C}"/>
    <cellStyle name="Normal 4 4 2 2 2 2 5 3" xfId="6408" xr:uid="{00000000-0005-0000-0000-0000D8140000}"/>
    <cellStyle name="Normal 4 4 2 2 2 2 5 3 2" xfId="23299" xr:uid="{D92A6AE0-1B01-4A4B-BE00-346927F369E5}"/>
    <cellStyle name="Normal 4 4 2 2 2 2 5 3 3" xfId="14858" xr:uid="{9A803BA1-B0B9-46EF-AF71-79001F5B9BCF}"/>
    <cellStyle name="Normal 4 4 2 2 2 2 5 4" xfId="19081" xr:uid="{7E901D5F-11F4-45A4-AC7B-701B4D698987}"/>
    <cellStyle name="Normal 4 4 2 2 2 2 5 5" xfId="10640" xr:uid="{FAE3C9CD-71C7-4677-BB17-9CF7A650A8FA}"/>
    <cellStyle name="Normal 4 4 2 2 2 2 6" xfId="2538" xr:uid="{00000000-0005-0000-0000-0000D9140000}"/>
    <cellStyle name="Normal 4 4 2 2 2 2 6 2" xfId="6821" xr:uid="{00000000-0005-0000-0000-0000DA140000}"/>
    <cellStyle name="Normal 4 4 2 2 2 2 6 2 2" xfId="23712" xr:uid="{AA0F124E-F2A3-414A-B101-51BC33F7024D}"/>
    <cellStyle name="Normal 4 4 2 2 2 2 6 2 3" xfId="15271" xr:uid="{C23BFDE5-69EF-40D4-9EBF-C0699448C8E5}"/>
    <cellStyle name="Normal 4 4 2 2 2 2 6 3" xfId="19494" xr:uid="{54370F04-479C-41F8-B3C8-D432BA9DD53F}"/>
    <cellStyle name="Normal 4 4 2 2 2 2 6 4" xfId="11053" xr:uid="{70D4F911-F417-45D5-BC61-46208C9E7BD9}"/>
    <cellStyle name="Normal 4 4 2 2 2 2 7" xfId="4756" xr:uid="{00000000-0005-0000-0000-0000DB140000}"/>
    <cellStyle name="Normal 4 4 2 2 2 2 7 2" xfId="21647" xr:uid="{1742F18B-F5AC-49B9-B03E-6ABB1BAA0DF2}"/>
    <cellStyle name="Normal 4 4 2 2 2 2 7 3" xfId="13206" xr:uid="{A885A001-AA2E-4868-BBEA-460DFB82E926}"/>
    <cellStyle name="Normal 4 4 2 2 2 2 8" xfId="17429" xr:uid="{F0F5F9CD-7B47-4B79-8F45-4D60224860DE}"/>
    <cellStyle name="Normal 4 4 2 2 2 2 9" xfId="8988" xr:uid="{C2265C8F-D947-45E9-87B2-F1D427E5E6DE}"/>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24204" xr:uid="{6577FEF4-D3E8-410B-82BC-CE0186390D6C}"/>
    <cellStyle name="Normal 4 4 2 2 2 3 2 2 3" xfId="15763" xr:uid="{AC992502-A221-4C10-8A8D-E59C55D75232}"/>
    <cellStyle name="Normal 4 4 2 2 2 3 2 3" xfId="19986" xr:uid="{6D1DBF16-BFEE-4CAD-B19D-446BD317F0B4}"/>
    <cellStyle name="Normal 4 4 2 2 2 3 2 4" xfId="11545" xr:uid="{DBE74F1D-1633-415E-A187-C3183EFCD233}"/>
    <cellStyle name="Normal 4 4 2 2 2 3 3" xfId="5168" xr:uid="{00000000-0005-0000-0000-0000DF140000}"/>
    <cellStyle name="Normal 4 4 2 2 2 3 3 2" xfId="22059" xr:uid="{478CF175-C605-4F8A-8E1A-3CDE594F1BC5}"/>
    <cellStyle name="Normal 4 4 2 2 2 3 3 3" xfId="13618" xr:uid="{8F7FE334-9B71-463D-9F1A-7F29F492FD32}"/>
    <cellStyle name="Normal 4 4 2 2 2 3 4" xfId="17841" xr:uid="{6F95D7F1-B7F3-4F91-B40C-0BB606EE5CE0}"/>
    <cellStyle name="Normal 4 4 2 2 2 3 5" xfId="9400" xr:uid="{B71FE684-87A5-4062-A7C5-7CA74B4AA3DC}"/>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24617" xr:uid="{60D96584-E04E-41CA-8D46-7E1303BF10D7}"/>
    <cellStyle name="Normal 4 4 2 2 2 4 2 2 3" xfId="16176" xr:uid="{816F1D7B-A7A7-4876-8F44-088AB86D8FBF}"/>
    <cellStyle name="Normal 4 4 2 2 2 4 2 3" xfId="20399" xr:uid="{8B9F76C1-7931-47F1-A363-A7639BCA230E}"/>
    <cellStyle name="Normal 4 4 2 2 2 4 2 4" xfId="11958" xr:uid="{4910E435-12CC-4F20-A1E6-C87872859F20}"/>
    <cellStyle name="Normal 4 4 2 2 2 4 3" xfId="5581" xr:uid="{00000000-0005-0000-0000-0000E3140000}"/>
    <cellStyle name="Normal 4 4 2 2 2 4 3 2" xfId="22472" xr:uid="{DAA37165-026F-4778-A66F-846DFB174098}"/>
    <cellStyle name="Normal 4 4 2 2 2 4 3 3" xfId="14031" xr:uid="{72732355-64CF-420C-B3EF-BBA4AA2539F5}"/>
    <cellStyle name="Normal 4 4 2 2 2 4 4" xfId="18254" xr:uid="{B1465218-6872-4815-B882-C35126A52875}"/>
    <cellStyle name="Normal 4 4 2 2 2 4 5" xfId="9813" xr:uid="{8854E2E6-F195-470D-AC2B-95ECDD26D524}"/>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25030" xr:uid="{6928E28C-045D-49FF-8555-5851B3DA186D}"/>
    <cellStyle name="Normal 4 4 2 2 2 5 2 2 3" xfId="16589" xr:uid="{74CD58A0-E223-447F-AECC-F586D965EBC7}"/>
    <cellStyle name="Normal 4 4 2 2 2 5 2 3" xfId="20812" xr:uid="{FE60CCE5-3A11-4DD9-99C9-3832829D06CE}"/>
    <cellStyle name="Normal 4 4 2 2 2 5 2 4" xfId="12371" xr:uid="{C24256AF-D903-46D3-AA80-9F7D2BE43AC2}"/>
    <cellStyle name="Normal 4 4 2 2 2 5 3" xfId="5994" xr:uid="{00000000-0005-0000-0000-0000E7140000}"/>
    <cellStyle name="Normal 4 4 2 2 2 5 3 2" xfId="22885" xr:uid="{61BEC001-8ACE-416A-89C2-50B3C1C6C6BF}"/>
    <cellStyle name="Normal 4 4 2 2 2 5 3 3" xfId="14444" xr:uid="{8C004E24-4C1B-42A7-8DA0-FD6328A004E7}"/>
    <cellStyle name="Normal 4 4 2 2 2 5 4" xfId="18667" xr:uid="{7A9D032C-5940-422D-B9F0-57AED19B927B}"/>
    <cellStyle name="Normal 4 4 2 2 2 5 5" xfId="10226" xr:uid="{B37A47A8-EA68-480D-9F03-C0D6B4E6009F}"/>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25443" xr:uid="{5BCD73B2-831E-4F3B-A37B-8FBDB761FF63}"/>
    <cellStyle name="Normal 4 4 2 2 2 6 2 2 3" xfId="17002" xr:uid="{AAEC3E39-7CDC-4625-B986-C6A45BFDE832}"/>
    <cellStyle name="Normal 4 4 2 2 2 6 2 3" xfId="21225" xr:uid="{25E8338A-D54A-4985-A5DF-1B461543587C}"/>
    <cellStyle name="Normal 4 4 2 2 2 6 2 4" xfId="12784" xr:uid="{324380E0-0912-4333-A09C-ADAB312FBCBE}"/>
    <cellStyle name="Normal 4 4 2 2 2 6 3" xfId="6407" xr:uid="{00000000-0005-0000-0000-0000EB140000}"/>
    <cellStyle name="Normal 4 4 2 2 2 6 3 2" xfId="23298" xr:uid="{A1581F10-2B13-4947-BF06-6DCE15A011C4}"/>
    <cellStyle name="Normal 4 4 2 2 2 6 3 3" xfId="14857" xr:uid="{F5EDC5F1-DB17-49D8-A32C-C28B8B01C742}"/>
    <cellStyle name="Normal 4 4 2 2 2 6 4" xfId="19080" xr:uid="{1B09A94B-0222-446A-94D8-05FD4A482256}"/>
    <cellStyle name="Normal 4 4 2 2 2 6 5" xfId="10639" xr:uid="{50AB42E9-DC79-4C42-B3E7-F42AD2C91185}"/>
    <cellStyle name="Normal 4 4 2 2 2 7" xfId="2537" xr:uid="{00000000-0005-0000-0000-0000EC140000}"/>
    <cellStyle name="Normal 4 4 2 2 2 7 2" xfId="6820" xr:uid="{00000000-0005-0000-0000-0000ED140000}"/>
    <cellStyle name="Normal 4 4 2 2 2 7 2 2" xfId="23711" xr:uid="{4BF87C5F-CD15-4C28-A088-BCA282279601}"/>
    <cellStyle name="Normal 4 4 2 2 2 7 2 3" xfId="15270" xr:uid="{34E90EAC-DC11-45CD-886C-23BF43D8163F}"/>
    <cellStyle name="Normal 4 4 2 2 2 7 3" xfId="19493" xr:uid="{1F55F49D-A040-47DB-BF09-57FB5F788C7D}"/>
    <cellStyle name="Normal 4 4 2 2 2 7 4" xfId="11052" xr:uid="{FABEFB67-E53A-4A70-9A70-DE8D245F0D9E}"/>
    <cellStyle name="Normal 4 4 2 2 2 8" xfId="4755" xr:uid="{00000000-0005-0000-0000-0000EE140000}"/>
    <cellStyle name="Normal 4 4 2 2 2 8 2" xfId="21646" xr:uid="{D48FEBB5-C0EE-4B29-9876-19B5C8AFBC84}"/>
    <cellStyle name="Normal 4 4 2 2 2 8 3" xfId="13205" xr:uid="{BC0A3420-8A7B-4AE4-A0EE-D51CCE397AC8}"/>
    <cellStyle name="Normal 4 4 2 2 2 9" xfId="17428" xr:uid="{5A759A5D-2290-4504-89E0-4F9BED69F14E}"/>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24206" xr:uid="{3F5DFE57-8825-44A8-B23E-5274DDCABE36}"/>
    <cellStyle name="Normal 4 4 2 2 3 2 2 2 3" xfId="15765" xr:uid="{D2D77ECB-D1E7-4316-959C-9A7445CDD149}"/>
    <cellStyle name="Normal 4 4 2 2 3 2 2 3" xfId="19988" xr:uid="{4758D282-DBA8-4D46-984E-FFFE557E634B}"/>
    <cellStyle name="Normal 4 4 2 2 3 2 2 4" xfId="11547" xr:uid="{87558856-23EB-4CE3-B5E7-CCBF00A347F4}"/>
    <cellStyle name="Normal 4 4 2 2 3 2 3" xfId="5170" xr:uid="{00000000-0005-0000-0000-0000F3140000}"/>
    <cellStyle name="Normal 4 4 2 2 3 2 3 2" xfId="22061" xr:uid="{86021D6C-B5F6-45D5-A2AA-234080621383}"/>
    <cellStyle name="Normal 4 4 2 2 3 2 3 3" xfId="13620" xr:uid="{537618AF-1223-47B0-AE12-14922DB9F45A}"/>
    <cellStyle name="Normal 4 4 2 2 3 2 4" xfId="17843" xr:uid="{F7A98BB3-7957-4A07-8934-2457C615E985}"/>
    <cellStyle name="Normal 4 4 2 2 3 2 5" xfId="9402" xr:uid="{CB96FCD1-65DB-48CF-85DD-16859F1412CC}"/>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24619" xr:uid="{3FACCD26-FD4E-4CE5-A6D6-6887E2C29CFD}"/>
    <cellStyle name="Normal 4 4 2 2 3 3 2 2 3" xfId="16178" xr:uid="{B0BAFD22-6588-4E07-BE8F-3B2562C36E35}"/>
    <cellStyle name="Normal 4 4 2 2 3 3 2 3" xfId="20401" xr:uid="{4BF13804-EAF5-4789-A5A1-8F019FF7E230}"/>
    <cellStyle name="Normal 4 4 2 2 3 3 2 4" xfId="11960" xr:uid="{DF48E90B-57BC-455A-9853-43309042509F}"/>
    <cellStyle name="Normal 4 4 2 2 3 3 3" xfId="5583" xr:uid="{00000000-0005-0000-0000-0000F7140000}"/>
    <cellStyle name="Normal 4 4 2 2 3 3 3 2" xfId="22474" xr:uid="{1B379F71-0657-40B3-8FAD-0F389772DE03}"/>
    <cellStyle name="Normal 4 4 2 2 3 3 3 3" xfId="14033" xr:uid="{B3C1931D-F4E7-439A-B299-4E7BD3F81319}"/>
    <cellStyle name="Normal 4 4 2 2 3 3 4" xfId="18256" xr:uid="{D08A573C-2C16-413E-918A-04BAB2FFC995}"/>
    <cellStyle name="Normal 4 4 2 2 3 3 5" xfId="9815" xr:uid="{0C42397E-1BB4-46BF-9CAC-A3E743597655}"/>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25032" xr:uid="{20F81DB8-87E1-40EF-ACAF-82535DE2FAEA}"/>
    <cellStyle name="Normal 4 4 2 2 3 4 2 2 3" xfId="16591" xr:uid="{A31FAEB3-5369-402B-9833-DF04A621AD01}"/>
    <cellStyle name="Normal 4 4 2 2 3 4 2 3" xfId="20814" xr:uid="{B90BF856-DE7B-463A-AC16-536AB3EEC84B}"/>
    <cellStyle name="Normal 4 4 2 2 3 4 2 4" xfId="12373" xr:uid="{BD5D8C59-0EB2-4ABD-B20A-8CC04F7E34F4}"/>
    <cellStyle name="Normal 4 4 2 2 3 4 3" xfId="5996" xr:uid="{00000000-0005-0000-0000-0000FB140000}"/>
    <cellStyle name="Normal 4 4 2 2 3 4 3 2" xfId="22887" xr:uid="{2CC18C76-DDF2-4207-B31E-EB13783DC9B9}"/>
    <cellStyle name="Normal 4 4 2 2 3 4 3 3" xfId="14446" xr:uid="{FA9BA70F-67E4-4F73-A34C-F0555A18BAA9}"/>
    <cellStyle name="Normal 4 4 2 2 3 4 4" xfId="18669" xr:uid="{E26E444B-CA57-4FE5-AD05-1A180C42A67D}"/>
    <cellStyle name="Normal 4 4 2 2 3 4 5" xfId="10228" xr:uid="{91BF28DE-D70F-4AAA-A66A-DC59BB07253A}"/>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25445" xr:uid="{7BAF9024-60CB-431F-9E20-97F3FA6915FE}"/>
    <cellStyle name="Normal 4 4 2 2 3 5 2 2 3" xfId="17004" xr:uid="{31FFFFF5-DFB2-4E9B-883C-7D5246EF41FB}"/>
    <cellStyle name="Normal 4 4 2 2 3 5 2 3" xfId="21227" xr:uid="{9A7959B8-492E-477A-8D7A-2760351FDFFD}"/>
    <cellStyle name="Normal 4 4 2 2 3 5 2 4" xfId="12786" xr:uid="{ADDD845B-B44E-446B-9508-08B2D676329F}"/>
    <cellStyle name="Normal 4 4 2 2 3 5 3" xfId="6409" xr:uid="{00000000-0005-0000-0000-0000FF140000}"/>
    <cellStyle name="Normal 4 4 2 2 3 5 3 2" xfId="23300" xr:uid="{603CBCE5-C9EF-4C92-B7DD-B27BBEBDAC66}"/>
    <cellStyle name="Normal 4 4 2 2 3 5 3 3" xfId="14859" xr:uid="{CD71CD8D-BEAF-4B3C-B157-85BF516ECF28}"/>
    <cellStyle name="Normal 4 4 2 2 3 5 4" xfId="19082" xr:uid="{C5273224-664E-4244-8B8F-25ACB21F531E}"/>
    <cellStyle name="Normal 4 4 2 2 3 5 5" xfId="10641" xr:uid="{3264A4D3-5731-46A5-9A12-251D04DD652E}"/>
    <cellStyle name="Normal 4 4 2 2 3 6" xfId="2539" xr:uid="{00000000-0005-0000-0000-000000150000}"/>
    <cellStyle name="Normal 4 4 2 2 3 6 2" xfId="6822" xr:uid="{00000000-0005-0000-0000-000001150000}"/>
    <cellStyle name="Normal 4 4 2 2 3 6 2 2" xfId="23713" xr:uid="{655DF840-CB0B-4DAB-B900-50E60E4E4A90}"/>
    <cellStyle name="Normal 4 4 2 2 3 6 2 3" xfId="15272" xr:uid="{17A8A3CC-24B4-4B84-A180-8089ACA2F4D2}"/>
    <cellStyle name="Normal 4 4 2 2 3 6 3" xfId="19495" xr:uid="{4E8752B9-11D4-4ECA-8A42-48174C3A627E}"/>
    <cellStyle name="Normal 4 4 2 2 3 6 4" xfId="11054" xr:uid="{D3C06137-9912-4A22-92EB-9873BCA5C7CE}"/>
    <cellStyle name="Normal 4 4 2 2 3 7" xfId="4757" xr:uid="{00000000-0005-0000-0000-000002150000}"/>
    <cellStyle name="Normal 4 4 2 2 3 7 2" xfId="21648" xr:uid="{272A9625-9A01-49A1-8938-7D9F2B240678}"/>
    <cellStyle name="Normal 4 4 2 2 3 7 3" xfId="13207" xr:uid="{DC3161F2-92CA-4C1E-88C4-9CCFD6C02834}"/>
    <cellStyle name="Normal 4 4 2 2 3 8" xfId="17430" xr:uid="{FF1C5F3C-B0E0-4B7A-8B47-7D5D5A280C3E}"/>
    <cellStyle name="Normal 4 4 2 2 3 9" xfId="8989" xr:uid="{C049B1A4-412A-4EF0-8E8B-8743EC387B4E}"/>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24203" xr:uid="{247CA576-B0C2-4992-89F3-CAA151BE198F}"/>
    <cellStyle name="Normal 4 4 2 2 4 2 2 3" xfId="15762" xr:uid="{C727B015-6F6B-4F19-9834-AA5484BB72EC}"/>
    <cellStyle name="Normal 4 4 2 2 4 2 3" xfId="19985" xr:uid="{DF278BB4-BAD3-4DA4-B8DE-EC64EFFC898D}"/>
    <cellStyle name="Normal 4 4 2 2 4 2 4" xfId="11544" xr:uid="{E2AD13FB-13C6-42F6-AF77-06E7C415F724}"/>
    <cellStyle name="Normal 4 4 2 2 4 3" xfId="5167" xr:uid="{00000000-0005-0000-0000-000006150000}"/>
    <cellStyle name="Normal 4 4 2 2 4 3 2" xfId="22058" xr:uid="{0EC5F70A-3EDF-4C66-B989-70BD2A726469}"/>
    <cellStyle name="Normal 4 4 2 2 4 3 3" xfId="13617" xr:uid="{D931C9E5-6C8B-40D7-9FF8-DD1FD28F4711}"/>
    <cellStyle name="Normal 4 4 2 2 4 4" xfId="17840" xr:uid="{ACAEA97E-1FD1-4A86-BD2D-C88E94909FC5}"/>
    <cellStyle name="Normal 4 4 2 2 4 5" xfId="9399" xr:uid="{593CE577-BD2C-43BE-9F01-6365BCAF97F9}"/>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24616" xr:uid="{9EC5D499-88D3-456E-B8FA-2B9EF4B9ACB3}"/>
    <cellStyle name="Normal 4 4 2 2 5 2 2 3" xfId="16175" xr:uid="{B17DC110-DD8B-43B8-BAAA-EE3B55BAD6F7}"/>
    <cellStyle name="Normal 4 4 2 2 5 2 3" xfId="20398" xr:uid="{6FCAEB18-7530-4492-9B9A-FD5E343DB720}"/>
    <cellStyle name="Normal 4 4 2 2 5 2 4" xfId="11957" xr:uid="{331CF0C2-8CF2-4E90-A035-449888DE51A8}"/>
    <cellStyle name="Normal 4 4 2 2 5 3" xfId="5580" xr:uid="{00000000-0005-0000-0000-00000A150000}"/>
    <cellStyle name="Normal 4 4 2 2 5 3 2" xfId="22471" xr:uid="{8CC7ED79-38D0-4FF0-BB82-6A5DC0EAB304}"/>
    <cellStyle name="Normal 4 4 2 2 5 3 3" xfId="14030" xr:uid="{2D1766FA-C58E-417C-95B5-14FA25E658BF}"/>
    <cellStyle name="Normal 4 4 2 2 5 4" xfId="18253" xr:uid="{25B3FD1E-4485-4E03-AFD7-0EAC0C539F83}"/>
    <cellStyle name="Normal 4 4 2 2 5 5" xfId="9812" xr:uid="{E4F3CBCB-71CE-459C-8FB6-1C972E0B0C84}"/>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25029" xr:uid="{D2AB065C-6C42-4E3A-B660-0725DD0B56CF}"/>
    <cellStyle name="Normal 4 4 2 2 6 2 2 3" xfId="16588" xr:uid="{631E27EC-0D9D-4E16-B16F-C1F85755D466}"/>
    <cellStyle name="Normal 4 4 2 2 6 2 3" xfId="20811" xr:uid="{11092F1E-DCFE-4F6C-9976-E2AF3AD207AE}"/>
    <cellStyle name="Normal 4 4 2 2 6 2 4" xfId="12370" xr:uid="{F0C239AC-5CF3-4FC5-9CF5-584CD1863ACC}"/>
    <cellStyle name="Normal 4 4 2 2 6 3" xfId="5993" xr:uid="{00000000-0005-0000-0000-00000E150000}"/>
    <cellStyle name="Normal 4 4 2 2 6 3 2" xfId="22884" xr:uid="{A82EFCDF-41A9-4659-905C-B8CE1DD8A83A}"/>
    <cellStyle name="Normal 4 4 2 2 6 3 3" xfId="14443" xr:uid="{D13C6E3E-444A-401B-A74A-BA0EC247B52A}"/>
    <cellStyle name="Normal 4 4 2 2 6 4" xfId="18666" xr:uid="{D98747FC-8C8A-4D9F-B9CA-EFE3AF28B8CC}"/>
    <cellStyle name="Normal 4 4 2 2 6 5" xfId="10225" xr:uid="{700078B0-814A-47D3-B619-9B8703A03080}"/>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25442" xr:uid="{F913F689-352A-4B77-8333-09F4A3672B5D}"/>
    <cellStyle name="Normal 4 4 2 2 7 2 2 3" xfId="17001" xr:uid="{1606247C-644E-4519-9B84-91A98D824FD0}"/>
    <cellStyle name="Normal 4 4 2 2 7 2 3" xfId="21224" xr:uid="{093E0FC4-1400-497B-9815-746E1203B257}"/>
    <cellStyle name="Normal 4 4 2 2 7 2 4" xfId="12783" xr:uid="{7CDBD8CD-7407-4F6B-BF36-41326D507743}"/>
    <cellStyle name="Normal 4 4 2 2 7 3" xfId="6406" xr:uid="{00000000-0005-0000-0000-000012150000}"/>
    <cellStyle name="Normal 4 4 2 2 7 3 2" xfId="23297" xr:uid="{A7CB6B23-674F-4A53-82CC-20AB3A4E5F2A}"/>
    <cellStyle name="Normal 4 4 2 2 7 3 3" xfId="14856" xr:uid="{9DC4D470-2FF2-41B9-9DB6-38052B307FBD}"/>
    <cellStyle name="Normal 4 4 2 2 7 4" xfId="19079" xr:uid="{24710CE0-0D93-44C2-B566-A715A1BEA688}"/>
    <cellStyle name="Normal 4 4 2 2 7 5" xfId="10638" xr:uid="{2C359818-644B-42AB-9C26-A96E6DDFF35A}"/>
    <cellStyle name="Normal 4 4 2 2 8" xfId="2536" xr:uid="{00000000-0005-0000-0000-000013150000}"/>
    <cellStyle name="Normal 4 4 2 2 8 2" xfId="6819" xr:uid="{00000000-0005-0000-0000-000014150000}"/>
    <cellStyle name="Normal 4 4 2 2 8 2 2" xfId="23710" xr:uid="{1EA97557-0E39-4ED7-805E-1F02DF18D9AE}"/>
    <cellStyle name="Normal 4 4 2 2 8 2 3" xfId="15269" xr:uid="{6AFF5EE3-8B66-4FCE-B183-715C63DAE522}"/>
    <cellStyle name="Normal 4 4 2 2 8 3" xfId="19492" xr:uid="{0733D80E-850A-4DAC-AECA-CEFA19064011}"/>
    <cellStyle name="Normal 4 4 2 2 8 4" xfId="11051" xr:uid="{F751096E-2645-491F-9531-679F5B20852F}"/>
    <cellStyle name="Normal 4 4 2 2 9" xfId="4754" xr:uid="{00000000-0005-0000-0000-000015150000}"/>
    <cellStyle name="Normal 4 4 2 2 9 2" xfId="21645" xr:uid="{7D315E98-A3EF-49DC-B97E-299C26A083DD}"/>
    <cellStyle name="Normal 4 4 2 2 9 3" xfId="13204" xr:uid="{B46E3321-6D4D-4475-8A4D-02C87F314788}"/>
    <cellStyle name="Normal 4 4 2 3" xfId="384" xr:uid="{00000000-0005-0000-0000-000016150000}"/>
    <cellStyle name="Normal 4 4 2 3 10" xfId="8990" xr:uid="{7DCA0AE8-A55E-4ABA-9A65-DB3C85469202}"/>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24208" xr:uid="{6708F94E-FAE2-41D9-A4D4-241663738083}"/>
    <cellStyle name="Normal 4 4 2 3 2 2 2 2 3" xfId="15767" xr:uid="{A07B3235-A2FF-4C6A-BC38-73791059089C}"/>
    <cellStyle name="Normal 4 4 2 3 2 2 2 3" xfId="19990" xr:uid="{7ABB1FC2-A6EA-4833-B478-430C44413D60}"/>
    <cellStyle name="Normal 4 4 2 3 2 2 2 4" xfId="11549" xr:uid="{CC9D154A-7AD9-4A8A-9D57-DD995E784568}"/>
    <cellStyle name="Normal 4 4 2 3 2 2 3" xfId="5172" xr:uid="{00000000-0005-0000-0000-00001B150000}"/>
    <cellStyle name="Normal 4 4 2 3 2 2 3 2" xfId="22063" xr:uid="{8B8ED3BF-2FBB-4D20-BE47-DEB0CA5000EB}"/>
    <cellStyle name="Normal 4 4 2 3 2 2 3 3" xfId="13622" xr:uid="{178AC68F-4F03-40A6-9967-A7D608CB85DD}"/>
    <cellStyle name="Normal 4 4 2 3 2 2 4" xfId="17845" xr:uid="{898532EF-B5DD-47B5-892B-8AA6675F9F6A}"/>
    <cellStyle name="Normal 4 4 2 3 2 2 5" xfId="9404" xr:uid="{7B313630-CDF8-4B4E-9673-B24FB8CD5DA6}"/>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24621" xr:uid="{44BC46A0-BB69-475B-828D-DF5B6BA98CCF}"/>
    <cellStyle name="Normal 4 4 2 3 2 3 2 2 3" xfId="16180" xr:uid="{0949BAE2-53B0-4628-B524-C00C657012EF}"/>
    <cellStyle name="Normal 4 4 2 3 2 3 2 3" xfId="20403" xr:uid="{FF79C36C-532E-437E-9DEB-873A449612EF}"/>
    <cellStyle name="Normal 4 4 2 3 2 3 2 4" xfId="11962" xr:uid="{00060CC5-4BFF-4492-A204-BCA9A3F8A7E7}"/>
    <cellStyle name="Normal 4 4 2 3 2 3 3" xfId="5585" xr:uid="{00000000-0005-0000-0000-00001F150000}"/>
    <cellStyle name="Normal 4 4 2 3 2 3 3 2" xfId="22476" xr:uid="{8D319897-67CC-403E-B487-06BE43AD60C3}"/>
    <cellStyle name="Normal 4 4 2 3 2 3 3 3" xfId="14035" xr:uid="{177401C8-7A45-4186-8C58-D3F40C27A1E6}"/>
    <cellStyle name="Normal 4 4 2 3 2 3 4" xfId="18258" xr:uid="{F0304A6E-5D4D-494D-B3D9-BAF26984127B}"/>
    <cellStyle name="Normal 4 4 2 3 2 3 5" xfId="9817" xr:uid="{6E089B9E-9471-46F9-8AE3-57EB2A237ED5}"/>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25034" xr:uid="{7F90D26E-5C85-45DA-A0EA-80EFC7113648}"/>
    <cellStyle name="Normal 4 4 2 3 2 4 2 2 3" xfId="16593" xr:uid="{AADBDAD9-1D8B-4CB4-B2DB-6D0DD728F5BE}"/>
    <cellStyle name="Normal 4 4 2 3 2 4 2 3" xfId="20816" xr:uid="{3FAB499B-3A2E-471C-B904-340509006C91}"/>
    <cellStyle name="Normal 4 4 2 3 2 4 2 4" xfId="12375" xr:uid="{8B1A96A6-BE23-4D27-9B2F-BACBB3345E81}"/>
    <cellStyle name="Normal 4 4 2 3 2 4 3" xfId="5998" xr:uid="{00000000-0005-0000-0000-000023150000}"/>
    <cellStyle name="Normal 4 4 2 3 2 4 3 2" xfId="22889" xr:uid="{323C0F86-7006-465C-9EEA-E50F897B4657}"/>
    <cellStyle name="Normal 4 4 2 3 2 4 3 3" xfId="14448" xr:uid="{8E669C44-4306-4833-8351-438B6B41374E}"/>
    <cellStyle name="Normal 4 4 2 3 2 4 4" xfId="18671" xr:uid="{9187D03C-40CC-4A44-A3D8-2AA66A992AB1}"/>
    <cellStyle name="Normal 4 4 2 3 2 4 5" xfId="10230" xr:uid="{1E1BA2BE-304A-4827-A8F9-F721C39205CB}"/>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25447" xr:uid="{C3C29241-02F1-44A6-97F3-61A5A62CDBC1}"/>
    <cellStyle name="Normal 4 4 2 3 2 5 2 2 3" xfId="17006" xr:uid="{4C3DA31B-62EC-4C44-8C98-1029A4CB5112}"/>
    <cellStyle name="Normal 4 4 2 3 2 5 2 3" xfId="21229" xr:uid="{DCE8C61E-55A9-41FD-8A5F-A07B870AAE54}"/>
    <cellStyle name="Normal 4 4 2 3 2 5 2 4" xfId="12788" xr:uid="{4E065B20-D500-4997-B4AD-8CC8DAC0719B}"/>
    <cellStyle name="Normal 4 4 2 3 2 5 3" xfId="6411" xr:uid="{00000000-0005-0000-0000-000027150000}"/>
    <cellStyle name="Normal 4 4 2 3 2 5 3 2" xfId="23302" xr:uid="{4E81D7EE-772E-40E0-916B-74053004C0ED}"/>
    <cellStyle name="Normal 4 4 2 3 2 5 3 3" xfId="14861" xr:uid="{2BB50676-377F-4018-AFBC-913AD48E4552}"/>
    <cellStyle name="Normal 4 4 2 3 2 5 4" xfId="19084" xr:uid="{3DEF7C68-57E7-442B-A5B3-81D69ECD8A25}"/>
    <cellStyle name="Normal 4 4 2 3 2 5 5" xfId="10643" xr:uid="{74AC0A4A-7AC9-4025-8040-A9D47B208E48}"/>
    <cellStyle name="Normal 4 4 2 3 2 6" xfId="2541" xr:uid="{00000000-0005-0000-0000-000028150000}"/>
    <cellStyle name="Normal 4 4 2 3 2 6 2" xfId="6824" xr:uid="{00000000-0005-0000-0000-000029150000}"/>
    <cellStyle name="Normal 4 4 2 3 2 6 2 2" xfId="23715" xr:uid="{AFCE9239-0B5F-4DB4-BE70-4836503D524E}"/>
    <cellStyle name="Normal 4 4 2 3 2 6 2 3" xfId="15274" xr:uid="{5EDD303E-8A4B-4883-89AE-DFD5482F7695}"/>
    <cellStyle name="Normal 4 4 2 3 2 6 3" xfId="19497" xr:uid="{791757EB-49AB-4609-BDBF-4F8AA121FACE}"/>
    <cellStyle name="Normal 4 4 2 3 2 6 4" xfId="11056" xr:uid="{7001E8EC-8C1F-4528-A853-05AC15886498}"/>
    <cellStyle name="Normal 4 4 2 3 2 7" xfId="4759" xr:uid="{00000000-0005-0000-0000-00002A150000}"/>
    <cellStyle name="Normal 4 4 2 3 2 7 2" xfId="21650" xr:uid="{97FA67DD-0590-4965-BEDE-5494F11DE7D0}"/>
    <cellStyle name="Normal 4 4 2 3 2 7 3" xfId="13209" xr:uid="{61E31A21-5EDB-4E48-AACC-25B514C31746}"/>
    <cellStyle name="Normal 4 4 2 3 2 8" xfId="17432" xr:uid="{3D9FBE30-AB02-45E8-803B-BFC93E028DF9}"/>
    <cellStyle name="Normal 4 4 2 3 2 9" xfId="8991" xr:uid="{79977EB9-3468-4C13-BE25-BC79DA08036B}"/>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24207" xr:uid="{68481320-6535-4C21-A9E0-CCC06BA46920}"/>
    <cellStyle name="Normal 4 4 2 3 3 2 2 3" xfId="15766" xr:uid="{F388DF8C-9307-46D4-B86E-4977066C9ACE}"/>
    <cellStyle name="Normal 4 4 2 3 3 2 3" xfId="19989" xr:uid="{280BF4DD-6ECD-42E1-994F-3A9A56DBC229}"/>
    <cellStyle name="Normal 4 4 2 3 3 2 4" xfId="11548" xr:uid="{8B5BEF96-4566-4631-8A07-B01ED0B3EEC3}"/>
    <cellStyle name="Normal 4 4 2 3 3 3" xfId="5171" xr:uid="{00000000-0005-0000-0000-00002E150000}"/>
    <cellStyle name="Normal 4 4 2 3 3 3 2" xfId="22062" xr:uid="{88B5A013-3C3A-4FAF-9928-C8C12BC74786}"/>
    <cellStyle name="Normal 4 4 2 3 3 3 3" xfId="13621" xr:uid="{E6B25CA6-EA99-45AA-9748-941CF7554CE7}"/>
    <cellStyle name="Normal 4 4 2 3 3 4" xfId="17844" xr:uid="{B68CB246-4B38-4FBD-8984-8C1C1B0CDAE3}"/>
    <cellStyle name="Normal 4 4 2 3 3 5" xfId="9403" xr:uid="{15C95CA6-7EEB-4466-81A2-51DE55072FFE}"/>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24620" xr:uid="{65A6A03A-F3EE-425A-9426-0FB58B77F294}"/>
    <cellStyle name="Normal 4 4 2 3 4 2 2 3" xfId="16179" xr:uid="{223C7602-EABD-49E8-B74C-44B877BD3696}"/>
    <cellStyle name="Normal 4 4 2 3 4 2 3" xfId="20402" xr:uid="{1D5FE063-8F91-4247-B781-D2E224CD3A07}"/>
    <cellStyle name="Normal 4 4 2 3 4 2 4" xfId="11961" xr:uid="{807EAA2F-AF54-48F5-949C-318F130D650D}"/>
    <cellStyle name="Normal 4 4 2 3 4 3" xfId="5584" xr:uid="{00000000-0005-0000-0000-000032150000}"/>
    <cellStyle name="Normal 4 4 2 3 4 3 2" xfId="22475" xr:uid="{0B913845-5356-461B-98D2-A7BD23F22518}"/>
    <cellStyle name="Normal 4 4 2 3 4 3 3" xfId="14034" xr:uid="{163E7327-C34B-4D2E-8433-4C1D5F1CC858}"/>
    <cellStyle name="Normal 4 4 2 3 4 4" xfId="18257" xr:uid="{7DA06191-C07F-4E53-9F0A-B9E933F3C28F}"/>
    <cellStyle name="Normal 4 4 2 3 4 5" xfId="9816" xr:uid="{5738F2B5-0759-4FB6-A02E-B3C42CA96012}"/>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25033" xr:uid="{A85C5C86-20C2-48A7-BDC8-A5A17F5F1C06}"/>
    <cellStyle name="Normal 4 4 2 3 5 2 2 3" xfId="16592" xr:uid="{46FE3B8D-783C-4739-A201-63F808E7CDA2}"/>
    <cellStyle name="Normal 4 4 2 3 5 2 3" xfId="20815" xr:uid="{4741337A-8190-4546-9E1C-5AFF75BCF3A0}"/>
    <cellStyle name="Normal 4 4 2 3 5 2 4" xfId="12374" xr:uid="{0963C49C-1632-42F9-B7C2-665EDCB11A0E}"/>
    <cellStyle name="Normal 4 4 2 3 5 3" xfId="5997" xr:uid="{00000000-0005-0000-0000-000036150000}"/>
    <cellStyle name="Normal 4 4 2 3 5 3 2" xfId="22888" xr:uid="{E7DFACB7-D699-442A-813F-2290B8A8609D}"/>
    <cellStyle name="Normal 4 4 2 3 5 3 3" xfId="14447" xr:uid="{7665A37E-FBE3-4351-A18C-6FB7AFCC1C62}"/>
    <cellStyle name="Normal 4 4 2 3 5 4" xfId="18670" xr:uid="{DD74B80A-6711-40B0-9FAC-516DF42A1D20}"/>
    <cellStyle name="Normal 4 4 2 3 5 5" xfId="10229" xr:uid="{92AA41BF-7949-4032-B756-6B8D67626583}"/>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25446" xr:uid="{A74CFC77-396F-4226-A764-FAB1228CCDC3}"/>
    <cellStyle name="Normal 4 4 2 3 6 2 2 3" xfId="17005" xr:uid="{12636702-A1FC-4812-A0FC-FDB2C7D43340}"/>
    <cellStyle name="Normal 4 4 2 3 6 2 3" xfId="21228" xr:uid="{21649090-6909-4714-8BAB-053C894D0B19}"/>
    <cellStyle name="Normal 4 4 2 3 6 2 4" xfId="12787" xr:uid="{E0A8A8FA-1489-4A6D-A668-3E7CAB7863DA}"/>
    <cellStyle name="Normal 4 4 2 3 6 3" xfId="6410" xr:uid="{00000000-0005-0000-0000-00003A150000}"/>
    <cellStyle name="Normal 4 4 2 3 6 3 2" xfId="23301" xr:uid="{947083F7-DD74-4078-92A1-273B10F04FB7}"/>
    <cellStyle name="Normal 4 4 2 3 6 3 3" xfId="14860" xr:uid="{C36BA803-971B-4806-8321-35AB66D1C1EE}"/>
    <cellStyle name="Normal 4 4 2 3 6 4" xfId="19083" xr:uid="{EDE8CF98-8ADB-4964-A5B7-4BB0F358D073}"/>
    <cellStyle name="Normal 4 4 2 3 6 5" xfId="10642" xr:uid="{5B2A3881-97D4-4BC0-BBB8-4A60F09A20C4}"/>
    <cellStyle name="Normal 4 4 2 3 7" xfId="2540" xr:uid="{00000000-0005-0000-0000-00003B150000}"/>
    <cellStyle name="Normal 4 4 2 3 7 2" xfId="6823" xr:uid="{00000000-0005-0000-0000-00003C150000}"/>
    <cellStyle name="Normal 4 4 2 3 7 2 2" xfId="23714" xr:uid="{FF8A3DBA-C42B-4A4F-85CA-28634118E365}"/>
    <cellStyle name="Normal 4 4 2 3 7 2 3" xfId="15273" xr:uid="{5B30132B-651D-4C6F-9952-5B8D92C7FD38}"/>
    <cellStyle name="Normal 4 4 2 3 7 3" xfId="19496" xr:uid="{65026CCE-7F48-436C-A63A-ECB1D0351668}"/>
    <cellStyle name="Normal 4 4 2 3 7 4" xfId="11055" xr:uid="{83A18CC8-1FCF-406B-9A61-D139E9A962A5}"/>
    <cellStyle name="Normal 4 4 2 3 8" xfId="4758" xr:uid="{00000000-0005-0000-0000-00003D150000}"/>
    <cellStyle name="Normal 4 4 2 3 8 2" xfId="21649" xr:uid="{934312CB-6009-47A4-8D4C-CB632507306F}"/>
    <cellStyle name="Normal 4 4 2 3 8 3" xfId="13208" xr:uid="{0F406B50-AE19-4410-A3D1-9E31DD0D7A14}"/>
    <cellStyle name="Normal 4 4 2 3 9" xfId="17431" xr:uid="{B2D633F7-6D8D-49EF-824D-74A92C1F1F4E}"/>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24209" xr:uid="{22FF7F87-CEC6-4F51-A92F-A76F533B4DDF}"/>
    <cellStyle name="Normal 4 4 2 4 2 2 2 3" xfId="15768" xr:uid="{69733AFD-1DBD-49B4-BC61-E31FB178D1E2}"/>
    <cellStyle name="Normal 4 4 2 4 2 2 3" xfId="19991" xr:uid="{CF3B2235-B36C-4370-A7C4-4DFFF237F1D9}"/>
    <cellStyle name="Normal 4 4 2 4 2 2 4" xfId="11550" xr:uid="{9DF58D88-53D9-48AC-891F-8FF3FBAD3B95}"/>
    <cellStyle name="Normal 4 4 2 4 2 3" xfId="5173" xr:uid="{00000000-0005-0000-0000-000042150000}"/>
    <cellStyle name="Normal 4 4 2 4 2 3 2" xfId="22064" xr:uid="{9074F9BB-5A3E-4128-8F06-614885DA02FF}"/>
    <cellStyle name="Normal 4 4 2 4 2 3 3" xfId="13623" xr:uid="{3DD357EF-9648-4677-AA8A-1F2389A2E12D}"/>
    <cellStyle name="Normal 4 4 2 4 2 4" xfId="17846" xr:uid="{D96B0BDA-497F-48BD-9B48-C37197A87FD6}"/>
    <cellStyle name="Normal 4 4 2 4 2 5" xfId="9405" xr:uid="{FD79B309-2A60-45D4-A217-27FDC5E7C77E}"/>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24622" xr:uid="{C7248B9A-58A7-4132-AD6C-8E616AE408C4}"/>
    <cellStyle name="Normal 4 4 2 4 3 2 2 3" xfId="16181" xr:uid="{07573681-81B4-4F9A-BE97-66A7B2CC13AA}"/>
    <cellStyle name="Normal 4 4 2 4 3 2 3" xfId="20404" xr:uid="{A5CF4424-0589-44E6-A522-B92C1C212166}"/>
    <cellStyle name="Normal 4 4 2 4 3 2 4" xfId="11963" xr:uid="{F7088497-49A0-4018-AADA-3D4B69A7CACD}"/>
    <cellStyle name="Normal 4 4 2 4 3 3" xfId="5586" xr:uid="{00000000-0005-0000-0000-000046150000}"/>
    <cellStyle name="Normal 4 4 2 4 3 3 2" xfId="22477" xr:uid="{433A87F7-1FD2-4BD1-89B9-89E3AA16B7A1}"/>
    <cellStyle name="Normal 4 4 2 4 3 3 3" xfId="14036" xr:uid="{EE7B75D5-D267-4E63-8BB0-48EDD45044A6}"/>
    <cellStyle name="Normal 4 4 2 4 3 4" xfId="18259" xr:uid="{C4474DB2-C434-42E3-9177-4FBCD2004DB7}"/>
    <cellStyle name="Normal 4 4 2 4 3 5" xfId="9818" xr:uid="{2211A141-B310-4BB7-8039-E6CFF83D5F75}"/>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25035" xr:uid="{282F869A-95B0-4D7A-80E2-5E384B64244F}"/>
    <cellStyle name="Normal 4 4 2 4 4 2 2 3" xfId="16594" xr:uid="{2318DC56-DA4B-4C09-A3B6-1CF0BD3A195A}"/>
    <cellStyle name="Normal 4 4 2 4 4 2 3" xfId="20817" xr:uid="{7C8B624C-5C2D-4E3E-8BCB-A177240FC4B8}"/>
    <cellStyle name="Normal 4 4 2 4 4 2 4" xfId="12376" xr:uid="{C9BEEC2D-73E5-4930-A86D-743A815504C0}"/>
    <cellStyle name="Normal 4 4 2 4 4 3" xfId="5999" xr:uid="{00000000-0005-0000-0000-00004A150000}"/>
    <cellStyle name="Normal 4 4 2 4 4 3 2" xfId="22890" xr:uid="{387556E9-5C98-4E9C-8DF8-2A2D2557FCCD}"/>
    <cellStyle name="Normal 4 4 2 4 4 3 3" xfId="14449" xr:uid="{73F6D8E5-08B0-48E5-B129-D879C31063D5}"/>
    <cellStyle name="Normal 4 4 2 4 4 4" xfId="18672" xr:uid="{6A11F55A-2C96-4BF0-A409-C7F1882AE7C8}"/>
    <cellStyle name="Normal 4 4 2 4 4 5" xfId="10231" xr:uid="{175C8210-37F4-4189-8CAD-C46BDE1601FF}"/>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25448" xr:uid="{7AA837A8-A8CD-4022-AAAF-0A4567A30A22}"/>
    <cellStyle name="Normal 4 4 2 4 5 2 2 3" xfId="17007" xr:uid="{F0CDC3A1-91C9-4234-B113-B2372976B40C}"/>
    <cellStyle name="Normal 4 4 2 4 5 2 3" xfId="21230" xr:uid="{AA0CE45F-04C5-469B-A94F-66F018B57968}"/>
    <cellStyle name="Normal 4 4 2 4 5 2 4" xfId="12789" xr:uid="{3D1FB954-E16C-4732-9B3C-10A9B23268D4}"/>
    <cellStyle name="Normal 4 4 2 4 5 3" xfId="6412" xr:uid="{00000000-0005-0000-0000-00004E150000}"/>
    <cellStyle name="Normal 4 4 2 4 5 3 2" xfId="23303" xr:uid="{23A1BA61-6B67-4E84-9CA0-CB12B3416A23}"/>
    <cellStyle name="Normal 4 4 2 4 5 3 3" xfId="14862" xr:uid="{8CBE648D-CDCD-4653-898B-E7071B8E790B}"/>
    <cellStyle name="Normal 4 4 2 4 5 4" xfId="19085" xr:uid="{C2A666E9-8FB4-4D31-A09D-6827E0B5765F}"/>
    <cellStyle name="Normal 4 4 2 4 5 5" xfId="10644" xr:uid="{0A346B22-BE6F-4B87-9611-1ABB943AD72C}"/>
    <cellStyle name="Normal 4 4 2 4 6" xfId="2542" xr:uid="{00000000-0005-0000-0000-00004F150000}"/>
    <cellStyle name="Normal 4 4 2 4 6 2" xfId="6825" xr:uid="{00000000-0005-0000-0000-000050150000}"/>
    <cellStyle name="Normal 4 4 2 4 6 2 2" xfId="23716" xr:uid="{1227C6BC-64D2-4F76-8A03-FD999BB829B3}"/>
    <cellStyle name="Normal 4 4 2 4 6 2 3" xfId="15275" xr:uid="{FB68392F-D9FD-4350-B4BF-CD84080E985B}"/>
    <cellStyle name="Normal 4 4 2 4 6 3" xfId="19498" xr:uid="{0F5D01E9-8E22-4646-A98D-0A2BE9D3BDF0}"/>
    <cellStyle name="Normal 4 4 2 4 6 4" xfId="11057" xr:uid="{2F429884-0087-48A7-9EA4-F370AE0FBE0E}"/>
    <cellStyle name="Normal 4 4 2 4 7" xfId="4760" xr:uid="{00000000-0005-0000-0000-000051150000}"/>
    <cellStyle name="Normal 4 4 2 4 7 2" xfId="21651" xr:uid="{08676781-1B89-468E-8F80-2F957F275138}"/>
    <cellStyle name="Normal 4 4 2 4 7 3" xfId="13210" xr:uid="{0F2DF968-4399-415A-9F85-1A680D306B3F}"/>
    <cellStyle name="Normal 4 4 2 4 8" xfId="17433" xr:uid="{AAD81BF7-0CCB-4198-9A24-C23AB6705D0D}"/>
    <cellStyle name="Normal 4 4 2 4 9" xfId="8992" xr:uid="{45F5B4C9-8B39-47F0-8F6B-3975BECB26DB}"/>
    <cellStyle name="Normal 4 4 2 5" xfId="854" xr:uid="{00000000-0005-0000-0000-000052150000}"/>
    <cellStyle name="Normal 4 4 2 5 2" xfId="3089" xr:uid="{00000000-0005-0000-0000-000053150000}"/>
    <cellStyle name="Normal 4 4 2 5 2 2" xfId="7311" xr:uid="{00000000-0005-0000-0000-000054150000}"/>
    <cellStyle name="Normal 4 4 2 5 2 2 2" xfId="24202" xr:uid="{5BEC34AC-A58C-4264-A96C-27A155294B69}"/>
    <cellStyle name="Normal 4 4 2 5 2 2 3" xfId="15761" xr:uid="{0D1CAC4A-8DBD-491D-ADF4-C77E410675CF}"/>
    <cellStyle name="Normal 4 4 2 5 2 3" xfId="19984" xr:uid="{48E889C4-6282-4B84-8B7C-86D894B9CF95}"/>
    <cellStyle name="Normal 4 4 2 5 2 4" xfId="11543" xr:uid="{2DC06D64-2545-4FD0-889E-78B79254C79D}"/>
    <cellStyle name="Normal 4 4 2 5 3" xfId="5166" xr:uid="{00000000-0005-0000-0000-000055150000}"/>
    <cellStyle name="Normal 4 4 2 5 3 2" xfId="22057" xr:uid="{110CEDA0-4D2C-4C5A-B476-871EDED1F9AC}"/>
    <cellStyle name="Normal 4 4 2 5 3 3" xfId="13616" xr:uid="{6094EE29-E393-432F-8743-CE96D7ECC90B}"/>
    <cellStyle name="Normal 4 4 2 5 4" xfId="17839" xr:uid="{FC68FA9E-FE6E-48D4-BD60-3D63CE8E3754}"/>
    <cellStyle name="Normal 4 4 2 5 5" xfId="9398" xr:uid="{94F6D73C-D767-4ACD-8732-F64E14BE5688}"/>
    <cellStyle name="Normal 4 4 2 6" xfId="1272" xr:uid="{00000000-0005-0000-0000-000056150000}"/>
    <cellStyle name="Normal 4 4 2 6 2" xfId="3502" xr:uid="{00000000-0005-0000-0000-000057150000}"/>
    <cellStyle name="Normal 4 4 2 6 2 2" xfId="7724" xr:uid="{00000000-0005-0000-0000-000058150000}"/>
    <cellStyle name="Normal 4 4 2 6 2 2 2" xfId="24615" xr:uid="{C4D7E52B-57B6-4BA6-B1B6-23410308DBC2}"/>
    <cellStyle name="Normal 4 4 2 6 2 2 3" xfId="16174" xr:uid="{682A2D7B-CBAB-4CD9-82CA-760C994D1D01}"/>
    <cellStyle name="Normal 4 4 2 6 2 3" xfId="20397" xr:uid="{0B08AE41-2CBD-474C-B177-D0F0532B7797}"/>
    <cellStyle name="Normal 4 4 2 6 2 4" xfId="11956" xr:uid="{9CD3432C-632F-4502-BED4-15409B0EA972}"/>
    <cellStyle name="Normal 4 4 2 6 3" xfId="5579" xr:uid="{00000000-0005-0000-0000-000059150000}"/>
    <cellStyle name="Normal 4 4 2 6 3 2" xfId="22470" xr:uid="{E7E2E961-7A6F-4A6C-876E-AD5FEC875DFD}"/>
    <cellStyle name="Normal 4 4 2 6 3 3" xfId="14029" xr:uid="{B8153694-BF71-4F0E-9C7A-9C8D35FD529E}"/>
    <cellStyle name="Normal 4 4 2 6 4" xfId="18252" xr:uid="{645A8333-F339-4BA8-A222-005E33B21A32}"/>
    <cellStyle name="Normal 4 4 2 6 5" xfId="9811" xr:uid="{EFEDD3E7-B4C4-4AC3-88C1-E515D8D30B3D}"/>
    <cellStyle name="Normal 4 4 2 7" xfId="1685" xr:uid="{00000000-0005-0000-0000-00005A150000}"/>
    <cellStyle name="Normal 4 4 2 7 2" xfId="3915" xr:uid="{00000000-0005-0000-0000-00005B150000}"/>
    <cellStyle name="Normal 4 4 2 7 2 2" xfId="8137" xr:uid="{00000000-0005-0000-0000-00005C150000}"/>
    <cellStyle name="Normal 4 4 2 7 2 2 2" xfId="25028" xr:uid="{8F6C9839-1EAF-4880-B833-951A4ECF8377}"/>
    <cellStyle name="Normal 4 4 2 7 2 2 3" xfId="16587" xr:uid="{0E339D69-1543-4CAF-B857-35AF6F955F82}"/>
    <cellStyle name="Normal 4 4 2 7 2 3" xfId="20810" xr:uid="{8AA107AE-E815-47CB-8224-F78C97C37D20}"/>
    <cellStyle name="Normal 4 4 2 7 2 4" xfId="12369" xr:uid="{D3CA0BDA-640E-4767-8A56-492A1FA4E26B}"/>
    <cellStyle name="Normal 4 4 2 7 3" xfId="5992" xr:uid="{00000000-0005-0000-0000-00005D150000}"/>
    <cellStyle name="Normal 4 4 2 7 3 2" xfId="22883" xr:uid="{666ED0A5-2B39-46BA-9BE6-839363A821A1}"/>
    <cellStyle name="Normal 4 4 2 7 3 3" xfId="14442" xr:uid="{46B5AC42-B064-4920-9E6C-B4CBC3BECC97}"/>
    <cellStyle name="Normal 4 4 2 7 4" xfId="18665" xr:uid="{DA975B29-0243-4463-B829-6BCE898FE585}"/>
    <cellStyle name="Normal 4 4 2 7 5" xfId="10224" xr:uid="{8918FA69-57C5-409B-B75D-DA476036D631}"/>
    <cellStyle name="Normal 4 4 2 8" xfId="2099" xr:uid="{00000000-0005-0000-0000-00005E150000}"/>
    <cellStyle name="Normal 4 4 2 8 2" xfId="4328" xr:uid="{00000000-0005-0000-0000-00005F150000}"/>
    <cellStyle name="Normal 4 4 2 8 2 2" xfId="8550" xr:uid="{00000000-0005-0000-0000-000060150000}"/>
    <cellStyle name="Normal 4 4 2 8 2 2 2" xfId="25441" xr:uid="{1A1E5104-BE93-49C1-BF67-B04F12FBD6E1}"/>
    <cellStyle name="Normal 4 4 2 8 2 2 3" xfId="17000" xr:uid="{CCCD5BE8-FD1C-4EFC-91BE-52AFB6FEA57A}"/>
    <cellStyle name="Normal 4 4 2 8 2 3" xfId="21223" xr:uid="{E6FDC125-FA8E-4379-91AF-A1584FF81447}"/>
    <cellStyle name="Normal 4 4 2 8 2 4" xfId="12782" xr:uid="{3D44AE6B-3E79-4EF6-96C1-D2E386765FEF}"/>
    <cellStyle name="Normal 4 4 2 8 3" xfId="6405" xr:uid="{00000000-0005-0000-0000-000061150000}"/>
    <cellStyle name="Normal 4 4 2 8 3 2" xfId="23296" xr:uid="{65EE3B98-A1EC-4613-BDE2-49712EA0D657}"/>
    <cellStyle name="Normal 4 4 2 8 3 3" xfId="14855" xr:uid="{C4EC83FC-9595-4949-94EB-88CC6F972AED}"/>
    <cellStyle name="Normal 4 4 2 8 4" xfId="19078" xr:uid="{58F6D371-1164-4947-8E71-E3C60090A250}"/>
    <cellStyle name="Normal 4 4 2 8 5" xfId="10637" xr:uid="{CCA92C78-E4B6-440F-BFCE-3EE5DAC475E3}"/>
    <cellStyle name="Normal 4 4 2 9" xfId="2535" xr:uid="{00000000-0005-0000-0000-000062150000}"/>
    <cellStyle name="Normal 4 4 2 9 2" xfId="6818" xr:uid="{00000000-0005-0000-0000-000063150000}"/>
    <cellStyle name="Normal 4 4 2 9 2 2" xfId="23709" xr:uid="{C17F482D-91D8-4018-B066-4C4D14D13174}"/>
    <cellStyle name="Normal 4 4 2 9 2 3" xfId="15268" xr:uid="{74AE2811-A4A8-4B69-88D5-1B798C7E86ED}"/>
    <cellStyle name="Normal 4 4 2 9 3" xfId="19491" xr:uid="{F79BE358-F01A-4140-8B1E-E6F9D6F16188}"/>
    <cellStyle name="Normal 4 4 2 9 4" xfId="11050" xr:uid="{E54643F8-D5E1-405C-B8E7-A061EF568CD4}"/>
    <cellStyle name="Normal 4 4 3" xfId="387" xr:uid="{00000000-0005-0000-0000-000064150000}"/>
    <cellStyle name="Normal 4 4 3 10" xfId="17434" xr:uid="{EF6EAFC1-115A-4301-8D7E-7F6566848932}"/>
    <cellStyle name="Normal 4 4 3 11" xfId="8993" xr:uid="{48F7FEC2-FE4C-44B3-9A2E-4F8920C8ACE4}"/>
    <cellStyle name="Normal 4 4 3 2" xfId="388" xr:uid="{00000000-0005-0000-0000-000065150000}"/>
    <cellStyle name="Normal 4 4 3 2 10" xfId="8994" xr:uid="{0AF284FD-B47D-4A72-920E-C4DAF302CBA8}"/>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24212" xr:uid="{3189582C-12E8-433C-8310-91CB1F701CFB}"/>
    <cellStyle name="Normal 4 4 3 2 2 2 2 2 3" xfId="15771" xr:uid="{32C261E7-C559-46AC-B0F0-C378736D05B7}"/>
    <cellStyle name="Normal 4 4 3 2 2 2 2 3" xfId="19994" xr:uid="{3F0343B1-ADEB-4586-851E-853114C08C80}"/>
    <cellStyle name="Normal 4 4 3 2 2 2 2 4" xfId="11553" xr:uid="{78824131-B7FB-448C-A7DD-474BA98E56E3}"/>
    <cellStyle name="Normal 4 4 3 2 2 2 3" xfId="5176" xr:uid="{00000000-0005-0000-0000-00006A150000}"/>
    <cellStyle name="Normal 4 4 3 2 2 2 3 2" xfId="22067" xr:uid="{C11514DD-9841-42BD-A08C-AE4534E06B23}"/>
    <cellStyle name="Normal 4 4 3 2 2 2 3 3" xfId="13626" xr:uid="{7A219CA9-4B31-4177-A219-3B05282FE7C7}"/>
    <cellStyle name="Normal 4 4 3 2 2 2 4" xfId="17849" xr:uid="{7029230B-E32D-4368-AFCE-78ABD22C7358}"/>
    <cellStyle name="Normal 4 4 3 2 2 2 5" xfId="9408" xr:uid="{EA5286C2-4080-4D72-95F1-B660451B7D05}"/>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24625" xr:uid="{11240641-738F-4EE5-934A-50234C2E02C0}"/>
    <cellStyle name="Normal 4 4 3 2 2 3 2 2 3" xfId="16184" xr:uid="{3E2E2B91-A938-48F3-8603-33C56EBA3573}"/>
    <cellStyle name="Normal 4 4 3 2 2 3 2 3" xfId="20407" xr:uid="{331D517B-A831-40AC-8975-3B0DA9B39C45}"/>
    <cellStyle name="Normal 4 4 3 2 2 3 2 4" xfId="11966" xr:uid="{7E05FC08-B44E-497F-A38D-FB91D336D331}"/>
    <cellStyle name="Normal 4 4 3 2 2 3 3" xfId="5589" xr:uid="{00000000-0005-0000-0000-00006E150000}"/>
    <cellStyle name="Normal 4 4 3 2 2 3 3 2" xfId="22480" xr:uid="{B1B644B7-7836-4F04-A438-5B7317FF15B1}"/>
    <cellStyle name="Normal 4 4 3 2 2 3 3 3" xfId="14039" xr:uid="{75B3D2E2-F848-4A19-9606-F3C543643647}"/>
    <cellStyle name="Normal 4 4 3 2 2 3 4" xfId="18262" xr:uid="{1AE229DC-6F66-43EA-8D79-36582A0DF7E7}"/>
    <cellStyle name="Normal 4 4 3 2 2 3 5" xfId="9821" xr:uid="{142CC374-A07D-4C70-8929-EA510062EAFC}"/>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25038" xr:uid="{024A9FD4-254A-4544-8133-727E3119F2CE}"/>
    <cellStyle name="Normal 4 4 3 2 2 4 2 2 3" xfId="16597" xr:uid="{16EEF930-BC76-4CE3-9A5D-361EDD652037}"/>
    <cellStyle name="Normal 4 4 3 2 2 4 2 3" xfId="20820" xr:uid="{6A3E6206-5984-43B0-8746-809DFD429C24}"/>
    <cellStyle name="Normal 4 4 3 2 2 4 2 4" xfId="12379" xr:uid="{D597C881-175E-49FD-A282-740CD39300F3}"/>
    <cellStyle name="Normal 4 4 3 2 2 4 3" xfId="6002" xr:uid="{00000000-0005-0000-0000-000072150000}"/>
    <cellStyle name="Normal 4 4 3 2 2 4 3 2" xfId="22893" xr:uid="{2F069711-98BE-4321-88D0-74B0FEC4F00B}"/>
    <cellStyle name="Normal 4 4 3 2 2 4 3 3" xfId="14452" xr:uid="{F3EE2655-B3FB-4BA5-ACF8-68F22F0F75BB}"/>
    <cellStyle name="Normal 4 4 3 2 2 4 4" xfId="18675" xr:uid="{E1923F4A-D3AC-48F4-8A69-0B6CFC9533AA}"/>
    <cellStyle name="Normal 4 4 3 2 2 4 5" xfId="10234" xr:uid="{B281D33C-801B-4B30-9748-0D558F794571}"/>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25451" xr:uid="{2EB99E9E-C22B-4E03-A322-4A151AF3C937}"/>
    <cellStyle name="Normal 4 4 3 2 2 5 2 2 3" xfId="17010" xr:uid="{428D066C-E6A1-4DC2-A19C-E2ED328BD8E4}"/>
    <cellStyle name="Normal 4 4 3 2 2 5 2 3" xfId="21233" xr:uid="{5D5D0CA8-B033-420F-B718-F584E7FB2DBF}"/>
    <cellStyle name="Normal 4 4 3 2 2 5 2 4" xfId="12792" xr:uid="{9C8E0153-A3D3-4985-93DB-0A8917397DEF}"/>
    <cellStyle name="Normal 4 4 3 2 2 5 3" xfId="6415" xr:uid="{00000000-0005-0000-0000-000076150000}"/>
    <cellStyle name="Normal 4 4 3 2 2 5 3 2" xfId="23306" xr:uid="{141394E1-2E7E-411C-8114-002BCF9AA6B7}"/>
    <cellStyle name="Normal 4 4 3 2 2 5 3 3" xfId="14865" xr:uid="{5D654CD6-1325-4BEF-A250-EE8B4B2C1ABC}"/>
    <cellStyle name="Normal 4 4 3 2 2 5 4" xfId="19088" xr:uid="{C2F081DD-914B-40D1-A044-17FE03882394}"/>
    <cellStyle name="Normal 4 4 3 2 2 5 5" xfId="10647" xr:uid="{8E385F0E-BC46-4F36-B877-BD634765199A}"/>
    <cellStyle name="Normal 4 4 3 2 2 6" xfId="2545" xr:uid="{00000000-0005-0000-0000-000077150000}"/>
    <cellStyle name="Normal 4 4 3 2 2 6 2" xfId="6828" xr:uid="{00000000-0005-0000-0000-000078150000}"/>
    <cellStyle name="Normal 4 4 3 2 2 6 2 2" xfId="23719" xr:uid="{112050C6-602E-49C4-8BE8-D3120B2E8C15}"/>
    <cellStyle name="Normal 4 4 3 2 2 6 2 3" xfId="15278" xr:uid="{B326AB6B-F12E-4E9D-8F08-C21D91CE99FB}"/>
    <cellStyle name="Normal 4 4 3 2 2 6 3" xfId="19501" xr:uid="{B31A200B-AC7B-447A-8D8F-40909D18FBAA}"/>
    <cellStyle name="Normal 4 4 3 2 2 6 4" xfId="11060" xr:uid="{98E15725-9AEA-4ABD-A483-B517C0E00475}"/>
    <cellStyle name="Normal 4 4 3 2 2 7" xfId="4763" xr:uid="{00000000-0005-0000-0000-000079150000}"/>
    <cellStyle name="Normal 4 4 3 2 2 7 2" xfId="21654" xr:uid="{93DCE53F-7A87-49AF-8B78-A6C9CD1E781C}"/>
    <cellStyle name="Normal 4 4 3 2 2 7 3" xfId="13213" xr:uid="{170545D7-0F28-42ED-8E7C-7C94805905A9}"/>
    <cellStyle name="Normal 4 4 3 2 2 8" xfId="17436" xr:uid="{8D523286-C2A3-456E-8320-955367A92DC7}"/>
    <cellStyle name="Normal 4 4 3 2 2 9" xfId="8995" xr:uid="{8D7F4C91-5F34-4D3E-9081-21379D984B88}"/>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24211" xr:uid="{9DA3B838-DAAC-4DB5-BC47-9398D255C97F}"/>
    <cellStyle name="Normal 4 4 3 2 3 2 2 3" xfId="15770" xr:uid="{3659D061-C4FD-4085-BDBD-8A3FBAE0292A}"/>
    <cellStyle name="Normal 4 4 3 2 3 2 3" xfId="19993" xr:uid="{245EB46F-F0D5-4CE0-8113-A8B76FDD8B2D}"/>
    <cellStyle name="Normal 4 4 3 2 3 2 4" xfId="11552" xr:uid="{61DAB9E4-4F44-47B9-A1AD-CA1727137CDB}"/>
    <cellStyle name="Normal 4 4 3 2 3 3" xfId="5175" xr:uid="{00000000-0005-0000-0000-00007D150000}"/>
    <cellStyle name="Normal 4 4 3 2 3 3 2" xfId="22066" xr:uid="{BA586FE9-52F5-455E-AF15-ADFC36B99B25}"/>
    <cellStyle name="Normal 4 4 3 2 3 3 3" xfId="13625" xr:uid="{5B139FCF-76FB-4E86-8FBA-B12950D6B816}"/>
    <cellStyle name="Normal 4 4 3 2 3 4" xfId="17848" xr:uid="{F4F70FE4-E24A-4F95-8AC2-BB38407770C6}"/>
    <cellStyle name="Normal 4 4 3 2 3 5" xfId="9407" xr:uid="{DACDE449-08F9-4B95-A881-5BDA2FE15018}"/>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24624" xr:uid="{F3C9AF6E-4D60-4504-B3D8-76303811788E}"/>
    <cellStyle name="Normal 4 4 3 2 4 2 2 3" xfId="16183" xr:uid="{9F8CD10D-E2EA-4ED1-9C1B-BDA8F76ED9E3}"/>
    <cellStyle name="Normal 4 4 3 2 4 2 3" xfId="20406" xr:uid="{DC97A98B-1B34-4041-8500-8D02D099C26B}"/>
    <cellStyle name="Normal 4 4 3 2 4 2 4" xfId="11965" xr:uid="{AF81D163-3DA4-4C7E-B905-D47428D91E1D}"/>
    <cellStyle name="Normal 4 4 3 2 4 3" xfId="5588" xr:uid="{00000000-0005-0000-0000-000081150000}"/>
    <cellStyle name="Normal 4 4 3 2 4 3 2" xfId="22479" xr:uid="{96D05B4E-0151-4731-AF82-DB0DFD99D257}"/>
    <cellStyle name="Normal 4 4 3 2 4 3 3" xfId="14038" xr:uid="{B3CF620A-AB9F-4D2F-BB22-3FAC893A1049}"/>
    <cellStyle name="Normal 4 4 3 2 4 4" xfId="18261" xr:uid="{EF9178AC-70DC-46B9-AB73-42668C6C049A}"/>
    <cellStyle name="Normal 4 4 3 2 4 5" xfId="9820" xr:uid="{BDE1D0CA-35BF-4DE1-BC05-7AD16750B68B}"/>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25037" xr:uid="{9BC5D8BC-117E-4387-A6BD-4425E75ECD10}"/>
    <cellStyle name="Normal 4 4 3 2 5 2 2 3" xfId="16596" xr:uid="{51AD6A91-1D7D-482F-BF4A-094B4E5C46BE}"/>
    <cellStyle name="Normal 4 4 3 2 5 2 3" xfId="20819" xr:uid="{B41601AE-9A8D-45B4-80D2-46BC94159302}"/>
    <cellStyle name="Normal 4 4 3 2 5 2 4" xfId="12378" xr:uid="{EECEE020-2DE8-429A-8B07-ADC0C492A1BC}"/>
    <cellStyle name="Normal 4 4 3 2 5 3" xfId="6001" xr:uid="{00000000-0005-0000-0000-000085150000}"/>
    <cellStyle name="Normal 4 4 3 2 5 3 2" xfId="22892" xr:uid="{C1BC8A99-20C8-47CB-92E1-9C501D98A85D}"/>
    <cellStyle name="Normal 4 4 3 2 5 3 3" xfId="14451" xr:uid="{6DB06097-8716-451B-935B-FA165EC33FA2}"/>
    <cellStyle name="Normal 4 4 3 2 5 4" xfId="18674" xr:uid="{97510CBB-82B1-4032-B70B-BF4ABA110D2D}"/>
    <cellStyle name="Normal 4 4 3 2 5 5" xfId="10233" xr:uid="{34E5DBD3-73C6-46FC-8412-3425BFD5F42A}"/>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25450" xr:uid="{9FE281E7-6E1D-40AC-AF05-EB03897D1364}"/>
    <cellStyle name="Normal 4 4 3 2 6 2 2 3" xfId="17009" xr:uid="{1004A0C5-12B6-4FD4-A07F-CAEFC25A85F8}"/>
    <cellStyle name="Normal 4 4 3 2 6 2 3" xfId="21232" xr:uid="{1971C6B3-7532-4016-8B98-53F793B46A66}"/>
    <cellStyle name="Normal 4 4 3 2 6 2 4" xfId="12791" xr:uid="{D9D81480-D11B-456A-B238-9633B948646D}"/>
    <cellStyle name="Normal 4 4 3 2 6 3" xfId="6414" xr:uid="{00000000-0005-0000-0000-000089150000}"/>
    <cellStyle name="Normal 4 4 3 2 6 3 2" xfId="23305" xr:uid="{1B54F208-E3C4-4A9F-A6CF-7BE049152808}"/>
    <cellStyle name="Normal 4 4 3 2 6 3 3" xfId="14864" xr:uid="{8EC83D60-AA53-4D1D-BCAC-9EA836DEBB4F}"/>
    <cellStyle name="Normal 4 4 3 2 6 4" xfId="19087" xr:uid="{64E86EEA-993C-42B0-B315-963387B06C19}"/>
    <cellStyle name="Normal 4 4 3 2 6 5" xfId="10646" xr:uid="{F0D890AA-81BE-4CE6-8F3E-2E0336E15807}"/>
    <cellStyle name="Normal 4 4 3 2 7" xfId="2544" xr:uid="{00000000-0005-0000-0000-00008A150000}"/>
    <cellStyle name="Normal 4 4 3 2 7 2" xfId="6827" xr:uid="{00000000-0005-0000-0000-00008B150000}"/>
    <cellStyle name="Normal 4 4 3 2 7 2 2" xfId="23718" xr:uid="{7BA9219F-148E-4AFB-A086-DB24DD52081B}"/>
    <cellStyle name="Normal 4 4 3 2 7 2 3" xfId="15277" xr:uid="{8C59FC66-C5F8-4EA1-A68A-61B52F3D8FAD}"/>
    <cellStyle name="Normal 4 4 3 2 7 3" xfId="19500" xr:uid="{862FD28E-0996-4116-B072-8956A03D3757}"/>
    <cellStyle name="Normal 4 4 3 2 7 4" xfId="11059" xr:uid="{A33AE945-6479-40E9-AB69-434701E0A6BD}"/>
    <cellStyle name="Normal 4 4 3 2 8" xfId="4762" xr:uid="{00000000-0005-0000-0000-00008C150000}"/>
    <cellStyle name="Normal 4 4 3 2 8 2" xfId="21653" xr:uid="{F4CD9857-31BA-44A2-BCF0-54E3CC719A8D}"/>
    <cellStyle name="Normal 4 4 3 2 8 3" xfId="13212" xr:uid="{B2EDCB56-B02E-41EC-B2BF-9547A9B3EF08}"/>
    <cellStyle name="Normal 4 4 3 2 9" xfId="17435" xr:uid="{CE2BE7B6-4577-4BEB-A27F-D6AE795099BC}"/>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24213" xr:uid="{25B925F9-442F-43F5-9DD1-447AB9CD4DBC}"/>
    <cellStyle name="Normal 4 4 3 3 2 2 2 3" xfId="15772" xr:uid="{5C27B3C5-DDAA-4A03-AB2C-21F894C3B30B}"/>
    <cellStyle name="Normal 4 4 3 3 2 2 3" xfId="19995" xr:uid="{FD1B3A30-AF5D-4F97-98A2-E4309807748C}"/>
    <cellStyle name="Normal 4 4 3 3 2 2 4" xfId="11554" xr:uid="{39FB64F5-6809-484F-9736-200B84B0BD90}"/>
    <cellStyle name="Normal 4 4 3 3 2 3" xfId="5177" xr:uid="{00000000-0005-0000-0000-000091150000}"/>
    <cellStyle name="Normal 4 4 3 3 2 3 2" xfId="22068" xr:uid="{08DF5FA0-F6D5-4576-A5E5-D2A535F9B771}"/>
    <cellStyle name="Normal 4 4 3 3 2 3 3" xfId="13627" xr:uid="{BAFD68B3-EA17-401D-952A-762E86B1F4EE}"/>
    <cellStyle name="Normal 4 4 3 3 2 4" xfId="17850" xr:uid="{FA358DAB-08E8-48FA-A95B-2AE78DA90F50}"/>
    <cellStyle name="Normal 4 4 3 3 2 5" xfId="9409" xr:uid="{591BE4C7-3768-43CB-AEC4-EE209A8F0EE2}"/>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24626" xr:uid="{3AA27C51-02CD-4B45-AA57-35377F7E60A0}"/>
    <cellStyle name="Normal 4 4 3 3 3 2 2 3" xfId="16185" xr:uid="{1A54F920-F258-491E-9215-9819D94F727C}"/>
    <cellStyle name="Normal 4 4 3 3 3 2 3" xfId="20408" xr:uid="{696069C4-60E4-4C35-9E8A-DF9D4A174029}"/>
    <cellStyle name="Normal 4 4 3 3 3 2 4" xfId="11967" xr:uid="{4ED1A75F-A028-4C9E-BC70-C7731EEAECE1}"/>
    <cellStyle name="Normal 4 4 3 3 3 3" xfId="5590" xr:uid="{00000000-0005-0000-0000-000095150000}"/>
    <cellStyle name="Normal 4 4 3 3 3 3 2" xfId="22481" xr:uid="{5E444AEA-E3B4-413F-96EE-84319359338A}"/>
    <cellStyle name="Normal 4 4 3 3 3 3 3" xfId="14040" xr:uid="{C921107E-9B00-4F26-AE5D-EE5CA62177D5}"/>
    <cellStyle name="Normal 4 4 3 3 3 4" xfId="18263" xr:uid="{9937EF4B-335F-4ADC-AEFF-CA5FDB932240}"/>
    <cellStyle name="Normal 4 4 3 3 3 5" xfId="9822" xr:uid="{A1843302-E3B4-4696-9181-6438B898271A}"/>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25039" xr:uid="{BD5CED09-4D05-4315-BED7-72640DD81491}"/>
    <cellStyle name="Normal 4 4 3 3 4 2 2 3" xfId="16598" xr:uid="{FB65D4A2-B555-4D51-B63C-16DB14DD5525}"/>
    <cellStyle name="Normal 4 4 3 3 4 2 3" xfId="20821" xr:uid="{C54C20CE-41A0-4CE2-8667-2B803AD246F9}"/>
    <cellStyle name="Normal 4 4 3 3 4 2 4" xfId="12380" xr:uid="{EE1573DF-8034-4FA6-AAE0-EC91030D900B}"/>
    <cellStyle name="Normal 4 4 3 3 4 3" xfId="6003" xr:uid="{00000000-0005-0000-0000-000099150000}"/>
    <cellStyle name="Normal 4 4 3 3 4 3 2" xfId="22894" xr:uid="{18527C66-C5F9-4F3B-B041-55132F1B8D29}"/>
    <cellStyle name="Normal 4 4 3 3 4 3 3" xfId="14453" xr:uid="{E0A68EFC-A71F-4338-9CDD-2D6DEAD15ADA}"/>
    <cellStyle name="Normal 4 4 3 3 4 4" xfId="18676" xr:uid="{14483FAA-5144-4AAA-A23F-3F8BD219BBCB}"/>
    <cellStyle name="Normal 4 4 3 3 4 5" xfId="10235" xr:uid="{B398B5D0-704A-4AC0-B842-4C752AF9C159}"/>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25452" xr:uid="{BC279012-257E-4430-BA56-DEACD7534CD9}"/>
    <cellStyle name="Normal 4 4 3 3 5 2 2 3" xfId="17011" xr:uid="{E7645589-E578-4B33-BDE7-09B819D6EB25}"/>
    <cellStyle name="Normal 4 4 3 3 5 2 3" xfId="21234" xr:uid="{93B6A6A9-9A6C-40A0-A850-B56B41A2A067}"/>
    <cellStyle name="Normal 4 4 3 3 5 2 4" xfId="12793" xr:uid="{6AF939E7-FEA7-4A40-B838-ADB68BC48C91}"/>
    <cellStyle name="Normal 4 4 3 3 5 3" xfId="6416" xr:uid="{00000000-0005-0000-0000-00009D150000}"/>
    <cellStyle name="Normal 4 4 3 3 5 3 2" xfId="23307" xr:uid="{69E763DD-34E8-4F3F-A888-2D340A3E3A1F}"/>
    <cellStyle name="Normal 4 4 3 3 5 3 3" xfId="14866" xr:uid="{93CE5BDF-137B-48F6-9DA3-856D2583E537}"/>
    <cellStyle name="Normal 4 4 3 3 5 4" xfId="19089" xr:uid="{40BBA7F2-955A-46F0-B4C8-D966BF582C11}"/>
    <cellStyle name="Normal 4 4 3 3 5 5" xfId="10648" xr:uid="{079766F9-5DFE-4746-9D7A-7492E40B4327}"/>
    <cellStyle name="Normal 4 4 3 3 6" xfId="2546" xr:uid="{00000000-0005-0000-0000-00009E150000}"/>
    <cellStyle name="Normal 4 4 3 3 6 2" xfId="6829" xr:uid="{00000000-0005-0000-0000-00009F150000}"/>
    <cellStyle name="Normal 4 4 3 3 6 2 2" xfId="23720" xr:uid="{84D8D1F9-0FF7-4863-8196-A375A9452157}"/>
    <cellStyle name="Normal 4 4 3 3 6 2 3" xfId="15279" xr:uid="{C31B0695-021A-428D-BC25-2F986BFFEBEA}"/>
    <cellStyle name="Normal 4 4 3 3 6 3" xfId="19502" xr:uid="{61C85CD6-1E95-4EB3-84BF-64BAFBA4FF5D}"/>
    <cellStyle name="Normal 4 4 3 3 6 4" xfId="11061" xr:uid="{3241F5D6-4085-4010-8FC9-AF7863FFBA0A}"/>
    <cellStyle name="Normal 4 4 3 3 7" xfId="4764" xr:uid="{00000000-0005-0000-0000-0000A0150000}"/>
    <cellStyle name="Normal 4 4 3 3 7 2" xfId="21655" xr:uid="{569108F5-D766-41DF-8AB5-8BA0B2B94E26}"/>
    <cellStyle name="Normal 4 4 3 3 7 3" xfId="13214" xr:uid="{C553DCB5-030A-4683-9A15-D9FD9E9455EA}"/>
    <cellStyle name="Normal 4 4 3 3 8" xfId="17437" xr:uid="{5F7A9A3B-E1F3-47AF-BD98-ADC0378C56EB}"/>
    <cellStyle name="Normal 4 4 3 3 9" xfId="8996" xr:uid="{85A31800-2C99-498B-865D-B56CB3009AAE}"/>
    <cellStyle name="Normal 4 4 3 4" xfId="862" xr:uid="{00000000-0005-0000-0000-0000A1150000}"/>
    <cellStyle name="Normal 4 4 3 4 2" xfId="3097" xr:uid="{00000000-0005-0000-0000-0000A2150000}"/>
    <cellStyle name="Normal 4 4 3 4 2 2" xfId="7319" xr:uid="{00000000-0005-0000-0000-0000A3150000}"/>
    <cellStyle name="Normal 4 4 3 4 2 2 2" xfId="24210" xr:uid="{B617F4C6-7934-44AE-9F4B-5A36D0F36C5E}"/>
    <cellStyle name="Normal 4 4 3 4 2 2 3" xfId="15769" xr:uid="{FEA48D93-8DD4-4F16-8DCB-F4271B7C415D}"/>
    <cellStyle name="Normal 4 4 3 4 2 3" xfId="19992" xr:uid="{2B00E483-308C-4F46-BAD9-40F2E230645C}"/>
    <cellStyle name="Normal 4 4 3 4 2 4" xfId="11551" xr:uid="{E680E407-6C10-4AD7-80A9-282A5D06028B}"/>
    <cellStyle name="Normal 4 4 3 4 3" xfId="5174" xr:uid="{00000000-0005-0000-0000-0000A4150000}"/>
    <cellStyle name="Normal 4 4 3 4 3 2" xfId="22065" xr:uid="{5E344DCC-6FB6-4071-999B-16DEE20D451D}"/>
    <cellStyle name="Normal 4 4 3 4 3 3" xfId="13624" xr:uid="{A5147FD7-A8DC-4F16-AC03-76CA4602C3C3}"/>
    <cellStyle name="Normal 4 4 3 4 4" xfId="17847" xr:uid="{1255F9E7-23CD-4EFD-95B7-0725C9F87125}"/>
    <cellStyle name="Normal 4 4 3 4 5" xfId="9406" xr:uid="{435A6F4B-AFC7-4119-B7C4-D9C65165696B}"/>
    <cellStyle name="Normal 4 4 3 5" xfId="1280" xr:uid="{00000000-0005-0000-0000-0000A5150000}"/>
    <cellStyle name="Normal 4 4 3 5 2" xfId="3510" xr:uid="{00000000-0005-0000-0000-0000A6150000}"/>
    <cellStyle name="Normal 4 4 3 5 2 2" xfId="7732" xr:uid="{00000000-0005-0000-0000-0000A7150000}"/>
    <cellStyle name="Normal 4 4 3 5 2 2 2" xfId="24623" xr:uid="{8942F893-5263-43EC-BF29-B928A4B581CE}"/>
    <cellStyle name="Normal 4 4 3 5 2 2 3" xfId="16182" xr:uid="{B1D62559-DA8B-41E0-9302-0848FB37285A}"/>
    <cellStyle name="Normal 4 4 3 5 2 3" xfId="20405" xr:uid="{FD6084B8-12C9-450F-883F-E709B86D6AF0}"/>
    <cellStyle name="Normal 4 4 3 5 2 4" xfId="11964" xr:uid="{81ED68E0-DD5A-4FA2-9864-FB9DA1B3EC6C}"/>
    <cellStyle name="Normal 4 4 3 5 3" xfId="5587" xr:uid="{00000000-0005-0000-0000-0000A8150000}"/>
    <cellStyle name="Normal 4 4 3 5 3 2" xfId="22478" xr:uid="{B25B13D6-0871-4571-9E39-257988F2085B}"/>
    <cellStyle name="Normal 4 4 3 5 3 3" xfId="14037" xr:uid="{F1D2B412-3EFA-46EF-AFDD-768C1E489511}"/>
    <cellStyle name="Normal 4 4 3 5 4" xfId="18260" xr:uid="{EE4A0B5E-D0AE-43AD-8DD2-661D943BC27E}"/>
    <cellStyle name="Normal 4 4 3 5 5" xfId="9819" xr:uid="{5CB1D921-A99C-475A-A170-4C4ED9F7D7E4}"/>
    <cellStyle name="Normal 4 4 3 6" xfId="1693" xr:uid="{00000000-0005-0000-0000-0000A9150000}"/>
    <cellStyle name="Normal 4 4 3 6 2" xfId="3923" xr:uid="{00000000-0005-0000-0000-0000AA150000}"/>
    <cellStyle name="Normal 4 4 3 6 2 2" xfId="8145" xr:uid="{00000000-0005-0000-0000-0000AB150000}"/>
    <cellStyle name="Normal 4 4 3 6 2 2 2" xfId="25036" xr:uid="{EAF7EC3C-A0DC-4B53-A445-D759FB2F9A2A}"/>
    <cellStyle name="Normal 4 4 3 6 2 2 3" xfId="16595" xr:uid="{626CD051-E50E-49A6-88BA-94FE7F642DA8}"/>
    <cellStyle name="Normal 4 4 3 6 2 3" xfId="20818" xr:uid="{09EA5DEC-8085-4019-BE85-DD0C909C72E7}"/>
    <cellStyle name="Normal 4 4 3 6 2 4" xfId="12377" xr:uid="{BDBF3888-53C4-40B9-A90E-5455BADD644C}"/>
    <cellStyle name="Normal 4 4 3 6 3" xfId="6000" xr:uid="{00000000-0005-0000-0000-0000AC150000}"/>
    <cellStyle name="Normal 4 4 3 6 3 2" xfId="22891" xr:uid="{4AF7632B-E156-4C07-B38F-6FEB101FB48F}"/>
    <cellStyle name="Normal 4 4 3 6 3 3" xfId="14450" xr:uid="{3B65D179-3E42-467F-AADE-1FB611C13042}"/>
    <cellStyle name="Normal 4 4 3 6 4" xfId="18673" xr:uid="{6A2A2713-EDAE-4321-9DCF-475774B6FC6E}"/>
    <cellStyle name="Normal 4 4 3 6 5" xfId="10232" xr:uid="{6A6376DA-CF96-476B-B7B9-E3520CF6FDDF}"/>
    <cellStyle name="Normal 4 4 3 7" xfId="2107" xr:uid="{00000000-0005-0000-0000-0000AD150000}"/>
    <cellStyle name="Normal 4 4 3 7 2" xfId="4336" xr:uid="{00000000-0005-0000-0000-0000AE150000}"/>
    <cellStyle name="Normal 4 4 3 7 2 2" xfId="8558" xr:uid="{00000000-0005-0000-0000-0000AF150000}"/>
    <cellStyle name="Normal 4 4 3 7 2 2 2" xfId="25449" xr:uid="{94FBDDF6-9138-4791-BD1D-FE3E871686CC}"/>
    <cellStyle name="Normal 4 4 3 7 2 2 3" xfId="17008" xr:uid="{2F7941E1-99B4-49BA-B78D-274922998AD5}"/>
    <cellStyle name="Normal 4 4 3 7 2 3" xfId="21231" xr:uid="{70DBB56C-1587-4B01-BDBC-8BD64459502C}"/>
    <cellStyle name="Normal 4 4 3 7 2 4" xfId="12790" xr:uid="{1699DE87-AE6F-4D2A-BE7B-8499F01691E9}"/>
    <cellStyle name="Normal 4 4 3 7 3" xfId="6413" xr:uid="{00000000-0005-0000-0000-0000B0150000}"/>
    <cellStyle name="Normal 4 4 3 7 3 2" xfId="23304" xr:uid="{CDFA2837-D179-460C-8E7A-744B285D984A}"/>
    <cellStyle name="Normal 4 4 3 7 3 3" xfId="14863" xr:uid="{5A055CB2-B41E-4F53-B411-2370119EC31E}"/>
    <cellStyle name="Normal 4 4 3 7 4" xfId="19086" xr:uid="{D2F8FDC4-BE73-455C-A639-398A3DECF78E}"/>
    <cellStyle name="Normal 4 4 3 7 5" xfId="10645" xr:uid="{ECF8F3E0-3982-47C9-AA13-EE303DBAA487}"/>
    <cellStyle name="Normal 4 4 3 8" xfId="2543" xr:uid="{00000000-0005-0000-0000-0000B1150000}"/>
    <cellStyle name="Normal 4 4 3 8 2" xfId="6826" xr:uid="{00000000-0005-0000-0000-0000B2150000}"/>
    <cellStyle name="Normal 4 4 3 8 2 2" xfId="23717" xr:uid="{FCD7E1B8-EE93-4494-A9B9-A3C9E56406B5}"/>
    <cellStyle name="Normal 4 4 3 8 2 3" xfId="15276" xr:uid="{C3C8013C-B303-46FB-9B1B-332E5C92C0F6}"/>
    <cellStyle name="Normal 4 4 3 8 3" xfId="19499" xr:uid="{5363B910-2370-475F-91B7-C1649F2A9B4E}"/>
    <cellStyle name="Normal 4 4 3 8 4" xfId="11058" xr:uid="{102C4118-CD0F-4EA7-A0E3-C35C1CDA5EB6}"/>
    <cellStyle name="Normal 4 4 3 9" xfId="4761" xr:uid="{00000000-0005-0000-0000-0000B3150000}"/>
    <cellStyle name="Normal 4 4 3 9 2" xfId="21652" xr:uid="{A7759C2C-3E1D-4BA3-882A-57D84F3A03E3}"/>
    <cellStyle name="Normal 4 4 3 9 3" xfId="13211" xr:uid="{032EE4E1-52BD-4204-82B9-AA0EBE8E8341}"/>
    <cellStyle name="Normal 4 4 4" xfId="391" xr:uid="{00000000-0005-0000-0000-0000B4150000}"/>
    <cellStyle name="Normal 4 4 4 10" xfId="8997" xr:uid="{9C460ECB-DB39-4E0C-8872-D37421380FB4}"/>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24215" xr:uid="{5ED7AAEB-7FE5-4C99-ADB9-2A01CCEB1081}"/>
    <cellStyle name="Normal 4 4 4 2 2 2 2 3" xfId="15774" xr:uid="{9C11A0B7-D268-4F01-83E4-CDF8209FCFAE}"/>
    <cellStyle name="Normal 4 4 4 2 2 2 3" xfId="19997" xr:uid="{0A468EE0-3296-466E-BC9B-4070ECF280B6}"/>
    <cellStyle name="Normal 4 4 4 2 2 2 4" xfId="11556" xr:uid="{483F77CB-5CA3-4998-9039-1639E9E3CFF0}"/>
    <cellStyle name="Normal 4 4 4 2 2 3" xfId="5179" xr:uid="{00000000-0005-0000-0000-0000B9150000}"/>
    <cellStyle name="Normal 4 4 4 2 2 3 2" xfId="22070" xr:uid="{C5CB8E34-0B7F-4236-A3F9-5CE8386EF63D}"/>
    <cellStyle name="Normal 4 4 4 2 2 3 3" xfId="13629" xr:uid="{D4ABB63B-BB2C-47DB-A058-5020BC37EC15}"/>
    <cellStyle name="Normal 4 4 4 2 2 4" xfId="17852" xr:uid="{5C4E5DBC-CFC8-44A0-BA4B-BAC930514B37}"/>
    <cellStyle name="Normal 4 4 4 2 2 5" xfId="9411" xr:uid="{35F11AA4-EAE0-4F04-8D94-03FBFD11AF29}"/>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24628" xr:uid="{6AB8CD6D-8C56-4C51-9097-48D2BEF4FD23}"/>
    <cellStyle name="Normal 4 4 4 2 3 2 2 3" xfId="16187" xr:uid="{593D83BA-39D8-455D-A680-7FFA4FA9BDE8}"/>
    <cellStyle name="Normal 4 4 4 2 3 2 3" xfId="20410" xr:uid="{E8761BF2-C347-4669-A404-F6D709CADE62}"/>
    <cellStyle name="Normal 4 4 4 2 3 2 4" xfId="11969" xr:uid="{1454905C-D56A-4513-BDA8-F6CF2037F2B1}"/>
    <cellStyle name="Normal 4 4 4 2 3 3" xfId="5592" xr:uid="{00000000-0005-0000-0000-0000BD150000}"/>
    <cellStyle name="Normal 4 4 4 2 3 3 2" xfId="22483" xr:uid="{6CBAFFD7-CA58-44D4-BACC-F2BE932B6E4B}"/>
    <cellStyle name="Normal 4 4 4 2 3 3 3" xfId="14042" xr:uid="{D78B6882-B893-4ABD-A8BC-581F2408C2C5}"/>
    <cellStyle name="Normal 4 4 4 2 3 4" xfId="18265" xr:uid="{BA34C46E-CB27-446D-AE80-CE95DC055A7A}"/>
    <cellStyle name="Normal 4 4 4 2 3 5" xfId="9824" xr:uid="{27F8B4A7-0FF1-4B93-AECF-353205037040}"/>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25041" xr:uid="{34AF8146-D4DA-437B-9D88-B5EAA5C50F22}"/>
    <cellStyle name="Normal 4 4 4 2 4 2 2 3" xfId="16600" xr:uid="{9B8A598D-C625-4D7F-AAA3-89E9CC8D5EA3}"/>
    <cellStyle name="Normal 4 4 4 2 4 2 3" xfId="20823" xr:uid="{83778B54-B108-42A9-AE2D-AE74689E7AB9}"/>
    <cellStyle name="Normal 4 4 4 2 4 2 4" xfId="12382" xr:uid="{FB73DF0D-CC3B-404D-8654-4203912D470D}"/>
    <cellStyle name="Normal 4 4 4 2 4 3" xfId="6005" xr:uid="{00000000-0005-0000-0000-0000C1150000}"/>
    <cellStyle name="Normal 4 4 4 2 4 3 2" xfId="22896" xr:uid="{D0D8182F-6A37-48E4-AB08-9C088E69D530}"/>
    <cellStyle name="Normal 4 4 4 2 4 3 3" xfId="14455" xr:uid="{B964AEF0-80C3-40E6-B76E-B34B67CFC4C0}"/>
    <cellStyle name="Normal 4 4 4 2 4 4" xfId="18678" xr:uid="{82379D9D-2CEC-4687-A4FB-8EC637FE03C6}"/>
    <cellStyle name="Normal 4 4 4 2 4 5" xfId="10237" xr:uid="{8108D943-76BD-4D82-B676-A26E21C34478}"/>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25454" xr:uid="{60B8D3C4-ED66-458E-A797-E081954AA724}"/>
    <cellStyle name="Normal 4 4 4 2 5 2 2 3" xfId="17013" xr:uid="{39D57280-6048-49A3-AC5C-A16C5947A5FD}"/>
    <cellStyle name="Normal 4 4 4 2 5 2 3" xfId="21236" xr:uid="{D962C8BB-2CC2-4045-9498-6BFE1FA22494}"/>
    <cellStyle name="Normal 4 4 4 2 5 2 4" xfId="12795" xr:uid="{3DC233B4-E78E-4291-84D4-05100AD14C54}"/>
    <cellStyle name="Normal 4 4 4 2 5 3" xfId="6418" xr:uid="{00000000-0005-0000-0000-0000C5150000}"/>
    <cellStyle name="Normal 4 4 4 2 5 3 2" xfId="23309" xr:uid="{148C966B-E74B-4701-9CEB-B21EACDB866F}"/>
    <cellStyle name="Normal 4 4 4 2 5 3 3" xfId="14868" xr:uid="{297CD499-17EB-4E4A-9743-A9115AAE0CF8}"/>
    <cellStyle name="Normal 4 4 4 2 5 4" xfId="19091" xr:uid="{A8CCB4A9-FA8D-4929-A721-98B7CDA59E86}"/>
    <cellStyle name="Normal 4 4 4 2 5 5" xfId="10650" xr:uid="{F43C7DCE-DBE3-4D95-8156-9847034F0A12}"/>
    <cellStyle name="Normal 4 4 4 2 6" xfId="2548" xr:uid="{00000000-0005-0000-0000-0000C6150000}"/>
    <cellStyle name="Normal 4 4 4 2 6 2" xfId="6831" xr:uid="{00000000-0005-0000-0000-0000C7150000}"/>
    <cellStyle name="Normal 4 4 4 2 6 2 2" xfId="23722" xr:uid="{53F9EAE9-2AE6-49B9-8DCE-559F2014F410}"/>
    <cellStyle name="Normal 4 4 4 2 6 2 3" xfId="15281" xr:uid="{2853278A-2D32-40D4-8439-B64B3F40075C}"/>
    <cellStyle name="Normal 4 4 4 2 6 3" xfId="19504" xr:uid="{90F9EFF9-D52B-4BB9-ADE0-594B75C820F9}"/>
    <cellStyle name="Normal 4 4 4 2 6 4" xfId="11063" xr:uid="{B0E85B59-4838-4867-8313-BC0C38B8C72D}"/>
    <cellStyle name="Normal 4 4 4 2 7" xfId="4766" xr:uid="{00000000-0005-0000-0000-0000C8150000}"/>
    <cellStyle name="Normal 4 4 4 2 7 2" xfId="21657" xr:uid="{C5770B13-B1D5-45F2-8D7F-D703727F038D}"/>
    <cellStyle name="Normal 4 4 4 2 7 3" xfId="13216" xr:uid="{F8952E27-9649-4386-BC3D-31F49FBF9DF3}"/>
    <cellStyle name="Normal 4 4 4 2 8" xfId="17439" xr:uid="{AF417851-F811-4514-8858-921F10BF3041}"/>
    <cellStyle name="Normal 4 4 4 2 9" xfId="8998" xr:uid="{9BC20770-6068-47AE-90D2-C7955CC86401}"/>
    <cellStyle name="Normal 4 4 4 3" xfId="866" xr:uid="{00000000-0005-0000-0000-0000C9150000}"/>
    <cellStyle name="Normal 4 4 4 3 2" xfId="3101" xr:uid="{00000000-0005-0000-0000-0000CA150000}"/>
    <cellStyle name="Normal 4 4 4 3 2 2" xfId="7323" xr:uid="{00000000-0005-0000-0000-0000CB150000}"/>
    <cellStyle name="Normal 4 4 4 3 2 2 2" xfId="24214" xr:uid="{F56D83F7-5D18-4843-AEB3-3D39BBD59165}"/>
    <cellStyle name="Normal 4 4 4 3 2 2 3" xfId="15773" xr:uid="{3C19D6F4-3446-43EA-9DEF-9FD2F4E9E2E4}"/>
    <cellStyle name="Normal 4 4 4 3 2 3" xfId="19996" xr:uid="{384741D6-03C3-45F9-AE3D-30E08409FCC0}"/>
    <cellStyle name="Normal 4 4 4 3 2 4" xfId="11555" xr:uid="{D71C12A4-3CAC-41AA-A0C9-AC1E61BB2743}"/>
    <cellStyle name="Normal 4 4 4 3 3" xfId="5178" xr:uid="{00000000-0005-0000-0000-0000CC150000}"/>
    <cellStyle name="Normal 4 4 4 3 3 2" xfId="22069" xr:uid="{B77A0185-F299-4717-AF43-0A04840A713E}"/>
    <cellStyle name="Normal 4 4 4 3 3 3" xfId="13628" xr:uid="{E746D216-B161-4658-8FC2-A55C23C7B655}"/>
    <cellStyle name="Normal 4 4 4 3 4" xfId="17851" xr:uid="{8EF73FE8-CBC0-47E6-B02E-AE957C3FBB01}"/>
    <cellStyle name="Normal 4 4 4 3 5" xfId="9410" xr:uid="{542DE950-AFE4-466F-AA0C-F1B58E9FB296}"/>
    <cellStyle name="Normal 4 4 4 4" xfId="1284" xr:uid="{00000000-0005-0000-0000-0000CD150000}"/>
    <cellStyle name="Normal 4 4 4 4 2" xfId="3514" xr:uid="{00000000-0005-0000-0000-0000CE150000}"/>
    <cellStyle name="Normal 4 4 4 4 2 2" xfId="7736" xr:uid="{00000000-0005-0000-0000-0000CF150000}"/>
    <cellStyle name="Normal 4 4 4 4 2 2 2" xfId="24627" xr:uid="{620C9D29-41C1-47B5-973A-B754682BEFA4}"/>
    <cellStyle name="Normal 4 4 4 4 2 2 3" xfId="16186" xr:uid="{F6EEF498-D3FE-402C-95A1-EC943152A7BA}"/>
    <cellStyle name="Normal 4 4 4 4 2 3" xfId="20409" xr:uid="{D0DBC98C-1161-44CF-A2AE-F46CD3E7E2FE}"/>
    <cellStyle name="Normal 4 4 4 4 2 4" xfId="11968" xr:uid="{269D3A38-76A9-49C8-9AA2-70648654931C}"/>
    <cellStyle name="Normal 4 4 4 4 3" xfId="5591" xr:uid="{00000000-0005-0000-0000-0000D0150000}"/>
    <cellStyle name="Normal 4 4 4 4 3 2" xfId="22482" xr:uid="{6193E441-5E38-40F2-B43C-EDC3FA036FFD}"/>
    <cellStyle name="Normal 4 4 4 4 3 3" xfId="14041" xr:uid="{6FE7821E-9ABD-4AAE-A442-C8C03891F005}"/>
    <cellStyle name="Normal 4 4 4 4 4" xfId="18264" xr:uid="{0190FE4A-87F8-4339-A7A9-E310E310B967}"/>
    <cellStyle name="Normal 4 4 4 4 5" xfId="9823" xr:uid="{804E8003-ED98-4AF5-808F-2AF90099A89E}"/>
    <cellStyle name="Normal 4 4 4 5" xfId="1697" xr:uid="{00000000-0005-0000-0000-0000D1150000}"/>
    <cellStyle name="Normal 4 4 4 5 2" xfId="3927" xr:uid="{00000000-0005-0000-0000-0000D2150000}"/>
    <cellStyle name="Normal 4 4 4 5 2 2" xfId="8149" xr:uid="{00000000-0005-0000-0000-0000D3150000}"/>
    <cellStyle name="Normal 4 4 4 5 2 2 2" xfId="25040" xr:uid="{7353D7EC-7EAB-4299-88F8-29AAE7A8DE20}"/>
    <cellStyle name="Normal 4 4 4 5 2 2 3" xfId="16599" xr:uid="{BE509B76-F467-45AC-88FB-B765E65AB7A4}"/>
    <cellStyle name="Normal 4 4 4 5 2 3" xfId="20822" xr:uid="{C6EF1AE4-4EA2-454B-9A9D-763CE4B7C501}"/>
    <cellStyle name="Normal 4 4 4 5 2 4" xfId="12381" xr:uid="{5FDE1334-B86E-4103-BF2B-2A0B3385F859}"/>
    <cellStyle name="Normal 4 4 4 5 3" xfId="6004" xr:uid="{00000000-0005-0000-0000-0000D4150000}"/>
    <cellStyle name="Normal 4 4 4 5 3 2" xfId="22895" xr:uid="{CDA5199A-F323-47BB-8B52-647A05D74419}"/>
    <cellStyle name="Normal 4 4 4 5 3 3" xfId="14454" xr:uid="{E102FAC1-8C77-4543-9E81-47C3A00381EB}"/>
    <cellStyle name="Normal 4 4 4 5 4" xfId="18677" xr:uid="{4B648A14-5BC5-4896-80E8-1938408BDFE9}"/>
    <cellStyle name="Normal 4 4 4 5 5" xfId="10236" xr:uid="{8C1EAA15-789E-4826-BCF0-0E5CF025C488}"/>
    <cellStyle name="Normal 4 4 4 6" xfId="2111" xr:uid="{00000000-0005-0000-0000-0000D5150000}"/>
    <cellStyle name="Normal 4 4 4 6 2" xfId="4340" xr:uid="{00000000-0005-0000-0000-0000D6150000}"/>
    <cellStyle name="Normal 4 4 4 6 2 2" xfId="8562" xr:uid="{00000000-0005-0000-0000-0000D7150000}"/>
    <cellStyle name="Normal 4 4 4 6 2 2 2" xfId="25453" xr:uid="{6C2E778D-6EF5-44E6-BAED-F534E3F1300A}"/>
    <cellStyle name="Normal 4 4 4 6 2 2 3" xfId="17012" xr:uid="{21F15DD8-8AE3-4FCD-8748-6E73D45AE836}"/>
    <cellStyle name="Normal 4 4 4 6 2 3" xfId="21235" xr:uid="{952242D4-A727-441B-BB0D-B0A9CDAB5270}"/>
    <cellStyle name="Normal 4 4 4 6 2 4" xfId="12794" xr:uid="{291907BD-6A40-459A-A90D-7931EA529923}"/>
    <cellStyle name="Normal 4 4 4 6 3" xfId="6417" xr:uid="{00000000-0005-0000-0000-0000D8150000}"/>
    <cellStyle name="Normal 4 4 4 6 3 2" xfId="23308" xr:uid="{4FBF8E10-47A8-4285-92D0-3F49DDFB72C5}"/>
    <cellStyle name="Normal 4 4 4 6 3 3" xfId="14867" xr:uid="{67DAB393-20EF-49CD-A3EF-E242B2195FBE}"/>
    <cellStyle name="Normal 4 4 4 6 4" xfId="19090" xr:uid="{6DB7598C-99C9-4577-B493-BC6252E3941D}"/>
    <cellStyle name="Normal 4 4 4 6 5" xfId="10649" xr:uid="{F892E655-7E56-45C1-AB14-792C543D17F4}"/>
    <cellStyle name="Normal 4 4 4 7" xfId="2547" xr:uid="{00000000-0005-0000-0000-0000D9150000}"/>
    <cellStyle name="Normal 4 4 4 7 2" xfId="6830" xr:uid="{00000000-0005-0000-0000-0000DA150000}"/>
    <cellStyle name="Normal 4 4 4 7 2 2" xfId="23721" xr:uid="{17DFA190-D5F5-4AA6-B9B8-8A65B4564453}"/>
    <cellStyle name="Normal 4 4 4 7 2 3" xfId="15280" xr:uid="{7847EB0E-BE5F-4E2F-9264-D7642BFA8FD5}"/>
    <cellStyle name="Normal 4 4 4 7 3" xfId="19503" xr:uid="{FE622269-24ED-4530-ADD2-29AE4F15A0CA}"/>
    <cellStyle name="Normal 4 4 4 7 4" xfId="11062" xr:uid="{E3C2010D-8AA3-4234-898D-A45D24F20772}"/>
    <cellStyle name="Normal 4 4 4 8" xfId="4765" xr:uid="{00000000-0005-0000-0000-0000DB150000}"/>
    <cellStyle name="Normal 4 4 4 8 2" xfId="21656" xr:uid="{2A5B51A5-606A-4FCE-AD8D-407ACDB0D36B}"/>
    <cellStyle name="Normal 4 4 4 8 3" xfId="13215" xr:uid="{7E4EE134-15DA-4BFA-89FD-77DE57F7DC59}"/>
    <cellStyle name="Normal 4 4 4 9" xfId="17438" xr:uid="{4AE56770-7D40-4312-9B61-E27732AEB25C}"/>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2 2 2" xfId="24216" xr:uid="{9FA87FF6-5441-4A87-860C-0E76517766D1}"/>
    <cellStyle name="Normal 4 4 5 2 2 2 3" xfId="15775" xr:uid="{0D1128AC-58A3-4364-BFBC-3A71192B033B}"/>
    <cellStyle name="Normal 4 4 5 2 2 3" xfId="19998" xr:uid="{85AD51AA-9C50-4711-BE3C-5CE94C351CA6}"/>
    <cellStyle name="Normal 4 4 5 2 2 4" xfId="11557" xr:uid="{4A86B2F9-D0F5-4AA9-8B23-1900015F79F3}"/>
    <cellStyle name="Normal 4 4 5 2 3" xfId="5180" xr:uid="{00000000-0005-0000-0000-0000E0150000}"/>
    <cellStyle name="Normal 4 4 5 2 3 2" xfId="22071" xr:uid="{D45762B3-C9E9-465A-88A7-E1FC20C2D5B3}"/>
    <cellStyle name="Normal 4 4 5 2 3 3" xfId="13630" xr:uid="{ABE9BE1F-0D13-4A09-BEB9-0E8AF6187149}"/>
    <cellStyle name="Normal 4 4 5 2 4" xfId="17853" xr:uid="{2C8D5898-B9F5-46CE-B8BF-DBDADE6BA025}"/>
    <cellStyle name="Normal 4 4 5 2 5" xfId="9412" xr:uid="{B847E7A5-3DBB-49B1-B56D-747ED930ECB1}"/>
    <cellStyle name="Normal 4 4 5 3" xfId="1286" xr:uid="{00000000-0005-0000-0000-0000E1150000}"/>
    <cellStyle name="Normal 4 4 5 3 2" xfId="3516" xr:uid="{00000000-0005-0000-0000-0000E2150000}"/>
    <cellStyle name="Normal 4 4 5 3 2 2" xfId="7738" xr:uid="{00000000-0005-0000-0000-0000E3150000}"/>
    <cellStyle name="Normal 4 4 5 3 2 2 2" xfId="24629" xr:uid="{9C29A732-7FEB-4159-B530-3CDBF335D6F2}"/>
    <cellStyle name="Normal 4 4 5 3 2 2 3" xfId="16188" xr:uid="{EE83A2F5-1068-4F4B-AE1D-2934B5D01236}"/>
    <cellStyle name="Normal 4 4 5 3 2 3" xfId="20411" xr:uid="{BF8C87F7-7A77-4EFA-9FA1-5A7C91F0F839}"/>
    <cellStyle name="Normal 4 4 5 3 2 4" xfId="11970" xr:uid="{17F7402B-A87A-4A88-9636-F2186972C839}"/>
    <cellStyle name="Normal 4 4 5 3 3" xfId="5593" xr:uid="{00000000-0005-0000-0000-0000E4150000}"/>
    <cellStyle name="Normal 4 4 5 3 3 2" xfId="22484" xr:uid="{01636ED0-313F-4365-9E26-8EECE8C3E045}"/>
    <cellStyle name="Normal 4 4 5 3 3 3" xfId="14043" xr:uid="{C9857CC7-6272-42AC-8BA1-E8D7AAEBD87B}"/>
    <cellStyle name="Normal 4 4 5 3 4" xfId="18266" xr:uid="{3322FBD6-3B81-4896-BCF6-AFCF1B657C1A}"/>
    <cellStyle name="Normal 4 4 5 3 5" xfId="9825" xr:uid="{AFEE9A94-8E7C-45F4-A96C-E2BBA4EA4F71}"/>
    <cellStyle name="Normal 4 4 5 4" xfId="1699" xr:uid="{00000000-0005-0000-0000-0000E5150000}"/>
    <cellStyle name="Normal 4 4 5 4 2" xfId="3929" xr:uid="{00000000-0005-0000-0000-0000E6150000}"/>
    <cellStyle name="Normal 4 4 5 4 2 2" xfId="8151" xr:uid="{00000000-0005-0000-0000-0000E7150000}"/>
    <cellStyle name="Normal 4 4 5 4 2 2 2" xfId="25042" xr:uid="{BCCC3D36-2C7A-4106-965B-9291D8461F0C}"/>
    <cellStyle name="Normal 4 4 5 4 2 2 3" xfId="16601" xr:uid="{BA0D1A56-3C23-447C-B5E3-990BBB80B0EB}"/>
    <cellStyle name="Normal 4 4 5 4 2 3" xfId="20824" xr:uid="{722BE9DA-974D-49E7-8D7F-1CC3CFB0E633}"/>
    <cellStyle name="Normal 4 4 5 4 2 4" xfId="12383" xr:uid="{EFA48ABF-4755-4DF3-A27A-483096C337F8}"/>
    <cellStyle name="Normal 4 4 5 4 3" xfId="6006" xr:uid="{00000000-0005-0000-0000-0000E8150000}"/>
    <cellStyle name="Normal 4 4 5 4 3 2" xfId="22897" xr:uid="{3AD6303D-D926-400E-AD73-5ED330D8AA3A}"/>
    <cellStyle name="Normal 4 4 5 4 3 3" xfId="14456" xr:uid="{D7B1E6C9-1787-42BD-B058-9D31796EA34E}"/>
    <cellStyle name="Normal 4 4 5 4 4" xfId="18679" xr:uid="{E1B93069-C202-43D2-8137-A3FEF093138D}"/>
    <cellStyle name="Normal 4 4 5 4 5" xfId="10238" xr:uid="{6B049479-D1E3-4808-B2CC-BF80961505A8}"/>
    <cellStyle name="Normal 4 4 5 5" xfId="2113" xr:uid="{00000000-0005-0000-0000-0000E9150000}"/>
    <cellStyle name="Normal 4 4 5 5 2" xfId="4342" xr:uid="{00000000-0005-0000-0000-0000EA150000}"/>
    <cellStyle name="Normal 4 4 5 5 2 2" xfId="8564" xr:uid="{00000000-0005-0000-0000-0000EB150000}"/>
    <cellStyle name="Normal 4 4 5 5 2 2 2" xfId="25455" xr:uid="{5EC5F568-5ED8-455E-BA33-D328E8CD601D}"/>
    <cellStyle name="Normal 4 4 5 5 2 2 3" xfId="17014" xr:uid="{9C19DA03-F79C-4BC4-B242-64B46E00CA7A}"/>
    <cellStyle name="Normal 4 4 5 5 2 3" xfId="21237" xr:uid="{8B4CF261-4082-4481-B0D8-90DF9480AB82}"/>
    <cellStyle name="Normal 4 4 5 5 2 4" xfId="12796" xr:uid="{BD8256FC-4D3A-4AA5-972F-0F7BF37AD04F}"/>
    <cellStyle name="Normal 4 4 5 5 3" xfId="6419" xr:uid="{00000000-0005-0000-0000-0000EC150000}"/>
    <cellStyle name="Normal 4 4 5 5 3 2" xfId="23310" xr:uid="{1982037D-2975-4A08-B0B5-E920C37C2486}"/>
    <cellStyle name="Normal 4 4 5 5 3 3" xfId="14869" xr:uid="{48E8BFA4-75AB-4552-AAE8-BD4488F37009}"/>
    <cellStyle name="Normal 4 4 5 5 4" xfId="19092" xr:uid="{1F437D69-9580-40AB-9BBE-731FE4853504}"/>
    <cellStyle name="Normal 4 4 5 5 5" xfId="10651" xr:uid="{6BD5EEE1-A90C-4C58-97D0-F661C5207C0A}"/>
    <cellStyle name="Normal 4 4 5 6" xfId="2549" xr:uid="{00000000-0005-0000-0000-0000ED150000}"/>
    <cellStyle name="Normal 4 4 5 6 2" xfId="6832" xr:uid="{00000000-0005-0000-0000-0000EE150000}"/>
    <cellStyle name="Normal 4 4 5 6 2 2" xfId="23723" xr:uid="{1624BAA4-BE30-48FB-911B-991F842EF514}"/>
    <cellStyle name="Normal 4 4 5 6 2 3" xfId="15282" xr:uid="{88FE6E08-0176-45E6-89AF-604F56DA3537}"/>
    <cellStyle name="Normal 4 4 5 6 3" xfId="19505" xr:uid="{4B4D9730-6C13-4235-9561-9550A69EAE4D}"/>
    <cellStyle name="Normal 4 4 5 6 4" xfId="11064" xr:uid="{2808855D-9730-4CBC-BEB3-9A6F7DABBCA6}"/>
    <cellStyle name="Normal 4 4 5 7" xfId="4767" xr:uid="{00000000-0005-0000-0000-0000EF150000}"/>
    <cellStyle name="Normal 4 4 5 7 2" xfId="21658" xr:uid="{C56E921B-229A-4D3A-8C15-CFF0D416610B}"/>
    <cellStyle name="Normal 4 4 5 7 3" xfId="13217" xr:uid="{75A10C58-EE13-4734-BF79-295377EBA714}"/>
    <cellStyle name="Normal 4 4 5 8" xfId="17440" xr:uid="{8F6346E7-716C-47D6-BE71-FF42DCEF6559}"/>
    <cellStyle name="Normal 4 4 5 9" xfId="8999" xr:uid="{96052C63-80CE-49A1-B802-B03C76848E15}"/>
    <cellStyle name="Normal 4 4 6" xfId="853" xr:uid="{00000000-0005-0000-0000-0000F0150000}"/>
    <cellStyle name="Normal 4 4 6 2" xfId="3088" xr:uid="{00000000-0005-0000-0000-0000F1150000}"/>
    <cellStyle name="Normal 4 4 6 2 2" xfId="7310" xr:uid="{00000000-0005-0000-0000-0000F2150000}"/>
    <cellStyle name="Normal 4 4 6 2 2 2" xfId="24201" xr:uid="{B2A97E41-2535-43AF-B8B2-50ED75BFEBD3}"/>
    <cellStyle name="Normal 4 4 6 2 2 3" xfId="15760" xr:uid="{F395BE01-2DC9-4535-A3B0-41CE6ED59142}"/>
    <cellStyle name="Normal 4 4 6 2 3" xfId="19983" xr:uid="{DF6CFB0C-85C5-4072-ACE2-CBB6949065F2}"/>
    <cellStyle name="Normal 4 4 6 2 4" xfId="11542" xr:uid="{92643DA4-73F8-47BC-B13B-DEBF92E673C2}"/>
    <cellStyle name="Normal 4 4 6 3" xfId="5165" xr:uid="{00000000-0005-0000-0000-0000F3150000}"/>
    <cellStyle name="Normal 4 4 6 3 2" xfId="22056" xr:uid="{17418ECE-5DC9-4F9F-A7EA-623F94825857}"/>
    <cellStyle name="Normal 4 4 6 3 3" xfId="13615" xr:uid="{BF553559-4B00-4A36-A7ED-2401B5D1692A}"/>
    <cellStyle name="Normal 4 4 6 4" xfId="17838" xr:uid="{B47C3E59-215F-4B77-B978-00AE918AE8A6}"/>
    <cellStyle name="Normal 4 4 6 5" xfId="9397" xr:uid="{33EFE277-3831-49B6-95CD-75247AA0B4DD}"/>
    <cellStyle name="Normal 4 4 7" xfId="1271" xr:uid="{00000000-0005-0000-0000-0000F4150000}"/>
    <cellStyle name="Normal 4 4 7 2" xfId="3501" xr:uid="{00000000-0005-0000-0000-0000F5150000}"/>
    <cellStyle name="Normal 4 4 7 2 2" xfId="7723" xr:uid="{00000000-0005-0000-0000-0000F6150000}"/>
    <cellStyle name="Normal 4 4 7 2 2 2" xfId="24614" xr:uid="{1BA87926-B69C-4889-8CAF-15516F523840}"/>
    <cellStyle name="Normal 4 4 7 2 2 3" xfId="16173" xr:uid="{CC52D7E9-D952-4DF0-AB24-54406274E5DB}"/>
    <cellStyle name="Normal 4 4 7 2 3" xfId="20396" xr:uid="{A99822D5-EF0D-4FA0-9E2F-AC0B0FEDE24E}"/>
    <cellStyle name="Normal 4 4 7 2 4" xfId="11955" xr:uid="{55197EAB-2048-4D43-9ABA-2E7CEF903EB5}"/>
    <cellStyle name="Normal 4 4 7 3" xfId="5578" xr:uid="{00000000-0005-0000-0000-0000F7150000}"/>
    <cellStyle name="Normal 4 4 7 3 2" xfId="22469" xr:uid="{46266892-1B78-4514-960A-7B8A73A528E7}"/>
    <cellStyle name="Normal 4 4 7 3 3" xfId="14028" xr:uid="{668C9F31-8B30-4B5E-BFBD-11ABAAC134E4}"/>
    <cellStyle name="Normal 4 4 7 4" xfId="18251" xr:uid="{180CA95B-A285-4EDD-AF40-296E609C3BE8}"/>
    <cellStyle name="Normal 4 4 7 5" xfId="9810" xr:uid="{601A6C23-5DBF-4D22-864F-38FF0D06EEA5}"/>
    <cellStyle name="Normal 4 4 8" xfId="1684" xr:uid="{00000000-0005-0000-0000-0000F8150000}"/>
    <cellStyle name="Normal 4 4 8 2" xfId="3914" xr:uid="{00000000-0005-0000-0000-0000F9150000}"/>
    <cellStyle name="Normal 4 4 8 2 2" xfId="8136" xr:uid="{00000000-0005-0000-0000-0000FA150000}"/>
    <cellStyle name="Normal 4 4 8 2 2 2" xfId="25027" xr:uid="{CA631FE3-4047-4555-A17A-5EF0AC986E24}"/>
    <cellStyle name="Normal 4 4 8 2 2 3" xfId="16586" xr:uid="{273DE540-5782-4560-B6C1-93F8A7E52021}"/>
    <cellStyle name="Normal 4 4 8 2 3" xfId="20809" xr:uid="{457C2B2A-5AA3-4C8B-B031-B2D3E51A19D2}"/>
    <cellStyle name="Normal 4 4 8 2 4" xfId="12368" xr:uid="{91D94553-3603-4358-846C-2914171A4DA9}"/>
    <cellStyle name="Normal 4 4 8 3" xfId="5991" xr:uid="{00000000-0005-0000-0000-0000FB150000}"/>
    <cellStyle name="Normal 4 4 8 3 2" xfId="22882" xr:uid="{C301C682-EBD7-4900-91C1-5970EA6BEB91}"/>
    <cellStyle name="Normal 4 4 8 3 3" xfId="14441" xr:uid="{D29CD213-AA7B-43EF-9785-29D0438A6567}"/>
    <cellStyle name="Normal 4 4 8 4" xfId="18664" xr:uid="{C0DFAF24-CDCC-41F4-AE2B-69F7697669FF}"/>
    <cellStyle name="Normal 4 4 8 5" xfId="10223" xr:uid="{BD8D3939-54E3-45E8-8856-D52AC0148401}"/>
    <cellStyle name="Normal 4 4 9" xfId="2098" xr:uid="{00000000-0005-0000-0000-0000FC150000}"/>
    <cellStyle name="Normal 4 4 9 2" xfId="4327" xr:uid="{00000000-0005-0000-0000-0000FD150000}"/>
    <cellStyle name="Normal 4 4 9 2 2" xfId="8549" xr:uid="{00000000-0005-0000-0000-0000FE150000}"/>
    <cellStyle name="Normal 4 4 9 2 2 2" xfId="25440" xr:uid="{AF4BE01A-C5E6-447E-A259-49AA71BCAA19}"/>
    <cellStyle name="Normal 4 4 9 2 2 3" xfId="16999" xr:uid="{36C442AA-38D9-4583-BFB7-D60D8631A448}"/>
    <cellStyle name="Normal 4 4 9 2 3" xfId="21222" xr:uid="{13BFBB1B-9202-4086-8118-D659143C7F0E}"/>
    <cellStyle name="Normal 4 4 9 2 4" xfId="12781" xr:uid="{F5BC5401-07A3-4EB8-A6F4-93CE24271371}"/>
    <cellStyle name="Normal 4 4 9 3" xfId="6404" xr:uid="{00000000-0005-0000-0000-0000FF150000}"/>
    <cellStyle name="Normal 4 4 9 3 2" xfId="23295" xr:uid="{F8817BB8-FA56-44D7-B529-8F6925693818}"/>
    <cellStyle name="Normal 4 4 9 3 3" xfId="14854" xr:uid="{DC3B0335-E604-45A3-8358-A201E9E7F969}"/>
    <cellStyle name="Normal 4 4 9 4" xfId="19077" xr:uid="{E7C98969-DA91-4C28-8791-51C767DFDC94}"/>
    <cellStyle name="Normal 4 4 9 5" xfId="10636" xr:uid="{F0FAB5A7-EA76-40B0-8DC5-3A8BA8E8724E}"/>
    <cellStyle name="Normal 4 5" xfId="394" xr:uid="{00000000-0005-0000-0000-000000160000}"/>
    <cellStyle name="Normal 4 5 2" xfId="25670" xr:uid="{7E8F33A7-A38E-4DF4-8DEB-B5035384E27F}"/>
    <cellStyle name="Normal 4 6" xfId="395" xr:uid="{00000000-0005-0000-0000-000001160000}"/>
    <cellStyle name="Normal 4 6 10" xfId="4768" xr:uid="{00000000-0005-0000-0000-000002160000}"/>
    <cellStyle name="Normal 4 6 10 2" xfId="21659" xr:uid="{28DCD2D7-4A0B-40E3-9913-7C3CC5D040AB}"/>
    <cellStyle name="Normal 4 6 10 3" xfId="13218" xr:uid="{89B5D319-F1A6-401A-B91D-D130568980A7}"/>
    <cellStyle name="Normal 4 6 11" xfId="17441" xr:uid="{5ACD6C2D-7C5B-4ADE-BF00-20617CE13405}"/>
    <cellStyle name="Normal 4 6 12" xfId="9000" xr:uid="{2DE8D63F-ED4D-4BFB-89D4-5B2D9E09066E}"/>
    <cellStyle name="Normal 4 6 13" xfId="25816" xr:uid="{6D73BEE2-1499-4015-8850-AAD75190C2C8}"/>
    <cellStyle name="Normal 4 6 2" xfId="396" xr:uid="{00000000-0005-0000-0000-000003160000}"/>
    <cellStyle name="Normal 4 6 2 10" xfId="17442" xr:uid="{59A7D5DD-5461-46C7-A232-5350688F8910}"/>
    <cellStyle name="Normal 4 6 2 11" xfId="9001" xr:uid="{FF137762-BDAA-402E-BB92-D2751055441E}"/>
    <cellStyle name="Normal 4 6 2 2" xfId="397" xr:uid="{00000000-0005-0000-0000-000004160000}"/>
    <cellStyle name="Normal 4 6 2 2 10" xfId="9002" xr:uid="{172E55D9-9A2C-41C2-A375-026961F1EAC1}"/>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24220" xr:uid="{3041691C-A6A0-420B-BF92-5CF19571A6FA}"/>
    <cellStyle name="Normal 4 6 2 2 2 2 2 2 3" xfId="15779" xr:uid="{88FBE364-7ED7-4421-8D8A-BA6D9EF63770}"/>
    <cellStyle name="Normal 4 6 2 2 2 2 2 3" xfId="20002" xr:uid="{58A14D77-AF66-4B1D-8E1E-A6B6183D6CF3}"/>
    <cellStyle name="Normal 4 6 2 2 2 2 2 4" xfId="11561" xr:uid="{D3D3FE7B-4E92-42AE-A505-BCB868EBED13}"/>
    <cellStyle name="Normal 4 6 2 2 2 2 3" xfId="5184" xr:uid="{00000000-0005-0000-0000-000009160000}"/>
    <cellStyle name="Normal 4 6 2 2 2 2 3 2" xfId="22075" xr:uid="{1C15CB19-3B00-4788-B876-B5C647FB6FEA}"/>
    <cellStyle name="Normal 4 6 2 2 2 2 3 3" xfId="13634" xr:uid="{5916388D-E1F9-4F7E-A458-794A61CBD0D2}"/>
    <cellStyle name="Normal 4 6 2 2 2 2 4" xfId="17857" xr:uid="{28DF24B8-B18E-416A-ABC5-67B6B8388AD6}"/>
    <cellStyle name="Normal 4 6 2 2 2 2 5" xfId="9416" xr:uid="{37C10B7D-8D18-4BDA-9984-20A2CD805CE3}"/>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24633" xr:uid="{F9A8E70F-31A7-4715-BB13-24C79214AF40}"/>
    <cellStyle name="Normal 4 6 2 2 2 3 2 2 3" xfId="16192" xr:uid="{643EA913-1F0C-4FB1-9B92-21A8CF3D5DB8}"/>
    <cellStyle name="Normal 4 6 2 2 2 3 2 3" xfId="20415" xr:uid="{CB6CFD08-EADE-4C84-832A-735AADA8A343}"/>
    <cellStyle name="Normal 4 6 2 2 2 3 2 4" xfId="11974" xr:uid="{71C1D42B-1DD2-497A-9573-3ED779B7F44B}"/>
    <cellStyle name="Normal 4 6 2 2 2 3 3" xfId="5597" xr:uid="{00000000-0005-0000-0000-00000D160000}"/>
    <cellStyle name="Normal 4 6 2 2 2 3 3 2" xfId="22488" xr:uid="{04C9BDC2-DDF6-4E1E-B2DE-A05AC36094C5}"/>
    <cellStyle name="Normal 4 6 2 2 2 3 3 3" xfId="14047" xr:uid="{58D42F46-D67F-42FC-946A-1FA750893DEB}"/>
    <cellStyle name="Normal 4 6 2 2 2 3 4" xfId="18270" xr:uid="{D0CE0B0C-5F56-45FF-9BE2-3CCD8EEE488F}"/>
    <cellStyle name="Normal 4 6 2 2 2 3 5" xfId="9829" xr:uid="{9A86D113-EDFE-44CE-B09A-967C2E66A021}"/>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25046" xr:uid="{243FAAEB-504B-456C-AD02-8C9E24382FC4}"/>
    <cellStyle name="Normal 4 6 2 2 2 4 2 2 3" xfId="16605" xr:uid="{0D7B379C-F03E-473D-B00C-60DFA1B1924D}"/>
    <cellStyle name="Normal 4 6 2 2 2 4 2 3" xfId="20828" xr:uid="{315DA443-5BF4-44BE-B39C-433F991F2990}"/>
    <cellStyle name="Normal 4 6 2 2 2 4 2 4" xfId="12387" xr:uid="{FAAFAA10-C66A-439C-8B0D-E157A265099E}"/>
    <cellStyle name="Normal 4 6 2 2 2 4 3" xfId="6010" xr:uid="{00000000-0005-0000-0000-000011160000}"/>
    <cellStyle name="Normal 4 6 2 2 2 4 3 2" xfId="22901" xr:uid="{5990DF16-9F80-4789-95E2-6D3F4A3002F6}"/>
    <cellStyle name="Normal 4 6 2 2 2 4 3 3" xfId="14460" xr:uid="{7E379A81-9A78-4C6E-9915-F0664DCDEA37}"/>
    <cellStyle name="Normal 4 6 2 2 2 4 4" xfId="18683" xr:uid="{9B616A48-6DB9-405A-882F-176F1A0FE1ED}"/>
    <cellStyle name="Normal 4 6 2 2 2 4 5" xfId="10242" xr:uid="{4AE669DD-5DD4-43E1-B7CD-3A91DE33562C}"/>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25459" xr:uid="{863E587D-5107-4A9B-94F7-36618E259887}"/>
    <cellStyle name="Normal 4 6 2 2 2 5 2 2 3" xfId="17018" xr:uid="{3FA6CBF7-E8F7-424B-808F-C4E9E40FDB75}"/>
    <cellStyle name="Normal 4 6 2 2 2 5 2 3" xfId="21241" xr:uid="{59134FB3-1BC1-4680-8F50-2B302FD2AAD5}"/>
    <cellStyle name="Normal 4 6 2 2 2 5 2 4" xfId="12800" xr:uid="{9A42E9C4-E0F7-40C9-9AD8-384744AE28BB}"/>
    <cellStyle name="Normal 4 6 2 2 2 5 3" xfId="6423" xr:uid="{00000000-0005-0000-0000-000015160000}"/>
    <cellStyle name="Normal 4 6 2 2 2 5 3 2" xfId="23314" xr:uid="{0326AC14-C4BC-42D6-9449-1874A4EA0612}"/>
    <cellStyle name="Normal 4 6 2 2 2 5 3 3" xfId="14873" xr:uid="{FC3963DF-A27D-4C8B-8020-0D081D3EFCC6}"/>
    <cellStyle name="Normal 4 6 2 2 2 5 4" xfId="19096" xr:uid="{B70C6436-2CDA-41EA-8626-3910DBCDB3FA}"/>
    <cellStyle name="Normal 4 6 2 2 2 5 5" xfId="10655" xr:uid="{882340BB-C99F-4966-BF14-2698497D419F}"/>
    <cellStyle name="Normal 4 6 2 2 2 6" xfId="2553" xr:uid="{00000000-0005-0000-0000-000016160000}"/>
    <cellStyle name="Normal 4 6 2 2 2 6 2" xfId="6836" xr:uid="{00000000-0005-0000-0000-000017160000}"/>
    <cellStyle name="Normal 4 6 2 2 2 6 2 2" xfId="23727" xr:uid="{571E763A-6E17-4CD2-846C-B3D0753D856E}"/>
    <cellStyle name="Normal 4 6 2 2 2 6 2 3" xfId="15286" xr:uid="{AD51FFBD-1E6D-4474-BB11-86FD733F12FD}"/>
    <cellStyle name="Normal 4 6 2 2 2 6 3" xfId="19509" xr:uid="{EFE08F79-C2D6-4A97-B4E9-00268570324E}"/>
    <cellStyle name="Normal 4 6 2 2 2 6 4" xfId="11068" xr:uid="{8569CC99-8D1D-4608-9C02-B4F8FDB504E5}"/>
    <cellStyle name="Normal 4 6 2 2 2 7" xfId="4771" xr:uid="{00000000-0005-0000-0000-000018160000}"/>
    <cellStyle name="Normal 4 6 2 2 2 7 2" xfId="21662" xr:uid="{7D81FE65-851F-4BE8-91D3-882DAC026AD2}"/>
    <cellStyle name="Normal 4 6 2 2 2 7 3" xfId="13221" xr:uid="{C2244C22-AAD5-480E-87F7-94DDF51062F8}"/>
    <cellStyle name="Normal 4 6 2 2 2 8" xfId="17444" xr:uid="{7BC6B27A-9859-4107-9B91-5F0A378EE513}"/>
    <cellStyle name="Normal 4 6 2 2 2 9" xfId="9003" xr:uid="{BBC160EB-CEC8-411D-851E-E21C1BD33710}"/>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24219" xr:uid="{3AEA7A2D-BBA2-4B61-BDEB-1AB7D50C4FAC}"/>
    <cellStyle name="Normal 4 6 2 2 3 2 2 3" xfId="15778" xr:uid="{51E9D110-A2AE-4A55-8502-4D721E32B216}"/>
    <cellStyle name="Normal 4 6 2 2 3 2 3" xfId="20001" xr:uid="{D0418439-B4F6-47F5-8059-8867180678CE}"/>
    <cellStyle name="Normal 4 6 2 2 3 2 4" xfId="11560" xr:uid="{BC5085FF-355A-403A-BAA6-4A53C569EDD2}"/>
    <cellStyle name="Normal 4 6 2 2 3 3" xfId="5183" xr:uid="{00000000-0005-0000-0000-00001C160000}"/>
    <cellStyle name="Normal 4 6 2 2 3 3 2" xfId="22074" xr:uid="{C5E66A18-8398-4C22-BB5F-8141C8B82FD7}"/>
    <cellStyle name="Normal 4 6 2 2 3 3 3" xfId="13633" xr:uid="{D274FDC1-92D9-47F8-851F-DD6E8DC7AC39}"/>
    <cellStyle name="Normal 4 6 2 2 3 4" xfId="17856" xr:uid="{F5D5696F-1D23-43C8-A3D8-28774CE20E7F}"/>
    <cellStyle name="Normal 4 6 2 2 3 5" xfId="9415" xr:uid="{11AC13D6-8DF6-4B4B-8147-30158A168D4E}"/>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24632" xr:uid="{B5C129C2-6D44-4EBD-8B2C-865B28CD7E14}"/>
    <cellStyle name="Normal 4 6 2 2 4 2 2 3" xfId="16191" xr:uid="{226E2DAA-C81A-4119-A302-C33997369703}"/>
    <cellStyle name="Normal 4 6 2 2 4 2 3" xfId="20414" xr:uid="{AC99426D-46F2-4FAD-B0D6-41BE0B5C08D7}"/>
    <cellStyle name="Normal 4 6 2 2 4 2 4" xfId="11973" xr:uid="{73F3FB81-4429-4772-9BBB-924222D66306}"/>
    <cellStyle name="Normal 4 6 2 2 4 3" xfId="5596" xr:uid="{00000000-0005-0000-0000-000020160000}"/>
    <cellStyle name="Normal 4 6 2 2 4 3 2" xfId="22487" xr:uid="{92BA2E93-E9B4-479A-A255-9A392CB32DB2}"/>
    <cellStyle name="Normal 4 6 2 2 4 3 3" xfId="14046" xr:uid="{6CCB89D2-6399-41DD-AF61-30485C26DE4D}"/>
    <cellStyle name="Normal 4 6 2 2 4 4" xfId="18269" xr:uid="{93717D89-8159-4392-9A83-81FDF8B400BD}"/>
    <cellStyle name="Normal 4 6 2 2 4 5" xfId="9828" xr:uid="{0B41A35B-E81D-44F7-BACB-4E78AA74A03E}"/>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25045" xr:uid="{932873F9-8492-44B0-92BB-243252EC35FA}"/>
    <cellStyle name="Normal 4 6 2 2 5 2 2 3" xfId="16604" xr:uid="{758F771F-5AFC-41E0-ACB7-B9F0A7756A00}"/>
    <cellStyle name="Normal 4 6 2 2 5 2 3" xfId="20827" xr:uid="{94F96765-39E6-4998-9928-9FC90E672581}"/>
    <cellStyle name="Normal 4 6 2 2 5 2 4" xfId="12386" xr:uid="{0161B9E1-A7B5-4639-BBE7-79323DAE856A}"/>
    <cellStyle name="Normal 4 6 2 2 5 3" xfId="6009" xr:uid="{00000000-0005-0000-0000-000024160000}"/>
    <cellStyle name="Normal 4 6 2 2 5 3 2" xfId="22900" xr:uid="{D5E1D7EB-E890-4D46-AA77-6666AEA40109}"/>
    <cellStyle name="Normal 4 6 2 2 5 3 3" xfId="14459" xr:uid="{3292725F-4FA2-4F99-8B29-483A4D525D54}"/>
    <cellStyle name="Normal 4 6 2 2 5 4" xfId="18682" xr:uid="{D7021534-9602-4582-90BB-D100EFAA41AE}"/>
    <cellStyle name="Normal 4 6 2 2 5 5" xfId="10241" xr:uid="{265DE2A2-E34A-48B4-9505-1C5F2CD46C3A}"/>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25458" xr:uid="{A014F41E-939D-4097-979C-9F5E801464C9}"/>
    <cellStyle name="Normal 4 6 2 2 6 2 2 3" xfId="17017" xr:uid="{80361BDA-A935-470B-A183-78245302D415}"/>
    <cellStyle name="Normal 4 6 2 2 6 2 3" xfId="21240" xr:uid="{BCD09739-D070-42D9-8EBA-3A0E674E65DE}"/>
    <cellStyle name="Normal 4 6 2 2 6 2 4" xfId="12799" xr:uid="{56AA2E40-6E5A-4485-A63A-C62E1A23C4A7}"/>
    <cellStyle name="Normal 4 6 2 2 6 3" xfId="6422" xr:uid="{00000000-0005-0000-0000-000028160000}"/>
    <cellStyle name="Normal 4 6 2 2 6 3 2" xfId="23313" xr:uid="{CB7CC5EB-7E96-4242-8EDC-BD2DE9D9833E}"/>
    <cellStyle name="Normal 4 6 2 2 6 3 3" xfId="14872" xr:uid="{967678E5-BC1D-482E-A596-A416D981F0E1}"/>
    <cellStyle name="Normal 4 6 2 2 6 4" xfId="19095" xr:uid="{ACA2E06A-B541-4DBB-B6C8-B2093DA53FAB}"/>
    <cellStyle name="Normal 4 6 2 2 6 5" xfId="10654" xr:uid="{63FAD2A9-AC0A-40E5-92AF-D485A2A8DBB2}"/>
    <cellStyle name="Normal 4 6 2 2 7" xfId="2552" xr:uid="{00000000-0005-0000-0000-000029160000}"/>
    <cellStyle name="Normal 4 6 2 2 7 2" xfId="6835" xr:uid="{00000000-0005-0000-0000-00002A160000}"/>
    <cellStyle name="Normal 4 6 2 2 7 2 2" xfId="23726" xr:uid="{4F95AC24-72D8-4A3D-A292-17C24982A034}"/>
    <cellStyle name="Normal 4 6 2 2 7 2 3" xfId="15285" xr:uid="{33AEC49F-7A83-44E5-B7FB-DB9E0EAC44D4}"/>
    <cellStyle name="Normal 4 6 2 2 7 3" xfId="19508" xr:uid="{F85A7275-1C89-4154-AD22-0EA1DC1E333F}"/>
    <cellStyle name="Normal 4 6 2 2 7 4" xfId="11067" xr:uid="{7816EBE6-3C81-4443-BD02-EC15C1350F75}"/>
    <cellStyle name="Normal 4 6 2 2 8" xfId="4770" xr:uid="{00000000-0005-0000-0000-00002B160000}"/>
    <cellStyle name="Normal 4 6 2 2 8 2" xfId="21661" xr:uid="{839DC635-38C3-4042-A70F-0085FA42E074}"/>
    <cellStyle name="Normal 4 6 2 2 8 3" xfId="13220" xr:uid="{BC24D46C-9477-43FF-9C45-9B68FBE51873}"/>
    <cellStyle name="Normal 4 6 2 2 9" xfId="17443" xr:uid="{110C5C95-68D7-4826-A670-F8B587840438}"/>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24221" xr:uid="{00E24571-B60E-4FB8-AA00-DF025520FB63}"/>
    <cellStyle name="Normal 4 6 2 3 2 2 2 3" xfId="15780" xr:uid="{352F6E72-E093-4695-8F0A-DA825677C590}"/>
    <cellStyle name="Normal 4 6 2 3 2 2 3" xfId="20003" xr:uid="{484D7ED8-C997-43A9-97DC-F978E4BC0952}"/>
    <cellStyle name="Normal 4 6 2 3 2 2 4" xfId="11562" xr:uid="{82E7CB35-67C9-4656-9FED-2F0CAC14BEDA}"/>
    <cellStyle name="Normal 4 6 2 3 2 3" xfId="5185" xr:uid="{00000000-0005-0000-0000-000030160000}"/>
    <cellStyle name="Normal 4 6 2 3 2 3 2" xfId="22076" xr:uid="{85E6FBC8-7FBB-49E8-A01F-9FC2C86856EC}"/>
    <cellStyle name="Normal 4 6 2 3 2 3 3" xfId="13635" xr:uid="{452F55D9-D111-4345-AA6D-ED43019E5D92}"/>
    <cellStyle name="Normal 4 6 2 3 2 4" xfId="17858" xr:uid="{E130D1BA-F078-490F-BFA4-FED4D6580179}"/>
    <cellStyle name="Normal 4 6 2 3 2 5" xfId="9417" xr:uid="{B3754933-EFA9-4334-A4B8-79908403FEEF}"/>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24634" xr:uid="{495F22B7-7194-4473-B437-6EF5DED19D85}"/>
    <cellStyle name="Normal 4 6 2 3 3 2 2 3" xfId="16193" xr:uid="{AB2BFD05-5C04-4536-9EA8-563A71526562}"/>
    <cellStyle name="Normal 4 6 2 3 3 2 3" xfId="20416" xr:uid="{0BE6D187-3AC9-48B0-846F-3067B6170194}"/>
    <cellStyle name="Normal 4 6 2 3 3 2 4" xfId="11975" xr:uid="{F6CB7AF2-8751-4DF7-BD2C-CC7D924520E6}"/>
    <cellStyle name="Normal 4 6 2 3 3 3" xfId="5598" xr:uid="{00000000-0005-0000-0000-000034160000}"/>
    <cellStyle name="Normal 4 6 2 3 3 3 2" xfId="22489" xr:uid="{3C3A63FC-9A5E-4A1C-8F6E-48E20501C701}"/>
    <cellStyle name="Normal 4 6 2 3 3 3 3" xfId="14048" xr:uid="{71D1BDDE-8641-4E26-9583-EE5CF2AA57C0}"/>
    <cellStyle name="Normal 4 6 2 3 3 4" xfId="18271" xr:uid="{69C695F6-268A-4896-9B3F-FCE1E5F06D44}"/>
    <cellStyle name="Normal 4 6 2 3 3 5" xfId="9830" xr:uid="{653DBC76-3630-4A77-BA44-4942A3F63DEC}"/>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25047" xr:uid="{582868FD-3C90-4216-A45A-6BB1D7835F43}"/>
    <cellStyle name="Normal 4 6 2 3 4 2 2 3" xfId="16606" xr:uid="{FE3A706D-2413-4E64-BF9B-9722D6311A3F}"/>
    <cellStyle name="Normal 4 6 2 3 4 2 3" xfId="20829" xr:uid="{A8A762A4-8FCC-4C38-BE68-0D11E3E49D0D}"/>
    <cellStyle name="Normal 4 6 2 3 4 2 4" xfId="12388" xr:uid="{F4F62EBB-8388-4E60-BDD1-3C933E91625A}"/>
    <cellStyle name="Normal 4 6 2 3 4 3" xfId="6011" xr:uid="{00000000-0005-0000-0000-000038160000}"/>
    <cellStyle name="Normal 4 6 2 3 4 3 2" xfId="22902" xr:uid="{CDB483E1-4739-4A4B-9A59-EAE3369BF9D2}"/>
    <cellStyle name="Normal 4 6 2 3 4 3 3" xfId="14461" xr:uid="{E5509CA3-1B8B-4ED7-A8FF-E7F0D71B1DF1}"/>
    <cellStyle name="Normal 4 6 2 3 4 4" xfId="18684" xr:uid="{CF4BF3A4-4EB8-4056-9900-9A6E11913CC3}"/>
    <cellStyle name="Normal 4 6 2 3 4 5" xfId="10243" xr:uid="{4780BB95-AE1B-48BE-ABEF-0052AF06D788}"/>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25460" xr:uid="{F2EFCBF2-294B-49BC-8E2B-E9B4A5FEE053}"/>
    <cellStyle name="Normal 4 6 2 3 5 2 2 3" xfId="17019" xr:uid="{1517DDAE-4B45-45E5-8C4D-46FA91D0CCE8}"/>
    <cellStyle name="Normal 4 6 2 3 5 2 3" xfId="21242" xr:uid="{B33F58B1-359E-48CB-84C8-5E93136767FE}"/>
    <cellStyle name="Normal 4 6 2 3 5 2 4" xfId="12801" xr:uid="{1E2CE2DF-D9F7-4245-A382-3C11AEEAF27D}"/>
    <cellStyle name="Normal 4 6 2 3 5 3" xfId="6424" xr:uid="{00000000-0005-0000-0000-00003C160000}"/>
    <cellStyle name="Normal 4 6 2 3 5 3 2" xfId="23315" xr:uid="{879909D9-DEAA-4BEC-BCBD-5F4BF4CF6FAB}"/>
    <cellStyle name="Normal 4 6 2 3 5 3 3" xfId="14874" xr:uid="{A9C19D2D-DFF2-411F-A83D-7698950E8B92}"/>
    <cellStyle name="Normal 4 6 2 3 5 4" xfId="19097" xr:uid="{64D67A32-C5AA-4DA0-9584-41CC8F5100C9}"/>
    <cellStyle name="Normal 4 6 2 3 5 5" xfId="10656" xr:uid="{BFF5DD08-F2CD-4F5E-A6CF-06EA0C464E84}"/>
    <cellStyle name="Normal 4 6 2 3 6" xfId="2554" xr:uid="{00000000-0005-0000-0000-00003D160000}"/>
    <cellStyle name="Normal 4 6 2 3 6 2" xfId="6837" xr:uid="{00000000-0005-0000-0000-00003E160000}"/>
    <cellStyle name="Normal 4 6 2 3 6 2 2" xfId="23728" xr:uid="{8506602E-6929-4F6E-9A10-2379A42B0B04}"/>
    <cellStyle name="Normal 4 6 2 3 6 2 3" xfId="15287" xr:uid="{6CF130E8-3FE1-4522-820C-0D9E4A6732E0}"/>
    <cellStyle name="Normal 4 6 2 3 6 3" xfId="19510" xr:uid="{CAFDD340-360E-47F9-8E57-61C747A88328}"/>
    <cellStyle name="Normal 4 6 2 3 6 4" xfId="11069" xr:uid="{65940C27-F09F-4968-8F01-3B0FF5BB2237}"/>
    <cellStyle name="Normal 4 6 2 3 7" xfId="4772" xr:uid="{00000000-0005-0000-0000-00003F160000}"/>
    <cellStyle name="Normal 4 6 2 3 7 2" xfId="21663" xr:uid="{3E567C12-A9EF-4A66-A5A1-CB5A6C334320}"/>
    <cellStyle name="Normal 4 6 2 3 7 3" xfId="13222" xr:uid="{5B16EF56-94DD-4577-A5FD-1F8B4B0FC05A}"/>
    <cellStyle name="Normal 4 6 2 3 8" xfId="17445" xr:uid="{D50F9B61-A788-4632-9D67-C845AA4F5915}"/>
    <cellStyle name="Normal 4 6 2 3 9" xfId="9004" xr:uid="{67FC8988-CD43-49FB-88D3-90E88A7D2018}"/>
    <cellStyle name="Normal 4 6 2 4" xfId="870" xr:uid="{00000000-0005-0000-0000-000040160000}"/>
    <cellStyle name="Normal 4 6 2 4 2" xfId="3105" xr:uid="{00000000-0005-0000-0000-000041160000}"/>
    <cellStyle name="Normal 4 6 2 4 2 2" xfId="7327" xr:uid="{00000000-0005-0000-0000-000042160000}"/>
    <cellStyle name="Normal 4 6 2 4 2 2 2" xfId="24218" xr:uid="{06F6CC54-98AA-47D1-8E2F-E822EA15DE38}"/>
    <cellStyle name="Normal 4 6 2 4 2 2 3" xfId="15777" xr:uid="{9F5D4251-C08E-4488-9B3A-8AAC2A9B1237}"/>
    <cellStyle name="Normal 4 6 2 4 2 3" xfId="20000" xr:uid="{87E458C9-E7EE-4ED4-93A6-F261D37AA5C1}"/>
    <cellStyle name="Normal 4 6 2 4 2 4" xfId="11559" xr:uid="{C41C2AF2-A40F-42DC-B9DE-D6AD368A78A2}"/>
    <cellStyle name="Normal 4 6 2 4 3" xfId="5182" xr:uid="{00000000-0005-0000-0000-000043160000}"/>
    <cellStyle name="Normal 4 6 2 4 3 2" xfId="22073" xr:uid="{A779ADE0-BD16-4942-B8F2-3201C0C059D9}"/>
    <cellStyle name="Normal 4 6 2 4 3 3" xfId="13632" xr:uid="{00835297-5FDA-48AC-BBCE-FAEE10F67A7F}"/>
    <cellStyle name="Normal 4 6 2 4 4" xfId="17855" xr:uid="{086822C4-5C81-486D-B106-9F0B26CBE176}"/>
    <cellStyle name="Normal 4 6 2 4 5" xfId="9414" xr:uid="{F2FC9848-3B9C-4DF1-B7F2-1C9285298ECC}"/>
    <cellStyle name="Normal 4 6 2 5" xfId="1288" xr:uid="{00000000-0005-0000-0000-000044160000}"/>
    <cellStyle name="Normal 4 6 2 5 2" xfId="3518" xr:uid="{00000000-0005-0000-0000-000045160000}"/>
    <cellStyle name="Normal 4 6 2 5 2 2" xfId="7740" xr:uid="{00000000-0005-0000-0000-000046160000}"/>
    <cellStyle name="Normal 4 6 2 5 2 2 2" xfId="24631" xr:uid="{46E47E88-B591-4D04-BC42-9D122A0E1DB5}"/>
    <cellStyle name="Normal 4 6 2 5 2 2 3" xfId="16190" xr:uid="{8C48D990-3DF2-438D-A19E-ECE3F36EBA38}"/>
    <cellStyle name="Normal 4 6 2 5 2 3" xfId="20413" xr:uid="{130AFAC1-5DC4-4515-9E94-145A76DF83C8}"/>
    <cellStyle name="Normal 4 6 2 5 2 4" xfId="11972" xr:uid="{B0EB162C-D2E3-42BC-8C3D-BD7B9D4CB8F1}"/>
    <cellStyle name="Normal 4 6 2 5 3" xfId="5595" xr:uid="{00000000-0005-0000-0000-000047160000}"/>
    <cellStyle name="Normal 4 6 2 5 3 2" xfId="22486" xr:uid="{0F3DEC24-A7AE-4481-9F40-9CD028F6F31E}"/>
    <cellStyle name="Normal 4 6 2 5 3 3" xfId="14045" xr:uid="{F69E1C1E-FCDA-4C45-8DFF-B1267EB94E6F}"/>
    <cellStyle name="Normal 4 6 2 5 4" xfId="18268" xr:uid="{F1BF4AB5-942A-4C3F-86D6-615EC6EE725F}"/>
    <cellStyle name="Normal 4 6 2 5 5" xfId="9827" xr:uid="{DDF7DA5D-B88D-4A37-84A6-FEECA82A5019}"/>
    <cellStyle name="Normal 4 6 2 6" xfId="1701" xr:uid="{00000000-0005-0000-0000-000048160000}"/>
    <cellStyle name="Normal 4 6 2 6 2" xfId="3931" xr:uid="{00000000-0005-0000-0000-000049160000}"/>
    <cellStyle name="Normal 4 6 2 6 2 2" xfId="8153" xr:uid="{00000000-0005-0000-0000-00004A160000}"/>
    <cellStyle name="Normal 4 6 2 6 2 2 2" xfId="25044" xr:uid="{A3C1E838-F78D-4C00-954A-A3C9FA976604}"/>
    <cellStyle name="Normal 4 6 2 6 2 2 3" xfId="16603" xr:uid="{F6663100-9527-4F7B-8FAF-143F93813C0D}"/>
    <cellStyle name="Normal 4 6 2 6 2 3" xfId="20826" xr:uid="{CD1B6C25-9E2C-4F78-BB77-7918B47251CE}"/>
    <cellStyle name="Normal 4 6 2 6 2 4" xfId="12385" xr:uid="{044BE11F-CC54-454A-9A06-9946741C580B}"/>
    <cellStyle name="Normal 4 6 2 6 3" xfId="6008" xr:uid="{00000000-0005-0000-0000-00004B160000}"/>
    <cellStyle name="Normal 4 6 2 6 3 2" xfId="22899" xr:uid="{4B137A27-2C12-476E-A4BF-88038A944973}"/>
    <cellStyle name="Normal 4 6 2 6 3 3" xfId="14458" xr:uid="{20EFE4A9-16A5-4E85-9196-8A65E1774BE6}"/>
    <cellStyle name="Normal 4 6 2 6 4" xfId="18681" xr:uid="{CFDE484F-20C1-4053-B234-DF097309CDD9}"/>
    <cellStyle name="Normal 4 6 2 6 5" xfId="10240" xr:uid="{D2294B1B-CF97-4222-9EB0-A441ABBA9239}"/>
    <cellStyle name="Normal 4 6 2 7" xfId="2115" xr:uid="{00000000-0005-0000-0000-00004C160000}"/>
    <cellStyle name="Normal 4 6 2 7 2" xfId="4344" xr:uid="{00000000-0005-0000-0000-00004D160000}"/>
    <cellStyle name="Normal 4 6 2 7 2 2" xfId="8566" xr:uid="{00000000-0005-0000-0000-00004E160000}"/>
    <cellStyle name="Normal 4 6 2 7 2 2 2" xfId="25457" xr:uid="{0E8BDC63-9DA3-47FE-A88D-F32AD74DB3A7}"/>
    <cellStyle name="Normal 4 6 2 7 2 2 3" xfId="17016" xr:uid="{CE0260F9-0E95-4DBC-9960-99C2402EDD27}"/>
    <cellStyle name="Normal 4 6 2 7 2 3" xfId="21239" xr:uid="{B3251BA5-01EC-4165-B8ED-CAF7DB320C30}"/>
    <cellStyle name="Normal 4 6 2 7 2 4" xfId="12798" xr:uid="{D2A8ADED-2A7D-40F4-A2EE-40DB0BB20C75}"/>
    <cellStyle name="Normal 4 6 2 7 3" xfId="6421" xr:uid="{00000000-0005-0000-0000-00004F160000}"/>
    <cellStyle name="Normal 4 6 2 7 3 2" xfId="23312" xr:uid="{B98E9601-7B0B-44FC-87C2-E7E13E02415F}"/>
    <cellStyle name="Normal 4 6 2 7 3 3" xfId="14871" xr:uid="{2A2F1143-1F81-4D0E-ACC9-B72E9EA434AF}"/>
    <cellStyle name="Normal 4 6 2 7 4" xfId="19094" xr:uid="{2BB071C5-B464-4BBF-954A-F1132603DABF}"/>
    <cellStyle name="Normal 4 6 2 7 5" xfId="10653" xr:uid="{B8C01B33-8ECC-45A2-B388-9D18F71A629B}"/>
    <cellStyle name="Normal 4 6 2 8" xfId="2551" xr:uid="{00000000-0005-0000-0000-000050160000}"/>
    <cellStyle name="Normal 4 6 2 8 2" xfId="6834" xr:uid="{00000000-0005-0000-0000-000051160000}"/>
    <cellStyle name="Normal 4 6 2 8 2 2" xfId="23725" xr:uid="{DF2F9077-716B-496E-B5E8-5FE0A80087D2}"/>
    <cellStyle name="Normal 4 6 2 8 2 3" xfId="15284" xr:uid="{49DFCC37-9BCA-4154-8D09-A28BB125B71F}"/>
    <cellStyle name="Normal 4 6 2 8 3" xfId="19507" xr:uid="{6AF679B7-BC53-474D-B58C-3ABBD0145E25}"/>
    <cellStyle name="Normal 4 6 2 8 4" xfId="11066" xr:uid="{615BF99C-4EDB-40B0-8A83-D84BCB10E3B7}"/>
    <cellStyle name="Normal 4 6 2 9" xfId="4769" xr:uid="{00000000-0005-0000-0000-000052160000}"/>
    <cellStyle name="Normal 4 6 2 9 2" xfId="21660" xr:uid="{B3201F7B-ECAA-4115-BD60-C25DD60DBCE6}"/>
    <cellStyle name="Normal 4 6 2 9 3" xfId="13219" xr:uid="{6DC4A3E9-DD40-4B81-8A8D-213347250F83}"/>
    <cellStyle name="Normal 4 6 3" xfId="400" xr:uid="{00000000-0005-0000-0000-000053160000}"/>
    <cellStyle name="Normal 4 6 3 10" xfId="9005" xr:uid="{F0560CB6-E102-490E-A982-BBDF34D1B636}"/>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24223" xr:uid="{C61C3737-CC58-4477-A37B-1A52B61FEBED}"/>
    <cellStyle name="Normal 4 6 3 2 2 2 2 3" xfId="15782" xr:uid="{80839544-21B2-44EE-8F80-BDC9975F8088}"/>
    <cellStyle name="Normal 4 6 3 2 2 2 3" xfId="20005" xr:uid="{2DF8724D-6179-4A18-8949-2535AE5131B8}"/>
    <cellStyle name="Normal 4 6 3 2 2 2 4" xfId="11564" xr:uid="{E9F2CE64-7747-4E42-A8A5-E46A9B77E026}"/>
    <cellStyle name="Normal 4 6 3 2 2 3" xfId="5187" xr:uid="{00000000-0005-0000-0000-000058160000}"/>
    <cellStyle name="Normal 4 6 3 2 2 3 2" xfId="22078" xr:uid="{FD15952C-EB0A-4B7E-BBD2-335C0CA0AE9E}"/>
    <cellStyle name="Normal 4 6 3 2 2 3 3" xfId="13637" xr:uid="{CEF805EA-83B2-4709-827A-F9D4445145A2}"/>
    <cellStyle name="Normal 4 6 3 2 2 4" xfId="17860" xr:uid="{50284810-8D01-4E6D-A95F-6938321EE4DE}"/>
    <cellStyle name="Normal 4 6 3 2 2 5" xfId="9419" xr:uid="{E6F79C99-D9B9-4251-AC71-43AEDB9FC493}"/>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24636" xr:uid="{21711DA6-58EA-4D4B-87E6-E900FADB2C06}"/>
    <cellStyle name="Normal 4 6 3 2 3 2 2 3" xfId="16195" xr:uid="{8A06F406-0F53-4079-A3E1-D243271DFE25}"/>
    <cellStyle name="Normal 4 6 3 2 3 2 3" xfId="20418" xr:uid="{75229694-0DC0-4D45-94B3-4C0CEBF31BBC}"/>
    <cellStyle name="Normal 4 6 3 2 3 2 4" xfId="11977" xr:uid="{B3448352-3725-44DD-B826-1F6E0073F5F9}"/>
    <cellStyle name="Normal 4 6 3 2 3 3" xfId="5600" xr:uid="{00000000-0005-0000-0000-00005C160000}"/>
    <cellStyle name="Normal 4 6 3 2 3 3 2" xfId="22491" xr:uid="{407C353C-971B-40BD-8B87-FC85FF198EF6}"/>
    <cellStyle name="Normal 4 6 3 2 3 3 3" xfId="14050" xr:uid="{4DB32B39-FF7E-45ED-81D9-7CC1E8788E39}"/>
    <cellStyle name="Normal 4 6 3 2 3 4" xfId="18273" xr:uid="{AB586D13-997B-4D41-B77B-FDA09913BBC4}"/>
    <cellStyle name="Normal 4 6 3 2 3 5" xfId="9832" xr:uid="{8330FF55-03B9-4BC8-9B78-14C496CCBFB9}"/>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25049" xr:uid="{7972E91F-51E3-47CB-9F02-007571267D85}"/>
    <cellStyle name="Normal 4 6 3 2 4 2 2 3" xfId="16608" xr:uid="{DF1BD723-5C1B-440C-9781-FDD83C17EB13}"/>
    <cellStyle name="Normal 4 6 3 2 4 2 3" xfId="20831" xr:uid="{E81505FA-7448-49B6-84A9-9D4C386E2B47}"/>
    <cellStyle name="Normal 4 6 3 2 4 2 4" xfId="12390" xr:uid="{A310DB90-4141-411B-B86F-AD01A73E53BF}"/>
    <cellStyle name="Normal 4 6 3 2 4 3" xfId="6013" xr:uid="{00000000-0005-0000-0000-000060160000}"/>
    <cellStyle name="Normal 4 6 3 2 4 3 2" xfId="22904" xr:uid="{D922E172-8DDB-43BA-B301-6B29F5D23EE7}"/>
    <cellStyle name="Normal 4 6 3 2 4 3 3" xfId="14463" xr:uid="{15174022-F778-4118-BE88-FDC5255D832F}"/>
    <cellStyle name="Normal 4 6 3 2 4 4" xfId="18686" xr:uid="{70535BA4-F256-4EFB-A948-A71EA2B40585}"/>
    <cellStyle name="Normal 4 6 3 2 4 5" xfId="10245" xr:uid="{D3509E18-49D5-4967-ADFE-E18E887F76B6}"/>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25462" xr:uid="{0BA41FB2-9836-4353-B2CE-69447CA55B3C}"/>
    <cellStyle name="Normal 4 6 3 2 5 2 2 3" xfId="17021" xr:uid="{64A5E8D2-FFD1-41F2-98EA-3D5DE925F5EB}"/>
    <cellStyle name="Normal 4 6 3 2 5 2 3" xfId="21244" xr:uid="{0D791995-3196-419A-A234-33362FAB494B}"/>
    <cellStyle name="Normal 4 6 3 2 5 2 4" xfId="12803" xr:uid="{94AABE81-B95D-4BCA-AABA-6E12619636A5}"/>
    <cellStyle name="Normal 4 6 3 2 5 3" xfId="6426" xr:uid="{00000000-0005-0000-0000-000064160000}"/>
    <cellStyle name="Normal 4 6 3 2 5 3 2" xfId="23317" xr:uid="{24C01C11-C5BE-417C-81F9-B27AB72C08E8}"/>
    <cellStyle name="Normal 4 6 3 2 5 3 3" xfId="14876" xr:uid="{27014091-AF62-4623-AD10-9EC2BE10F5C3}"/>
    <cellStyle name="Normal 4 6 3 2 5 4" xfId="19099" xr:uid="{95FAF860-32B5-476D-A0D2-1E02A2302F5E}"/>
    <cellStyle name="Normal 4 6 3 2 5 5" xfId="10658" xr:uid="{A2E724E2-5246-4933-BB6D-3CF6B697551C}"/>
    <cellStyle name="Normal 4 6 3 2 6" xfId="2556" xr:uid="{00000000-0005-0000-0000-000065160000}"/>
    <cellStyle name="Normal 4 6 3 2 6 2" xfId="6839" xr:uid="{00000000-0005-0000-0000-000066160000}"/>
    <cellStyle name="Normal 4 6 3 2 6 2 2" xfId="23730" xr:uid="{4FC00C10-5F86-40B1-925A-747B7D80967F}"/>
    <cellStyle name="Normal 4 6 3 2 6 2 3" xfId="15289" xr:uid="{9B8E3011-AAD0-46F3-8583-CB6B7D19CD3F}"/>
    <cellStyle name="Normal 4 6 3 2 6 3" xfId="19512" xr:uid="{3F6A241C-5088-44C8-B05C-3C79304F1BC5}"/>
    <cellStyle name="Normal 4 6 3 2 6 4" xfId="11071" xr:uid="{5ACF36A8-A7B3-44F9-A333-49D9CBC46D26}"/>
    <cellStyle name="Normal 4 6 3 2 7" xfId="4774" xr:uid="{00000000-0005-0000-0000-000067160000}"/>
    <cellStyle name="Normal 4 6 3 2 7 2" xfId="21665" xr:uid="{DDD4585F-FAB0-43EE-8056-AAF98823A692}"/>
    <cellStyle name="Normal 4 6 3 2 7 3" xfId="13224" xr:uid="{819846DD-0497-4E4F-B861-BD27E8D3FBE2}"/>
    <cellStyle name="Normal 4 6 3 2 8" xfId="17447" xr:uid="{D2083159-AB53-4966-A8C8-F7E4A06D8278}"/>
    <cellStyle name="Normal 4 6 3 2 9" xfId="9006" xr:uid="{AA5900D3-C8BD-44F8-9563-2DB55B90CBAD}"/>
    <cellStyle name="Normal 4 6 3 3" xfId="874" xr:uid="{00000000-0005-0000-0000-000068160000}"/>
    <cellStyle name="Normal 4 6 3 3 2" xfId="3109" xr:uid="{00000000-0005-0000-0000-000069160000}"/>
    <cellStyle name="Normal 4 6 3 3 2 2" xfId="7331" xr:uid="{00000000-0005-0000-0000-00006A160000}"/>
    <cellStyle name="Normal 4 6 3 3 2 2 2" xfId="24222" xr:uid="{B94F0D06-CF7B-4769-A3F5-7951D46FDE94}"/>
    <cellStyle name="Normal 4 6 3 3 2 2 3" xfId="15781" xr:uid="{71DD88A5-42E7-48AC-BCB0-A2EA472D5A42}"/>
    <cellStyle name="Normal 4 6 3 3 2 3" xfId="20004" xr:uid="{3B2E7B4C-295C-43EB-8BB9-EC8F03FFDF0A}"/>
    <cellStyle name="Normal 4 6 3 3 2 4" xfId="11563" xr:uid="{8323124D-5D9C-45CA-BA76-32D9364D9EDF}"/>
    <cellStyle name="Normal 4 6 3 3 3" xfId="5186" xr:uid="{00000000-0005-0000-0000-00006B160000}"/>
    <cellStyle name="Normal 4 6 3 3 3 2" xfId="22077" xr:uid="{A5F8FB0A-C79C-4292-8C64-2D5E1693AE76}"/>
    <cellStyle name="Normal 4 6 3 3 3 3" xfId="13636" xr:uid="{8B090B94-6538-4B00-9622-A3EBDCD8D74E}"/>
    <cellStyle name="Normal 4 6 3 3 4" xfId="17859" xr:uid="{20A40B33-F4F1-4969-9A53-7C5598293223}"/>
    <cellStyle name="Normal 4 6 3 3 5" xfId="9418" xr:uid="{98B4FC6F-B8A4-46EF-9501-23006450A4FF}"/>
    <cellStyle name="Normal 4 6 3 4" xfId="1292" xr:uid="{00000000-0005-0000-0000-00006C160000}"/>
    <cellStyle name="Normal 4 6 3 4 2" xfId="3522" xr:uid="{00000000-0005-0000-0000-00006D160000}"/>
    <cellStyle name="Normal 4 6 3 4 2 2" xfId="7744" xr:uid="{00000000-0005-0000-0000-00006E160000}"/>
    <cellStyle name="Normal 4 6 3 4 2 2 2" xfId="24635" xr:uid="{456F1E78-D501-46F3-BE1A-89DEE6B67152}"/>
    <cellStyle name="Normal 4 6 3 4 2 2 3" xfId="16194" xr:uid="{4B8F7A19-D160-41F0-8A67-82C4423422F5}"/>
    <cellStyle name="Normal 4 6 3 4 2 3" xfId="20417" xr:uid="{6A0C42B4-1250-4ACD-8F8A-203D7DF3E266}"/>
    <cellStyle name="Normal 4 6 3 4 2 4" xfId="11976" xr:uid="{DD9DB5E6-011B-4437-A8C9-DF4ED8278174}"/>
    <cellStyle name="Normal 4 6 3 4 3" xfId="5599" xr:uid="{00000000-0005-0000-0000-00006F160000}"/>
    <cellStyle name="Normal 4 6 3 4 3 2" xfId="22490" xr:uid="{EB257B29-BCDE-4DBF-8FF3-E87899142D6C}"/>
    <cellStyle name="Normal 4 6 3 4 3 3" xfId="14049" xr:uid="{154D8D22-3526-47FC-AFAB-0DF483704C22}"/>
    <cellStyle name="Normal 4 6 3 4 4" xfId="18272" xr:uid="{166626FB-0FEF-4C88-BD2C-534D40F1A7FA}"/>
    <cellStyle name="Normal 4 6 3 4 5" xfId="9831" xr:uid="{A45B1222-BEBF-4D08-A3AF-DBAEE655BBFA}"/>
    <cellStyle name="Normal 4 6 3 5" xfId="1705" xr:uid="{00000000-0005-0000-0000-000070160000}"/>
    <cellStyle name="Normal 4 6 3 5 2" xfId="3935" xr:uid="{00000000-0005-0000-0000-000071160000}"/>
    <cellStyle name="Normal 4 6 3 5 2 2" xfId="8157" xr:uid="{00000000-0005-0000-0000-000072160000}"/>
    <cellStyle name="Normal 4 6 3 5 2 2 2" xfId="25048" xr:uid="{A40216F8-AA8F-42C5-BDCF-A60C66596A68}"/>
    <cellStyle name="Normal 4 6 3 5 2 2 3" xfId="16607" xr:uid="{3BE19A6B-5212-493D-8D72-A88C017E1BD5}"/>
    <cellStyle name="Normal 4 6 3 5 2 3" xfId="20830" xr:uid="{54EC2858-093E-45AD-AEEB-78B503173F73}"/>
    <cellStyle name="Normal 4 6 3 5 2 4" xfId="12389" xr:uid="{2D6551F8-A71E-4EFA-8A77-52C258464F59}"/>
    <cellStyle name="Normal 4 6 3 5 3" xfId="6012" xr:uid="{00000000-0005-0000-0000-000073160000}"/>
    <cellStyle name="Normal 4 6 3 5 3 2" xfId="22903" xr:uid="{7DCB80E2-B4FD-4DC7-A4B0-FF1BF55F7CFA}"/>
    <cellStyle name="Normal 4 6 3 5 3 3" xfId="14462" xr:uid="{C8229615-E2E4-4372-BB3C-F430A0C5DD24}"/>
    <cellStyle name="Normal 4 6 3 5 4" xfId="18685" xr:uid="{DC253185-5150-45F3-8327-007C07EF15F7}"/>
    <cellStyle name="Normal 4 6 3 5 5" xfId="10244" xr:uid="{25F06B4E-97A3-4F1F-A153-01B043D51A94}"/>
    <cellStyle name="Normal 4 6 3 6" xfId="2119" xr:uid="{00000000-0005-0000-0000-000074160000}"/>
    <cellStyle name="Normal 4 6 3 6 2" xfId="4348" xr:uid="{00000000-0005-0000-0000-000075160000}"/>
    <cellStyle name="Normal 4 6 3 6 2 2" xfId="8570" xr:uid="{00000000-0005-0000-0000-000076160000}"/>
    <cellStyle name="Normal 4 6 3 6 2 2 2" xfId="25461" xr:uid="{339EF1B6-50C2-4A2D-9CDC-150C9AD62EAF}"/>
    <cellStyle name="Normal 4 6 3 6 2 2 3" xfId="17020" xr:uid="{527734C3-311F-44D7-BB1E-6528D0AE8E11}"/>
    <cellStyle name="Normal 4 6 3 6 2 3" xfId="21243" xr:uid="{7072840F-C4E9-46C8-A597-A1693DB9686B}"/>
    <cellStyle name="Normal 4 6 3 6 2 4" xfId="12802" xr:uid="{19A40FB8-241C-4EF5-8386-EE16931518CD}"/>
    <cellStyle name="Normal 4 6 3 6 3" xfId="6425" xr:uid="{00000000-0005-0000-0000-000077160000}"/>
    <cellStyle name="Normal 4 6 3 6 3 2" xfId="23316" xr:uid="{5960D0B2-0A0B-4A55-9946-72E80B57019F}"/>
    <cellStyle name="Normal 4 6 3 6 3 3" xfId="14875" xr:uid="{39980C0E-B5E0-49C1-B900-BC7972E9448B}"/>
    <cellStyle name="Normal 4 6 3 6 4" xfId="19098" xr:uid="{6AF9EF59-5C48-43FA-86BD-6C8B21760D90}"/>
    <cellStyle name="Normal 4 6 3 6 5" xfId="10657" xr:uid="{A527E6B2-F515-49D1-A1E8-DB2D273B6660}"/>
    <cellStyle name="Normal 4 6 3 7" xfId="2555" xr:uid="{00000000-0005-0000-0000-000078160000}"/>
    <cellStyle name="Normal 4 6 3 7 2" xfId="6838" xr:uid="{00000000-0005-0000-0000-000079160000}"/>
    <cellStyle name="Normal 4 6 3 7 2 2" xfId="23729" xr:uid="{588C55C3-B729-420B-B5DB-C79A15653E0F}"/>
    <cellStyle name="Normal 4 6 3 7 2 3" xfId="15288" xr:uid="{718AE27B-7B0E-4561-9842-4F0869BC87CB}"/>
    <cellStyle name="Normal 4 6 3 7 3" xfId="19511" xr:uid="{92F996E7-6A20-488E-AC52-0EC6B86A0ED6}"/>
    <cellStyle name="Normal 4 6 3 7 4" xfId="11070" xr:uid="{3162E4A9-3135-4A50-90FF-A443ECF41238}"/>
    <cellStyle name="Normal 4 6 3 8" xfId="4773" xr:uid="{00000000-0005-0000-0000-00007A160000}"/>
    <cellStyle name="Normal 4 6 3 8 2" xfId="21664" xr:uid="{859D04F2-E1BF-4370-B140-47F1896BCB07}"/>
    <cellStyle name="Normal 4 6 3 8 3" xfId="13223" xr:uid="{15BB721E-692C-4F99-8673-A8D3F7507198}"/>
    <cellStyle name="Normal 4 6 3 9" xfId="17446" xr:uid="{0615E0D7-93A2-4B6A-94FE-CC9A31BF7974}"/>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2 2 2" xfId="24224" xr:uid="{4DA4F6A6-1709-4B18-9061-724CBC1CC255}"/>
    <cellStyle name="Normal 4 6 4 2 2 2 3" xfId="15783" xr:uid="{53AEBA1F-EE07-44C5-B271-158DAD161000}"/>
    <cellStyle name="Normal 4 6 4 2 2 3" xfId="20006" xr:uid="{ECCEA6D5-2FB5-4B90-BCC2-5FE47BE51D3D}"/>
    <cellStyle name="Normal 4 6 4 2 2 4" xfId="11565" xr:uid="{5724ACD4-FB96-4E23-B8CB-1A4858841FEF}"/>
    <cellStyle name="Normal 4 6 4 2 3" xfId="5188" xr:uid="{00000000-0005-0000-0000-00007F160000}"/>
    <cellStyle name="Normal 4 6 4 2 3 2" xfId="22079" xr:uid="{C4E988DE-1343-4157-B926-55293ED5B0F9}"/>
    <cellStyle name="Normal 4 6 4 2 3 3" xfId="13638" xr:uid="{7226CD7D-2DBE-4A1B-A517-E72154F84794}"/>
    <cellStyle name="Normal 4 6 4 2 4" xfId="17861" xr:uid="{3EF5BB3A-53E9-4341-9BCC-01B896FFB7F0}"/>
    <cellStyle name="Normal 4 6 4 2 5" xfId="9420" xr:uid="{E3934E8C-C666-4606-A73D-DD5813158491}"/>
    <cellStyle name="Normal 4 6 4 3" xfId="1294" xr:uid="{00000000-0005-0000-0000-000080160000}"/>
    <cellStyle name="Normal 4 6 4 3 2" xfId="3524" xr:uid="{00000000-0005-0000-0000-000081160000}"/>
    <cellStyle name="Normal 4 6 4 3 2 2" xfId="7746" xr:uid="{00000000-0005-0000-0000-000082160000}"/>
    <cellStyle name="Normal 4 6 4 3 2 2 2" xfId="24637" xr:uid="{85A0CF06-4FAD-4AA8-B23F-870F1F98954B}"/>
    <cellStyle name="Normal 4 6 4 3 2 2 3" xfId="16196" xr:uid="{74BEA8CE-F91D-44A8-9132-EC6FD8508343}"/>
    <cellStyle name="Normal 4 6 4 3 2 3" xfId="20419" xr:uid="{508F2679-9737-4EEC-A8A5-052A3F5961FE}"/>
    <cellStyle name="Normal 4 6 4 3 2 4" xfId="11978" xr:uid="{AADF9F28-DDBF-4DAD-8F4E-E21FF3DDBBAF}"/>
    <cellStyle name="Normal 4 6 4 3 3" xfId="5601" xr:uid="{00000000-0005-0000-0000-000083160000}"/>
    <cellStyle name="Normal 4 6 4 3 3 2" xfId="22492" xr:uid="{B439E714-3416-4EA1-8465-10EDAED908C9}"/>
    <cellStyle name="Normal 4 6 4 3 3 3" xfId="14051" xr:uid="{5B7D439D-90BE-45E4-86A8-C431B7DE345F}"/>
    <cellStyle name="Normal 4 6 4 3 4" xfId="18274" xr:uid="{637E977F-E479-457B-ABCD-93280CEAF10F}"/>
    <cellStyle name="Normal 4 6 4 3 5" xfId="9833" xr:uid="{B3802B70-6FA2-46C3-B35D-3182AFDEF641}"/>
    <cellStyle name="Normal 4 6 4 4" xfId="1707" xr:uid="{00000000-0005-0000-0000-000084160000}"/>
    <cellStyle name="Normal 4 6 4 4 2" xfId="3937" xr:uid="{00000000-0005-0000-0000-000085160000}"/>
    <cellStyle name="Normal 4 6 4 4 2 2" xfId="8159" xr:uid="{00000000-0005-0000-0000-000086160000}"/>
    <cellStyle name="Normal 4 6 4 4 2 2 2" xfId="25050" xr:uid="{8153E63B-4AAB-4959-9DF5-8C96174AED53}"/>
    <cellStyle name="Normal 4 6 4 4 2 2 3" xfId="16609" xr:uid="{5733D90D-D2ED-43F5-98E4-F61FA8C1881B}"/>
    <cellStyle name="Normal 4 6 4 4 2 3" xfId="20832" xr:uid="{A0E2714C-67C4-48D2-A283-D57324BAE882}"/>
    <cellStyle name="Normal 4 6 4 4 2 4" xfId="12391" xr:uid="{0B93BA32-4FCF-47A3-9676-E980B85D07B6}"/>
    <cellStyle name="Normal 4 6 4 4 3" xfId="6014" xr:uid="{00000000-0005-0000-0000-000087160000}"/>
    <cellStyle name="Normal 4 6 4 4 3 2" xfId="22905" xr:uid="{AAAEEADD-1895-46CF-86B9-68A13369465B}"/>
    <cellStyle name="Normal 4 6 4 4 3 3" xfId="14464" xr:uid="{F7864BFB-E120-4649-A65E-3309C6B9122B}"/>
    <cellStyle name="Normal 4 6 4 4 4" xfId="18687" xr:uid="{6EA2F0B9-3344-421E-9EB2-D4AD929B442F}"/>
    <cellStyle name="Normal 4 6 4 4 5" xfId="10246" xr:uid="{6BC43160-3B42-4F70-8066-D5FFEC1296BA}"/>
    <cellStyle name="Normal 4 6 4 5" xfId="2121" xr:uid="{00000000-0005-0000-0000-000088160000}"/>
    <cellStyle name="Normal 4 6 4 5 2" xfId="4350" xr:uid="{00000000-0005-0000-0000-000089160000}"/>
    <cellStyle name="Normal 4 6 4 5 2 2" xfId="8572" xr:uid="{00000000-0005-0000-0000-00008A160000}"/>
    <cellStyle name="Normal 4 6 4 5 2 2 2" xfId="25463" xr:uid="{19A0EC53-4975-46AD-90A7-4A7D59F20572}"/>
    <cellStyle name="Normal 4 6 4 5 2 2 3" xfId="17022" xr:uid="{66E69FDD-2342-4CAA-9283-5764A47D291D}"/>
    <cellStyle name="Normal 4 6 4 5 2 3" xfId="21245" xr:uid="{89F0572E-E6B2-4995-B3EC-E481680F2C33}"/>
    <cellStyle name="Normal 4 6 4 5 2 4" xfId="12804" xr:uid="{7171E1D9-F126-4BC9-A986-523AF17A0DAE}"/>
    <cellStyle name="Normal 4 6 4 5 3" xfId="6427" xr:uid="{00000000-0005-0000-0000-00008B160000}"/>
    <cellStyle name="Normal 4 6 4 5 3 2" xfId="23318" xr:uid="{5A7EA3DC-6B08-4E79-8CEC-8448B86D92DB}"/>
    <cellStyle name="Normal 4 6 4 5 3 3" xfId="14877" xr:uid="{4B85A692-622E-4F69-9BE3-B9A11DEEC67F}"/>
    <cellStyle name="Normal 4 6 4 5 4" xfId="19100" xr:uid="{EA0EA32E-49B3-429E-93B5-0D8BB78AE6C1}"/>
    <cellStyle name="Normal 4 6 4 5 5" xfId="10659" xr:uid="{E2A5CB82-E59B-4028-9EFE-AD4F59D27B5D}"/>
    <cellStyle name="Normal 4 6 4 6" xfId="2557" xr:uid="{00000000-0005-0000-0000-00008C160000}"/>
    <cellStyle name="Normal 4 6 4 6 2" xfId="6840" xr:uid="{00000000-0005-0000-0000-00008D160000}"/>
    <cellStyle name="Normal 4 6 4 6 2 2" xfId="23731" xr:uid="{212F9322-CDB7-4426-8338-6BD0323DDBA9}"/>
    <cellStyle name="Normal 4 6 4 6 2 3" xfId="15290" xr:uid="{9217DDBF-1DB9-4B7F-A5AD-C4AF5FC9E3D5}"/>
    <cellStyle name="Normal 4 6 4 6 3" xfId="19513" xr:uid="{1677BF0A-EAFA-4336-A088-5D227147D784}"/>
    <cellStyle name="Normal 4 6 4 6 4" xfId="11072" xr:uid="{F54BFAB5-84F0-41D5-AABC-936118BEEB3A}"/>
    <cellStyle name="Normal 4 6 4 7" xfId="4775" xr:uid="{00000000-0005-0000-0000-00008E160000}"/>
    <cellStyle name="Normal 4 6 4 7 2" xfId="21666" xr:uid="{79D77374-B92E-4FF2-95FD-19D9FA81CBB1}"/>
    <cellStyle name="Normal 4 6 4 7 3" xfId="13225" xr:uid="{E996C8B8-D314-489D-871E-8D743677B37E}"/>
    <cellStyle name="Normal 4 6 4 8" xfId="17448" xr:uid="{36F1416E-882D-4391-B714-3C6CDEC95043}"/>
    <cellStyle name="Normal 4 6 4 9" xfId="9007" xr:uid="{1F51C7A9-EF89-4A03-99B6-E1F066324D5B}"/>
    <cellStyle name="Normal 4 6 5" xfId="869" xr:uid="{00000000-0005-0000-0000-00008F160000}"/>
    <cellStyle name="Normal 4 6 5 2" xfId="3104" xr:uid="{00000000-0005-0000-0000-000090160000}"/>
    <cellStyle name="Normal 4 6 5 2 2" xfId="7326" xr:uid="{00000000-0005-0000-0000-000091160000}"/>
    <cellStyle name="Normal 4 6 5 2 2 2" xfId="24217" xr:uid="{36B2A9FA-3840-4CA2-A89A-C5F51AC3020A}"/>
    <cellStyle name="Normal 4 6 5 2 2 3" xfId="15776" xr:uid="{B2CE6D38-AA56-426C-80DD-2FC4ACCD4F95}"/>
    <cellStyle name="Normal 4 6 5 2 3" xfId="19999" xr:uid="{B45BCBE7-7947-42B6-9062-D4EE982BA1F3}"/>
    <cellStyle name="Normal 4 6 5 2 4" xfId="11558" xr:uid="{4FF5375B-B178-42AD-A2F4-F4B01DBC8B3B}"/>
    <cellStyle name="Normal 4 6 5 3" xfId="5181" xr:uid="{00000000-0005-0000-0000-000092160000}"/>
    <cellStyle name="Normal 4 6 5 3 2" xfId="22072" xr:uid="{3D88CD3D-7A39-421C-AB98-B81F2514E0E5}"/>
    <cellStyle name="Normal 4 6 5 3 3" xfId="13631" xr:uid="{67616B5F-EB7C-4BD6-9602-8C2328356ABF}"/>
    <cellStyle name="Normal 4 6 5 4" xfId="17854" xr:uid="{28880350-4458-468C-B42D-14D7DB3A781E}"/>
    <cellStyle name="Normal 4 6 5 5" xfId="9413" xr:uid="{DF1C5630-B614-4DF2-B6F0-8764B45E63C3}"/>
    <cellStyle name="Normal 4 6 6" xfId="1287" xr:uid="{00000000-0005-0000-0000-000093160000}"/>
    <cellStyle name="Normal 4 6 6 2" xfId="3517" xr:uid="{00000000-0005-0000-0000-000094160000}"/>
    <cellStyle name="Normal 4 6 6 2 2" xfId="7739" xr:uid="{00000000-0005-0000-0000-000095160000}"/>
    <cellStyle name="Normal 4 6 6 2 2 2" xfId="24630" xr:uid="{BBF29772-DF31-42E7-855B-146ED52DDE63}"/>
    <cellStyle name="Normal 4 6 6 2 2 3" xfId="16189" xr:uid="{CE8E5763-9778-4A81-B0AF-80FD377F1512}"/>
    <cellStyle name="Normal 4 6 6 2 3" xfId="20412" xr:uid="{8CFEA5F1-CEED-43A5-A418-562AE49F9320}"/>
    <cellStyle name="Normal 4 6 6 2 4" xfId="11971" xr:uid="{1044030E-1C1D-43F2-BB87-ACD8A0CCD8DD}"/>
    <cellStyle name="Normal 4 6 6 3" xfId="5594" xr:uid="{00000000-0005-0000-0000-000096160000}"/>
    <cellStyle name="Normal 4 6 6 3 2" xfId="22485" xr:uid="{F9BB007F-8891-43FB-B288-0CD5D2712833}"/>
    <cellStyle name="Normal 4 6 6 3 3" xfId="14044" xr:uid="{B9163C36-7610-4CB1-8CAB-A12A6B14CC0A}"/>
    <cellStyle name="Normal 4 6 6 4" xfId="18267" xr:uid="{C0CD4134-511C-4B51-B6BE-6802DAE4ABA4}"/>
    <cellStyle name="Normal 4 6 6 5" xfId="9826" xr:uid="{6D6CF4B0-CA10-4DA7-8EE5-3F373CDF57E7}"/>
    <cellStyle name="Normal 4 6 7" xfId="1700" xr:uid="{00000000-0005-0000-0000-000097160000}"/>
    <cellStyle name="Normal 4 6 7 2" xfId="3930" xr:uid="{00000000-0005-0000-0000-000098160000}"/>
    <cellStyle name="Normal 4 6 7 2 2" xfId="8152" xr:uid="{00000000-0005-0000-0000-000099160000}"/>
    <cellStyle name="Normal 4 6 7 2 2 2" xfId="25043" xr:uid="{70E6B34F-9FA8-4B1E-BF3B-A746B27E7A8C}"/>
    <cellStyle name="Normal 4 6 7 2 2 3" xfId="16602" xr:uid="{EA904FA0-57CB-4C58-B283-57C6167E4572}"/>
    <cellStyle name="Normal 4 6 7 2 3" xfId="20825" xr:uid="{53665ABD-960A-4A7B-AB8D-3AAB4B089C12}"/>
    <cellStyle name="Normal 4 6 7 2 4" xfId="12384" xr:uid="{E497E1B0-0967-4DE0-BEBE-E531D1CD79AB}"/>
    <cellStyle name="Normal 4 6 7 3" xfId="6007" xr:uid="{00000000-0005-0000-0000-00009A160000}"/>
    <cellStyle name="Normal 4 6 7 3 2" xfId="22898" xr:uid="{80DA3C0B-04DA-4FBC-A511-A97CFBAE6105}"/>
    <cellStyle name="Normal 4 6 7 3 3" xfId="14457" xr:uid="{55DB38E1-BDDB-42EB-BBFA-59BC0687DFCF}"/>
    <cellStyle name="Normal 4 6 7 4" xfId="18680" xr:uid="{00C6C686-F001-4269-9533-E27A273BCF25}"/>
    <cellStyle name="Normal 4 6 7 5" xfId="10239" xr:uid="{376248C3-BAF5-4D31-8EBD-D2E3A8B802A0}"/>
    <cellStyle name="Normal 4 6 8" xfId="2114" xr:uid="{00000000-0005-0000-0000-00009B160000}"/>
    <cellStyle name="Normal 4 6 8 2" xfId="4343" xr:uid="{00000000-0005-0000-0000-00009C160000}"/>
    <cellStyle name="Normal 4 6 8 2 2" xfId="8565" xr:uid="{00000000-0005-0000-0000-00009D160000}"/>
    <cellStyle name="Normal 4 6 8 2 2 2" xfId="25456" xr:uid="{5372725D-4F68-4D9C-871C-E4F60BF4F662}"/>
    <cellStyle name="Normal 4 6 8 2 2 3" xfId="17015" xr:uid="{31EFB2E4-BEAA-4C8B-85A5-C08C7005251B}"/>
    <cellStyle name="Normal 4 6 8 2 3" xfId="21238" xr:uid="{DA716FC5-A22B-4259-89C1-0CE3CB06752D}"/>
    <cellStyle name="Normal 4 6 8 2 4" xfId="12797" xr:uid="{A75114D2-2B42-4849-9A7B-AB8EE47DE834}"/>
    <cellStyle name="Normal 4 6 8 3" xfId="6420" xr:uid="{00000000-0005-0000-0000-00009E160000}"/>
    <cellStyle name="Normal 4 6 8 3 2" xfId="23311" xr:uid="{28720DE2-35D7-4633-AC3A-709570BF9DF5}"/>
    <cellStyle name="Normal 4 6 8 3 3" xfId="14870" xr:uid="{018B5F6C-BB0E-4CE7-9EAB-DB0F1D70636F}"/>
    <cellStyle name="Normal 4 6 8 4" xfId="19093" xr:uid="{AE8CE09B-6260-47E9-9106-5E32F883D468}"/>
    <cellStyle name="Normal 4 6 8 5" xfId="10652" xr:uid="{BCE82A8D-A687-49CE-9918-A7F7E580267C}"/>
    <cellStyle name="Normal 4 6 9" xfId="2550" xr:uid="{00000000-0005-0000-0000-00009F160000}"/>
    <cellStyle name="Normal 4 6 9 2" xfId="6833" xr:uid="{00000000-0005-0000-0000-0000A0160000}"/>
    <cellStyle name="Normal 4 6 9 2 2" xfId="23724" xr:uid="{209AF48C-079C-4593-8A42-BE467BC68BA5}"/>
    <cellStyle name="Normal 4 6 9 2 3" xfId="15283" xr:uid="{F3963925-2498-4827-AAE2-6F9E6CFF6BE3}"/>
    <cellStyle name="Normal 4 6 9 3" xfId="19506" xr:uid="{8FD2F7E5-9112-412C-9841-5A6EA03A25A3}"/>
    <cellStyle name="Normal 4 6 9 4" xfId="11065" xr:uid="{B5577598-1EA8-464B-B3D6-2C4CB1907EBD}"/>
    <cellStyle name="Normal 4 7" xfId="403" xr:uid="{00000000-0005-0000-0000-0000A1160000}"/>
    <cellStyle name="Normal 4 7 10" xfId="9008" xr:uid="{7449999A-F2C9-4356-9D49-8253BDB95D39}"/>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2 2 2" xfId="24226" xr:uid="{538271B9-A707-4B7F-9F46-CCBB6D87841C}"/>
    <cellStyle name="Normal 4 7 2 2 2 2 3" xfId="15785" xr:uid="{93F08C52-8F9B-46BC-886B-267B580A1505}"/>
    <cellStyle name="Normal 4 7 2 2 2 3" xfId="20008" xr:uid="{EF4435EB-04B4-4921-A758-CC4AED056AE1}"/>
    <cellStyle name="Normal 4 7 2 2 2 4" xfId="11567" xr:uid="{1A45CB80-80DC-4DBE-8CC0-2665D9070D3E}"/>
    <cellStyle name="Normal 4 7 2 2 3" xfId="5190" xr:uid="{00000000-0005-0000-0000-0000A6160000}"/>
    <cellStyle name="Normal 4 7 2 2 3 2" xfId="22081" xr:uid="{A6531E56-8011-4C3D-A26F-35C381A5C3A4}"/>
    <cellStyle name="Normal 4 7 2 2 3 3" xfId="13640" xr:uid="{C4C66B04-5DC4-42EA-A551-4A27108DFDA8}"/>
    <cellStyle name="Normal 4 7 2 2 4" xfId="17863" xr:uid="{1AD90A28-820D-48CF-9948-0661859D0F39}"/>
    <cellStyle name="Normal 4 7 2 2 5" xfId="9422" xr:uid="{6428F42D-7D31-4D3E-B8C2-B37ED8D3D800}"/>
    <cellStyle name="Normal 4 7 2 3" xfId="1296" xr:uid="{00000000-0005-0000-0000-0000A7160000}"/>
    <cellStyle name="Normal 4 7 2 3 2" xfId="3526" xr:uid="{00000000-0005-0000-0000-0000A8160000}"/>
    <cellStyle name="Normal 4 7 2 3 2 2" xfId="7748" xr:uid="{00000000-0005-0000-0000-0000A9160000}"/>
    <cellStyle name="Normal 4 7 2 3 2 2 2" xfId="24639" xr:uid="{40BFE051-774F-41AC-AE29-72F5B196652F}"/>
    <cellStyle name="Normal 4 7 2 3 2 2 3" xfId="16198" xr:uid="{C208E14E-E111-4596-9314-4F66A867A6B9}"/>
    <cellStyle name="Normal 4 7 2 3 2 3" xfId="20421" xr:uid="{3CC58F9F-4B02-4E62-BB1A-D8CE245D4433}"/>
    <cellStyle name="Normal 4 7 2 3 2 4" xfId="11980" xr:uid="{64775864-D3DF-4279-A39A-C8A7326C6AF2}"/>
    <cellStyle name="Normal 4 7 2 3 3" xfId="5603" xr:uid="{00000000-0005-0000-0000-0000AA160000}"/>
    <cellStyle name="Normal 4 7 2 3 3 2" xfId="22494" xr:uid="{9D581B72-1207-4CD8-8BF3-03D87DF0B3B9}"/>
    <cellStyle name="Normal 4 7 2 3 3 3" xfId="14053" xr:uid="{BAD73F37-2399-40E7-A9A6-9055B5FA52F7}"/>
    <cellStyle name="Normal 4 7 2 3 4" xfId="18276" xr:uid="{2CDDF879-4003-4AA4-8489-A537A2C6A2B0}"/>
    <cellStyle name="Normal 4 7 2 3 5" xfId="9835" xr:uid="{3127C492-7330-48E1-8F68-49B9B7D7CE4A}"/>
    <cellStyle name="Normal 4 7 2 4" xfId="1709" xr:uid="{00000000-0005-0000-0000-0000AB160000}"/>
    <cellStyle name="Normal 4 7 2 4 2" xfId="3939" xr:uid="{00000000-0005-0000-0000-0000AC160000}"/>
    <cellStyle name="Normal 4 7 2 4 2 2" xfId="8161" xr:uid="{00000000-0005-0000-0000-0000AD160000}"/>
    <cellStyle name="Normal 4 7 2 4 2 2 2" xfId="25052" xr:uid="{CF530A58-B416-435F-8A25-8D731378BBC1}"/>
    <cellStyle name="Normal 4 7 2 4 2 2 3" xfId="16611" xr:uid="{EBB1DBC2-847D-4ED0-B1BC-2D898B2F1D17}"/>
    <cellStyle name="Normal 4 7 2 4 2 3" xfId="20834" xr:uid="{B5DB1DB7-A5B8-47EA-9DF0-F6664C5729B6}"/>
    <cellStyle name="Normal 4 7 2 4 2 4" xfId="12393" xr:uid="{F17F9A89-F193-4356-B493-9A64AAAE6708}"/>
    <cellStyle name="Normal 4 7 2 4 3" xfId="6016" xr:uid="{00000000-0005-0000-0000-0000AE160000}"/>
    <cellStyle name="Normal 4 7 2 4 3 2" xfId="22907" xr:uid="{E10A766E-0C0A-4EEC-AFF4-97CBACCFD554}"/>
    <cellStyle name="Normal 4 7 2 4 3 3" xfId="14466" xr:uid="{EAB966E9-5304-4730-9F76-3EBF428A0C23}"/>
    <cellStyle name="Normal 4 7 2 4 4" xfId="18689" xr:uid="{B986F425-5A39-4478-A177-6568C0F8A313}"/>
    <cellStyle name="Normal 4 7 2 4 5" xfId="10248" xr:uid="{9CD61CB3-0651-466D-BBB9-D7B1E726AE6C}"/>
    <cellStyle name="Normal 4 7 2 5" xfId="2123" xr:uid="{00000000-0005-0000-0000-0000AF160000}"/>
    <cellStyle name="Normal 4 7 2 5 2" xfId="4352" xr:uid="{00000000-0005-0000-0000-0000B0160000}"/>
    <cellStyle name="Normal 4 7 2 5 2 2" xfId="8574" xr:uid="{00000000-0005-0000-0000-0000B1160000}"/>
    <cellStyle name="Normal 4 7 2 5 2 2 2" xfId="25465" xr:uid="{6FD4421E-00BE-49AF-93DD-E604FEE0C94B}"/>
    <cellStyle name="Normal 4 7 2 5 2 2 3" xfId="17024" xr:uid="{50D6F7EB-85C3-43B1-A4E0-FA56D38DECB3}"/>
    <cellStyle name="Normal 4 7 2 5 2 3" xfId="21247" xr:uid="{17CBF070-6CFF-4359-A6BC-420D74FE5CCA}"/>
    <cellStyle name="Normal 4 7 2 5 2 4" xfId="12806" xr:uid="{E48E8591-5F25-4B91-AA46-C87DADFAFB36}"/>
    <cellStyle name="Normal 4 7 2 5 3" xfId="6429" xr:uid="{00000000-0005-0000-0000-0000B2160000}"/>
    <cellStyle name="Normal 4 7 2 5 3 2" xfId="23320" xr:uid="{514D1D52-B940-43A5-8A8A-246F763A7E76}"/>
    <cellStyle name="Normal 4 7 2 5 3 3" xfId="14879" xr:uid="{5FB726C0-F090-4145-9FA2-CF8FF4FBB6D4}"/>
    <cellStyle name="Normal 4 7 2 5 4" xfId="19102" xr:uid="{898B16FD-806C-408A-86CC-BEE14AE08546}"/>
    <cellStyle name="Normal 4 7 2 5 5" xfId="10661" xr:uid="{09B8B1C5-1775-4F85-A8DB-0D43D93B34B7}"/>
    <cellStyle name="Normal 4 7 2 6" xfId="2559" xr:uid="{00000000-0005-0000-0000-0000B3160000}"/>
    <cellStyle name="Normal 4 7 2 6 2" xfId="6842" xr:uid="{00000000-0005-0000-0000-0000B4160000}"/>
    <cellStyle name="Normal 4 7 2 6 2 2" xfId="23733" xr:uid="{077F03BC-7D09-467E-8064-CBCADCBDC367}"/>
    <cellStyle name="Normal 4 7 2 6 2 3" xfId="15292" xr:uid="{2E7CCA24-26F8-428C-9F49-952EE4DD92F4}"/>
    <cellStyle name="Normal 4 7 2 6 3" xfId="19515" xr:uid="{E3E6621B-984E-4B1D-BC73-536F100EE06B}"/>
    <cellStyle name="Normal 4 7 2 6 4" xfId="11074" xr:uid="{DF98EF76-B78C-4D2F-A5DC-E7827C6DCFFD}"/>
    <cellStyle name="Normal 4 7 2 7" xfId="4777" xr:uid="{00000000-0005-0000-0000-0000B5160000}"/>
    <cellStyle name="Normal 4 7 2 7 2" xfId="21668" xr:uid="{A99E4FE2-FCDF-4A56-9ED4-F5770887193D}"/>
    <cellStyle name="Normal 4 7 2 7 3" xfId="13227" xr:uid="{41088A82-A9A3-4275-9B71-5F34AC1C996F}"/>
    <cellStyle name="Normal 4 7 2 8" xfId="17450" xr:uid="{7060EFEA-20EE-4B35-96D6-CDC525022161}"/>
    <cellStyle name="Normal 4 7 2 9" xfId="9009" xr:uid="{DCE9C9AE-6835-45F6-8FC7-569BF934B04A}"/>
    <cellStyle name="Normal 4 7 3" xfId="877" xr:uid="{00000000-0005-0000-0000-0000B6160000}"/>
    <cellStyle name="Normal 4 7 3 2" xfId="3112" xr:uid="{00000000-0005-0000-0000-0000B7160000}"/>
    <cellStyle name="Normal 4 7 3 2 2" xfId="7334" xr:uid="{00000000-0005-0000-0000-0000B8160000}"/>
    <cellStyle name="Normal 4 7 3 2 2 2" xfId="24225" xr:uid="{21D7A9B4-B176-4734-84BF-BF700C0A275E}"/>
    <cellStyle name="Normal 4 7 3 2 2 3" xfId="15784" xr:uid="{1C84E980-C14E-4C26-872C-B06A763DE7FD}"/>
    <cellStyle name="Normal 4 7 3 2 3" xfId="20007" xr:uid="{888EA691-8A83-443D-A965-6E234E9568A6}"/>
    <cellStyle name="Normal 4 7 3 2 4" xfId="11566" xr:uid="{AFA3157F-3ADA-49B0-B54E-4DD4A3A0DF24}"/>
    <cellStyle name="Normal 4 7 3 3" xfId="5189" xr:uid="{00000000-0005-0000-0000-0000B9160000}"/>
    <cellStyle name="Normal 4 7 3 3 2" xfId="22080" xr:uid="{3903D02C-A229-44B8-86D6-91CF440EBFDB}"/>
    <cellStyle name="Normal 4 7 3 3 3" xfId="13639" xr:uid="{21FF0C7B-132F-4943-91C1-E709B537B837}"/>
    <cellStyle name="Normal 4 7 3 4" xfId="17862" xr:uid="{1C56C4C0-D7D9-4939-9663-5ADAABDE09DB}"/>
    <cellStyle name="Normal 4 7 3 5" xfId="9421" xr:uid="{150F6B68-EB07-4E34-87C7-26D65058EBE1}"/>
    <cellStyle name="Normal 4 7 4" xfId="1295" xr:uid="{00000000-0005-0000-0000-0000BA160000}"/>
    <cellStyle name="Normal 4 7 4 2" xfId="3525" xr:uid="{00000000-0005-0000-0000-0000BB160000}"/>
    <cellStyle name="Normal 4 7 4 2 2" xfId="7747" xr:uid="{00000000-0005-0000-0000-0000BC160000}"/>
    <cellStyle name="Normal 4 7 4 2 2 2" xfId="24638" xr:uid="{38F3D2A5-B59B-465C-A7E2-F6A0050D4869}"/>
    <cellStyle name="Normal 4 7 4 2 2 3" xfId="16197" xr:uid="{C1EE1039-942B-434A-BBEB-C827ABF63429}"/>
    <cellStyle name="Normal 4 7 4 2 3" xfId="20420" xr:uid="{8A7CD8B2-EE27-4B92-9113-AAEC0EE62964}"/>
    <cellStyle name="Normal 4 7 4 2 4" xfId="11979" xr:uid="{479069D9-32AD-4F0B-A374-27AE309E79C8}"/>
    <cellStyle name="Normal 4 7 4 3" xfId="5602" xr:uid="{00000000-0005-0000-0000-0000BD160000}"/>
    <cellStyle name="Normal 4 7 4 3 2" xfId="22493" xr:uid="{5CB12CE0-E35F-495F-B779-D33E3D43D4E4}"/>
    <cellStyle name="Normal 4 7 4 3 3" xfId="14052" xr:uid="{FFD4C64C-A29B-402E-B905-E57FD25C093A}"/>
    <cellStyle name="Normal 4 7 4 4" xfId="18275" xr:uid="{46238CD1-8964-4EFB-A5F0-F7A577704693}"/>
    <cellStyle name="Normal 4 7 4 5" xfId="9834" xr:uid="{B1186D81-B67A-42E8-B33F-1DB10845162A}"/>
    <cellStyle name="Normal 4 7 5" xfId="1708" xr:uid="{00000000-0005-0000-0000-0000BE160000}"/>
    <cellStyle name="Normal 4 7 5 2" xfId="3938" xr:uid="{00000000-0005-0000-0000-0000BF160000}"/>
    <cellStyle name="Normal 4 7 5 2 2" xfId="8160" xr:uid="{00000000-0005-0000-0000-0000C0160000}"/>
    <cellStyle name="Normal 4 7 5 2 2 2" xfId="25051" xr:uid="{308F6160-5E08-4156-8F0A-EAEA2F781CBB}"/>
    <cellStyle name="Normal 4 7 5 2 2 3" xfId="16610" xr:uid="{33074CCF-3FBE-484E-BE6B-3D2465D58946}"/>
    <cellStyle name="Normal 4 7 5 2 3" xfId="20833" xr:uid="{272B93CB-1054-4BAB-8C14-D363E5F4EBEC}"/>
    <cellStyle name="Normal 4 7 5 2 4" xfId="12392" xr:uid="{7496283F-FF02-4E94-8DA5-26D81371C214}"/>
    <cellStyle name="Normal 4 7 5 3" xfId="6015" xr:uid="{00000000-0005-0000-0000-0000C1160000}"/>
    <cellStyle name="Normal 4 7 5 3 2" xfId="22906" xr:uid="{318F63B0-975B-4427-850E-E01C20B70525}"/>
    <cellStyle name="Normal 4 7 5 3 3" xfId="14465" xr:uid="{4A16322E-355E-4785-B3CE-A17342A62536}"/>
    <cellStyle name="Normal 4 7 5 4" xfId="18688" xr:uid="{0EBE93D0-5270-4947-A036-C5C85B4A8E46}"/>
    <cellStyle name="Normal 4 7 5 5" xfId="10247" xr:uid="{9F2011EB-CBBB-4ABE-BF47-06812691FC60}"/>
    <cellStyle name="Normal 4 7 6" xfId="2122" xr:uid="{00000000-0005-0000-0000-0000C2160000}"/>
    <cellStyle name="Normal 4 7 6 2" xfId="4351" xr:uid="{00000000-0005-0000-0000-0000C3160000}"/>
    <cellStyle name="Normal 4 7 6 2 2" xfId="8573" xr:uid="{00000000-0005-0000-0000-0000C4160000}"/>
    <cellStyle name="Normal 4 7 6 2 2 2" xfId="25464" xr:uid="{2064157A-07BD-4A1C-82AA-EC82442C1CE1}"/>
    <cellStyle name="Normal 4 7 6 2 2 3" xfId="17023" xr:uid="{DC671295-C7D5-411D-BEBC-9E15632C496C}"/>
    <cellStyle name="Normal 4 7 6 2 3" xfId="21246" xr:uid="{32F97104-6955-4A7F-AA89-7042DF8EF7DC}"/>
    <cellStyle name="Normal 4 7 6 2 4" xfId="12805" xr:uid="{626E3105-14BB-4E1D-B6B9-8C719DA470C1}"/>
    <cellStyle name="Normal 4 7 6 3" xfId="6428" xr:uid="{00000000-0005-0000-0000-0000C5160000}"/>
    <cellStyle name="Normal 4 7 6 3 2" xfId="23319" xr:uid="{70F0FDBA-BD0F-4C2A-92CD-F84474A63DE5}"/>
    <cellStyle name="Normal 4 7 6 3 3" xfId="14878" xr:uid="{B07196CF-12FD-4C52-995D-289AD2224880}"/>
    <cellStyle name="Normal 4 7 6 4" xfId="19101" xr:uid="{07906CDC-D1AC-484B-951B-2CEAAC6DE8A5}"/>
    <cellStyle name="Normal 4 7 6 5" xfId="10660" xr:uid="{970DE1DD-59F4-4F08-BEF0-803F84257ADA}"/>
    <cellStyle name="Normal 4 7 7" xfId="2558" xr:uid="{00000000-0005-0000-0000-0000C6160000}"/>
    <cellStyle name="Normal 4 7 7 2" xfId="6841" xr:uid="{00000000-0005-0000-0000-0000C7160000}"/>
    <cellStyle name="Normal 4 7 7 2 2" xfId="23732" xr:uid="{A3B7D217-879D-4050-BA16-40686849DCD7}"/>
    <cellStyle name="Normal 4 7 7 2 3" xfId="15291" xr:uid="{6EC16E7F-4C46-4D40-9F16-C39BFDF85422}"/>
    <cellStyle name="Normal 4 7 7 3" xfId="19514" xr:uid="{63678326-5B65-4DEE-9362-EABD00D9BE48}"/>
    <cellStyle name="Normal 4 7 7 4" xfId="11073" xr:uid="{C575B909-39A5-4953-8207-A54B4449623F}"/>
    <cellStyle name="Normal 4 7 8" xfId="4776" xr:uid="{00000000-0005-0000-0000-0000C8160000}"/>
    <cellStyle name="Normal 4 7 8 2" xfId="21667" xr:uid="{5FBE60DE-1E04-41CF-8B3A-77214DFCA331}"/>
    <cellStyle name="Normal 4 7 8 3" xfId="13226" xr:uid="{FECEF3FA-8008-48D8-8774-2E6AEF8FE578}"/>
    <cellStyle name="Normal 4 7 9" xfId="17449" xr:uid="{74029494-D3E3-4267-AA48-D9E1A0B74694}"/>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2 2 2" xfId="24227" xr:uid="{A5F0A140-E13F-4645-9CC5-383C776194D8}"/>
    <cellStyle name="Normal 4 8 2 2 2 3" xfId="15786" xr:uid="{80AF0321-1B20-4E2B-A1B3-E508963108DB}"/>
    <cellStyle name="Normal 4 8 2 2 3" xfId="20009" xr:uid="{BBBE321A-55EC-421C-843C-13F35C388AEE}"/>
    <cellStyle name="Normal 4 8 2 2 4" xfId="11568" xr:uid="{900E9752-C799-4690-9515-1918100119FD}"/>
    <cellStyle name="Normal 4 8 2 3" xfId="5191" xr:uid="{00000000-0005-0000-0000-0000CD160000}"/>
    <cellStyle name="Normal 4 8 2 3 2" xfId="22082" xr:uid="{94341F4D-C7CC-47DC-A976-371D3294EDE6}"/>
    <cellStyle name="Normal 4 8 2 3 3" xfId="13641" xr:uid="{224E370E-D5B8-4E9D-B446-CE33E5269B49}"/>
    <cellStyle name="Normal 4 8 2 4" xfId="17864" xr:uid="{DCD8404E-DEAE-4BB4-90CA-BBB148FA9BC6}"/>
    <cellStyle name="Normal 4 8 2 5" xfId="9423" xr:uid="{458BDC76-1185-411E-98A9-840E1739A301}"/>
    <cellStyle name="Normal 4 8 3" xfId="1297" xr:uid="{00000000-0005-0000-0000-0000CE160000}"/>
    <cellStyle name="Normal 4 8 3 2" xfId="3527" xr:uid="{00000000-0005-0000-0000-0000CF160000}"/>
    <cellStyle name="Normal 4 8 3 2 2" xfId="7749" xr:uid="{00000000-0005-0000-0000-0000D0160000}"/>
    <cellStyle name="Normal 4 8 3 2 2 2" xfId="24640" xr:uid="{BBAF9635-4FFF-4B6E-A8BD-2DDA0055D094}"/>
    <cellStyle name="Normal 4 8 3 2 2 3" xfId="16199" xr:uid="{DF271277-ABC6-4516-A441-86E9E24F1DEC}"/>
    <cellStyle name="Normal 4 8 3 2 3" xfId="20422" xr:uid="{05887098-D813-439D-8258-ADE5EFB5F920}"/>
    <cellStyle name="Normal 4 8 3 2 4" xfId="11981" xr:uid="{11297634-C44E-49B5-86FF-C9F05512FEF2}"/>
    <cellStyle name="Normal 4 8 3 3" xfId="5604" xr:uid="{00000000-0005-0000-0000-0000D1160000}"/>
    <cellStyle name="Normal 4 8 3 3 2" xfId="22495" xr:uid="{3BAC0D17-82BC-4DFD-B982-2387CE8C1950}"/>
    <cellStyle name="Normal 4 8 3 3 3" xfId="14054" xr:uid="{D54EE7D4-2CC6-4D84-AE98-B5DC3ACE5468}"/>
    <cellStyle name="Normal 4 8 3 4" xfId="18277" xr:uid="{F91A7DFF-92A2-4720-B13A-34A2A74BF66A}"/>
    <cellStyle name="Normal 4 8 3 5" xfId="9836" xr:uid="{52444A29-03CE-4FC0-92B3-AEA5C84A28D8}"/>
    <cellStyle name="Normal 4 8 4" xfId="1710" xr:uid="{00000000-0005-0000-0000-0000D2160000}"/>
    <cellStyle name="Normal 4 8 4 2" xfId="3940" xr:uid="{00000000-0005-0000-0000-0000D3160000}"/>
    <cellStyle name="Normal 4 8 4 2 2" xfId="8162" xr:uid="{00000000-0005-0000-0000-0000D4160000}"/>
    <cellStyle name="Normal 4 8 4 2 2 2" xfId="25053" xr:uid="{97D303B5-2D00-41B8-8060-1777CE1F2C5F}"/>
    <cellStyle name="Normal 4 8 4 2 2 3" xfId="16612" xr:uid="{517AFE9A-10F8-45F7-A7C6-BCC22EB31E8A}"/>
    <cellStyle name="Normal 4 8 4 2 3" xfId="20835" xr:uid="{EED887C8-98F8-45A6-8D07-0C7D8BBA8277}"/>
    <cellStyle name="Normal 4 8 4 2 4" xfId="12394" xr:uid="{3797A5AC-1BAC-4031-A62B-19F35E5F3313}"/>
    <cellStyle name="Normal 4 8 4 3" xfId="6017" xr:uid="{00000000-0005-0000-0000-0000D5160000}"/>
    <cellStyle name="Normal 4 8 4 3 2" xfId="22908" xr:uid="{28312EAA-9365-4297-8E8C-6864DD935894}"/>
    <cellStyle name="Normal 4 8 4 3 3" xfId="14467" xr:uid="{4E37257F-A210-4598-817D-054B3D0E3870}"/>
    <cellStyle name="Normal 4 8 4 4" xfId="18690" xr:uid="{66E2D0C3-76B5-47C8-813C-731C05013B59}"/>
    <cellStyle name="Normal 4 8 4 5" xfId="10249" xr:uid="{8FD4776A-9B99-4F4B-9079-1CF9A47275F0}"/>
    <cellStyle name="Normal 4 8 5" xfId="2124" xr:uid="{00000000-0005-0000-0000-0000D6160000}"/>
    <cellStyle name="Normal 4 8 5 2" xfId="4353" xr:uid="{00000000-0005-0000-0000-0000D7160000}"/>
    <cellStyle name="Normal 4 8 5 2 2" xfId="8575" xr:uid="{00000000-0005-0000-0000-0000D8160000}"/>
    <cellStyle name="Normal 4 8 5 2 2 2" xfId="25466" xr:uid="{51C459B2-7898-45A4-966F-1AFB48E1EF08}"/>
    <cellStyle name="Normal 4 8 5 2 2 3" xfId="17025" xr:uid="{335F0C2D-6492-4C3C-86B5-65966A72EC09}"/>
    <cellStyle name="Normal 4 8 5 2 3" xfId="21248" xr:uid="{95C8A361-34EC-4D79-9CFD-175C92C1E2D4}"/>
    <cellStyle name="Normal 4 8 5 2 4" xfId="12807" xr:uid="{39D4659B-32C7-498E-BD04-C4D255985200}"/>
    <cellStyle name="Normal 4 8 5 3" xfId="6430" xr:uid="{00000000-0005-0000-0000-0000D9160000}"/>
    <cellStyle name="Normal 4 8 5 3 2" xfId="23321" xr:uid="{15CE4D51-1332-4DE7-81F7-16258A49F01A}"/>
    <cellStyle name="Normal 4 8 5 3 3" xfId="14880" xr:uid="{E9C8541F-49A3-44E2-8657-D37B06A06DB3}"/>
    <cellStyle name="Normal 4 8 5 4" xfId="19103" xr:uid="{D6E5D6F3-3D41-4C25-B762-9BD3ECAE44A7}"/>
    <cellStyle name="Normal 4 8 5 5" xfId="10662" xr:uid="{D49EE2CD-E2CC-4A98-8B28-2A26A922FF81}"/>
    <cellStyle name="Normal 4 8 6" xfId="2560" xr:uid="{00000000-0005-0000-0000-0000DA160000}"/>
    <cellStyle name="Normal 4 8 6 2" xfId="6843" xr:uid="{00000000-0005-0000-0000-0000DB160000}"/>
    <cellStyle name="Normal 4 8 6 2 2" xfId="23734" xr:uid="{108F2EB8-D3CC-4373-B7C2-6B34C6546A25}"/>
    <cellStyle name="Normal 4 8 6 2 3" xfId="15293" xr:uid="{0E8C03B0-CD40-4077-B59F-95325E62CB40}"/>
    <cellStyle name="Normal 4 8 6 3" xfId="19516" xr:uid="{9A84B3EA-AE2D-42B8-916D-91421FEC6079}"/>
    <cellStyle name="Normal 4 8 6 4" xfId="11075" xr:uid="{F53661D6-1A55-49A2-B570-7147FE7358E7}"/>
    <cellStyle name="Normal 4 8 7" xfId="4778" xr:uid="{00000000-0005-0000-0000-0000DC160000}"/>
    <cellStyle name="Normal 4 8 7 2" xfId="21669" xr:uid="{363228B1-323C-42F5-A4B5-24F98D022F90}"/>
    <cellStyle name="Normal 4 8 7 3" xfId="13228" xr:uid="{F18ACBBB-6206-4307-9E83-4A857EC5A052}"/>
    <cellStyle name="Normal 4 8 8" xfId="17451" xr:uid="{27D8181E-5B62-46A5-A7B2-5A8E6997048F}"/>
    <cellStyle name="Normal 4 8 9" xfId="9010" xr:uid="{6F7E9B34-3836-4F7E-8E3F-3F0E2B458393}"/>
    <cellStyle name="Normal 4 9" xfId="4715" xr:uid="{00000000-0005-0000-0000-0000DD160000}"/>
    <cellStyle name="Normal 4 9 2" xfId="21606" xr:uid="{22C0B856-CF75-4D1D-9D02-B1A01FED1518}"/>
    <cellStyle name="Normal 4 9 3" xfId="13165" xr:uid="{43E497F2-725D-4610-885E-3FF1E2A2E668}"/>
    <cellStyle name="Normal 4_Dropdowns" xfId="25757" xr:uid="{7197CDFE-A7D5-4EB8-BF45-50A1C0ED53C4}"/>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25054" xr:uid="{5173525E-FD1B-4C09-A0F1-609940A63305}"/>
    <cellStyle name="Normal 5 10 2 2 3" xfId="16613" xr:uid="{F78DB3F4-7FFA-48F2-948A-E9010FAC05B5}"/>
    <cellStyle name="Normal 5 10 2 3" xfId="20836" xr:uid="{76AE0A60-033D-4521-BD99-C59C0EE06839}"/>
    <cellStyle name="Normal 5 10 2 4" xfId="12395" xr:uid="{D570501E-28E0-4176-B021-9C0F9454DF35}"/>
    <cellStyle name="Normal 5 10 3" xfId="6018" xr:uid="{00000000-0005-0000-0000-0000E2160000}"/>
    <cellStyle name="Normal 5 10 3 2" xfId="22909" xr:uid="{1134B8A0-19BA-41B2-B3DA-7656D8CF91F7}"/>
    <cellStyle name="Normal 5 10 3 3" xfId="14468" xr:uid="{B6B9E608-106F-4C86-9036-1089CAF98793}"/>
    <cellStyle name="Normal 5 10 4" xfId="18691" xr:uid="{0F9A9A6A-7CB8-4A7B-9BF5-C623524CC45C}"/>
    <cellStyle name="Normal 5 10 5" xfId="10250" xr:uid="{DBEC33B1-82AD-42D6-9FD8-DE85A5A4F7A3}"/>
    <cellStyle name="Normal 5 11" xfId="2125" xr:uid="{00000000-0005-0000-0000-0000E3160000}"/>
    <cellStyle name="Normal 5 11 2" xfId="4354" xr:uid="{00000000-0005-0000-0000-0000E4160000}"/>
    <cellStyle name="Normal 5 11 2 2" xfId="8576" xr:uid="{00000000-0005-0000-0000-0000E5160000}"/>
    <cellStyle name="Normal 5 11 2 2 2" xfId="25467" xr:uid="{BB1C5137-07AB-482E-8954-465A61FD5372}"/>
    <cellStyle name="Normal 5 11 2 2 3" xfId="17026" xr:uid="{E75C7E0D-359D-42AF-80FD-E423F9E3605C}"/>
    <cellStyle name="Normal 5 11 2 3" xfId="21249" xr:uid="{891E0919-569B-4F26-86B4-EEAD05A46F07}"/>
    <cellStyle name="Normal 5 11 2 4" xfId="12808" xr:uid="{A9BCEF84-517B-4445-BD6F-59F5D61662A5}"/>
    <cellStyle name="Normal 5 11 3" xfId="6431" xr:uid="{00000000-0005-0000-0000-0000E6160000}"/>
    <cellStyle name="Normal 5 11 3 2" xfId="23322" xr:uid="{3143DC1C-13B2-4F45-AE28-3AA30F0416E2}"/>
    <cellStyle name="Normal 5 11 3 3" xfId="14881" xr:uid="{685C3CB5-8D61-4F7A-A6D6-AA850A5E45B4}"/>
    <cellStyle name="Normal 5 11 4" xfId="19104" xr:uid="{E1C6BD75-6238-4B40-826B-B88A42A0943B}"/>
    <cellStyle name="Normal 5 11 5" xfId="10663" xr:uid="{9EE8A8E9-2880-403F-96A7-411DD2F09FD2}"/>
    <cellStyle name="Normal 5 12" xfId="2561" xr:uid="{00000000-0005-0000-0000-0000E7160000}"/>
    <cellStyle name="Normal 5 12 2" xfId="6844" xr:uid="{00000000-0005-0000-0000-0000E8160000}"/>
    <cellStyle name="Normal 5 12 2 2" xfId="23735" xr:uid="{04DDBB0D-302C-4711-A33E-CA02337A7FB2}"/>
    <cellStyle name="Normal 5 12 2 3" xfId="15294" xr:uid="{1A573DC3-CD20-40F6-AA4A-29D0B2B9F2BF}"/>
    <cellStyle name="Normal 5 12 3" xfId="19517" xr:uid="{3A2F3045-21AB-4CB8-AB12-89BF327C4E93}"/>
    <cellStyle name="Normal 5 12 4" xfId="11076" xr:uid="{8E36DFEE-631D-40E9-8E11-D165E14E4F0A}"/>
    <cellStyle name="Normal 5 13" xfId="4779" xr:uid="{00000000-0005-0000-0000-0000E9160000}"/>
    <cellStyle name="Normal 5 13 2" xfId="21670" xr:uid="{4D0CAE87-8F44-4C0A-94A1-B100A89045B2}"/>
    <cellStyle name="Normal 5 13 3" xfId="13229" xr:uid="{D04D8CCD-CD77-4E14-B063-B2CF11073AC8}"/>
    <cellStyle name="Normal 5 14" xfId="17452" xr:uid="{B5FCD796-A39A-4CBB-AC8D-3AA1488ECFB0}"/>
    <cellStyle name="Normal 5 15" xfId="9011" xr:uid="{E356D40D-7E11-4D25-A0DA-7D73AE4C05D4}"/>
    <cellStyle name="Normal 5 16" xfId="25651" xr:uid="{2E581CEF-1E79-4404-9CB6-EB40C2568012}"/>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25468" xr:uid="{C719E02B-0223-4F08-8701-64BAC8876BB9}"/>
    <cellStyle name="Normal 5 2 10 2 2 3" xfId="17027" xr:uid="{83C2B768-9B69-42F6-9DD1-50C2F2C0D3D4}"/>
    <cellStyle name="Normal 5 2 10 2 3" xfId="21250" xr:uid="{EB5B459A-41D3-4687-9952-64452BCA7D92}"/>
    <cellStyle name="Normal 5 2 10 2 4" xfId="12809" xr:uid="{2CAE611E-0282-486B-BABA-DA30403C8E6C}"/>
    <cellStyle name="Normal 5 2 10 3" xfId="6432" xr:uid="{00000000-0005-0000-0000-0000EE160000}"/>
    <cellStyle name="Normal 5 2 10 3 2" xfId="23323" xr:uid="{BEF44110-325A-476A-81E1-26C92C44774A}"/>
    <cellStyle name="Normal 5 2 10 3 3" xfId="14882" xr:uid="{7BBF0279-A814-454F-B684-701900894BB6}"/>
    <cellStyle name="Normal 5 2 10 4" xfId="19105" xr:uid="{FBE8EBA5-54ED-4AD7-B614-0AF1E72A9B5F}"/>
    <cellStyle name="Normal 5 2 10 5" xfId="10664" xr:uid="{C0A46809-C070-4307-89FF-50BED070E03A}"/>
    <cellStyle name="Normal 5 2 11" xfId="2562" xr:uid="{00000000-0005-0000-0000-0000EF160000}"/>
    <cellStyle name="Normal 5 2 11 2" xfId="6845" xr:uid="{00000000-0005-0000-0000-0000F0160000}"/>
    <cellStyle name="Normal 5 2 11 2 2" xfId="23736" xr:uid="{C0A9D4AD-05B8-40B8-80F9-7C796AB4A7AD}"/>
    <cellStyle name="Normal 5 2 11 2 3" xfId="15295" xr:uid="{CA5485BA-BFE3-49ED-AF44-D0854ED99898}"/>
    <cellStyle name="Normal 5 2 11 3" xfId="19518" xr:uid="{A215CD7C-FC5F-442D-BB82-859968CB79BC}"/>
    <cellStyle name="Normal 5 2 11 4" xfId="11077" xr:uid="{37B23FF0-2AE6-4D58-9DD2-EED7803DC560}"/>
    <cellStyle name="Normal 5 2 12" xfId="4780" xr:uid="{00000000-0005-0000-0000-0000F1160000}"/>
    <cellStyle name="Normal 5 2 12 2" xfId="21671" xr:uid="{932D1281-C5B4-4606-978B-72C1C98669C1}"/>
    <cellStyle name="Normal 5 2 12 3" xfId="13230" xr:uid="{085F4277-720E-4F96-9842-28F85516C533}"/>
    <cellStyle name="Normal 5 2 13" xfId="17453" xr:uid="{309F1692-243A-4BFB-85BB-E21567591279}"/>
    <cellStyle name="Normal 5 2 14" xfId="9012" xr:uid="{D6DFB125-A1F0-433C-8E44-E3ADBE0270FA}"/>
    <cellStyle name="Normal 5 2 15" xfId="25769" xr:uid="{BC5D4AD8-02B6-4FA1-B7B3-9500E5920039}"/>
    <cellStyle name="Normal 5 2 2" xfId="408" xr:uid="{00000000-0005-0000-0000-0000F2160000}"/>
    <cellStyle name="Normal 5 2 2 10" xfId="2563" xr:uid="{00000000-0005-0000-0000-0000F3160000}"/>
    <cellStyle name="Normal 5 2 2 10 2" xfId="6846" xr:uid="{00000000-0005-0000-0000-0000F4160000}"/>
    <cellStyle name="Normal 5 2 2 10 2 2" xfId="23737" xr:uid="{08411E36-39EF-47C3-BC59-E4E2E81F948F}"/>
    <cellStyle name="Normal 5 2 2 10 2 3" xfId="15296" xr:uid="{7313A2D4-7E00-4E23-AB70-1C4E8DC45C0C}"/>
    <cellStyle name="Normal 5 2 2 10 3" xfId="19519" xr:uid="{119E0DF4-2508-425F-84FE-7B524386CEFE}"/>
    <cellStyle name="Normal 5 2 2 10 4" xfId="11078" xr:uid="{08DD474A-94C5-4DF8-B67F-71CC9E1AFDFF}"/>
    <cellStyle name="Normal 5 2 2 11" xfId="4781" xr:uid="{00000000-0005-0000-0000-0000F5160000}"/>
    <cellStyle name="Normal 5 2 2 11 2" xfId="21672" xr:uid="{B878DB25-33F8-4E5F-A57D-9CB15ECA955D}"/>
    <cellStyle name="Normal 5 2 2 11 3" xfId="13231" xr:uid="{E208E485-64A9-4295-A54C-729D7E6238A7}"/>
    <cellStyle name="Normal 5 2 2 12" xfId="17454" xr:uid="{9DF15154-9EBB-461F-AA7F-E7E74C6430AC}"/>
    <cellStyle name="Normal 5 2 2 13" xfId="9013" xr:uid="{FC7A26DF-13C8-4D24-83E0-78AF76B26FF3}"/>
    <cellStyle name="Normal 5 2 2 14" xfId="25770" xr:uid="{F2D0A626-1009-49D1-B997-10AA6241A2F7}"/>
    <cellStyle name="Normal 5 2 2 2" xfId="409" xr:uid="{00000000-0005-0000-0000-0000F6160000}"/>
    <cellStyle name="Normal 5 2 2 2 10" xfId="4782" xr:uid="{00000000-0005-0000-0000-0000F7160000}"/>
    <cellStyle name="Normal 5 2 2 2 10 2" xfId="21673" xr:uid="{C3AD9E6E-6200-4E4C-B9E5-EE371A2823A9}"/>
    <cellStyle name="Normal 5 2 2 2 10 3" xfId="13232" xr:uid="{5B74C542-F0CC-48A3-80E9-75F4991A1C0C}"/>
    <cellStyle name="Normal 5 2 2 2 11" xfId="17455" xr:uid="{CBCE8736-BFB5-425E-BB43-A2E7B6EE1264}"/>
    <cellStyle name="Normal 5 2 2 2 12" xfId="9014" xr:uid="{4D90347F-63E9-429A-B895-9BF0350322A3}"/>
    <cellStyle name="Normal 5 2 2 2 2" xfId="410" xr:uid="{00000000-0005-0000-0000-0000F8160000}"/>
    <cellStyle name="Normal 5 2 2 2 2 10" xfId="17456" xr:uid="{A980C384-06E1-4661-90DB-F9ABDB81CD93}"/>
    <cellStyle name="Normal 5 2 2 2 2 11" xfId="9015" xr:uid="{78B5D4D6-48F8-44F6-B721-2F8456B38054}"/>
    <cellStyle name="Normal 5 2 2 2 2 2" xfId="411" xr:uid="{00000000-0005-0000-0000-0000F9160000}"/>
    <cellStyle name="Normal 5 2 2 2 2 2 10" xfId="9016" xr:uid="{271C04F3-2743-45C8-BEDE-9A60F98D4343}"/>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24234" xr:uid="{2DDE12F8-53A2-409F-AD7B-6D70CE4DA506}"/>
    <cellStyle name="Normal 5 2 2 2 2 2 2 2 2 2 3" xfId="15793" xr:uid="{5A10DC29-CFAE-4C74-BDC6-7E0AD9B27C0F}"/>
    <cellStyle name="Normal 5 2 2 2 2 2 2 2 2 3" xfId="20016" xr:uid="{9F238D7B-42FB-4575-9B70-85591AF1AA34}"/>
    <cellStyle name="Normal 5 2 2 2 2 2 2 2 2 4" xfId="11575" xr:uid="{36D61290-5B74-4518-932D-6F2175F1D709}"/>
    <cellStyle name="Normal 5 2 2 2 2 2 2 2 3" xfId="5198" xr:uid="{00000000-0005-0000-0000-0000FE160000}"/>
    <cellStyle name="Normal 5 2 2 2 2 2 2 2 3 2" xfId="22089" xr:uid="{D5DE5842-FCE5-4AF5-A5BF-0BB5CD791ED1}"/>
    <cellStyle name="Normal 5 2 2 2 2 2 2 2 3 3" xfId="13648" xr:uid="{71EEC4D0-5D90-4484-BA53-29F1574D7E1D}"/>
    <cellStyle name="Normal 5 2 2 2 2 2 2 2 4" xfId="17871" xr:uid="{4D655DBC-C1EC-4840-9412-B5C65419A889}"/>
    <cellStyle name="Normal 5 2 2 2 2 2 2 2 5" xfId="9430" xr:uid="{36CF6FCE-73D6-4CC0-8C3C-A034ACA1A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24647" xr:uid="{6CFB2366-8AFC-4003-A72F-D52A8B4F14FB}"/>
    <cellStyle name="Normal 5 2 2 2 2 2 2 3 2 2 3" xfId="16206" xr:uid="{62453D57-FDA6-4777-805E-E93CA98C5C29}"/>
    <cellStyle name="Normal 5 2 2 2 2 2 2 3 2 3" xfId="20429" xr:uid="{449C0AD9-35B3-4FBB-A815-797462547DA0}"/>
    <cellStyle name="Normal 5 2 2 2 2 2 2 3 2 4" xfId="11988" xr:uid="{438975F2-1126-4F1D-B1CF-FA20FB83C359}"/>
    <cellStyle name="Normal 5 2 2 2 2 2 2 3 3" xfId="5611" xr:uid="{00000000-0005-0000-0000-000002170000}"/>
    <cellStyle name="Normal 5 2 2 2 2 2 2 3 3 2" xfId="22502" xr:uid="{312925D0-41F3-4408-996F-A8B0DBD0B072}"/>
    <cellStyle name="Normal 5 2 2 2 2 2 2 3 3 3" xfId="14061" xr:uid="{F76C1A5B-53BD-4227-9385-A2D3BDC277BE}"/>
    <cellStyle name="Normal 5 2 2 2 2 2 2 3 4" xfId="18284" xr:uid="{7C6ACEB9-8A45-4BDD-9604-6DFE98690B15}"/>
    <cellStyle name="Normal 5 2 2 2 2 2 2 3 5" xfId="9843" xr:uid="{97D101A7-B56B-4C6A-B6DE-0B3BB3C4A00F}"/>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25060" xr:uid="{AF282835-0985-4801-8109-B9BFD9AE5BC8}"/>
    <cellStyle name="Normal 5 2 2 2 2 2 2 4 2 2 3" xfId="16619" xr:uid="{932D2565-DEA1-4452-A6FB-E0504250EFD8}"/>
    <cellStyle name="Normal 5 2 2 2 2 2 2 4 2 3" xfId="20842" xr:uid="{4469C99A-F112-4246-8527-D42EF7F95274}"/>
    <cellStyle name="Normal 5 2 2 2 2 2 2 4 2 4" xfId="12401" xr:uid="{C382030A-3F31-453F-9D4F-BD844DA7D0DD}"/>
    <cellStyle name="Normal 5 2 2 2 2 2 2 4 3" xfId="6024" xr:uid="{00000000-0005-0000-0000-000006170000}"/>
    <cellStyle name="Normal 5 2 2 2 2 2 2 4 3 2" xfId="22915" xr:uid="{CF6B533E-FDA5-4BD4-80A3-F16BF7441053}"/>
    <cellStyle name="Normal 5 2 2 2 2 2 2 4 3 3" xfId="14474" xr:uid="{AC387641-BA97-459E-A977-9364B46F6B8C}"/>
    <cellStyle name="Normal 5 2 2 2 2 2 2 4 4" xfId="18697" xr:uid="{A305A7AB-BEA2-40B7-8B7E-B6B432539D39}"/>
    <cellStyle name="Normal 5 2 2 2 2 2 2 4 5" xfId="10256" xr:uid="{B8BB6AD9-04F8-47CB-936A-E247F9961E23}"/>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25473" xr:uid="{1F83DD4F-51DA-49AB-B57E-467985E4343B}"/>
    <cellStyle name="Normal 5 2 2 2 2 2 2 5 2 2 3" xfId="17032" xr:uid="{15070748-BE77-4210-AF40-4FEB684D270D}"/>
    <cellStyle name="Normal 5 2 2 2 2 2 2 5 2 3" xfId="21255" xr:uid="{8585CBFE-253C-4424-BD97-19E967DECCB1}"/>
    <cellStyle name="Normal 5 2 2 2 2 2 2 5 2 4" xfId="12814" xr:uid="{500BB7F3-9A25-4989-848E-3EA73D85DA57}"/>
    <cellStyle name="Normal 5 2 2 2 2 2 2 5 3" xfId="6437" xr:uid="{00000000-0005-0000-0000-00000A170000}"/>
    <cellStyle name="Normal 5 2 2 2 2 2 2 5 3 2" xfId="23328" xr:uid="{B730B10C-E7B9-496D-AB22-5BD65A581E9D}"/>
    <cellStyle name="Normal 5 2 2 2 2 2 2 5 3 3" xfId="14887" xr:uid="{D2544E67-A87A-4B46-A077-205ED1D44E45}"/>
    <cellStyle name="Normal 5 2 2 2 2 2 2 5 4" xfId="19110" xr:uid="{5D179B45-C0C0-475D-8FAC-D1DF2B4133D2}"/>
    <cellStyle name="Normal 5 2 2 2 2 2 2 5 5" xfId="10669" xr:uid="{CCBA9471-996D-42C5-A4DC-0854FFB2CC27}"/>
    <cellStyle name="Normal 5 2 2 2 2 2 2 6" xfId="2567" xr:uid="{00000000-0005-0000-0000-00000B170000}"/>
    <cellStyle name="Normal 5 2 2 2 2 2 2 6 2" xfId="6850" xr:uid="{00000000-0005-0000-0000-00000C170000}"/>
    <cellStyle name="Normal 5 2 2 2 2 2 2 6 2 2" xfId="23741" xr:uid="{37BC5B15-AA3E-493F-9A2C-07C670A8B773}"/>
    <cellStyle name="Normal 5 2 2 2 2 2 2 6 2 3" xfId="15300" xr:uid="{B89E6186-A0EF-4B01-8E6D-E1556113E2A5}"/>
    <cellStyle name="Normal 5 2 2 2 2 2 2 6 3" xfId="19523" xr:uid="{13C510ED-51CF-4BD0-8140-88ABDAFF2948}"/>
    <cellStyle name="Normal 5 2 2 2 2 2 2 6 4" xfId="11082" xr:uid="{F6A7E661-42F2-4634-8ECF-A3E3C931F4FA}"/>
    <cellStyle name="Normal 5 2 2 2 2 2 2 7" xfId="4785" xr:uid="{00000000-0005-0000-0000-00000D170000}"/>
    <cellStyle name="Normal 5 2 2 2 2 2 2 7 2" xfId="21676" xr:uid="{D8C696E6-4404-49D7-9307-CA4A2C5F4115}"/>
    <cellStyle name="Normal 5 2 2 2 2 2 2 7 3" xfId="13235" xr:uid="{F0EF60F1-C0D8-4594-930B-FCD01FFE34FF}"/>
    <cellStyle name="Normal 5 2 2 2 2 2 2 8" xfId="17458" xr:uid="{45A395F5-2E34-4AAF-B83E-236F65620E3C}"/>
    <cellStyle name="Normal 5 2 2 2 2 2 2 9" xfId="9017" xr:uid="{9FEAF37F-B76B-4E8A-AEE2-1723A701FC51}"/>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24233" xr:uid="{7DF81501-432F-4F79-942B-F637F30F7FE4}"/>
    <cellStyle name="Normal 5 2 2 2 2 2 3 2 2 3" xfId="15792" xr:uid="{F0953897-87AA-48BE-BDFB-FB9250E11D55}"/>
    <cellStyle name="Normal 5 2 2 2 2 2 3 2 3" xfId="20015" xr:uid="{7BF1C7C8-1165-4797-AF4A-B9B46432B980}"/>
    <cellStyle name="Normal 5 2 2 2 2 2 3 2 4" xfId="11574" xr:uid="{43932EA5-E89C-4672-BF49-5F868AE98B3B}"/>
    <cellStyle name="Normal 5 2 2 2 2 2 3 3" xfId="5197" xr:uid="{00000000-0005-0000-0000-000011170000}"/>
    <cellStyle name="Normal 5 2 2 2 2 2 3 3 2" xfId="22088" xr:uid="{F6BB4D1E-CC98-4D3A-B188-DBD00D1E7840}"/>
    <cellStyle name="Normal 5 2 2 2 2 2 3 3 3" xfId="13647" xr:uid="{8CAF6B86-8D3F-454E-A628-B539F6FBB19D}"/>
    <cellStyle name="Normal 5 2 2 2 2 2 3 4" xfId="17870" xr:uid="{FA331C82-E95B-4E49-8786-F6497BB562BC}"/>
    <cellStyle name="Normal 5 2 2 2 2 2 3 5" xfId="9429" xr:uid="{5C5B0DC3-5A7B-4127-A11D-68919EF38D5F}"/>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24646" xr:uid="{DC3A639F-3F0D-40D5-AB88-256DEE75DA97}"/>
    <cellStyle name="Normal 5 2 2 2 2 2 4 2 2 3" xfId="16205" xr:uid="{6F84B3FE-0623-4477-8028-3E3A8960DB34}"/>
    <cellStyle name="Normal 5 2 2 2 2 2 4 2 3" xfId="20428" xr:uid="{A0BD4776-C2CC-4D35-889F-735EE94F30CE}"/>
    <cellStyle name="Normal 5 2 2 2 2 2 4 2 4" xfId="11987" xr:uid="{06472287-12C0-4C9F-B7A0-1507EE8D2AFA}"/>
    <cellStyle name="Normal 5 2 2 2 2 2 4 3" xfId="5610" xr:uid="{00000000-0005-0000-0000-000015170000}"/>
    <cellStyle name="Normal 5 2 2 2 2 2 4 3 2" xfId="22501" xr:uid="{3DE23247-ECED-4AB9-A79B-75256BD66D72}"/>
    <cellStyle name="Normal 5 2 2 2 2 2 4 3 3" xfId="14060" xr:uid="{9996D2FC-7256-4CB4-96F3-CE1D155563B6}"/>
    <cellStyle name="Normal 5 2 2 2 2 2 4 4" xfId="18283" xr:uid="{2A28E2A9-4E44-4F73-9437-EFB94B5D01AD}"/>
    <cellStyle name="Normal 5 2 2 2 2 2 4 5" xfId="9842" xr:uid="{F806925B-637F-43BD-ACE6-E737B809A8A9}"/>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25059" xr:uid="{12D92329-4F8F-4D7A-A6DB-AF382215776F}"/>
    <cellStyle name="Normal 5 2 2 2 2 2 5 2 2 3" xfId="16618" xr:uid="{DF10B51F-E0A0-47A1-BC78-E927B0F6D7CD}"/>
    <cellStyle name="Normal 5 2 2 2 2 2 5 2 3" xfId="20841" xr:uid="{D0280462-E832-44DD-B4C6-477AEE4CC689}"/>
    <cellStyle name="Normal 5 2 2 2 2 2 5 2 4" xfId="12400" xr:uid="{4F5877E2-C099-4C93-A2ED-56856F9CB2E7}"/>
    <cellStyle name="Normal 5 2 2 2 2 2 5 3" xfId="6023" xr:uid="{00000000-0005-0000-0000-000019170000}"/>
    <cellStyle name="Normal 5 2 2 2 2 2 5 3 2" xfId="22914" xr:uid="{69650039-97E4-4AD1-B426-66DB814EC32D}"/>
    <cellStyle name="Normal 5 2 2 2 2 2 5 3 3" xfId="14473" xr:uid="{DD2B1F1F-337E-423E-B93A-67E84BFD1F3B}"/>
    <cellStyle name="Normal 5 2 2 2 2 2 5 4" xfId="18696" xr:uid="{598E501F-C04B-493C-8063-9FAD35C8B49D}"/>
    <cellStyle name="Normal 5 2 2 2 2 2 5 5" xfId="10255" xr:uid="{2C965967-9B8E-4C90-90EB-96EDDD8587BF}"/>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25472" xr:uid="{9CC64F49-0BCA-4A12-9FEA-C19D69FD5A8B}"/>
    <cellStyle name="Normal 5 2 2 2 2 2 6 2 2 3" xfId="17031" xr:uid="{7E69CBB3-B92B-4E11-9E59-D56F8A10B7F7}"/>
    <cellStyle name="Normal 5 2 2 2 2 2 6 2 3" xfId="21254" xr:uid="{2AB3BE47-5C78-4C59-B1A5-30886ECD04E6}"/>
    <cellStyle name="Normal 5 2 2 2 2 2 6 2 4" xfId="12813" xr:uid="{C8B3055E-1EF5-4A05-9EA8-9042193CBB2A}"/>
    <cellStyle name="Normal 5 2 2 2 2 2 6 3" xfId="6436" xr:uid="{00000000-0005-0000-0000-00001D170000}"/>
    <cellStyle name="Normal 5 2 2 2 2 2 6 3 2" xfId="23327" xr:uid="{CC413E35-8D2F-4F85-9FC4-D50430ED9F2C}"/>
    <cellStyle name="Normal 5 2 2 2 2 2 6 3 3" xfId="14886" xr:uid="{5EFADF33-483E-4987-9B4D-91678A4596FB}"/>
    <cellStyle name="Normal 5 2 2 2 2 2 6 4" xfId="19109" xr:uid="{F1CA46C9-FB5B-44E5-AC52-47D0577D96B7}"/>
    <cellStyle name="Normal 5 2 2 2 2 2 6 5" xfId="10668" xr:uid="{90C7ED82-33EF-40CB-8026-527021DC2E13}"/>
    <cellStyle name="Normal 5 2 2 2 2 2 7" xfId="2566" xr:uid="{00000000-0005-0000-0000-00001E170000}"/>
    <cellStyle name="Normal 5 2 2 2 2 2 7 2" xfId="6849" xr:uid="{00000000-0005-0000-0000-00001F170000}"/>
    <cellStyle name="Normal 5 2 2 2 2 2 7 2 2" xfId="23740" xr:uid="{67769531-FA53-42A5-82F7-AC21FFD643EC}"/>
    <cellStyle name="Normal 5 2 2 2 2 2 7 2 3" xfId="15299" xr:uid="{50C4732E-2ED2-418A-BCF6-1346E24D9FD6}"/>
    <cellStyle name="Normal 5 2 2 2 2 2 7 3" xfId="19522" xr:uid="{3EFF881B-711A-41B3-8A6B-CDA09499B393}"/>
    <cellStyle name="Normal 5 2 2 2 2 2 7 4" xfId="11081" xr:uid="{F6DB29EA-E6D1-4736-B30B-C7A63FEB02F6}"/>
    <cellStyle name="Normal 5 2 2 2 2 2 8" xfId="4784" xr:uid="{00000000-0005-0000-0000-000020170000}"/>
    <cellStyle name="Normal 5 2 2 2 2 2 8 2" xfId="21675" xr:uid="{B336755C-3E28-44FD-B9ED-BFC77C829980}"/>
    <cellStyle name="Normal 5 2 2 2 2 2 8 3" xfId="13234" xr:uid="{AECCAECC-299E-46A0-8B93-8D737E2737BE}"/>
    <cellStyle name="Normal 5 2 2 2 2 2 9" xfId="17457" xr:uid="{0CBFA2A8-E4A7-47E6-9BA4-96C7EE6534D4}"/>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24235" xr:uid="{7DDB1036-DB24-46CC-A263-662200474FBE}"/>
    <cellStyle name="Normal 5 2 2 2 2 3 2 2 2 3" xfId="15794" xr:uid="{95D2DD68-D35A-4A4D-8D35-54C828E339A3}"/>
    <cellStyle name="Normal 5 2 2 2 2 3 2 2 3" xfId="20017" xr:uid="{0785EDAA-FA44-4318-8FF4-7C29B01397B5}"/>
    <cellStyle name="Normal 5 2 2 2 2 3 2 2 4" xfId="11576" xr:uid="{88E71BEF-0A80-471D-BDED-8BCDED93FD6F}"/>
    <cellStyle name="Normal 5 2 2 2 2 3 2 3" xfId="5199" xr:uid="{00000000-0005-0000-0000-000025170000}"/>
    <cellStyle name="Normal 5 2 2 2 2 3 2 3 2" xfId="22090" xr:uid="{1202D460-D61F-4FE7-A50E-928F6BC17736}"/>
    <cellStyle name="Normal 5 2 2 2 2 3 2 3 3" xfId="13649" xr:uid="{6CE5EBC9-4D00-424F-849B-940C0BEAF6B1}"/>
    <cellStyle name="Normal 5 2 2 2 2 3 2 4" xfId="17872" xr:uid="{02B4A5EC-1775-483F-91A0-D1BE2276780A}"/>
    <cellStyle name="Normal 5 2 2 2 2 3 2 5" xfId="9431" xr:uid="{92C0C08D-4FFB-489B-A450-6D91082CFF49}"/>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24648" xr:uid="{AA28439E-513F-4771-AFCE-BB8A688170B5}"/>
    <cellStyle name="Normal 5 2 2 2 2 3 3 2 2 3" xfId="16207" xr:uid="{293A2F11-543D-4E15-9323-B0F78409E0C5}"/>
    <cellStyle name="Normal 5 2 2 2 2 3 3 2 3" xfId="20430" xr:uid="{96677A21-E0D9-4384-B1BF-4409A1961636}"/>
    <cellStyle name="Normal 5 2 2 2 2 3 3 2 4" xfId="11989" xr:uid="{0BB40FCD-4D2B-4A57-B1D7-07F8A60EC17D}"/>
    <cellStyle name="Normal 5 2 2 2 2 3 3 3" xfId="5612" xr:uid="{00000000-0005-0000-0000-000029170000}"/>
    <cellStyle name="Normal 5 2 2 2 2 3 3 3 2" xfId="22503" xr:uid="{F8D49407-E3F9-4D31-8B87-0ECF754A2A3E}"/>
    <cellStyle name="Normal 5 2 2 2 2 3 3 3 3" xfId="14062" xr:uid="{DC8937A7-1FDF-424E-8965-A7DCB8C97FE5}"/>
    <cellStyle name="Normal 5 2 2 2 2 3 3 4" xfId="18285" xr:uid="{5FE28D15-BE97-4A72-A318-3C62C0ADB9FB}"/>
    <cellStyle name="Normal 5 2 2 2 2 3 3 5" xfId="9844" xr:uid="{3E146A9F-023D-4735-BC8F-F5405DCACB99}"/>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25061" xr:uid="{C6FBE251-E88E-4E33-A705-BF0766D926F4}"/>
    <cellStyle name="Normal 5 2 2 2 2 3 4 2 2 3" xfId="16620" xr:uid="{08847843-8D8F-4C1D-9BB3-F5FDD5B6CB4B}"/>
    <cellStyle name="Normal 5 2 2 2 2 3 4 2 3" xfId="20843" xr:uid="{4C2DDF90-7A93-4BDE-82D8-9B2CB61ED807}"/>
    <cellStyle name="Normal 5 2 2 2 2 3 4 2 4" xfId="12402" xr:uid="{85312541-0169-494D-8FB9-C1D55B9009B1}"/>
    <cellStyle name="Normal 5 2 2 2 2 3 4 3" xfId="6025" xr:uid="{00000000-0005-0000-0000-00002D170000}"/>
    <cellStyle name="Normal 5 2 2 2 2 3 4 3 2" xfId="22916" xr:uid="{AE1E4210-B8C0-4DAB-AA4F-0E4091E26F30}"/>
    <cellStyle name="Normal 5 2 2 2 2 3 4 3 3" xfId="14475" xr:uid="{6BE522B7-2060-4771-97B9-F290ED21AC60}"/>
    <cellStyle name="Normal 5 2 2 2 2 3 4 4" xfId="18698" xr:uid="{22BF458D-AB48-4EEA-86D9-B1A49DCEFB86}"/>
    <cellStyle name="Normal 5 2 2 2 2 3 4 5" xfId="10257" xr:uid="{B2016881-C880-46C2-9104-9397A2D32C57}"/>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25474" xr:uid="{387B7012-9682-4719-BA0C-2681862A831A}"/>
    <cellStyle name="Normal 5 2 2 2 2 3 5 2 2 3" xfId="17033" xr:uid="{E223188C-077F-48C2-A0E2-A1225412BFE1}"/>
    <cellStyle name="Normal 5 2 2 2 2 3 5 2 3" xfId="21256" xr:uid="{A2C5A500-385E-4326-9D24-C03CA29A40C4}"/>
    <cellStyle name="Normal 5 2 2 2 2 3 5 2 4" xfId="12815" xr:uid="{DA5D7099-84FF-4027-A0B5-0CD4DA59FDCF}"/>
    <cellStyle name="Normal 5 2 2 2 2 3 5 3" xfId="6438" xr:uid="{00000000-0005-0000-0000-000031170000}"/>
    <cellStyle name="Normal 5 2 2 2 2 3 5 3 2" xfId="23329" xr:uid="{86FA8853-6374-46A6-AE08-01AFEF46D22F}"/>
    <cellStyle name="Normal 5 2 2 2 2 3 5 3 3" xfId="14888" xr:uid="{21DF3CF9-C0C0-4D61-8431-CB2F7929E295}"/>
    <cellStyle name="Normal 5 2 2 2 2 3 5 4" xfId="19111" xr:uid="{C3E3E4ED-8473-4E59-A0F1-30C76B36AFBF}"/>
    <cellStyle name="Normal 5 2 2 2 2 3 5 5" xfId="10670" xr:uid="{C52EC83D-6A8E-4409-87D6-9C2B77731EA9}"/>
    <cellStyle name="Normal 5 2 2 2 2 3 6" xfId="2568" xr:uid="{00000000-0005-0000-0000-000032170000}"/>
    <cellStyle name="Normal 5 2 2 2 2 3 6 2" xfId="6851" xr:uid="{00000000-0005-0000-0000-000033170000}"/>
    <cellStyle name="Normal 5 2 2 2 2 3 6 2 2" xfId="23742" xr:uid="{D48B61E1-38B9-44E9-A9C2-4687D52EF33D}"/>
    <cellStyle name="Normal 5 2 2 2 2 3 6 2 3" xfId="15301" xr:uid="{D4AE7369-5090-41DC-A3A7-FE2BC8DF4E4F}"/>
    <cellStyle name="Normal 5 2 2 2 2 3 6 3" xfId="19524" xr:uid="{6BFD4CD8-D5A1-4445-8403-85CFD30D3C5B}"/>
    <cellStyle name="Normal 5 2 2 2 2 3 6 4" xfId="11083" xr:uid="{E73C52A8-FB21-4C89-8B6D-9C4E97CEDD95}"/>
    <cellStyle name="Normal 5 2 2 2 2 3 7" xfId="4786" xr:uid="{00000000-0005-0000-0000-000034170000}"/>
    <cellStyle name="Normal 5 2 2 2 2 3 7 2" xfId="21677" xr:uid="{C857818C-4BD0-42D1-B86E-B41BF6AD9612}"/>
    <cellStyle name="Normal 5 2 2 2 2 3 7 3" xfId="13236" xr:uid="{DCCA56BE-6526-4367-810A-FD5AA746C012}"/>
    <cellStyle name="Normal 5 2 2 2 2 3 8" xfId="17459" xr:uid="{047B9A05-65E5-4A7C-A287-9BEEA65E57B3}"/>
    <cellStyle name="Normal 5 2 2 2 2 3 9" xfId="9018" xr:uid="{F81D607B-FEB0-4BA0-8137-FDBED413433B}"/>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24232" xr:uid="{C72A7650-AC2B-41C1-A562-795AB0C5DC50}"/>
    <cellStyle name="Normal 5 2 2 2 2 4 2 2 3" xfId="15791" xr:uid="{882384C1-E45E-4CFF-92ED-AF2610D6AA91}"/>
    <cellStyle name="Normal 5 2 2 2 2 4 2 3" xfId="20014" xr:uid="{DF12DF00-482F-41F4-BE2E-6AF0DD64C6B8}"/>
    <cellStyle name="Normal 5 2 2 2 2 4 2 4" xfId="11573" xr:uid="{58CBD67E-57AB-43A3-BD58-191B55245E35}"/>
    <cellStyle name="Normal 5 2 2 2 2 4 3" xfId="5196" xr:uid="{00000000-0005-0000-0000-000038170000}"/>
    <cellStyle name="Normal 5 2 2 2 2 4 3 2" xfId="22087" xr:uid="{D3124E6B-8E0A-493A-945B-FD209A8283A3}"/>
    <cellStyle name="Normal 5 2 2 2 2 4 3 3" xfId="13646" xr:uid="{C842E3BA-E136-4E98-B7E2-A9EC72CBD0AC}"/>
    <cellStyle name="Normal 5 2 2 2 2 4 4" xfId="17869" xr:uid="{52E3834E-E49D-4ED8-BEDE-D9B5C4E1C8B7}"/>
    <cellStyle name="Normal 5 2 2 2 2 4 5" xfId="9428" xr:uid="{AE852F5D-4E3B-4D19-81D0-D218B421C52F}"/>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24645" xr:uid="{A5BABF12-4A40-4681-8CA1-1CB2691EEAC9}"/>
    <cellStyle name="Normal 5 2 2 2 2 5 2 2 3" xfId="16204" xr:uid="{B4179A5D-C821-48B6-BAC5-7AC9E84B9CF6}"/>
    <cellStyle name="Normal 5 2 2 2 2 5 2 3" xfId="20427" xr:uid="{E95AF2BC-779B-4308-8CD3-D725FF980E0B}"/>
    <cellStyle name="Normal 5 2 2 2 2 5 2 4" xfId="11986" xr:uid="{1C99A01E-B72F-4844-BA74-9CFE651857C9}"/>
    <cellStyle name="Normal 5 2 2 2 2 5 3" xfId="5609" xr:uid="{00000000-0005-0000-0000-00003C170000}"/>
    <cellStyle name="Normal 5 2 2 2 2 5 3 2" xfId="22500" xr:uid="{F462FF3A-20BC-45F4-87F3-DEFD4DC321DB}"/>
    <cellStyle name="Normal 5 2 2 2 2 5 3 3" xfId="14059" xr:uid="{DA973ECA-A817-4953-9020-B405A7EF70B5}"/>
    <cellStyle name="Normal 5 2 2 2 2 5 4" xfId="18282" xr:uid="{E1F3BEDA-B01C-4C8C-8441-D7CBDE8A9290}"/>
    <cellStyle name="Normal 5 2 2 2 2 5 5" xfId="9841" xr:uid="{BBE7D259-BD2B-4A07-9E70-07FC7F3B213A}"/>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25058" xr:uid="{9587A32C-6BB6-4089-950D-50D15F6CAB7E}"/>
    <cellStyle name="Normal 5 2 2 2 2 6 2 2 3" xfId="16617" xr:uid="{6F0CDF57-012C-46F1-8922-66C6230904EA}"/>
    <cellStyle name="Normal 5 2 2 2 2 6 2 3" xfId="20840" xr:uid="{084EE9EF-0144-4491-98CC-9B1DDDFBE75F}"/>
    <cellStyle name="Normal 5 2 2 2 2 6 2 4" xfId="12399" xr:uid="{313E94BF-F4FA-424B-BF98-71AAF5BA9B52}"/>
    <cellStyle name="Normal 5 2 2 2 2 6 3" xfId="6022" xr:uid="{00000000-0005-0000-0000-000040170000}"/>
    <cellStyle name="Normal 5 2 2 2 2 6 3 2" xfId="22913" xr:uid="{E0C48059-0EBE-48AC-9F9A-E8713BD05786}"/>
    <cellStyle name="Normal 5 2 2 2 2 6 3 3" xfId="14472" xr:uid="{DE52876C-44AA-4FB3-9CD6-DE8B3D19504B}"/>
    <cellStyle name="Normal 5 2 2 2 2 6 4" xfId="18695" xr:uid="{5D8A2CBD-A2CC-410F-88C8-8DE3007D0905}"/>
    <cellStyle name="Normal 5 2 2 2 2 6 5" xfId="10254" xr:uid="{31795C9B-97D7-4DAC-8803-6B07916A936F}"/>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25471" xr:uid="{9339B433-7BCC-4940-BB8F-C343314FBA3E}"/>
    <cellStyle name="Normal 5 2 2 2 2 7 2 2 3" xfId="17030" xr:uid="{704445B8-A30E-4370-A06D-811D9A814DB5}"/>
    <cellStyle name="Normal 5 2 2 2 2 7 2 3" xfId="21253" xr:uid="{A65233F8-FB19-4307-BBF1-E2127B67FC76}"/>
    <cellStyle name="Normal 5 2 2 2 2 7 2 4" xfId="12812" xr:uid="{34E37BEB-2E83-4F9C-BD76-FFCBA6C5EBF4}"/>
    <cellStyle name="Normal 5 2 2 2 2 7 3" xfId="6435" xr:uid="{00000000-0005-0000-0000-000044170000}"/>
    <cellStyle name="Normal 5 2 2 2 2 7 3 2" xfId="23326" xr:uid="{5A16E49F-14D2-4F24-89B3-552B9B2BBA75}"/>
    <cellStyle name="Normal 5 2 2 2 2 7 3 3" xfId="14885" xr:uid="{EA52D0AF-A691-47A3-8E53-D664E0F4C6EB}"/>
    <cellStyle name="Normal 5 2 2 2 2 7 4" xfId="19108" xr:uid="{D08C731C-4797-4404-866B-07B6404C1FF9}"/>
    <cellStyle name="Normal 5 2 2 2 2 7 5" xfId="10667" xr:uid="{4E7F4F54-152B-4F20-B935-41ACB7B7EC02}"/>
    <cellStyle name="Normal 5 2 2 2 2 8" xfId="2565" xr:uid="{00000000-0005-0000-0000-000045170000}"/>
    <cellStyle name="Normal 5 2 2 2 2 8 2" xfId="6848" xr:uid="{00000000-0005-0000-0000-000046170000}"/>
    <cellStyle name="Normal 5 2 2 2 2 8 2 2" xfId="23739" xr:uid="{01416045-CDA1-409C-BE1A-31CBD74D7659}"/>
    <cellStyle name="Normal 5 2 2 2 2 8 2 3" xfId="15298" xr:uid="{D1A4C689-79CF-4006-A606-AF5DC30B16BF}"/>
    <cellStyle name="Normal 5 2 2 2 2 8 3" xfId="19521" xr:uid="{D8AD190C-1DDE-4568-BA4E-CC36BAE92CC0}"/>
    <cellStyle name="Normal 5 2 2 2 2 8 4" xfId="11080" xr:uid="{80D6B6A4-2E18-442C-B8D5-78B3CE34E4F9}"/>
    <cellStyle name="Normal 5 2 2 2 2 9" xfId="4783" xr:uid="{00000000-0005-0000-0000-000047170000}"/>
    <cellStyle name="Normal 5 2 2 2 2 9 2" xfId="21674" xr:uid="{28383ECC-ABCD-4D35-B306-2AC45C796B77}"/>
    <cellStyle name="Normal 5 2 2 2 2 9 3" xfId="13233" xr:uid="{DEA46F54-899B-444B-8222-E0F8D1E21344}"/>
    <cellStyle name="Normal 5 2 2 2 3" xfId="414" xr:uid="{00000000-0005-0000-0000-000048170000}"/>
    <cellStyle name="Normal 5 2 2 2 3 10" xfId="9019" xr:uid="{A01D29F6-B582-4310-B465-3261052F951B}"/>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24237" xr:uid="{1597614E-08A3-4F90-B974-C57400A90BFB}"/>
    <cellStyle name="Normal 5 2 2 2 3 2 2 2 2 3" xfId="15796" xr:uid="{B95B4F2B-63F0-4B4C-ACF8-7031A2A4EEFB}"/>
    <cellStyle name="Normal 5 2 2 2 3 2 2 2 3" xfId="20019" xr:uid="{4097A873-6D8A-4712-AB14-4C2C222E2E0E}"/>
    <cellStyle name="Normal 5 2 2 2 3 2 2 2 4" xfId="11578" xr:uid="{C4721B64-5C81-4445-8292-AB49CEDE7532}"/>
    <cellStyle name="Normal 5 2 2 2 3 2 2 3" xfId="5201" xr:uid="{00000000-0005-0000-0000-00004D170000}"/>
    <cellStyle name="Normal 5 2 2 2 3 2 2 3 2" xfId="22092" xr:uid="{92D271B5-E64D-45AF-9D0C-13496E058B73}"/>
    <cellStyle name="Normal 5 2 2 2 3 2 2 3 3" xfId="13651" xr:uid="{32BCB167-15FE-44A3-9B87-9383FF815C8A}"/>
    <cellStyle name="Normal 5 2 2 2 3 2 2 4" xfId="17874" xr:uid="{9FADF339-77B3-4FF4-ABDE-07883DD92D2B}"/>
    <cellStyle name="Normal 5 2 2 2 3 2 2 5" xfId="9433" xr:uid="{8E51E3CB-53F6-4180-A34F-34AF799DBA49}"/>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24650" xr:uid="{C6CDEAD3-30EA-43A2-9631-0BE17F1EBD6C}"/>
    <cellStyle name="Normal 5 2 2 2 3 2 3 2 2 3" xfId="16209" xr:uid="{90E9C1B7-E332-4B19-82DB-EA3A0E7981B3}"/>
    <cellStyle name="Normal 5 2 2 2 3 2 3 2 3" xfId="20432" xr:uid="{066F930E-11FA-4878-9B1E-4D0CCBABC65D}"/>
    <cellStyle name="Normal 5 2 2 2 3 2 3 2 4" xfId="11991" xr:uid="{69428C76-5157-4155-9782-8F0412EA26ED}"/>
    <cellStyle name="Normal 5 2 2 2 3 2 3 3" xfId="5614" xr:uid="{00000000-0005-0000-0000-000051170000}"/>
    <cellStyle name="Normal 5 2 2 2 3 2 3 3 2" xfId="22505" xr:uid="{CA3AB2FC-A4C7-4DE0-BE39-242BCB98C075}"/>
    <cellStyle name="Normal 5 2 2 2 3 2 3 3 3" xfId="14064" xr:uid="{215C2E8F-B57C-42F8-B159-24D793FE5F00}"/>
    <cellStyle name="Normal 5 2 2 2 3 2 3 4" xfId="18287" xr:uid="{0CD60112-554D-4597-955A-9F1F4073DB53}"/>
    <cellStyle name="Normal 5 2 2 2 3 2 3 5" xfId="9846" xr:uid="{CA71900F-E6DC-4046-B01D-B4ECCE19532B}"/>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25063" xr:uid="{F19DFA9F-95EF-4485-A85C-01A41FC6E399}"/>
    <cellStyle name="Normal 5 2 2 2 3 2 4 2 2 3" xfId="16622" xr:uid="{D15AA2BD-34E8-4346-8F20-3C20B8F8B856}"/>
    <cellStyle name="Normal 5 2 2 2 3 2 4 2 3" xfId="20845" xr:uid="{225D8DCE-8BC6-49C7-92C4-FADD9A0D91AC}"/>
    <cellStyle name="Normal 5 2 2 2 3 2 4 2 4" xfId="12404" xr:uid="{020A074C-FB8C-45DE-9584-51494AA061AE}"/>
    <cellStyle name="Normal 5 2 2 2 3 2 4 3" xfId="6027" xr:uid="{00000000-0005-0000-0000-000055170000}"/>
    <cellStyle name="Normal 5 2 2 2 3 2 4 3 2" xfId="22918" xr:uid="{F8A33B35-5D41-4718-A76F-6F53F9017DE4}"/>
    <cellStyle name="Normal 5 2 2 2 3 2 4 3 3" xfId="14477" xr:uid="{9B491265-7AE6-4419-A781-52875F72B03F}"/>
    <cellStyle name="Normal 5 2 2 2 3 2 4 4" xfId="18700" xr:uid="{AB289983-A170-4766-8762-8C93D700CAAF}"/>
    <cellStyle name="Normal 5 2 2 2 3 2 4 5" xfId="10259" xr:uid="{B6A03C3A-8D9C-406F-8180-FD863A7B90EC}"/>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25476" xr:uid="{1D50EC1E-87D8-4B8A-AA8F-781235C7FC47}"/>
    <cellStyle name="Normal 5 2 2 2 3 2 5 2 2 3" xfId="17035" xr:uid="{D3E6F5EE-9827-423D-A9A1-6B2B193E3975}"/>
    <cellStyle name="Normal 5 2 2 2 3 2 5 2 3" xfId="21258" xr:uid="{D0C93020-7827-4C2E-9759-C556642514EF}"/>
    <cellStyle name="Normal 5 2 2 2 3 2 5 2 4" xfId="12817" xr:uid="{20BE5D20-5D5B-409F-8017-646F5ECE43B0}"/>
    <cellStyle name="Normal 5 2 2 2 3 2 5 3" xfId="6440" xr:uid="{00000000-0005-0000-0000-000059170000}"/>
    <cellStyle name="Normal 5 2 2 2 3 2 5 3 2" xfId="23331" xr:uid="{920D5EAE-1380-463C-8226-A8F526BB32A4}"/>
    <cellStyle name="Normal 5 2 2 2 3 2 5 3 3" xfId="14890" xr:uid="{5A5F91B2-1B62-4875-827F-C563B8299EE4}"/>
    <cellStyle name="Normal 5 2 2 2 3 2 5 4" xfId="19113" xr:uid="{0FEBD29C-6EDF-40CA-BD5C-58A120A7A24C}"/>
    <cellStyle name="Normal 5 2 2 2 3 2 5 5" xfId="10672" xr:uid="{66FAA533-CE3E-4AEA-AE6B-4F7BAF08BA3C}"/>
    <cellStyle name="Normal 5 2 2 2 3 2 6" xfId="2570" xr:uid="{00000000-0005-0000-0000-00005A170000}"/>
    <cellStyle name="Normal 5 2 2 2 3 2 6 2" xfId="6853" xr:uid="{00000000-0005-0000-0000-00005B170000}"/>
    <cellStyle name="Normal 5 2 2 2 3 2 6 2 2" xfId="23744" xr:uid="{F94B77F8-8A70-4776-978E-865621437EAF}"/>
    <cellStyle name="Normal 5 2 2 2 3 2 6 2 3" xfId="15303" xr:uid="{9CC6B301-FAA7-4770-BEB4-BF4FF5AB5FA2}"/>
    <cellStyle name="Normal 5 2 2 2 3 2 6 3" xfId="19526" xr:uid="{3AB854A9-80D9-4C2C-BC8E-1BC1E8660555}"/>
    <cellStyle name="Normal 5 2 2 2 3 2 6 4" xfId="11085" xr:uid="{3F1D59A7-20FA-4266-B97A-8F06214E04BB}"/>
    <cellStyle name="Normal 5 2 2 2 3 2 7" xfId="4788" xr:uid="{00000000-0005-0000-0000-00005C170000}"/>
    <cellStyle name="Normal 5 2 2 2 3 2 7 2" xfId="21679" xr:uid="{D792414E-46E3-4FB3-9749-3F1E76FC916B}"/>
    <cellStyle name="Normal 5 2 2 2 3 2 7 3" xfId="13238" xr:uid="{75BC9CFB-72E6-4B2C-8B65-FA748012DDED}"/>
    <cellStyle name="Normal 5 2 2 2 3 2 8" xfId="17461" xr:uid="{830BF86D-0DA8-41A2-AE55-DC86DD940908}"/>
    <cellStyle name="Normal 5 2 2 2 3 2 9" xfId="9020" xr:uid="{FABAE697-CBF2-4DD9-A04A-F5A741E740D1}"/>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24236" xr:uid="{865C7450-9979-485A-96F5-E1F6A7EEC837}"/>
    <cellStyle name="Normal 5 2 2 2 3 3 2 2 3" xfId="15795" xr:uid="{D7B25485-4684-4F94-8BDE-A6020FBBFAD0}"/>
    <cellStyle name="Normal 5 2 2 2 3 3 2 3" xfId="20018" xr:uid="{A8C4CDB7-2162-46D2-84B8-9A2D1F8D501A}"/>
    <cellStyle name="Normal 5 2 2 2 3 3 2 4" xfId="11577" xr:uid="{3F894BCE-4FAA-43E3-91F4-97D33864A800}"/>
    <cellStyle name="Normal 5 2 2 2 3 3 3" xfId="5200" xr:uid="{00000000-0005-0000-0000-000060170000}"/>
    <cellStyle name="Normal 5 2 2 2 3 3 3 2" xfId="22091" xr:uid="{437633F1-8C24-41C6-BA6C-F2E094B41DA0}"/>
    <cellStyle name="Normal 5 2 2 2 3 3 3 3" xfId="13650" xr:uid="{5A619F0F-04B0-41CE-9AD6-CD1496CE5FAE}"/>
    <cellStyle name="Normal 5 2 2 2 3 3 4" xfId="17873" xr:uid="{66018816-E347-4B2A-B218-95D95A8CA2BC}"/>
    <cellStyle name="Normal 5 2 2 2 3 3 5" xfId="9432" xr:uid="{9E7A5903-1092-4E24-A424-6BB90F2785C7}"/>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24649" xr:uid="{DC61B3A5-02C2-4EE9-A1CB-D6CC9A627D92}"/>
    <cellStyle name="Normal 5 2 2 2 3 4 2 2 3" xfId="16208" xr:uid="{6C5A044E-6A32-4B11-9E56-5D5249EACA0A}"/>
    <cellStyle name="Normal 5 2 2 2 3 4 2 3" xfId="20431" xr:uid="{0139AA0B-A15F-4B43-8127-D9FF5F6DA01B}"/>
    <cellStyle name="Normal 5 2 2 2 3 4 2 4" xfId="11990" xr:uid="{BB5D965F-8E0E-4390-9C75-F69AAFEE2EAF}"/>
    <cellStyle name="Normal 5 2 2 2 3 4 3" xfId="5613" xr:uid="{00000000-0005-0000-0000-000064170000}"/>
    <cellStyle name="Normal 5 2 2 2 3 4 3 2" xfId="22504" xr:uid="{CFD984A1-279C-4C33-93E3-C9C77702AFDF}"/>
    <cellStyle name="Normal 5 2 2 2 3 4 3 3" xfId="14063" xr:uid="{FF58B928-26D6-4CFB-9F22-169F8C4F2E0B}"/>
    <cellStyle name="Normal 5 2 2 2 3 4 4" xfId="18286" xr:uid="{0A243F1C-321D-4EE6-973A-97F7DB28DFE8}"/>
    <cellStyle name="Normal 5 2 2 2 3 4 5" xfId="9845" xr:uid="{C595B0A9-A4B4-4218-8C86-04308D6206E2}"/>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25062" xr:uid="{FC4D3D6C-0A56-4C46-AC23-019F60554611}"/>
    <cellStyle name="Normal 5 2 2 2 3 5 2 2 3" xfId="16621" xr:uid="{5BD7CC4D-13BE-4A9A-99A7-9D4B1E10ED5E}"/>
    <cellStyle name="Normal 5 2 2 2 3 5 2 3" xfId="20844" xr:uid="{E0F31E24-C5AC-426F-A7C0-4274F35A5863}"/>
    <cellStyle name="Normal 5 2 2 2 3 5 2 4" xfId="12403" xr:uid="{F4D07AD5-6FE7-410B-85AF-13C8CDC5EA42}"/>
    <cellStyle name="Normal 5 2 2 2 3 5 3" xfId="6026" xr:uid="{00000000-0005-0000-0000-000068170000}"/>
    <cellStyle name="Normal 5 2 2 2 3 5 3 2" xfId="22917" xr:uid="{0DC00974-6E12-4C68-9565-BC68731E0012}"/>
    <cellStyle name="Normal 5 2 2 2 3 5 3 3" xfId="14476" xr:uid="{2F3744EB-0275-43D8-9D83-E12FF03429F8}"/>
    <cellStyle name="Normal 5 2 2 2 3 5 4" xfId="18699" xr:uid="{454C18EA-86CA-4A0C-B6D5-25D091ABC138}"/>
    <cellStyle name="Normal 5 2 2 2 3 5 5" xfId="10258" xr:uid="{24F052F0-186E-4C70-BE94-64817C1B666E}"/>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25475" xr:uid="{D5678FC5-F4F2-4129-8730-209A4F6F40E1}"/>
    <cellStyle name="Normal 5 2 2 2 3 6 2 2 3" xfId="17034" xr:uid="{18F9EE0B-EA97-4CB5-85DE-006EF8A4385E}"/>
    <cellStyle name="Normal 5 2 2 2 3 6 2 3" xfId="21257" xr:uid="{A8EF4E7B-1237-454F-BD9E-2345FF0F3FE8}"/>
    <cellStyle name="Normal 5 2 2 2 3 6 2 4" xfId="12816" xr:uid="{50664203-1C45-404B-8E1B-997BA1843F96}"/>
    <cellStyle name="Normal 5 2 2 2 3 6 3" xfId="6439" xr:uid="{00000000-0005-0000-0000-00006C170000}"/>
    <cellStyle name="Normal 5 2 2 2 3 6 3 2" xfId="23330" xr:uid="{C8429929-03CC-45CD-8347-BB55E77F864C}"/>
    <cellStyle name="Normal 5 2 2 2 3 6 3 3" xfId="14889" xr:uid="{8D7FC265-3426-494E-8AFB-CEFB43376132}"/>
    <cellStyle name="Normal 5 2 2 2 3 6 4" xfId="19112" xr:uid="{D1C935F0-8B97-47CF-9BBB-C0AB8E5E03EB}"/>
    <cellStyle name="Normal 5 2 2 2 3 6 5" xfId="10671" xr:uid="{7DBF6398-8930-4218-AAC8-683F6D44C198}"/>
    <cellStyle name="Normal 5 2 2 2 3 7" xfId="2569" xr:uid="{00000000-0005-0000-0000-00006D170000}"/>
    <cellStyle name="Normal 5 2 2 2 3 7 2" xfId="6852" xr:uid="{00000000-0005-0000-0000-00006E170000}"/>
    <cellStyle name="Normal 5 2 2 2 3 7 2 2" xfId="23743" xr:uid="{C83EBC03-FE13-4539-8477-D75F51233770}"/>
    <cellStyle name="Normal 5 2 2 2 3 7 2 3" xfId="15302" xr:uid="{34435EF5-E86E-4C61-BF28-C647D198E76A}"/>
    <cellStyle name="Normal 5 2 2 2 3 7 3" xfId="19525" xr:uid="{5E7045E1-CA29-4F16-884C-F855862092E7}"/>
    <cellStyle name="Normal 5 2 2 2 3 7 4" xfId="11084" xr:uid="{2B709B04-3C05-48C6-9103-C5FB441E7564}"/>
    <cellStyle name="Normal 5 2 2 2 3 8" xfId="4787" xr:uid="{00000000-0005-0000-0000-00006F170000}"/>
    <cellStyle name="Normal 5 2 2 2 3 8 2" xfId="21678" xr:uid="{C52DF01E-CA20-4DB9-A61D-3DFA3493D001}"/>
    <cellStyle name="Normal 5 2 2 2 3 8 3" xfId="13237" xr:uid="{25F0A812-1440-460C-AED7-05DC472839AE}"/>
    <cellStyle name="Normal 5 2 2 2 3 9" xfId="17460" xr:uid="{B9F318F4-7CA3-4592-89AC-90FD0A260151}"/>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24238" xr:uid="{B1F39842-5DBF-4679-8FAA-B36D2DBAF5BB}"/>
    <cellStyle name="Normal 5 2 2 2 4 2 2 2 3" xfId="15797" xr:uid="{3EEE90CD-E19B-4BD0-A3D6-12969A352E81}"/>
    <cellStyle name="Normal 5 2 2 2 4 2 2 3" xfId="20020" xr:uid="{72829AF5-3167-42F1-A91D-BB946F7CB7C8}"/>
    <cellStyle name="Normal 5 2 2 2 4 2 2 4" xfId="11579" xr:uid="{787F99EE-6DA6-4580-B6E3-D97208806816}"/>
    <cellStyle name="Normal 5 2 2 2 4 2 3" xfId="5202" xr:uid="{00000000-0005-0000-0000-000074170000}"/>
    <cellStyle name="Normal 5 2 2 2 4 2 3 2" xfId="22093" xr:uid="{18488D52-C76A-4DEF-BDF6-0070BE44A4AC}"/>
    <cellStyle name="Normal 5 2 2 2 4 2 3 3" xfId="13652" xr:uid="{0458C152-C259-4DDD-AF46-64305222E2DF}"/>
    <cellStyle name="Normal 5 2 2 2 4 2 4" xfId="17875" xr:uid="{6A3991F2-D994-4C8D-9E0A-02998BE2BDC4}"/>
    <cellStyle name="Normal 5 2 2 2 4 2 5" xfId="9434" xr:uid="{5826F840-B465-4FD5-9E12-197724234CAD}"/>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24651" xr:uid="{EC31116F-8151-4937-9294-130EF0BBBAA1}"/>
    <cellStyle name="Normal 5 2 2 2 4 3 2 2 3" xfId="16210" xr:uid="{61EF547C-320B-4CCE-8410-22267C9870E3}"/>
    <cellStyle name="Normal 5 2 2 2 4 3 2 3" xfId="20433" xr:uid="{532C496F-0027-407A-9FD2-11612E8FCEA9}"/>
    <cellStyle name="Normal 5 2 2 2 4 3 2 4" xfId="11992" xr:uid="{E3E2A78F-B189-4DC9-9210-A8CF41F828BB}"/>
    <cellStyle name="Normal 5 2 2 2 4 3 3" xfId="5615" xr:uid="{00000000-0005-0000-0000-000078170000}"/>
    <cellStyle name="Normal 5 2 2 2 4 3 3 2" xfId="22506" xr:uid="{BE44CDFA-2AFF-4F36-8706-854069117FE8}"/>
    <cellStyle name="Normal 5 2 2 2 4 3 3 3" xfId="14065" xr:uid="{58131787-37A2-4CBE-947D-D1EA3D590432}"/>
    <cellStyle name="Normal 5 2 2 2 4 3 4" xfId="18288" xr:uid="{D624E353-AC0F-488B-95A9-8ED99E7D569C}"/>
    <cellStyle name="Normal 5 2 2 2 4 3 5" xfId="9847" xr:uid="{14B6C6BB-3149-44D3-B7FD-F3398BEA4025}"/>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25064" xr:uid="{E0A5F25E-E617-4EEE-AA86-2D2DE880D001}"/>
    <cellStyle name="Normal 5 2 2 2 4 4 2 2 3" xfId="16623" xr:uid="{D6620018-4B15-4CDC-99EC-7F16EB7D0C74}"/>
    <cellStyle name="Normal 5 2 2 2 4 4 2 3" xfId="20846" xr:uid="{3363BE32-33B9-42BC-8F4B-7291D54562E6}"/>
    <cellStyle name="Normal 5 2 2 2 4 4 2 4" xfId="12405" xr:uid="{125D71BF-E143-4B6A-92AB-FFCA6A58DBC5}"/>
    <cellStyle name="Normal 5 2 2 2 4 4 3" xfId="6028" xr:uid="{00000000-0005-0000-0000-00007C170000}"/>
    <cellStyle name="Normal 5 2 2 2 4 4 3 2" xfId="22919" xr:uid="{41675E92-B35D-497E-80CD-CA861EAB249B}"/>
    <cellStyle name="Normal 5 2 2 2 4 4 3 3" xfId="14478" xr:uid="{42303686-3935-4BCB-988A-925F35A23C6B}"/>
    <cellStyle name="Normal 5 2 2 2 4 4 4" xfId="18701" xr:uid="{D8E71ADE-50D1-43C4-84E4-B4020DDCC267}"/>
    <cellStyle name="Normal 5 2 2 2 4 4 5" xfId="10260" xr:uid="{6B9333E7-DA61-46F1-93FF-2DD68E803D5D}"/>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25477" xr:uid="{E7F3CA50-6B22-4F4C-9F5C-A826BD54AEC1}"/>
    <cellStyle name="Normal 5 2 2 2 4 5 2 2 3" xfId="17036" xr:uid="{69224449-7CDF-455B-8EA4-9C1B4545CC23}"/>
    <cellStyle name="Normal 5 2 2 2 4 5 2 3" xfId="21259" xr:uid="{2EB64909-636F-45A9-B65D-663A4EC4F644}"/>
    <cellStyle name="Normal 5 2 2 2 4 5 2 4" xfId="12818" xr:uid="{BDD67B9B-E0A2-418E-AB0B-58426FF2C6CF}"/>
    <cellStyle name="Normal 5 2 2 2 4 5 3" xfId="6441" xr:uid="{00000000-0005-0000-0000-000080170000}"/>
    <cellStyle name="Normal 5 2 2 2 4 5 3 2" xfId="23332" xr:uid="{351A6442-CEF1-47F8-8A45-C55BED8B86AF}"/>
    <cellStyle name="Normal 5 2 2 2 4 5 3 3" xfId="14891" xr:uid="{78D7CE17-82FA-450A-8F16-2B6D15BDB3B9}"/>
    <cellStyle name="Normal 5 2 2 2 4 5 4" xfId="19114" xr:uid="{1BE09104-B61D-487C-8D49-D618599D8060}"/>
    <cellStyle name="Normal 5 2 2 2 4 5 5" xfId="10673" xr:uid="{87DACBB2-762B-497F-B055-E6DA4A8E5B95}"/>
    <cellStyle name="Normal 5 2 2 2 4 6" xfId="2571" xr:uid="{00000000-0005-0000-0000-000081170000}"/>
    <cellStyle name="Normal 5 2 2 2 4 6 2" xfId="6854" xr:uid="{00000000-0005-0000-0000-000082170000}"/>
    <cellStyle name="Normal 5 2 2 2 4 6 2 2" xfId="23745" xr:uid="{53196676-5FCB-46CC-BBDB-31518A725BB9}"/>
    <cellStyle name="Normal 5 2 2 2 4 6 2 3" xfId="15304" xr:uid="{4FE72C64-C72D-4820-A202-751A779189C9}"/>
    <cellStyle name="Normal 5 2 2 2 4 6 3" xfId="19527" xr:uid="{F6F9ACA2-8867-4BF7-8E8D-836EBA5F195D}"/>
    <cellStyle name="Normal 5 2 2 2 4 6 4" xfId="11086" xr:uid="{94EB6787-DDFE-4DC8-8B8F-3AB11012D2B9}"/>
    <cellStyle name="Normal 5 2 2 2 4 7" xfId="4789" xr:uid="{00000000-0005-0000-0000-000083170000}"/>
    <cellStyle name="Normal 5 2 2 2 4 7 2" xfId="21680" xr:uid="{D2470128-F4F7-4AAC-AC40-9CD74EE83F5F}"/>
    <cellStyle name="Normal 5 2 2 2 4 7 3" xfId="13239" xr:uid="{B968A8B4-7719-4BE6-B52A-70379E9E0C57}"/>
    <cellStyle name="Normal 5 2 2 2 4 8" xfId="17462" xr:uid="{11328AA2-A841-4D3A-8D38-9FE0FE077B88}"/>
    <cellStyle name="Normal 5 2 2 2 4 9" xfId="9021" xr:uid="{363291C4-722C-494E-AB80-F1C3EED31AB2}"/>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24231" xr:uid="{D62694BB-9B59-4762-94F4-05CF2B9478DF}"/>
    <cellStyle name="Normal 5 2 2 2 5 2 2 3" xfId="15790" xr:uid="{4DF40ABA-A554-4FF6-8DE1-D20E1F93C743}"/>
    <cellStyle name="Normal 5 2 2 2 5 2 3" xfId="20013" xr:uid="{E0CA811B-2A64-4E40-9000-C118DD7E9098}"/>
    <cellStyle name="Normal 5 2 2 2 5 2 4" xfId="11572" xr:uid="{98C75BF6-AEED-4662-B5D3-D152F8618079}"/>
    <cellStyle name="Normal 5 2 2 2 5 3" xfId="5195" xr:uid="{00000000-0005-0000-0000-000087170000}"/>
    <cellStyle name="Normal 5 2 2 2 5 3 2" xfId="22086" xr:uid="{E450FF5F-F21D-4248-B400-F9BC478CA3B3}"/>
    <cellStyle name="Normal 5 2 2 2 5 3 3" xfId="13645" xr:uid="{B9DDFB89-0056-40E6-8314-E9FA58C70337}"/>
    <cellStyle name="Normal 5 2 2 2 5 4" xfId="17868" xr:uid="{CA68F1E1-D20C-4936-8216-4E055E385088}"/>
    <cellStyle name="Normal 5 2 2 2 5 5" xfId="9427" xr:uid="{3A196D6B-7F77-41A4-8B01-A977E7DA21DF}"/>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24644" xr:uid="{67110A99-4E4A-4887-B0D2-2E60A768D75D}"/>
    <cellStyle name="Normal 5 2 2 2 6 2 2 3" xfId="16203" xr:uid="{6EDD700F-AD47-4F8E-8810-A4981C4F4B07}"/>
    <cellStyle name="Normal 5 2 2 2 6 2 3" xfId="20426" xr:uid="{16D25203-7287-4103-AFA5-C8F873CCFB2D}"/>
    <cellStyle name="Normal 5 2 2 2 6 2 4" xfId="11985" xr:uid="{4126E3F7-715A-4CDF-81F6-9E45B7BEEAD5}"/>
    <cellStyle name="Normal 5 2 2 2 6 3" xfId="5608" xr:uid="{00000000-0005-0000-0000-00008B170000}"/>
    <cellStyle name="Normal 5 2 2 2 6 3 2" xfId="22499" xr:uid="{4BB2C32C-FFD3-4553-95C7-4D137170C171}"/>
    <cellStyle name="Normal 5 2 2 2 6 3 3" xfId="14058" xr:uid="{645E2578-632F-450C-89FE-21BE2F6D9E1F}"/>
    <cellStyle name="Normal 5 2 2 2 6 4" xfId="18281" xr:uid="{F1875382-3CDA-46BA-9B70-4D7A8D802F8B}"/>
    <cellStyle name="Normal 5 2 2 2 6 5" xfId="9840" xr:uid="{272EB9EE-940F-4393-8FBD-050E5B0CC22C}"/>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25057" xr:uid="{C3AA66FC-D4A4-4E42-B4B3-CF53E163E17A}"/>
    <cellStyle name="Normal 5 2 2 2 7 2 2 3" xfId="16616" xr:uid="{66A15621-32D1-4BFC-81A2-D4F457F6F257}"/>
    <cellStyle name="Normal 5 2 2 2 7 2 3" xfId="20839" xr:uid="{941C901C-609D-4E9E-A6D3-B35CB565D753}"/>
    <cellStyle name="Normal 5 2 2 2 7 2 4" xfId="12398" xr:uid="{7DDBEB45-87BD-4D14-A0A9-EA57CC625A71}"/>
    <cellStyle name="Normal 5 2 2 2 7 3" xfId="6021" xr:uid="{00000000-0005-0000-0000-00008F170000}"/>
    <cellStyle name="Normal 5 2 2 2 7 3 2" xfId="22912" xr:uid="{0400B27B-3022-436A-8A72-B2637714E978}"/>
    <cellStyle name="Normal 5 2 2 2 7 3 3" xfId="14471" xr:uid="{510E56DF-3A7A-49B3-ADB9-1309810F8503}"/>
    <cellStyle name="Normal 5 2 2 2 7 4" xfId="18694" xr:uid="{416408BB-B872-4CFF-BC27-89B7FE02D2D8}"/>
    <cellStyle name="Normal 5 2 2 2 7 5" xfId="10253" xr:uid="{BDB1F4C0-CDEF-49CC-AC9F-E209E241EAF2}"/>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25470" xr:uid="{DF7DEEA3-342B-4A37-ADB8-6AD3B6757A81}"/>
    <cellStyle name="Normal 5 2 2 2 8 2 2 3" xfId="17029" xr:uid="{0572EB41-9C1E-4FD2-9C3C-228F7CD34708}"/>
    <cellStyle name="Normal 5 2 2 2 8 2 3" xfId="21252" xr:uid="{226364F6-0C15-4C77-9A5A-B2F93D926844}"/>
    <cellStyle name="Normal 5 2 2 2 8 2 4" xfId="12811" xr:uid="{941DCA86-01BC-4269-9F3F-3B3FB8AB60DE}"/>
    <cellStyle name="Normal 5 2 2 2 8 3" xfId="6434" xr:uid="{00000000-0005-0000-0000-000093170000}"/>
    <cellStyle name="Normal 5 2 2 2 8 3 2" xfId="23325" xr:uid="{5D18BB75-CD45-4DAE-93D1-F634BA3112EC}"/>
    <cellStyle name="Normal 5 2 2 2 8 3 3" xfId="14884" xr:uid="{6C4B395F-7056-42F6-B33B-D5D91767FD35}"/>
    <cellStyle name="Normal 5 2 2 2 8 4" xfId="19107" xr:uid="{31961A5C-0DE0-480A-99CC-9A12C58839D9}"/>
    <cellStyle name="Normal 5 2 2 2 8 5" xfId="10666" xr:uid="{417954BF-259A-442B-A4AA-86469B9CE7DA}"/>
    <cellStyle name="Normal 5 2 2 2 9" xfId="2564" xr:uid="{00000000-0005-0000-0000-000094170000}"/>
    <cellStyle name="Normal 5 2 2 2 9 2" xfId="6847" xr:uid="{00000000-0005-0000-0000-000095170000}"/>
    <cellStyle name="Normal 5 2 2 2 9 2 2" xfId="23738" xr:uid="{9E752453-BE1A-4953-A7D6-D9837B6E6761}"/>
    <cellStyle name="Normal 5 2 2 2 9 2 3" xfId="15297" xr:uid="{D4CDE0AE-FC3C-498F-9D8E-F8EEE922F3A3}"/>
    <cellStyle name="Normal 5 2 2 2 9 3" xfId="19520" xr:uid="{05D989D7-0924-4D66-9FAE-D7B7351C237C}"/>
    <cellStyle name="Normal 5 2 2 2 9 4" xfId="11079" xr:uid="{1143E677-8E66-45C7-9DE4-A25FEDBFFB9B}"/>
    <cellStyle name="Normal 5 2 2 3" xfId="417" xr:uid="{00000000-0005-0000-0000-000096170000}"/>
    <cellStyle name="Normal 5 2 2 3 10" xfId="17463" xr:uid="{EF5A00E6-510F-4648-A832-7ACA51BC70CE}"/>
    <cellStyle name="Normal 5 2 2 3 11" xfId="9022" xr:uid="{AA4775C1-8CF5-4D6B-B92A-41C4823BEFC3}"/>
    <cellStyle name="Normal 5 2 2 3 2" xfId="418" xr:uid="{00000000-0005-0000-0000-000097170000}"/>
    <cellStyle name="Normal 5 2 2 3 2 10" xfId="9023" xr:uid="{C785660B-38E7-4190-9BF6-E32B2590B498}"/>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24241" xr:uid="{179EDEFD-F626-4DF7-982A-76733179DE02}"/>
    <cellStyle name="Normal 5 2 2 3 2 2 2 2 2 3" xfId="15800" xr:uid="{AB9A3880-30B6-45B6-A945-7C10935C70B2}"/>
    <cellStyle name="Normal 5 2 2 3 2 2 2 2 3" xfId="20023" xr:uid="{773A8678-F305-4022-880A-74A2D49EE44E}"/>
    <cellStyle name="Normal 5 2 2 3 2 2 2 2 4" xfId="11582" xr:uid="{37619AE6-DC6E-4D78-9FCF-210FDC5AE8F9}"/>
    <cellStyle name="Normal 5 2 2 3 2 2 2 3" xfId="5205" xr:uid="{00000000-0005-0000-0000-00009C170000}"/>
    <cellStyle name="Normal 5 2 2 3 2 2 2 3 2" xfId="22096" xr:uid="{17398018-DAF4-489B-BC58-AC4089AEE357}"/>
    <cellStyle name="Normal 5 2 2 3 2 2 2 3 3" xfId="13655" xr:uid="{C362809D-A364-4721-B4F8-02D2783F2EE6}"/>
    <cellStyle name="Normal 5 2 2 3 2 2 2 4" xfId="17878" xr:uid="{599E91A0-D0E7-4893-8F64-3341A7CF6048}"/>
    <cellStyle name="Normal 5 2 2 3 2 2 2 5" xfId="9437" xr:uid="{95B0C444-DC83-4740-9043-A235B6E675BE}"/>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24654" xr:uid="{0CE5E917-FAF9-42EF-B0C2-D43F1D015594}"/>
    <cellStyle name="Normal 5 2 2 3 2 2 3 2 2 3" xfId="16213" xr:uid="{D2AFE6F3-78A0-4BD5-A20E-26E447D31BE1}"/>
    <cellStyle name="Normal 5 2 2 3 2 2 3 2 3" xfId="20436" xr:uid="{07CCDA46-2EA6-421D-875F-7E41F7936850}"/>
    <cellStyle name="Normal 5 2 2 3 2 2 3 2 4" xfId="11995" xr:uid="{A9BF7482-D7CF-4922-ACA4-D982D5AA2C3E}"/>
    <cellStyle name="Normal 5 2 2 3 2 2 3 3" xfId="5618" xr:uid="{00000000-0005-0000-0000-0000A0170000}"/>
    <cellStyle name="Normal 5 2 2 3 2 2 3 3 2" xfId="22509" xr:uid="{EE1F43E2-7FC0-4F83-A93A-A33C5832A159}"/>
    <cellStyle name="Normal 5 2 2 3 2 2 3 3 3" xfId="14068" xr:uid="{3E9C069D-A743-4E48-9892-E6F4FFB4F9E6}"/>
    <cellStyle name="Normal 5 2 2 3 2 2 3 4" xfId="18291" xr:uid="{D6809ED4-5911-4627-B666-B44FD02EE363}"/>
    <cellStyle name="Normal 5 2 2 3 2 2 3 5" xfId="9850" xr:uid="{36151525-1F7B-4122-83F4-F7AA00953042}"/>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25067" xr:uid="{524E202D-F573-447D-9B93-205DEC3B0813}"/>
    <cellStyle name="Normal 5 2 2 3 2 2 4 2 2 3" xfId="16626" xr:uid="{202C565D-8F68-4394-A789-FA2C3679230D}"/>
    <cellStyle name="Normal 5 2 2 3 2 2 4 2 3" xfId="20849" xr:uid="{59E9DE16-5D3E-41A0-A410-DDB7BBB46AFD}"/>
    <cellStyle name="Normal 5 2 2 3 2 2 4 2 4" xfId="12408" xr:uid="{F8CA4C56-7D5D-418E-8E29-547FD6C2B6BA}"/>
    <cellStyle name="Normal 5 2 2 3 2 2 4 3" xfId="6031" xr:uid="{00000000-0005-0000-0000-0000A4170000}"/>
    <cellStyle name="Normal 5 2 2 3 2 2 4 3 2" xfId="22922" xr:uid="{4E5BCBC9-4FBC-4526-B145-1C2F3DE20258}"/>
    <cellStyle name="Normal 5 2 2 3 2 2 4 3 3" xfId="14481" xr:uid="{B63A8B8D-DA01-4AD6-83F8-85D99FB8F0C4}"/>
    <cellStyle name="Normal 5 2 2 3 2 2 4 4" xfId="18704" xr:uid="{EF4F14E2-0E6C-49B8-A0FC-E645A7BF2903}"/>
    <cellStyle name="Normal 5 2 2 3 2 2 4 5" xfId="10263" xr:uid="{52EAC5CD-A67E-413A-B048-6F78487EF2BA}"/>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25480" xr:uid="{1023CF51-141A-4116-84B0-9231013BE709}"/>
    <cellStyle name="Normal 5 2 2 3 2 2 5 2 2 3" xfId="17039" xr:uid="{1D18A8E2-F230-4480-88D3-176607B0BA2F}"/>
    <cellStyle name="Normal 5 2 2 3 2 2 5 2 3" xfId="21262" xr:uid="{37CE2514-940A-4BA7-B4F9-2C0F26DFBFBC}"/>
    <cellStyle name="Normal 5 2 2 3 2 2 5 2 4" xfId="12821" xr:uid="{DB4A3DC9-2D58-46F5-8C0E-97C761E391CC}"/>
    <cellStyle name="Normal 5 2 2 3 2 2 5 3" xfId="6444" xr:uid="{00000000-0005-0000-0000-0000A8170000}"/>
    <cellStyle name="Normal 5 2 2 3 2 2 5 3 2" xfId="23335" xr:uid="{7E04916F-55BA-4F03-9EF6-9D256C98E599}"/>
    <cellStyle name="Normal 5 2 2 3 2 2 5 3 3" xfId="14894" xr:uid="{1F5B3640-749B-4F3D-B317-C488E6C6D6D7}"/>
    <cellStyle name="Normal 5 2 2 3 2 2 5 4" xfId="19117" xr:uid="{5838D7DA-36EE-49DD-90E2-565ABF72DF76}"/>
    <cellStyle name="Normal 5 2 2 3 2 2 5 5" xfId="10676" xr:uid="{E1021306-A26B-4CCE-8E34-25B1DC27EF1B}"/>
    <cellStyle name="Normal 5 2 2 3 2 2 6" xfId="2574" xr:uid="{00000000-0005-0000-0000-0000A9170000}"/>
    <cellStyle name="Normal 5 2 2 3 2 2 6 2" xfId="6857" xr:uid="{00000000-0005-0000-0000-0000AA170000}"/>
    <cellStyle name="Normal 5 2 2 3 2 2 6 2 2" xfId="23748" xr:uid="{EAA14580-E6AA-4A3A-9419-EFC4707C6054}"/>
    <cellStyle name="Normal 5 2 2 3 2 2 6 2 3" xfId="15307" xr:uid="{59319E40-B09B-4C4E-AAA2-3BE262C7D364}"/>
    <cellStyle name="Normal 5 2 2 3 2 2 6 3" xfId="19530" xr:uid="{406B3A2C-E3B7-45B2-9255-43B2705DC6D6}"/>
    <cellStyle name="Normal 5 2 2 3 2 2 6 4" xfId="11089" xr:uid="{1E1822EA-7898-47D8-867D-72595A85F3E5}"/>
    <cellStyle name="Normal 5 2 2 3 2 2 7" xfId="4792" xr:uid="{00000000-0005-0000-0000-0000AB170000}"/>
    <cellStyle name="Normal 5 2 2 3 2 2 7 2" xfId="21683" xr:uid="{5426F98B-C21D-4DC5-9B56-08A6EF61D61F}"/>
    <cellStyle name="Normal 5 2 2 3 2 2 7 3" xfId="13242" xr:uid="{0FC18739-0D26-4B99-9583-45F039126BDA}"/>
    <cellStyle name="Normal 5 2 2 3 2 2 8" xfId="17465" xr:uid="{3EEF5DFE-5C1E-44A3-9ADF-B6CAEA3E0587}"/>
    <cellStyle name="Normal 5 2 2 3 2 2 9" xfId="9024" xr:uid="{348F8407-B88D-457E-8E15-01688AB780A7}"/>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24240" xr:uid="{51FBD015-AA75-4852-96FD-16FED51B5473}"/>
    <cellStyle name="Normal 5 2 2 3 2 3 2 2 3" xfId="15799" xr:uid="{D57FC850-F870-436A-B219-02F95E01F86C}"/>
    <cellStyle name="Normal 5 2 2 3 2 3 2 3" xfId="20022" xr:uid="{7E694AE3-B4D2-4A71-9528-9EA2B9E7D72E}"/>
    <cellStyle name="Normal 5 2 2 3 2 3 2 4" xfId="11581" xr:uid="{1D461F36-F00C-4B1E-BA3D-7367284DBC4B}"/>
    <cellStyle name="Normal 5 2 2 3 2 3 3" xfId="5204" xr:uid="{00000000-0005-0000-0000-0000AF170000}"/>
    <cellStyle name="Normal 5 2 2 3 2 3 3 2" xfId="22095" xr:uid="{89C2CB55-31A0-4C98-B72A-5C207A7D1A0B}"/>
    <cellStyle name="Normal 5 2 2 3 2 3 3 3" xfId="13654" xr:uid="{0A6C4A7F-27AE-40AD-9ABF-66799B7593D6}"/>
    <cellStyle name="Normal 5 2 2 3 2 3 4" xfId="17877" xr:uid="{BAC4E3CC-9F0E-4A05-B0A2-47169FC87A27}"/>
    <cellStyle name="Normal 5 2 2 3 2 3 5" xfId="9436" xr:uid="{BF691CA0-D03C-4FC6-8533-3D0C0B5F4592}"/>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24653" xr:uid="{8A4C9348-6B55-4785-B7F9-1E58EB4266D1}"/>
    <cellStyle name="Normal 5 2 2 3 2 4 2 2 3" xfId="16212" xr:uid="{6478B152-9670-4B35-B527-43ABBFF1550E}"/>
    <cellStyle name="Normal 5 2 2 3 2 4 2 3" xfId="20435" xr:uid="{D59A4EFC-EDE7-4053-99D3-DB63D4645AEC}"/>
    <cellStyle name="Normal 5 2 2 3 2 4 2 4" xfId="11994" xr:uid="{4DEA7FE9-B04B-4F7B-8AFE-236A13AECD5E}"/>
    <cellStyle name="Normal 5 2 2 3 2 4 3" xfId="5617" xr:uid="{00000000-0005-0000-0000-0000B3170000}"/>
    <cellStyle name="Normal 5 2 2 3 2 4 3 2" xfId="22508" xr:uid="{CBF44E0B-29B2-4506-B497-E5E43513A68F}"/>
    <cellStyle name="Normal 5 2 2 3 2 4 3 3" xfId="14067" xr:uid="{59C4C883-1735-4A3D-BCC9-C693934B3410}"/>
    <cellStyle name="Normal 5 2 2 3 2 4 4" xfId="18290" xr:uid="{7CC7390D-969E-4287-A8DA-4C2EF4101945}"/>
    <cellStyle name="Normal 5 2 2 3 2 4 5" xfId="9849" xr:uid="{265F382B-46E5-4D2A-9C01-ED4096A8DE5D}"/>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25066" xr:uid="{8CDC61CD-1C10-4789-AF53-C6598807D4B6}"/>
    <cellStyle name="Normal 5 2 2 3 2 5 2 2 3" xfId="16625" xr:uid="{35195D78-BE8B-4987-9BFA-37F8B459FC8B}"/>
    <cellStyle name="Normal 5 2 2 3 2 5 2 3" xfId="20848" xr:uid="{2A066BF9-7B10-417A-BA28-6E7420BB9397}"/>
    <cellStyle name="Normal 5 2 2 3 2 5 2 4" xfId="12407" xr:uid="{4C7D5ED4-34CD-49FC-B75F-A59BB7CD5A5E}"/>
    <cellStyle name="Normal 5 2 2 3 2 5 3" xfId="6030" xr:uid="{00000000-0005-0000-0000-0000B7170000}"/>
    <cellStyle name="Normal 5 2 2 3 2 5 3 2" xfId="22921" xr:uid="{B740A0C5-376D-4D05-914D-CD0F468F26FD}"/>
    <cellStyle name="Normal 5 2 2 3 2 5 3 3" xfId="14480" xr:uid="{B24B129F-4CF0-488E-9DCB-15CD48A12647}"/>
    <cellStyle name="Normal 5 2 2 3 2 5 4" xfId="18703" xr:uid="{95EFC9A0-171A-436B-9B3D-74A99A5CB331}"/>
    <cellStyle name="Normal 5 2 2 3 2 5 5" xfId="10262" xr:uid="{DCD3CD84-6761-46CD-AC8E-69CDB8B2C728}"/>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25479" xr:uid="{2A0B00DF-D256-4FEB-95F8-433C3FC154DC}"/>
    <cellStyle name="Normal 5 2 2 3 2 6 2 2 3" xfId="17038" xr:uid="{6376E9A3-FC6A-4434-961F-CD543A0BEEB4}"/>
    <cellStyle name="Normal 5 2 2 3 2 6 2 3" xfId="21261" xr:uid="{958BD0F1-F175-4B85-B11F-4DDAC5631407}"/>
    <cellStyle name="Normal 5 2 2 3 2 6 2 4" xfId="12820" xr:uid="{3DBE1124-15F3-4A88-A680-2FCE8242099C}"/>
    <cellStyle name="Normal 5 2 2 3 2 6 3" xfId="6443" xr:uid="{00000000-0005-0000-0000-0000BB170000}"/>
    <cellStyle name="Normal 5 2 2 3 2 6 3 2" xfId="23334" xr:uid="{866FFA25-A650-4D23-BB19-0A73E479089D}"/>
    <cellStyle name="Normal 5 2 2 3 2 6 3 3" xfId="14893" xr:uid="{C34964B8-E8D6-4121-8524-1EEA3AE41DD6}"/>
    <cellStyle name="Normal 5 2 2 3 2 6 4" xfId="19116" xr:uid="{EE3989F4-F54B-4211-8CCC-825E5DBE1220}"/>
    <cellStyle name="Normal 5 2 2 3 2 6 5" xfId="10675" xr:uid="{D25F3429-CFB8-40D7-A347-84B9A614480E}"/>
    <cellStyle name="Normal 5 2 2 3 2 7" xfId="2573" xr:uid="{00000000-0005-0000-0000-0000BC170000}"/>
    <cellStyle name="Normal 5 2 2 3 2 7 2" xfId="6856" xr:uid="{00000000-0005-0000-0000-0000BD170000}"/>
    <cellStyle name="Normal 5 2 2 3 2 7 2 2" xfId="23747" xr:uid="{5CA83EC6-15E2-4B1A-91F6-80F5E40FE495}"/>
    <cellStyle name="Normal 5 2 2 3 2 7 2 3" xfId="15306" xr:uid="{00413F19-5022-4EBD-9544-449EE65CB2E8}"/>
    <cellStyle name="Normal 5 2 2 3 2 7 3" xfId="19529" xr:uid="{AE168228-6C07-4CA9-A5AF-2A34CC3D078C}"/>
    <cellStyle name="Normal 5 2 2 3 2 7 4" xfId="11088" xr:uid="{E475EC53-2255-4956-BABC-F05B954FE1C9}"/>
    <cellStyle name="Normal 5 2 2 3 2 8" xfId="4791" xr:uid="{00000000-0005-0000-0000-0000BE170000}"/>
    <cellStyle name="Normal 5 2 2 3 2 8 2" xfId="21682" xr:uid="{018DE050-AFCD-40AF-B9AD-01F38C89AA4E}"/>
    <cellStyle name="Normal 5 2 2 3 2 8 3" xfId="13241" xr:uid="{7B16BB2A-4E62-4363-BFB4-CEEA2F15664A}"/>
    <cellStyle name="Normal 5 2 2 3 2 9" xfId="17464" xr:uid="{6FCD71DE-059E-4C70-B536-6278B40AC291}"/>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24242" xr:uid="{9B80F346-D21C-43B2-B2E3-71FF38D01FEF}"/>
    <cellStyle name="Normal 5 2 2 3 3 2 2 2 3" xfId="15801" xr:uid="{F260A60B-3E1E-4D4B-ACA6-9C05F4FB6FAD}"/>
    <cellStyle name="Normal 5 2 2 3 3 2 2 3" xfId="20024" xr:uid="{BE7546DF-D1D5-4A5C-A9E6-37F19298636B}"/>
    <cellStyle name="Normal 5 2 2 3 3 2 2 4" xfId="11583" xr:uid="{FD725FCE-6A79-4585-BF1A-D34B7B06D5B8}"/>
    <cellStyle name="Normal 5 2 2 3 3 2 3" xfId="5206" xr:uid="{00000000-0005-0000-0000-0000C3170000}"/>
    <cellStyle name="Normal 5 2 2 3 3 2 3 2" xfId="22097" xr:uid="{2C1D2F3A-515E-4DC8-B68B-888D62CCD29A}"/>
    <cellStyle name="Normal 5 2 2 3 3 2 3 3" xfId="13656" xr:uid="{6FCAE38D-0162-4903-9267-30AF719F387D}"/>
    <cellStyle name="Normal 5 2 2 3 3 2 4" xfId="17879" xr:uid="{EC252450-B851-48F6-B079-C9F8C6661364}"/>
    <cellStyle name="Normal 5 2 2 3 3 2 5" xfId="9438" xr:uid="{0B65F2CD-6A38-423B-AE7A-B478CB5559CD}"/>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24655" xr:uid="{1D85081A-59DD-4FBF-9FF9-FCB1C667DDF0}"/>
    <cellStyle name="Normal 5 2 2 3 3 3 2 2 3" xfId="16214" xr:uid="{B9C31744-A66A-4063-9CB2-1A5F80A90CC8}"/>
    <cellStyle name="Normal 5 2 2 3 3 3 2 3" xfId="20437" xr:uid="{7ACE5F24-9ABD-4AA7-8347-EC0374F6BFE8}"/>
    <cellStyle name="Normal 5 2 2 3 3 3 2 4" xfId="11996" xr:uid="{E849C811-0509-4A7C-90AA-168D41A2F13D}"/>
    <cellStyle name="Normal 5 2 2 3 3 3 3" xfId="5619" xr:uid="{00000000-0005-0000-0000-0000C7170000}"/>
    <cellStyle name="Normal 5 2 2 3 3 3 3 2" xfId="22510" xr:uid="{11F87A65-7D87-4A44-9D31-09A14F20ED8C}"/>
    <cellStyle name="Normal 5 2 2 3 3 3 3 3" xfId="14069" xr:uid="{E2F82A61-B3C1-433A-8244-3A6BED8A266E}"/>
    <cellStyle name="Normal 5 2 2 3 3 3 4" xfId="18292" xr:uid="{D7B9B24E-048D-478A-86FB-932ED864AF45}"/>
    <cellStyle name="Normal 5 2 2 3 3 3 5" xfId="9851" xr:uid="{10524178-9ED8-41BB-A729-200909A5A128}"/>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25068" xr:uid="{715E2D22-6C8D-4BCD-85E2-22EA4C709AE1}"/>
    <cellStyle name="Normal 5 2 2 3 3 4 2 2 3" xfId="16627" xr:uid="{19F6E7FE-65D5-483A-9C6C-0E2236E8D9ED}"/>
    <cellStyle name="Normal 5 2 2 3 3 4 2 3" xfId="20850" xr:uid="{102B4B61-7309-45A4-A7CB-46A7FEE38897}"/>
    <cellStyle name="Normal 5 2 2 3 3 4 2 4" xfId="12409" xr:uid="{ACE64BA5-9862-4B6B-A288-05A5E2864F11}"/>
    <cellStyle name="Normal 5 2 2 3 3 4 3" xfId="6032" xr:uid="{00000000-0005-0000-0000-0000CB170000}"/>
    <cellStyle name="Normal 5 2 2 3 3 4 3 2" xfId="22923" xr:uid="{C7BEE2E4-8061-4813-85E1-5686D6A5DB75}"/>
    <cellStyle name="Normal 5 2 2 3 3 4 3 3" xfId="14482" xr:uid="{7882DB67-9410-4432-92C7-0A6A1C12E7A6}"/>
    <cellStyle name="Normal 5 2 2 3 3 4 4" xfId="18705" xr:uid="{7AA09A86-39CD-47AB-8E38-307130ED1948}"/>
    <cellStyle name="Normal 5 2 2 3 3 4 5" xfId="10264" xr:uid="{FFEEF5DB-C164-4919-9315-65EEAC8597F7}"/>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25481" xr:uid="{F40D540C-50D3-43AC-8A10-693E1FFC37D5}"/>
    <cellStyle name="Normal 5 2 2 3 3 5 2 2 3" xfId="17040" xr:uid="{99295D5C-AECA-490C-9418-95F493F1C903}"/>
    <cellStyle name="Normal 5 2 2 3 3 5 2 3" xfId="21263" xr:uid="{054C40DB-3DE3-499A-A805-425D2A545B01}"/>
    <cellStyle name="Normal 5 2 2 3 3 5 2 4" xfId="12822" xr:uid="{BC2EB46D-3936-412B-95AE-A83E8454F935}"/>
    <cellStyle name="Normal 5 2 2 3 3 5 3" xfId="6445" xr:uid="{00000000-0005-0000-0000-0000CF170000}"/>
    <cellStyle name="Normal 5 2 2 3 3 5 3 2" xfId="23336" xr:uid="{A75DC872-200B-4B59-B041-2840304811A0}"/>
    <cellStyle name="Normal 5 2 2 3 3 5 3 3" xfId="14895" xr:uid="{34D1200B-6EB0-4F47-8334-6585C3990CE9}"/>
    <cellStyle name="Normal 5 2 2 3 3 5 4" xfId="19118" xr:uid="{828ED482-D9F1-4B43-845B-2E2D5B90C9EE}"/>
    <cellStyle name="Normal 5 2 2 3 3 5 5" xfId="10677" xr:uid="{EB014832-B499-4CCD-9C0D-397EC2026416}"/>
    <cellStyle name="Normal 5 2 2 3 3 6" xfId="2575" xr:uid="{00000000-0005-0000-0000-0000D0170000}"/>
    <cellStyle name="Normal 5 2 2 3 3 6 2" xfId="6858" xr:uid="{00000000-0005-0000-0000-0000D1170000}"/>
    <cellStyle name="Normal 5 2 2 3 3 6 2 2" xfId="23749" xr:uid="{866C02B0-E199-4610-9D54-A3DDC8EA0107}"/>
    <cellStyle name="Normal 5 2 2 3 3 6 2 3" xfId="15308" xr:uid="{DE237507-96D7-477B-86C8-CDA3CE6C584A}"/>
    <cellStyle name="Normal 5 2 2 3 3 6 3" xfId="19531" xr:uid="{12E3021A-C856-4117-ACFE-C1D52A8D6ABE}"/>
    <cellStyle name="Normal 5 2 2 3 3 6 4" xfId="11090" xr:uid="{9574A8B0-FFF8-4062-B13F-C6FDBF3D1430}"/>
    <cellStyle name="Normal 5 2 2 3 3 7" xfId="4793" xr:uid="{00000000-0005-0000-0000-0000D2170000}"/>
    <cellStyle name="Normal 5 2 2 3 3 7 2" xfId="21684" xr:uid="{B2659EC7-8439-40B5-9FB1-C810F27E1FED}"/>
    <cellStyle name="Normal 5 2 2 3 3 7 3" xfId="13243" xr:uid="{53624BAA-61DE-4C10-B63A-10CCCAA2E2DD}"/>
    <cellStyle name="Normal 5 2 2 3 3 8" xfId="17466" xr:uid="{93547471-5186-420B-8461-2F6AAF96BED6}"/>
    <cellStyle name="Normal 5 2 2 3 3 9" xfId="9025" xr:uid="{E5AFA794-5393-458A-9FB2-9F8A27105EF4}"/>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24239" xr:uid="{2CA667E6-833E-495F-A1CD-BE224364591F}"/>
    <cellStyle name="Normal 5 2 2 3 4 2 2 3" xfId="15798" xr:uid="{B20E81AB-50B9-464D-8CB3-88953E1F6FF5}"/>
    <cellStyle name="Normal 5 2 2 3 4 2 3" xfId="20021" xr:uid="{B2BD165C-2477-4437-BC9E-FFC398B99AEE}"/>
    <cellStyle name="Normal 5 2 2 3 4 2 4" xfId="11580" xr:uid="{D3EB8AE7-D0ED-4755-944B-2B41F4F9E2B0}"/>
    <cellStyle name="Normal 5 2 2 3 4 3" xfId="5203" xr:uid="{00000000-0005-0000-0000-0000D6170000}"/>
    <cellStyle name="Normal 5 2 2 3 4 3 2" xfId="22094" xr:uid="{428431A8-E864-4785-8802-FD2B2F42316F}"/>
    <cellStyle name="Normal 5 2 2 3 4 3 3" xfId="13653" xr:uid="{7826A991-89BA-47B8-BCCA-52D204EE19A7}"/>
    <cellStyle name="Normal 5 2 2 3 4 4" xfId="17876" xr:uid="{3F779F2B-B739-4047-B8D4-5F8D8BD40906}"/>
    <cellStyle name="Normal 5 2 2 3 4 5" xfId="9435" xr:uid="{F2B18E6A-3643-4DF1-9AD9-FF634604828F}"/>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24652" xr:uid="{BECD2AEC-3825-4469-9EFC-9A1F301288D5}"/>
    <cellStyle name="Normal 5 2 2 3 5 2 2 3" xfId="16211" xr:uid="{87CA14D1-91FB-4A6F-B6C5-74E76CEFA227}"/>
    <cellStyle name="Normal 5 2 2 3 5 2 3" xfId="20434" xr:uid="{7D5289E3-870B-4317-8627-24A2101F84E6}"/>
    <cellStyle name="Normal 5 2 2 3 5 2 4" xfId="11993" xr:uid="{4A0976D3-EA97-4DD1-A405-438364AE3FBA}"/>
    <cellStyle name="Normal 5 2 2 3 5 3" xfId="5616" xr:uid="{00000000-0005-0000-0000-0000DA170000}"/>
    <cellStyle name="Normal 5 2 2 3 5 3 2" xfId="22507" xr:uid="{B5E15C23-AC15-47CD-95D1-B8403CE11462}"/>
    <cellStyle name="Normal 5 2 2 3 5 3 3" xfId="14066" xr:uid="{F4C5472C-61DE-4F3E-931E-40907BCF272F}"/>
    <cellStyle name="Normal 5 2 2 3 5 4" xfId="18289" xr:uid="{F4DC0865-03D7-4544-81C3-2AB4DA629304}"/>
    <cellStyle name="Normal 5 2 2 3 5 5" xfId="9848" xr:uid="{41A3A474-BA8A-45EC-8B31-7955293D26FA}"/>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25065" xr:uid="{BBBA37B7-B7BE-472F-8B7F-AF226B66059C}"/>
    <cellStyle name="Normal 5 2 2 3 6 2 2 3" xfId="16624" xr:uid="{5B52CBEA-D379-4EDD-AFB4-96E25600A52F}"/>
    <cellStyle name="Normal 5 2 2 3 6 2 3" xfId="20847" xr:uid="{2C0AA4F5-BED6-484B-89AD-24C9B5A740A5}"/>
    <cellStyle name="Normal 5 2 2 3 6 2 4" xfId="12406" xr:uid="{A166E4FA-422E-494F-94F0-C97B74A879D8}"/>
    <cellStyle name="Normal 5 2 2 3 6 3" xfId="6029" xr:uid="{00000000-0005-0000-0000-0000DE170000}"/>
    <cellStyle name="Normal 5 2 2 3 6 3 2" xfId="22920" xr:uid="{22F3318F-2895-4846-92A3-1D4779A433CC}"/>
    <cellStyle name="Normal 5 2 2 3 6 3 3" xfId="14479" xr:uid="{B1509C8B-5880-4FD3-9752-8C23676EC564}"/>
    <cellStyle name="Normal 5 2 2 3 6 4" xfId="18702" xr:uid="{C4C9E4C3-0BB8-4559-9D5D-91C71024CDAB}"/>
    <cellStyle name="Normal 5 2 2 3 6 5" xfId="10261" xr:uid="{DBAA8AEB-069F-4580-8BA9-8FB13D48F3FF}"/>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25478" xr:uid="{41256FA6-0D3E-4267-9DC5-9D39D9604A7C}"/>
    <cellStyle name="Normal 5 2 2 3 7 2 2 3" xfId="17037" xr:uid="{7357645E-B1F5-4117-98E9-4D0857660BB9}"/>
    <cellStyle name="Normal 5 2 2 3 7 2 3" xfId="21260" xr:uid="{F341E06A-0B83-472F-BE7E-11A84CF91641}"/>
    <cellStyle name="Normal 5 2 2 3 7 2 4" xfId="12819" xr:uid="{0E46A51D-68C8-4C16-A3F3-37206AEFCFAC}"/>
    <cellStyle name="Normal 5 2 2 3 7 3" xfId="6442" xr:uid="{00000000-0005-0000-0000-0000E2170000}"/>
    <cellStyle name="Normal 5 2 2 3 7 3 2" xfId="23333" xr:uid="{1858C516-8BBA-42F0-8063-6498355BCFF6}"/>
    <cellStyle name="Normal 5 2 2 3 7 3 3" xfId="14892" xr:uid="{C18CEC9A-1111-48C0-B98B-18FA11497F51}"/>
    <cellStyle name="Normal 5 2 2 3 7 4" xfId="19115" xr:uid="{B72F4F66-649D-4C18-946C-1429701066DD}"/>
    <cellStyle name="Normal 5 2 2 3 7 5" xfId="10674" xr:uid="{2F03ACF4-4E2F-41B4-834A-7E779C9E1FCE}"/>
    <cellStyle name="Normal 5 2 2 3 8" xfId="2572" xr:uid="{00000000-0005-0000-0000-0000E3170000}"/>
    <cellStyle name="Normal 5 2 2 3 8 2" xfId="6855" xr:uid="{00000000-0005-0000-0000-0000E4170000}"/>
    <cellStyle name="Normal 5 2 2 3 8 2 2" xfId="23746" xr:uid="{3190BA2D-4B56-471B-B876-73C3BBB1646A}"/>
    <cellStyle name="Normal 5 2 2 3 8 2 3" xfId="15305" xr:uid="{A3E8CBBD-3115-4F93-B470-33DE8DE4A327}"/>
    <cellStyle name="Normal 5 2 2 3 8 3" xfId="19528" xr:uid="{725D7CF7-0130-4A9B-888C-97355966C36A}"/>
    <cellStyle name="Normal 5 2 2 3 8 4" xfId="11087" xr:uid="{57595A93-044A-452A-806B-923E5E63C730}"/>
    <cellStyle name="Normal 5 2 2 3 9" xfId="4790" xr:uid="{00000000-0005-0000-0000-0000E5170000}"/>
    <cellStyle name="Normal 5 2 2 3 9 2" xfId="21681" xr:uid="{136E3024-3635-4E38-9DA1-7FAB6138D262}"/>
    <cellStyle name="Normal 5 2 2 3 9 3" xfId="13240" xr:uid="{ECEB7D67-C009-437F-BDD1-3FD5BC72C3F1}"/>
    <cellStyle name="Normal 5 2 2 4" xfId="421" xr:uid="{00000000-0005-0000-0000-0000E6170000}"/>
    <cellStyle name="Normal 5 2 2 4 10" xfId="9026" xr:uid="{748CF93F-78D2-419D-A589-40737DD3EA2C}"/>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24244" xr:uid="{94725129-CE4E-49CD-AAF1-C3278FADC3E5}"/>
    <cellStyle name="Normal 5 2 2 4 2 2 2 2 3" xfId="15803" xr:uid="{530C903E-DC50-4032-BB80-1A38F5760017}"/>
    <cellStyle name="Normal 5 2 2 4 2 2 2 3" xfId="20026" xr:uid="{09426C60-5B25-4D5D-AE91-AA31B14AD677}"/>
    <cellStyle name="Normal 5 2 2 4 2 2 2 4" xfId="11585" xr:uid="{71EAF194-8CC8-45CF-B937-2423691A1E4A}"/>
    <cellStyle name="Normal 5 2 2 4 2 2 3" xfId="5208" xr:uid="{00000000-0005-0000-0000-0000EB170000}"/>
    <cellStyle name="Normal 5 2 2 4 2 2 3 2" xfId="22099" xr:uid="{17F082B5-A5B2-4928-810D-92A5C1979384}"/>
    <cellStyle name="Normal 5 2 2 4 2 2 3 3" xfId="13658" xr:uid="{F8C16D6B-B0AB-434F-A10A-DEDF3A77AF4C}"/>
    <cellStyle name="Normal 5 2 2 4 2 2 4" xfId="17881" xr:uid="{799A73B7-8D09-4492-BFC2-CE53E8ADDF78}"/>
    <cellStyle name="Normal 5 2 2 4 2 2 5" xfId="9440" xr:uid="{23541D45-5C7A-4BCD-8B72-7078E9759BD6}"/>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24657" xr:uid="{5AF6EBCB-915E-4525-BF56-F859E0BADB86}"/>
    <cellStyle name="Normal 5 2 2 4 2 3 2 2 3" xfId="16216" xr:uid="{2F20516A-B260-4A3E-BCC4-C48A9B56125D}"/>
    <cellStyle name="Normal 5 2 2 4 2 3 2 3" xfId="20439" xr:uid="{5ECB259C-6297-4F00-9D93-BA5DFC006B52}"/>
    <cellStyle name="Normal 5 2 2 4 2 3 2 4" xfId="11998" xr:uid="{793FF194-F8D8-4605-B502-0BE3B6A4F81F}"/>
    <cellStyle name="Normal 5 2 2 4 2 3 3" xfId="5621" xr:uid="{00000000-0005-0000-0000-0000EF170000}"/>
    <cellStyle name="Normal 5 2 2 4 2 3 3 2" xfId="22512" xr:uid="{CC36C215-A84A-4EDB-9BAE-2EBDE30001ED}"/>
    <cellStyle name="Normal 5 2 2 4 2 3 3 3" xfId="14071" xr:uid="{88DB842C-E2BA-464A-9EA8-2AB7666E6B46}"/>
    <cellStyle name="Normal 5 2 2 4 2 3 4" xfId="18294" xr:uid="{8F0FA6DB-C599-43F1-ABBC-CD494889ACA9}"/>
    <cellStyle name="Normal 5 2 2 4 2 3 5" xfId="9853" xr:uid="{8F57C9F2-49DC-4F3C-87AA-37783C4A13A6}"/>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25070" xr:uid="{8FC24871-8634-4DEB-9F88-41352F27BA12}"/>
    <cellStyle name="Normal 5 2 2 4 2 4 2 2 3" xfId="16629" xr:uid="{A0A46DBF-847B-4528-9C2D-968552A688DC}"/>
    <cellStyle name="Normal 5 2 2 4 2 4 2 3" xfId="20852" xr:uid="{7F9F71DA-3A57-4833-BB08-FFED32FFB836}"/>
    <cellStyle name="Normal 5 2 2 4 2 4 2 4" xfId="12411" xr:uid="{DA129D53-B128-492E-8AB4-404B54389F62}"/>
    <cellStyle name="Normal 5 2 2 4 2 4 3" xfId="6034" xr:uid="{00000000-0005-0000-0000-0000F3170000}"/>
    <cellStyle name="Normal 5 2 2 4 2 4 3 2" xfId="22925" xr:uid="{69F537C1-0FC7-4058-B6B3-971EB85B98BA}"/>
    <cellStyle name="Normal 5 2 2 4 2 4 3 3" xfId="14484" xr:uid="{9618098F-60A1-4533-A7E4-31CE71C57946}"/>
    <cellStyle name="Normal 5 2 2 4 2 4 4" xfId="18707" xr:uid="{3C97EC37-DA62-4276-80BB-E637B454C895}"/>
    <cellStyle name="Normal 5 2 2 4 2 4 5" xfId="10266" xr:uid="{59410650-E254-4177-84D3-E43B984AA466}"/>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25483" xr:uid="{F8CE62D1-A9E7-408D-82BF-9A767190488D}"/>
    <cellStyle name="Normal 5 2 2 4 2 5 2 2 3" xfId="17042" xr:uid="{D5F18F0B-9AD1-4B55-9503-DF87DBAC677F}"/>
    <cellStyle name="Normal 5 2 2 4 2 5 2 3" xfId="21265" xr:uid="{82E54384-DEBA-4BBD-91C2-0E9064FF457A}"/>
    <cellStyle name="Normal 5 2 2 4 2 5 2 4" xfId="12824" xr:uid="{AD68D183-4572-44AB-AE21-C8CAFE4C00FD}"/>
    <cellStyle name="Normal 5 2 2 4 2 5 3" xfId="6447" xr:uid="{00000000-0005-0000-0000-0000F7170000}"/>
    <cellStyle name="Normal 5 2 2 4 2 5 3 2" xfId="23338" xr:uid="{E07E2998-94BF-46AD-9CDD-02F63BD6D078}"/>
    <cellStyle name="Normal 5 2 2 4 2 5 3 3" xfId="14897" xr:uid="{37031827-FDBA-4D69-B0F8-3E8861664AA0}"/>
    <cellStyle name="Normal 5 2 2 4 2 5 4" xfId="19120" xr:uid="{D429EC7A-01E1-4C48-A528-E36DA34D80C2}"/>
    <cellStyle name="Normal 5 2 2 4 2 5 5" xfId="10679" xr:uid="{283A6128-F76F-47BE-B29C-EDE958347D98}"/>
    <cellStyle name="Normal 5 2 2 4 2 6" xfId="2577" xr:uid="{00000000-0005-0000-0000-0000F8170000}"/>
    <cellStyle name="Normal 5 2 2 4 2 6 2" xfId="6860" xr:uid="{00000000-0005-0000-0000-0000F9170000}"/>
    <cellStyle name="Normal 5 2 2 4 2 6 2 2" xfId="23751" xr:uid="{372C3ADB-13EA-414D-8140-EBBB2BEF1ACF}"/>
    <cellStyle name="Normal 5 2 2 4 2 6 2 3" xfId="15310" xr:uid="{BA28D5C5-DADB-403D-9B88-33498E35BD8C}"/>
    <cellStyle name="Normal 5 2 2 4 2 6 3" xfId="19533" xr:uid="{26796EB7-7B10-4015-8A12-26B3D2BD282E}"/>
    <cellStyle name="Normal 5 2 2 4 2 6 4" xfId="11092" xr:uid="{F42AABA8-B9AA-4F0E-A3B2-4F1F5CF50C4A}"/>
    <cellStyle name="Normal 5 2 2 4 2 7" xfId="4795" xr:uid="{00000000-0005-0000-0000-0000FA170000}"/>
    <cellStyle name="Normal 5 2 2 4 2 7 2" xfId="21686" xr:uid="{326A3D78-319F-4403-BFA3-1AA0FFD2C8BC}"/>
    <cellStyle name="Normal 5 2 2 4 2 7 3" xfId="13245" xr:uid="{0067F5DC-8809-47E6-BA2B-7EFA1C46FD34}"/>
    <cellStyle name="Normal 5 2 2 4 2 8" xfId="17468" xr:uid="{EC22B782-8756-450A-955C-27A44C7FDF8C}"/>
    <cellStyle name="Normal 5 2 2 4 2 9" xfId="9027" xr:uid="{61A70979-63F0-429F-96FB-994FFCFFC522}"/>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24243" xr:uid="{65C33E74-99BD-459A-AE48-0B5057023878}"/>
    <cellStyle name="Normal 5 2 2 4 3 2 2 3" xfId="15802" xr:uid="{CCCB50C6-09D0-4FC6-8BA1-F16565ED94D7}"/>
    <cellStyle name="Normal 5 2 2 4 3 2 3" xfId="20025" xr:uid="{4A88DC2B-DE51-4CA4-A640-A8049B8B8D06}"/>
    <cellStyle name="Normal 5 2 2 4 3 2 4" xfId="11584" xr:uid="{98C3DCFD-82A8-4CF3-A633-A894E9F1143A}"/>
    <cellStyle name="Normal 5 2 2 4 3 3" xfId="5207" xr:uid="{00000000-0005-0000-0000-0000FE170000}"/>
    <cellStyle name="Normal 5 2 2 4 3 3 2" xfId="22098" xr:uid="{FB559C86-7FE8-4035-8411-58521C052615}"/>
    <cellStyle name="Normal 5 2 2 4 3 3 3" xfId="13657" xr:uid="{2A65D0B2-6625-4F77-9380-D6D72195ADF6}"/>
    <cellStyle name="Normal 5 2 2 4 3 4" xfId="17880" xr:uid="{82263BE0-16CD-4C0D-95C9-0E25268D2F6F}"/>
    <cellStyle name="Normal 5 2 2 4 3 5" xfId="9439" xr:uid="{2F176BD1-F5F1-48B9-9D3C-344CF079D1E0}"/>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24656" xr:uid="{85B5175E-272A-4028-828A-61AB022746ED}"/>
    <cellStyle name="Normal 5 2 2 4 4 2 2 3" xfId="16215" xr:uid="{67B40F63-7572-4CA3-82C7-DBA159B5F040}"/>
    <cellStyle name="Normal 5 2 2 4 4 2 3" xfId="20438" xr:uid="{C2E53DDA-8068-46D8-9CD3-6BEE4E708E22}"/>
    <cellStyle name="Normal 5 2 2 4 4 2 4" xfId="11997" xr:uid="{7986CA50-D828-491E-AAF1-6A21A4FC527D}"/>
    <cellStyle name="Normal 5 2 2 4 4 3" xfId="5620" xr:uid="{00000000-0005-0000-0000-000002180000}"/>
    <cellStyle name="Normal 5 2 2 4 4 3 2" xfId="22511" xr:uid="{9D5D4137-F660-42F2-BC94-3EC1174A7BAB}"/>
    <cellStyle name="Normal 5 2 2 4 4 3 3" xfId="14070" xr:uid="{ADC74F21-7E1B-4197-81B6-15CE952EAAC7}"/>
    <cellStyle name="Normal 5 2 2 4 4 4" xfId="18293" xr:uid="{DCA5F042-4B28-4230-8ED4-70A03A2A9277}"/>
    <cellStyle name="Normal 5 2 2 4 4 5" xfId="9852" xr:uid="{B9255653-B1BB-404E-8983-B769E4D841A8}"/>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25069" xr:uid="{189C8DFC-A14E-47A6-AA2F-A603CE9D4C87}"/>
    <cellStyle name="Normal 5 2 2 4 5 2 2 3" xfId="16628" xr:uid="{4030E876-0826-4887-8814-FC738ACA5600}"/>
    <cellStyle name="Normal 5 2 2 4 5 2 3" xfId="20851" xr:uid="{89B3A748-225B-42E4-AC13-BD35C58AFD0E}"/>
    <cellStyle name="Normal 5 2 2 4 5 2 4" xfId="12410" xr:uid="{B7114D39-88CD-419C-91E0-CCE72C158F96}"/>
    <cellStyle name="Normal 5 2 2 4 5 3" xfId="6033" xr:uid="{00000000-0005-0000-0000-000006180000}"/>
    <cellStyle name="Normal 5 2 2 4 5 3 2" xfId="22924" xr:uid="{53578456-63B2-4D21-AF49-8F82F4A11FD2}"/>
    <cellStyle name="Normal 5 2 2 4 5 3 3" xfId="14483" xr:uid="{362168FB-C97C-48F1-BA6F-25D983054B70}"/>
    <cellStyle name="Normal 5 2 2 4 5 4" xfId="18706" xr:uid="{7164DACB-7AB5-44B9-A697-B08D401825F6}"/>
    <cellStyle name="Normal 5 2 2 4 5 5" xfId="10265" xr:uid="{D4D7CA9E-F526-4D51-9EE7-CD679FA1EF21}"/>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25482" xr:uid="{8EE9C540-0D71-47B7-9962-DAF8C34F0380}"/>
    <cellStyle name="Normal 5 2 2 4 6 2 2 3" xfId="17041" xr:uid="{20AC3FFF-6C2C-4D3F-AC2C-F2C397855A93}"/>
    <cellStyle name="Normal 5 2 2 4 6 2 3" xfId="21264" xr:uid="{9C8F249D-84A6-4C5D-B46F-086913A02C7E}"/>
    <cellStyle name="Normal 5 2 2 4 6 2 4" xfId="12823" xr:uid="{A9521E47-C3BA-4059-BE20-D275D1EB5A30}"/>
    <cellStyle name="Normal 5 2 2 4 6 3" xfId="6446" xr:uid="{00000000-0005-0000-0000-00000A180000}"/>
    <cellStyle name="Normal 5 2 2 4 6 3 2" xfId="23337" xr:uid="{CC407F2B-4F2C-4FBC-987C-9AC1329B2F40}"/>
    <cellStyle name="Normal 5 2 2 4 6 3 3" xfId="14896" xr:uid="{EA6CD2E2-6081-4D8B-9BCA-EBC0645818C6}"/>
    <cellStyle name="Normal 5 2 2 4 6 4" xfId="19119" xr:uid="{6FD49E53-C1C3-410A-9B7F-7BC590E3AA5C}"/>
    <cellStyle name="Normal 5 2 2 4 6 5" xfId="10678" xr:uid="{D1594B2F-5E90-4EE4-A6EF-4BF7B2B1A162}"/>
    <cellStyle name="Normal 5 2 2 4 7" xfId="2576" xr:uid="{00000000-0005-0000-0000-00000B180000}"/>
    <cellStyle name="Normal 5 2 2 4 7 2" xfId="6859" xr:uid="{00000000-0005-0000-0000-00000C180000}"/>
    <cellStyle name="Normal 5 2 2 4 7 2 2" xfId="23750" xr:uid="{5B0BE17E-557C-4F66-831B-D5CB3CE950A0}"/>
    <cellStyle name="Normal 5 2 2 4 7 2 3" xfId="15309" xr:uid="{29742B99-E1B4-407E-B24D-7DFDE49A91AD}"/>
    <cellStyle name="Normal 5 2 2 4 7 3" xfId="19532" xr:uid="{41712946-124E-47D3-B9A7-D5B66B560262}"/>
    <cellStyle name="Normal 5 2 2 4 7 4" xfId="11091" xr:uid="{D44EC190-07AC-49B9-9395-601E13D1208C}"/>
    <cellStyle name="Normal 5 2 2 4 8" xfId="4794" xr:uid="{00000000-0005-0000-0000-00000D180000}"/>
    <cellStyle name="Normal 5 2 2 4 8 2" xfId="21685" xr:uid="{22A38FBF-CFEA-4391-B4B8-553A532BB998}"/>
    <cellStyle name="Normal 5 2 2 4 8 3" xfId="13244" xr:uid="{1E05B386-D06C-4FE0-9A97-15D1D660B9E3}"/>
    <cellStyle name="Normal 5 2 2 4 9" xfId="17467" xr:uid="{B3EC27F1-BA2E-43D6-91E3-7B436B480CBC}"/>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24245" xr:uid="{015718ED-5D15-43A5-87ED-3BE1DAB1A0A1}"/>
    <cellStyle name="Normal 5 2 2 5 2 2 2 3" xfId="15804" xr:uid="{F2EB27EB-1079-4847-8A1A-FDEF2DD0C5C7}"/>
    <cellStyle name="Normal 5 2 2 5 2 2 3" xfId="20027" xr:uid="{34EC92BC-2403-46B7-9835-16EE33D65D08}"/>
    <cellStyle name="Normal 5 2 2 5 2 2 4" xfId="11586" xr:uid="{0FB0A3C2-D104-45D5-86F8-7CC28277B456}"/>
    <cellStyle name="Normal 5 2 2 5 2 3" xfId="5209" xr:uid="{00000000-0005-0000-0000-000012180000}"/>
    <cellStyle name="Normal 5 2 2 5 2 3 2" xfId="22100" xr:uid="{E61722F1-FEC8-4417-A294-F35DFCF43A33}"/>
    <cellStyle name="Normal 5 2 2 5 2 3 3" xfId="13659" xr:uid="{60AC27AC-47B4-428A-AC17-551993A4EC5F}"/>
    <cellStyle name="Normal 5 2 2 5 2 4" xfId="17882" xr:uid="{C9791F2B-714F-41F2-8B6F-726CD7983743}"/>
    <cellStyle name="Normal 5 2 2 5 2 5" xfId="9441" xr:uid="{39655816-09B0-4441-BBC4-FEB3A1786659}"/>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24658" xr:uid="{93D0B1AA-1528-4367-B750-FC07CB976B6D}"/>
    <cellStyle name="Normal 5 2 2 5 3 2 2 3" xfId="16217" xr:uid="{639FEF06-0D62-4317-82DE-482E9D62D223}"/>
    <cellStyle name="Normal 5 2 2 5 3 2 3" xfId="20440" xr:uid="{BA71021F-3283-4D57-8F7F-507D216151F6}"/>
    <cellStyle name="Normal 5 2 2 5 3 2 4" xfId="11999" xr:uid="{DA8D04DF-0F42-4DD9-976D-A6FB76D26543}"/>
    <cellStyle name="Normal 5 2 2 5 3 3" xfId="5622" xr:uid="{00000000-0005-0000-0000-000016180000}"/>
    <cellStyle name="Normal 5 2 2 5 3 3 2" xfId="22513" xr:uid="{5DC83F26-B695-4CAB-B549-54595B661525}"/>
    <cellStyle name="Normal 5 2 2 5 3 3 3" xfId="14072" xr:uid="{8FC3BF33-32F0-42D3-957F-3F95DA8EA2D0}"/>
    <cellStyle name="Normal 5 2 2 5 3 4" xfId="18295" xr:uid="{C02C9325-DB42-4C40-B085-0C877AFB9CB1}"/>
    <cellStyle name="Normal 5 2 2 5 3 5" xfId="9854" xr:uid="{768A1EC9-D5D1-4B3A-82AD-5F4442DB18BE}"/>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25071" xr:uid="{A06F52E8-AACF-437C-A927-BEA4D0321348}"/>
    <cellStyle name="Normal 5 2 2 5 4 2 2 3" xfId="16630" xr:uid="{A663EB1E-C32C-4995-9DD9-7EAEDB7B878B}"/>
    <cellStyle name="Normal 5 2 2 5 4 2 3" xfId="20853" xr:uid="{6B8D6AF7-6611-416F-8AAB-55566C73F96C}"/>
    <cellStyle name="Normal 5 2 2 5 4 2 4" xfId="12412" xr:uid="{EDEB1A0D-2877-47FC-8CCD-A639F46215E5}"/>
    <cellStyle name="Normal 5 2 2 5 4 3" xfId="6035" xr:uid="{00000000-0005-0000-0000-00001A180000}"/>
    <cellStyle name="Normal 5 2 2 5 4 3 2" xfId="22926" xr:uid="{8DA59B27-AADD-4D66-BA6A-1DD9BAAC9BD9}"/>
    <cellStyle name="Normal 5 2 2 5 4 3 3" xfId="14485" xr:uid="{39556736-F775-45CB-8EE9-1191E0FFA330}"/>
    <cellStyle name="Normal 5 2 2 5 4 4" xfId="18708" xr:uid="{48C14CA4-1672-4C78-8DA9-9ECD48B64ADB}"/>
    <cellStyle name="Normal 5 2 2 5 4 5" xfId="10267" xr:uid="{C64C32AC-E528-4EB4-977F-45EFC3BD826A}"/>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25484" xr:uid="{BE5E8235-38D4-47ED-8D19-4CE3BAE47342}"/>
    <cellStyle name="Normal 5 2 2 5 5 2 2 3" xfId="17043" xr:uid="{E1AB05CA-745A-457E-8B3D-C41B59D9B8E2}"/>
    <cellStyle name="Normal 5 2 2 5 5 2 3" xfId="21266" xr:uid="{BCFEEFF7-4CA3-47F7-8CB5-5C0C42D45659}"/>
    <cellStyle name="Normal 5 2 2 5 5 2 4" xfId="12825" xr:uid="{FFB0DB58-4839-4432-8071-56A67F1D3C44}"/>
    <cellStyle name="Normal 5 2 2 5 5 3" xfId="6448" xr:uid="{00000000-0005-0000-0000-00001E180000}"/>
    <cellStyle name="Normal 5 2 2 5 5 3 2" xfId="23339" xr:uid="{81615E2C-AE13-433F-866C-AE8BC2195A6F}"/>
    <cellStyle name="Normal 5 2 2 5 5 3 3" xfId="14898" xr:uid="{E553D8D6-D90D-4A73-82EC-1455D8C90D8D}"/>
    <cellStyle name="Normal 5 2 2 5 5 4" xfId="19121" xr:uid="{6B142B3D-5A6B-4495-A115-8034D7134436}"/>
    <cellStyle name="Normal 5 2 2 5 5 5" xfId="10680" xr:uid="{55C34645-9C80-4737-B9D7-2CA3722E7F3A}"/>
    <cellStyle name="Normal 5 2 2 5 6" xfId="2578" xr:uid="{00000000-0005-0000-0000-00001F180000}"/>
    <cellStyle name="Normal 5 2 2 5 6 2" xfId="6861" xr:uid="{00000000-0005-0000-0000-000020180000}"/>
    <cellStyle name="Normal 5 2 2 5 6 2 2" xfId="23752" xr:uid="{2ADD6B49-EA26-4B27-BDFE-BA91F04AA435}"/>
    <cellStyle name="Normal 5 2 2 5 6 2 3" xfId="15311" xr:uid="{E987B022-9850-4AF3-A0A9-C82AD2B40AC1}"/>
    <cellStyle name="Normal 5 2 2 5 6 3" xfId="19534" xr:uid="{6D2E57C2-51F1-4004-AE66-D314EA4A1977}"/>
    <cellStyle name="Normal 5 2 2 5 6 4" xfId="11093" xr:uid="{3BE197AB-23BA-460C-9633-18B2D8069B18}"/>
    <cellStyle name="Normal 5 2 2 5 7" xfId="4796" xr:uid="{00000000-0005-0000-0000-000021180000}"/>
    <cellStyle name="Normal 5 2 2 5 7 2" xfId="21687" xr:uid="{ADE01138-7E8F-4253-B485-963DCFC1C2A6}"/>
    <cellStyle name="Normal 5 2 2 5 7 3" xfId="13246" xr:uid="{7157877B-05CD-4707-9DA1-7AA111123A0A}"/>
    <cellStyle name="Normal 5 2 2 5 8" xfId="17469" xr:uid="{5396422D-C54B-4D79-86C9-E3C08B83FE37}"/>
    <cellStyle name="Normal 5 2 2 5 9" xfId="9028" xr:uid="{2D4B2BA8-1FFD-4AEF-8AFF-1E51A86D9F9F}"/>
    <cellStyle name="Normal 5 2 2 6" xfId="882" xr:uid="{00000000-0005-0000-0000-000022180000}"/>
    <cellStyle name="Normal 5 2 2 6 2" xfId="3117" xr:uid="{00000000-0005-0000-0000-000023180000}"/>
    <cellStyle name="Normal 5 2 2 6 2 2" xfId="7339" xr:uid="{00000000-0005-0000-0000-000024180000}"/>
    <cellStyle name="Normal 5 2 2 6 2 2 2" xfId="24230" xr:uid="{385B20BB-011C-4C84-A0D5-139AD7F29115}"/>
    <cellStyle name="Normal 5 2 2 6 2 2 3" xfId="15789" xr:uid="{472BB903-0772-4BC6-A227-AF4C302BB199}"/>
    <cellStyle name="Normal 5 2 2 6 2 3" xfId="20012" xr:uid="{40976B02-ADCF-4ED7-A0F6-3744987B46C1}"/>
    <cellStyle name="Normal 5 2 2 6 2 4" xfId="11571" xr:uid="{AAD8E0C8-CDB7-4BF0-9166-BD51296C2C97}"/>
    <cellStyle name="Normal 5 2 2 6 3" xfId="5194" xr:uid="{00000000-0005-0000-0000-000025180000}"/>
    <cellStyle name="Normal 5 2 2 6 3 2" xfId="22085" xr:uid="{48A5D790-73C9-40E0-AADA-307E4DE33801}"/>
    <cellStyle name="Normal 5 2 2 6 3 3" xfId="13644" xr:uid="{590C5EB0-4964-48CF-88B2-61B25DD0693C}"/>
    <cellStyle name="Normal 5 2 2 6 4" xfId="17867" xr:uid="{393EAE03-C13F-4F25-BCE1-0A4223EB7118}"/>
    <cellStyle name="Normal 5 2 2 6 5" xfId="9426" xr:uid="{46BA8C4D-F43A-4B5A-BB26-E06A0F0DC06C}"/>
    <cellStyle name="Normal 5 2 2 7" xfId="1300" xr:uid="{00000000-0005-0000-0000-000026180000}"/>
    <cellStyle name="Normal 5 2 2 7 2" xfId="3530" xr:uid="{00000000-0005-0000-0000-000027180000}"/>
    <cellStyle name="Normal 5 2 2 7 2 2" xfId="7752" xr:uid="{00000000-0005-0000-0000-000028180000}"/>
    <cellStyle name="Normal 5 2 2 7 2 2 2" xfId="24643" xr:uid="{6E2DB2C7-8F23-47D7-AA85-520FDE6B0700}"/>
    <cellStyle name="Normal 5 2 2 7 2 2 3" xfId="16202" xr:uid="{A684AAC5-A3B1-42FD-A6A3-2F0198A4E3A0}"/>
    <cellStyle name="Normal 5 2 2 7 2 3" xfId="20425" xr:uid="{AF1A38C8-943E-4FFD-98B0-43A0D8CFAF66}"/>
    <cellStyle name="Normal 5 2 2 7 2 4" xfId="11984" xr:uid="{8EA3FDCF-8F08-4453-9296-A809D5F364C8}"/>
    <cellStyle name="Normal 5 2 2 7 3" xfId="5607" xr:uid="{00000000-0005-0000-0000-000029180000}"/>
    <cellStyle name="Normal 5 2 2 7 3 2" xfId="22498" xr:uid="{BD0EECA2-2847-4246-BB76-4745E1F15399}"/>
    <cellStyle name="Normal 5 2 2 7 3 3" xfId="14057" xr:uid="{ACE54604-AA8B-4398-A775-4B13B6F3E74F}"/>
    <cellStyle name="Normal 5 2 2 7 4" xfId="18280" xr:uid="{914F1238-8C24-4C8F-AC38-F26112F5C127}"/>
    <cellStyle name="Normal 5 2 2 7 5" xfId="9839" xr:uid="{C294FC90-A6B1-440A-BD13-1419FE178B1A}"/>
    <cellStyle name="Normal 5 2 2 8" xfId="1713" xr:uid="{00000000-0005-0000-0000-00002A180000}"/>
    <cellStyle name="Normal 5 2 2 8 2" xfId="3943" xr:uid="{00000000-0005-0000-0000-00002B180000}"/>
    <cellStyle name="Normal 5 2 2 8 2 2" xfId="8165" xr:uid="{00000000-0005-0000-0000-00002C180000}"/>
    <cellStyle name="Normal 5 2 2 8 2 2 2" xfId="25056" xr:uid="{0FC74C62-056A-40FC-A0B5-D93B01EADA3C}"/>
    <cellStyle name="Normal 5 2 2 8 2 2 3" xfId="16615" xr:uid="{5D309B6E-7772-45DA-B89B-9C6831E79C70}"/>
    <cellStyle name="Normal 5 2 2 8 2 3" xfId="20838" xr:uid="{0E43A5D8-FE8A-4A69-8F6F-2EA41CCF8DDE}"/>
    <cellStyle name="Normal 5 2 2 8 2 4" xfId="12397" xr:uid="{42082A0F-BB5C-400E-B2C9-FF304A7BC48E}"/>
    <cellStyle name="Normal 5 2 2 8 3" xfId="6020" xr:uid="{00000000-0005-0000-0000-00002D180000}"/>
    <cellStyle name="Normal 5 2 2 8 3 2" xfId="22911" xr:uid="{934EE5C4-F022-4DFC-918A-66DAE8BA246E}"/>
    <cellStyle name="Normal 5 2 2 8 3 3" xfId="14470" xr:uid="{0A94AF77-31B0-4690-A306-CC4C225DE865}"/>
    <cellStyle name="Normal 5 2 2 8 4" xfId="18693" xr:uid="{DB5EF89F-FB12-48B7-A71B-C5A2A9453396}"/>
    <cellStyle name="Normal 5 2 2 8 5" xfId="10252" xr:uid="{743099FE-7B3A-4B68-B747-9A08F56079B9}"/>
    <cellStyle name="Normal 5 2 2 9" xfId="2127" xr:uid="{00000000-0005-0000-0000-00002E180000}"/>
    <cellStyle name="Normal 5 2 2 9 2" xfId="4356" xr:uid="{00000000-0005-0000-0000-00002F180000}"/>
    <cellStyle name="Normal 5 2 2 9 2 2" xfId="8578" xr:uid="{00000000-0005-0000-0000-000030180000}"/>
    <cellStyle name="Normal 5 2 2 9 2 2 2" xfId="25469" xr:uid="{B666F8BE-5058-44CD-82E7-362C6007893F}"/>
    <cellStyle name="Normal 5 2 2 9 2 2 3" xfId="17028" xr:uid="{9F475753-55C6-4000-8B58-78F72657EF93}"/>
    <cellStyle name="Normal 5 2 2 9 2 3" xfId="21251" xr:uid="{279ABD6F-3DB8-4687-B9D5-044474427F91}"/>
    <cellStyle name="Normal 5 2 2 9 2 4" xfId="12810" xr:uid="{FD95B27E-359D-4FCA-BC60-25F5D91AD737}"/>
    <cellStyle name="Normal 5 2 2 9 3" xfId="6433" xr:uid="{00000000-0005-0000-0000-000031180000}"/>
    <cellStyle name="Normal 5 2 2 9 3 2" xfId="23324" xr:uid="{92A5A76F-5ABA-4385-90B0-8774E455A118}"/>
    <cellStyle name="Normal 5 2 2 9 3 3" xfId="14883" xr:uid="{F7F4DD6B-5C63-4CFF-AF78-3A7B5C745841}"/>
    <cellStyle name="Normal 5 2 2 9 4" xfId="19106" xr:uid="{A1CF9FA3-145F-469D-B0BE-9A75E6961241}"/>
    <cellStyle name="Normal 5 2 2 9 5" xfId="10665" xr:uid="{76D08DB6-6034-4BC3-8DE9-9AFF35402EF0}"/>
    <cellStyle name="Normal 5 2 3" xfId="424" xr:uid="{00000000-0005-0000-0000-000032180000}"/>
    <cellStyle name="Normal 5 2 3 10" xfId="4797" xr:uid="{00000000-0005-0000-0000-000033180000}"/>
    <cellStyle name="Normal 5 2 3 10 2" xfId="21688" xr:uid="{468AC8B5-68D5-486B-8BD5-91A85C346D87}"/>
    <cellStyle name="Normal 5 2 3 10 3" xfId="13247" xr:uid="{0A98B9F1-5C98-4B44-9925-5E328A0F3FF0}"/>
    <cellStyle name="Normal 5 2 3 11" xfId="17470" xr:uid="{DA41AAD1-3C7E-4230-839F-1EA006E301AB}"/>
    <cellStyle name="Normal 5 2 3 12" xfId="9029" xr:uid="{5F754881-2EE9-4A1A-A035-C8842D826200}"/>
    <cellStyle name="Normal 5 2 3 2" xfId="425" xr:uid="{00000000-0005-0000-0000-000034180000}"/>
    <cellStyle name="Normal 5 2 3 2 10" xfId="17471" xr:uid="{FA955331-1BA3-4A08-ACBF-B03F5ACAC322}"/>
    <cellStyle name="Normal 5 2 3 2 11" xfId="9030" xr:uid="{64B1CF7E-6905-40C8-95BE-FACFA692C546}"/>
    <cellStyle name="Normal 5 2 3 2 2" xfId="426" xr:uid="{00000000-0005-0000-0000-000035180000}"/>
    <cellStyle name="Normal 5 2 3 2 2 10" xfId="9031" xr:uid="{F567605A-BA47-4D0C-B91C-53E536C75459}"/>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24249" xr:uid="{16E6E4E1-40D7-426C-B76F-ADCBB093C9D8}"/>
    <cellStyle name="Normal 5 2 3 2 2 2 2 2 2 3" xfId="15808" xr:uid="{414E1015-4EA8-420A-820C-892F063434D2}"/>
    <cellStyle name="Normal 5 2 3 2 2 2 2 2 3" xfId="20031" xr:uid="{66AB3BC4-B89E-4469-B9B4-E58E0D77A04F}"/>
    <cellStyle name="Normal 5 2 3 2 2 2 2 2 4" xfId="11590" xr:uid="{20EB3F78-0A6C-4793-9943-2799F3DDB005}"/>
    <cellStyle name="Normal 5 2 3 2 2 2 2 3" xfId="5213" xr:uid="{00000000-0005-0000-0000-00003A180000}"/>
    <cellStyle name="Normal 5 2 3 2 2 2 2 3 2" xfId="22104" xr:uid="{B5BB02E8-36A1-4B9C-B76E-EDC4796FD52C}"/>
    <cellStyle name="Normal 5 2 3 2 2 2 2 3 3" xfId="13663" xr:uid="{FE0AA44D-3909-47C2-B65A-AF21711971A8}"/>
    <cellStyle name="Normal 5 2 3 2 2 2 2 4" xfId="17886" xr:uid="{0E3092BF-4B57-4953-B554-2B81D3D20067}"/>
    <cellStyle name="Normal 5 2 3 2 2 2 2 5" xfId="9445" xr:uid="{E12132E2-671E-44D6-B0D0-229734E53027}"/>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24662" xr:uid="{CF80A1FC-B255-4E38-9F59-80F428D29FE9}"/>
    <cellStyle name="Normal 5 2 3 2 2 2 3 2 2 3" xfId="16221" xr:uid="{B609A6E7-CB5A-4D6D-B24D-36C3A47BC0E3}"/>
    <cellStyle name="Normal 5 2 3 2 2 2 3 2 3" xfId="20444" xr:uid="{95E97818-B32A-4F89-B825-7ABE9AB830D9}"/>
    <cellStyle name="Normal 5 2 3 2 2 2 3 2 4" xfId="12003" xr:uid="{1B9A29B2-AA1C-4AB3-8676-5C9B38C6E976}"/>
    <cellStyle name="Normal 5 2 3 2 2 2 3 3" xfId="5626" xr:uid="{00000000-0005-0000-0000-00003E180000}"/>
    <cellStyle name="Normal 5 2 3 2 2 2 3 3 2" xfId="22517" xr:uid="{314BF7D6-E656-4840-8892-776F66D7447A}"/>
    <cellStyle name="Normal 5 2 3 2 2 2 3 3 3" xfId="14076" xr:uid="{8DCD5D00-253B-41F1-B960-CF16CBEB826A}"/>
    <cellStyle name="Normal 5 2 3 2 2 2 3 4" xfId="18299" xr:uid="{F1515012-7E59-4765-B24B-F5CDFF9FAA51}"/>
    <cellStyle name="Normal 5 2 3 2 2 2 3 5" xfId="9858" xr:uid="{0463F762-0026-499B-B269-ECA8BA8F9461}"/>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25075" xr:uid="{87BF4324-6A29-491F-A6BE-293D6A011093}"/>
    <cellStyle name="Normal 5 2 3 2 2 2 4 2 2 3" xfId="16634" xr:uid="{2A219263-FF4B-46B8-8FCD-16EB79622717}"/>
    <cellStyle name="Normal 5 2 3 2 2 2 4 2 3" xfId="20857" xr:uid="{7F07E7BF-7F14-42D2-813E-5D82803AEE08}"/>
    <cellStyle name="Normal 5 2 3 2 2 2 4 2 4" xfId="12416" xr:uid="{7122A984-9530-47DF-89EF-CBC143669DAE}"/>
    <cellStyle name="Normal 5 2 3 2 2 2 4 3" xfId="6039" xr:uid="{00000000-0005-0000-0000-000042180000}"/>
    <cellStyle name="Normal 5 2 3 2 2 2 4 3 2" xfId="22930" xr:uid="{F099D1AE-B0D9-45AB-A2AB-2E1427B38613}"/>
    <cellStyle name="Normal 5 2 3 2 2 2 4 3 3" xfId="14489" xr:uid="{1042D1F7-930D-4910-8EAE-22A445271127}"/>
    <cellStyle name="Normal 5 2 3 2 2 2 4 4" xfId="18712" xr:uid="{842DBC0C-7F62-4B4D-AB73-0A4C3B9FDFE4}"/>
    <cellStyle name="Normal 5 2 3 2 2 2 4 5" xfId="10271" xr:uid="{221ABC62-C9CD-4FF1-B264-0BF6F099F7AF}"/>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25488" xr:uid="{6D543818-1FF0-48D8-B8DF-7A2C60073F27}"/>
    <cellStyle name="Normal 5 2 3 2 2 2 5 2 2 3" xfId="17047" xr:uid="{B68C1E98-00EB-4232-8802-14E4188EDCE4}"/>
    <cellStyle name="Normal 5 2 3 2 2 2 5 2 3" xfId="21270" xr:uid="{B67A984A-7EC1-42DB-BE9E-3F30B496DAB7}"/>
    <cellStyle name="Normal 5 2 3 2 2 2 5 2 4" xfId="12829" xr:uid="{86B45EC8-1F36-4143-B2A9-538E96714F60}"/>
    <cellStyle name="Normal 5 2 3 2 2 2 5 3" xfId="6452" xr:uid="{00000000-0005-0000-0000-000046180000}"/>
    <cellStyle name="Normal 5 2 3 2 2 2 5 3 2" xfId="23343" xr:uid="{40CFB3CA-2D32-4AA2-804B-0B0CA821F4DE}"/>
    <cellStyle name="Normal 5 2 3 2 2 2 5 3 3" xfId="14902" xr:uid="{4E027B4E-EB70-4BE4-9D3F-F62C6A1467BD}"/>
    <cellStyle name="Normal 5 2 3 2 2 2 5 4" xfId="19125" xr:uid="{A2712DFC-503F-4C50-94D5-74D37F21CA36}"/>
    <cellStyle name="Normal 5 2 3 2 2 2 5 5" xfId="10684" xr:uid="{42026B4E-8D0F-44AB-827A-7C09CFDD8B9B}"/>
    <cellStyle name="Normal 5 2 3 2 2 2 6" xfId="2582" xr:uid="{00000000-0005-0000-0000-000047180000}"/>
    <cellStyle name="Normal 5 2 3 2 2 2 6 2" xfId="6865" xr:uid="{00000000-0005-0000-0000-000048180000}"/>
    <cellStyle name="Normal 5 2 3 2 2 2 6 2 2" xfId="23756" xr:uid="{73D44393-3F6D-491F-9FA0-1CA6F37E2D35}"/>
    <cellStyle name="Normal 5 2 3 2 2 2 6 2 3" xfId="15315" xr:uid="{C3893FD1-7223-4C82-BA27-25324561993F}"/>
    <cellStyle name="Normal 5 2 3 2 2 2 6 3" xfId="19538" xr:uid="{FCE0DE9D-7C0E-4DCC-BAC1-30D2F7DE4BBD}"/>
    <cellStyle name="Normal 5 2 3 2 2 2 6 4" xfId="11097" xr:uid="{C28E2400-43AA-49E1-A0E0-339DC865423F}"/>
    <cellStyle name="Normal 5 2 3 2 2 2 7" xfId="4800" xr:uid="{00000000-0005-0000-0000-000049180000}"/>
    <cellStyle name="Normal 5 2 3 2 2 2 7 2" xfId="21691" xr:uid="{35034A72-7C62-478E-BAD6-B8A6148EFC8D}"/>
    <cellStyle name="Normal 5 2 3 2 2 2 7 3" xfId="13250" xr:uid="{7C58338E-75E3-4BE5-95B7-BFFB3988728C}"/>
    <cellStyle name="Normal 5 2 3 2 2 2 8" xfId="17473" xr:uid="{1843F611-2917-45C5-AE55-867650C4011D}"/>
    <cellStyle name="Normal 5 2 3 2 2 2 9" xfId="9032" xr:uid="{CA9E809F-D0DF-42FF-ADA5-5A0C471BEB3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24248" xr:uid="{E1B92360-0B6D-437E-8A73-F25BD11733E0}"/>
    <cellStyle name="Normal 5 2 3 2 2 3 2 2 3" xfId="15807" xr:uid="{4922C62F-F407-4156-BA60-DED6E922D25D}"/>
    <cellStyle name="Normal 5 2 3 2 2 3 2 3" xfId="20030" xr:uid="{1C9966BD-AD0B-43BC-ADB6-6F04DFEA8FF7}"/>
    <cellStyle name="Normal 5 2 3 2 2 3 2 4" xfId="11589" xr:uid="{16091F6D-5B08-45BE-B10D-C4B3C03FA376}"/>
    <cellStyle name="Normal 5 2 3 2 2 3 3" xfId="5212" xr:uid="{00000000-0005-0000-0000-00004D180000}"/>
    <cellStyle name="Normal 5 2 3 2 2 3 3 2" xfId="22103" xr:uid="{B17ACA11-D943-479A-8A11-62854D07FD8F}"/>
    <cellStyle name="Normal 5 2 3 2 2 3 3 3" xfId="13662" xr:uid="{CF0E214A-C3A7-4C3C-BCE7-2A0A2D053F04}"/>
    <cellStyle name="Normal 5 2 3 2 2 3 4" xfId="17885" xr:uid="{A88A4823-791E-4226-BA55-24EA37DFE221}"/>
    <cellStyle name="Normal 5 2 3 2 2 3 5" xfId="9444" xr:uid="{727D8942-D8EC-4559-99F7-4E2E59D7DA24}"/>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24661" xr:uid="{90EAADDA-7E8D-4BD4-9F26-08EE25BF5A48}"/>
    <cellStyle name="Normal 5 2 3 2 2 4 2 2 3" xfId="16220" xr:uid="{FC45ADBE-A71C-45E4-9D23-600CA7924D21}"/>
    <cellStyle name="Normal 5 2 3 2 2 4 2 3" xfId="20443" xr:uid="{7D949929-F0F7-4254-9ED0-EF5E57840EE4}"/>
    <cellStyle name="Normal 5 2 3 2 2 4 2 4" xfId="12002" xr:uid="{1609F6BA-CC8D-42F3-99BE-8858D7BD8117}"/>
    <cellStyle name="Normal 5 2 3 2 2 4 3" xfId="5625" xr:uid="{00000000-0005-0000-0000-000051180000}"/>
    <cellStyle name="Normal 5 2 3 2 2 4 3 2" xfId="22516" xr:uid="{385CDD7E-C0CF-41BB-BBE8-DE7CFBDD12DD}"/>
    <cellStyle name="Normal 5 2 3 2 2 4 3 3" xfId="14075" xr:uid="{6809F29F-B016-48BB-824D-EF9BF7AA4629}"/>
    <cellStyle name="Normal 5 2 3 2 2 4 4" xfId="18298" xr:uid="{1C9E206B-37DB-4D41-9B1A-7641CC3B5A2B}"/>
    <cellStyle name="Normal 5 2 3 2 2 4 5" xfId="9857" xr:uid="{146763D8-5D8F-4270-98B8-248C36B247F2}"/>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25074" xr:uid="{A3EE24B7-D5F3-4E60-B609-97A6B1820242}"/>
    <cellStyle name="Normal 5 2 3 2 2 5 2 2 3" xfId="16633" xr:uid="{05B1EDF4-3854-4437-B33B-B7BCDEF5939D}"/>
    <cellStyle name="Normal 5 2 3 2 2 5 2 3" xfId="20856" xr:uid="{6C61A266-5765-40AC-8126-15C1D796ED0D}"/>
    <cellStyle name="Normal 5 2 3 2 2 5 2 4" xfId="12415" xr:uid="{66E1ECE7-3415-450B-9594-23B34A984B4B}"/>
    <cellStyle name="Normal 5 2 3 2 2 5 3" xfId="6038" xr:uid="{00000000-0005-0000-0000-000055180000}"/>
    <cellStyle name="Normal 5 2 3 2 2 5 3 2" xfId="22929" xr:uid="{D1B6B1B3-2C33-4E48-B855-021E1698EA68}"/>
    <cellStyle name="Normal 5 2 3 2 2 5 3 3" xfId="14488" xr:uid="{3F952F3C-BF27-4E42-A88C-C32879F2C937}"/>
    <cellStyle name="Normal 5 2 3 2 2 5 4" xfId="18711" xr:uid="{B8E83395-A0DB-414D-AD07-A3AC78CF8F57}"/>
    <cellStyle name="Normal 5 2 3 2 2 5 5" xfId="10270" xr:uid="{F46D463E-803E-4BA6-BA77-3BB3DE2D93B1}"/>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25487" xr:uid="{5AA5A130-FC66-4AF1-ACAB-B5C7AF3A5DA9}"/>
    <cellStyle name="Normal 5 2 3 2 2 6 2 2 3" xfId="17046" xr:uid="{91738AC7-2C59-423D-9584-8AE7059A1892}"/>
    <cellStyle name="Normal 5 2 3 2 2 6 2 3" xfId="21269" xr:uid="{333123E3-1413-4B84-829F-9F180AEEFA43}"/>
    <cellStyle name="Normal 5 2 3 2 2 6 2 4" xfId="12828" xr:uid="{B127B532-E11B-4C16-8500-E928BCB2F7A4}"/>
    <cellStyle name="Normal 5 2 3 2 2 6 3" xfId="6451" xr:uid="{00000000-0005-0000-0000-000059180000}"/>
    <cellStyle name="Normal 5 2 3 2 2 6 3 2" xfId="23342" xr:uid="{DFE89176-B9F4-4CDE-8069-663A43EE9C86}"/>
    <cellStyle name="Normal 5 2 3 2 2 6 3 3" xfId="14901" xr:uid="{E8C706D6-E6D0-4810-92F9-7273A173A7FD}"/>
    <cellStyle name="Normal 5 2 3 2 2 6 4" xfId="19124" xr:uid="{5645E443-20A0-4BD9-9335-4C56F5F242BD}"/>
    <cellStyle name="Normal 5 2 3 2 2 6 5" xfId="10683" xr:uid="{49DB9DF7-8214-4777-8F94-A6D0F06AED00}"/>
    <cellStyle name="Normal 5 2 3 2 2 7" xfId="2581" xr:uid="{00000000-0005-0000-0000-00005A180000}"/>
    <cellStyle name="Normal 5 2 3 2 2 7 2" xfId="6864" xr:uid="{00000000-0005-0000-0000-00005B180000}"/>
    <cellStyle name="Normal 5 2 3 2 2 7 2 2" xfId="23755" xr:uid="{A252DD01-67B8-4599-AA73-D6E2486817AC}"/>
    <cellStyle name="Normal 5 2 3 2 2 7 2 3" xfId="15314" xr:uid="{E6792AE4-AD5C-4B41-B749-17832FE86931}"/>
    <cellStyle name="Normal 5 2 3 2 2 7 3" xfId="19537" xr:uid="{4CEFB888-D5A0-41F9-A8B1-24DA761B461E}"/>
    <cellStyle name="Normal 5 2 3 2 2 7 4" xfId="11096" xr:uid="{42EF81F0-61E0-4B3E-8F26-65F6E595FD8E}"/>
    <cellStyle name="Normal 5 2 3 2 2 8" xfId="4799" xr:uid="{00000000-0005-0000-0000-00005C180000}"/>
    <cellStyle name="Normal 5 2 3 2 2 8 2" xfId="21690" xr:uid="{86D632EE-976B-41C9-86BF-5851C2D900DC}"/>
    <cellStyle name="Normal 5 2 3 2 2 8 3" xfId="13249" xr:uid="{938135CA-9E0E-41E3-B3B3-3CC032B86D95}"/>
    <cellStyle name="Normal 5 2 3 2 2 9" xfId="17472" xr:uid="{3946A3A5-EDFA-42BE-BAB0-19565F846D3D}"/>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24250" xr:uid="{9F83B89B-7151-44EB-8C3C-54112123F63C}"/>
    <cellStyle name="Normal 5 2 3 2 3 2 2 2 3" xfId="15809" xr:uid="{96B162DE-BA09-4FEF-989C-DD9BA3BAFED5}"/>
    <cellStyle name="Normal 5 2 3 2 3 2 2 3" xfId="20032" xr:uid="{03E94BDF-F02F-4D62-B76E-195E620275CA}"/>
    <cellStyle name="Normal 5 2 3 2 3 2 2 4" xfId="11591" xr:uid="{0313EAAF-265A-48D2-86E0-8A1ED153FE4E}"/>
    <cellStyle name="Normal 5 2 3 2 3 2 3" xfId="5214" xr:uid="{00000000-0005-0000-0000-000061180000}"/>
    <cellStyle name="Normal 5 2 3 2 3 2 3 2" xfId="22105" xr:uid="{B6C0F075-7559-428A-8BC1-D9158F66677D}"/>
    <cellStyle name="Normal 5 2 3 2 3 2 3 3" xfId="13664" xr:uid="{75DDA046-0BA1-480C-812E-77FBC6B57C29}"/>
    <cellStyle name="Normal 5 2 3 2 3 2 4" xfId="17887" xr:uid="{884EE355-387F-43CE-A024-FD6F67129B96}"/>
    <cellStyle name="Normal 5 2 3 2 3 2 5" xfId="9446" xr:uid="{B6DE95E4-9CE0-4074-BC92-B8C6EEF5463F}"/>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24663" xr:uid="{15EBEC5C-BD10-416A-B781-22CBBEB685FA}"/>
    <cellStyle name="Normal 5 2 3 2 3 3 2 2 3" xfId="16222" xr:uid="{6D2B23A5-2BCE-4F89-B9F8-CDB0F90F6CD2}"/>
    <cellStyle name="Normal 5 2 3 2 3 3 2 3" xfId="20445" xr:uid="{1D636730-319C-474C-8081-12F711295AFF}"/>
    <cellStyle name="Normal 5 2 3 2 3 3 2 4" xfId="12004" xr:uid="{370090AC-5990-46AA-83D0-F232ED6F9EC5}"/>
    <cellStyle name="Normal 5 2 3 2 3 3 3" xfId="5627" xr:uid="{00000000-0005-0000-0000-000065180000}"/>
    <cellStyle name="Normal 5 2 3 2 3 3 3 2" xfId="22518" xr:uid="{275D8F2E-14B8-45E2-84C1-0871E24D6FDD}"/>
    <cellStyle name="Normal 5 2 3 2 3 3 3 3" xfId="14077" xr:uid="{9798B783-6EC5-4A89-9FFB-542AF31855B6}"/>
    <cellStyle name="Normal 5 2 3 2 3 3 4" xfId="18300" xr:uid="{A44B52CF-469D-431C-AB84-26F357464EF0}"/>
    <cellStyle name="Normal 5 2 3 2 3 3 5" xfId="9859" xr:uid="{D7751AD0-2B35-4C97-B3C6-4C5B8D306E0D}"/>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25076" xr:uid="{48B24DC7-037D-4C67-9EA8-17D5AE80146D}"/>
    <cellStyle name="Normal 5 2 3 2 3 4 2 2 3" xfId="16635" xr:uid="{1E4E0CA4-3C20-4CBF-9CB5-5A34F2284C81}"/>
    <cellStyle name="Normal 5 2 3 2 3 4 2 3" xfId="20858" xr:uid="{209C0BD6-446C-4D1D-A017-1A037D62AA99}"/>
    <cellStyle name="Normal 5 2 3 2 3 4 2 4" xfId="12417" xr:uid="{BD5202C0-1099-4E98-9169-3DB2A1230596}"/>
    <cellStyle name="Normal 5 2 3 2 3 4 3" xfId="6040" xr:uid="{00000000-0005-0000-0000-000069180000}"/>
    <cellStyle name="Normal 5 2 3 2 3 4 3 2" xfId="22931" xr:uid="{502C01CB-68A9-4CF1-A328-34B1A5D956B8}"/>
    <cellStyle name="Normal 5 2 3 2 3 4 3 3" xfId="14490" xr:uid="{67DE9DA7-3B9D-4A78-ABDD-AF9EFADD3DBF}"/>
    <cellStyle name="Normal 5 2 3 2 3 4 4" xfId="18713" xr:uid="{A04274B4-1FDE-486B-8375-9A93E5DFE25F}"/>
    <cellStyle name="Normal 5 2 3 2 3 4 5" xfId="10272" xr:uid="{8E2665E3-9757-4746-B6AF-B7F25A588DDC}"/>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25489" xr:uid="{33E19221-5FF3-44A6-B648-4223276D4B31}"/>
    <cellStyle name="Normal 5 2 3 2 3 5 2 2 3" xfId="17048" xr:uid="{48436A72-5E76-4164-BF84-5F81F985087F}"/>
    <cellStyle name="Normal 5 2 3 2 3 5 2 3" xfId="21271" xr:uid="{5A6C3B13-0035-407F-A8B7-197D70690AB0}"/>
    <cellStyle name="Normal 5 2 3 2 3 5 2 4" xfId="12830" xr:uid="{C6E81C39-8E3D-434F-B6D4-7624733D606D}"/>
    <cellStyle name="Normal 5 2 3 2 3 5 3" xfId="6453" xr:uid="{00000000-0005-0000-0000-00006D180000}"/>
    <cellStyle name="Normal 5 2 3 2 3 5 3 2" xfId="23344" xr:uid="{57728C31-7078-4D83-898E-7BC7B9E0CF81}"/>
    <cellStyle name="Normal 5 2 3 2 3 5 3 3" xfId="14903" xr:uid="{0EB60864-D040-43C6-B554-42702CB2B15D}"/>
    <cellStyle name="Normal 5 2 3 2 3 5 4" xfId="19126" xr:uid="{B868FFD3-83AE-460D-9899-CC1770A18621}"/>
    <cellStyle name="Normal 5 2 3 2 3 5 5" xfId="10685" xr:uid="{E87902DE-472F-4094-8F73-85FFC09BEFF3}"/>
    <cellStyle name="Normal 5 2 3 2 3 6" xfId="2583" xr:uid="{00000000-0005-0000-0000-00006E180000}"/>
    <cellStyle name="Normal 5 2 3 2 3 6 2" xfId="6866" xr:uid="{00000000-0005-0000-0000-00006F180000}"/>
    <cellStyle name="Normal 5 2 3 2 3 6 2 2" xfId="23757" xr:uid="{9EBB1AF0-497E-4B52-81D9-9024522A1FBD}"/>
    <cellStyle name="Normal 5 2 3 2 3 6 2 3" xfId="15316" xr:uid="{F5617334-8F1C-4904-A144-60330105A77B}"/>
    <cellStyle name="Normal 5 2 3 2 3 6 3" xfId="19539" xr:uid="{30B46C5C-AE50-4B90-B763-543695F45431}"/>
    <cellStyle name="Normal 5 2 3 2 3 6 4" xfId="11098" xr:uid="{71BE5DB4-1DB8-4B34-9989-CDB10386A0F1}"/>
    <cellStyle name="Normal 5 2 3 2 3 7" xfId="4801" xr:uid="{00000000-0005-0000-0000-000070180000}"/>
    <cellStyle name="Normal 5 2 3 2 3 7 2" xfId="21692" xr:uid="{73617766-A80E-40A9-909D-02537A894120}"/>
    <cellStyle name="Normal 5 2 3 2 3 7 3" xfId="13251" xr:uid="{C28F9524-B510-47D3-BE32-9137611AF9E2}"/>
    <cellStyle name="Normal 5 2 3 2 3 8" xfId="17474" xr:uid="{7CD2784A-64ED-459E-8A49-424115802D87}"/>
    <cellStyle name="Normal 5 2 3 2 3 9" xfId="9033" xr:uid="{3FEA8C4D-3BC2-4B4B-A548-3259925BCDDA}"/>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24247" xr:uid="{2E5DA110-F479-45BB-8642-8D1B65EC4207}"/>
    <cellStyle name="Normal 5 2 3 2 4 2 2 3" xfId="15806" xr:uid="{BE900619-2F0A-42FE-A56D-82B84A916627}"/>
    <cellStyle name="Normal 5 2 3 2 4 2 3" xfId="20029" xr:uid="{95A25988-75D4-4335-9333-6E2F4CB0A234}"/>
    <cellStyle name="Normal 5 2 3 2 4 2 4" xfId="11588" xr:uid="{A49B6760-6B35-48B7-B088-E3A9689CA41D}"/>
    <cellStyle name="Normal 5 2 3 2 4 3" xfId="5211" xr:uid="{00000000-0005-0000-0000-000074180000}"/>
    <cellStyle name="Normal 5 2 3 2 4 3 2" xfId="22102" xr:uid="{AE9B48F5-0994-493D-BBA0-70A421797C11}"/>
    <cellStyle name="Normal 5 2 3 2 4 3 3" xfId="13661" xr:uid="{326EEC87-183C-494C-8C3D-2566FD1944C3}"/>
    <cellStyle name="Normal 5 2 3 2 4 4" xfId="17884" xr:uid="{0A57AA1F-2D85-4CB8-9021-B515157B7E09}"/>
    <cellStyle name="Normal 5 2 3 2 4 5" xfId="9443" xr:uid="{1F99BE4C-EDE0-4C40-94B8-7EE32D5CB0DB}"/>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24660" xr:uid="{55FA09DF-D50F-4E7C-9935-08973C5375D6}"/>
    <cellStyle name="Normal 5 2 3 2 5 2 2 3" xfId="16219" xr:uid="{947CD89A-E7FD-4DB2-814F-89AE6251FAAF}"/>
    <cellStyle name="Normal 5 2 3 2 5 2 3" xfId="20442" xr:uid="{A38BCEA3-D70C-4D05-B8D5-790E8B0ECCD9}"/>
    <cellStyle name="Normal 5 2 3 2 5 2 4" xfId="12001" xr:uid="{E264E938-3788-409B-AA55-896E581D4298}"/>
    <cellStyle name="Normal 5 2 3 2 5 3" xfId="5624" xr:uid="{00000000-0005-0000-0000-000078180000}"/>
    <cellStyle name="Normal 5 2 3 2 5 3 2" xfId="22515" xr:uid="{4315A8D7-4C46-4A13-95D4-BEBA4C5E875B}"/>
    <cellStyle name="Normal 5 2 3 2 5 3 3" xfId="14074" xr:uid="{2C9A20A4-1BD7-42D2-B473-FA5C61A09A5F}"/>
    <cellStyle name="Normal 5 2 3 2 5 4" xfId="18297" xr:uid="{1254F541-0AF8-4E87-B831-C3AE946D132B}"/>
    <cellStyle name="Normal 5 2 3 2 5 5" xfId="9856" xr:uid="{5ACFC96E-4E72-4912-BA69-18D67578C4E4}"/>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25073" xr:uid="{0F9FB21F-85D2-4522-9103-A296E8E40DC2}"/>
    <cellStyle name="Normal 5 2 3 2 6 2 2 3" xfId="16632" xr:uid="{517F8833-C88F-4D44-A01A-036D2A5EA889}"/>
    <cellStyle name="Normal 5 2 3 2 6 2 3" xfId="20855" xr:uid="{D16276ED-057A-43AD-A376-5058D54CE861}"/>
    <cellStyle name="Normal 5 2 3 2 6 2 4" xfId="12414" xr:uid="{1880662A-A922-41AA-A60C-5C7CB075992F}"/>
    <cellStyle name="Normal 5 2 3 2 6 3" xfId="6037" xr:uid="{00000000-0005-0000-0000-00007C180000}"/>
    <cellStyle name="Normal 5 2 3 2 6 3 2" xfId="22928" xr:uid="{2520F681-DE14-46C0-96C8-90CBD687175C}"/>
    <cellStyle name="Normal 5 2 3 2 6 3 3" xfId="14487" xr:uid="{7E248B14-0835-48E6-A9A0-F1E0041FD0E3}"/>
    <cellStyle name="Normal 5 2 3 2 6 4" xfId="18710" xr:uid="{1B11EE11-9D1B-45BE-8F00-6D580FE17758}"/>
    <cellStyle name="Normal 5 2 3 2 6 5" xfId="10269" xr:uid="{BC33FF47-4B6C-4482-8588-F298339192EA}"/>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25486" xr:uid="{C174D901-3337-42CD-8A2C-64BEEF78D119}"/>
    <cellStyle name="Normal 5 2 3 2 7 2 2 3" xfId="17045" xr:uid="{B7B6D44E-914A-4FC2-B260-32EF44B749A1}"/>
    <cellStyle name="Normal 5 2 3 2 7 2 3" xfId="21268" xr:uid="{2D011FE7-B5FB-44F7-AA2A-5676206F4DD8}"/>
    <cellStyle name="Normal 5 2 3 2 7 2 4" xfId="12827" xr:uid="{4318DC12-7D89-47E7-AF9A-70EB7DE9EC79}"/>
    <cellStyle name="Normal 5 2 3 2 7 3" xfId="6450" xr:uid="{00000000-0005-0000-0000-000080180000}"/>
    <cellStyle name="Normal 5 2 3 2 7 3 2" xfId="23341" xr:uid="{EA29E951-BC3C-4472-B6A0-1DF66D1F5CEB}"/>
    <cellStyle name="Normal 5 2 3 2 7 3 3" xfId="14900" xr:uid="{23BB28EF-51C4-4004-B268-B3FAA94E3C79}"/>
    <cellStyle name="Normal 5 2 3 2 7 4" xfId="19123" xr:uid="{3B2E1BEB-FAA2-4293-B995-E6E8C6FBDE83}"/>
    <cellStyle name="Normal 5 2 3 2 7 5" xfId="10682" xr:uid="{95465858-2E98-4160-8FBE-3AEC4B07C967}"/>
    <cellStyle name="Normal 5 2 3 2 8" xfId="2580" xr:uid="{00000000-0005-0000-0000-000081180000}"/>
    <cellStyle name="Normal 5 2 3 2 8 2" xfId="6863" xr:uid="{00000000-0005-0000-0000-000082180000}"/>
    <cellStyle name="Normal 5 2 3 2 8 2 2" xfId="23754" xr:uid="{5C56D7C6-CF94-4D31-84F8-FA1817057623}"/>
    <cellStyle name="Normal 5 2 3 2 8 2 3" xfId="15313" xr:uid="{F98EA2D7-4983-444D-912D-5B5A8C12CB79}"/>
    <cellStyle name="Normal 5 2 3 2 8 3" xfId="19536" xr:uid="{AFDC5F81-3ED9-4C11-9683-ADEEC14FD07E}"/>
    <cellStyle name="Normal 5 2 3 2 8 4" xfId="11095" xr:uid="{F398FDC9-9EA4-4E56-9552-0B403CD6601E}"/>
    <cellStyle name="Normal 5 2 3 2 9" xfId="4798" xr:uid="{00000000-0005-0000-0000-000083180000}"/>
    <cellStyle name="Normal 5 2 3 2 9 2" xfId="21689" xr:uid="{14A66D99-3EC3-491D-9788-DA19D583F086}"/>
    <cellStyle name="Normal 5 2 3 2 9 3" xfId="13248" xr:uid="{33620AAC-4E7F-4BD0-9F61-343FC6CE8882}"/>
    <cellStyle name="Normal 5 2 3 3" xfId="429" xr:uid="{00000000-0005-0000-0000-000084180000}"/>
    <cellStyle name="Normal 5 2 3 3 10" xfId="9034" xr:uid="{BBE25A5F-9E54-41E2-BDCE-D6AB8DC881AB}"/>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24252" xr:uid="{2A46C62F-E2BA-49B1-ADDB-A17327F900FB}"/>
    <cellStyle name="Normal 5 2 3 3 2 2 2 2 3" xfId="15811" xr:uid="{520F670F-D4DE-4620-B2DF-04788E00EFFB}"/>
    <cellStyle name="Normal 5 2 3 3 2 2 2 3" xfId="20034" xr:uid="{E21BD826-3E73-4CAF-991D-E44D949C6FE1}"/>
    <cellStyle name="Normal 5 2 3 3 2 2 2 4" xfId="11593" xr:uid="{13A12A25-238A-4A98-B456-8309A079C2A0}"/>
    <cellStyle name="Normal 5 2 3 3 2 2 3" xfId="5216" xr:uid="{00000000-0005-0000-0000-000089180000}"/>
    <cellStyle name="Normal 5 2 3 3 2 2 3 2" xfId="22107" xr:uid="{3AF10F8B-1C06-4621-8328-4146C74AB540}"/>
    <cellStyle name="Normal 5 2 3 3 2 2 3 3" xfId="13666" xr:uid="{8CE22C27-3419-40AC-B76F-29628DA8F946}"/>
    <cellStyle name="Normal 5 2 3 3 2 2 4" xfId="17889" xr:uid="{55E16436-6C4B-449B-867B-EB1C195AC65F}"/>
    <cellStyle name="Normal 5 2 3 3 2 2 5" xfId="9448" xr:uid="{15B35432-1631-4883-9A34-02D27B912802}"/>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24665" xr:uid="{D254C2E0-741D-4370-AECE-BD5E0D7AFA51}"/>
    <cellStyle name="Normal 5 2 3 3 2 3 2 2 3" xfId="16224" xr:uid="{C8E4A5A7-5D99-4D10-B0CF-38F6AE26B5C5}"/>
    <cellStyle name="Normal 5 2 3 3 2 3 2 3" xfId="20447" xr:uid="{670FB7A5-74A0-4083-8641-297F8A8B03FD}"/>
    <cellStyle name="Normal 5 2 3 3 2 3 2 4" xfId="12006" xr:uid="{DA919CEF-7A24-4C18-9B0A-102C14EC8817}"/>
    <cellStyle name="Normal 5 2 3 3 2 3 3" xfId="5629" xr:uid="{00000000-0005-0000-0000-00008D180000}"/>
    <cellStyle name="Normal 5 2 3 3 2 3 3 2" xfId="22520" xr:uid="{1FACA174-13D2-41D9-AC91-CFCF94E8DBA2}"/>
    <cellStyle name="Normal 5 2 3 3 2 3 3 3" xfId="14079" xr:uid="{1EAB88DD-0121-4038-BBAB-F088E5DA4858}"/>
    <cellStyle name="Normal 5 2 3 3 2 3 4" xfId="18302" xr:uid="{B1A6FBA7-8EFE-422B-A1C6-E34B026751A5}"/>
    <cellStyle name="Normal 5 2 3 3 2 3 5" xfId="9861" xr:uid="{67475ECB-720F-40E5-863C-76B0975A2BBF}"/>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25078" xr:uid="{C2F812EE-5DC4-430F-8116-8F741B448C81}"/>
    <cellStyle name="Normal 5 2 3 3 2 4 2 2 3" xfId="16637" xr:uid="{378D2807-C7A6-412D-A516-DE43A174262C}"/>
    <cellStyle name="Normal 5 2 3 3 2 4 2 3" xfId="20860" xr:uid="{9E705162-EFAC-427F-9EE1-2ADEEC66BEDE}"/>
    <cellStyle name="Normal 5 2 3 3 2 4 2 4" xfId="12419" xr:uid="{F014F5E6-119F-40FA-9723-DC88FED9D1A7}"/>
    <cellStyle name="Normal 5 2 3 3 2 4 3" xfId="6042" xr:uid="{00000000-0005-0000-0000-000091180000}"/>
    <cellStyle name="Normal 5 2 3 3 2 4 3 2" xfId="22933" xr:uid="{32837732-94C5-4FC8-9886-49B20D826FB3}"/>
    <cellStyle name="Normal 5 2 3 3 2 4 3 3" xfId="14492" xr:uid="{9BB6BB4F-A1C4-410E-AEA4-DF3893F5DE13}"/>
    <cellStyle name="Normal 5 2 3 3 2 4 4" xfId="18715" xr:uid="{82E6EC06-D6CD-4406-AC83-43D7CA3151F6}"/>
    <cellStyle name="Normal 5 2 3 3 2 4 5" xfId="10274" xr:uid="{45362997-73B9-409C-B038-13C36C75F1F1}"/>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25491" xr:uid="{1019EFD4-F987-4643-BFA2-81F3FF3E54F1}"/>
    <cellStyle name="Normal 5 2 3 3 2 5 2 2 3" xfId="17050" xr:uid="{B1422EE4-515C-45EF-86FC-31CC21DB0417}"/>
    <cellStyle name="Normal 5 2 3 3 2 5 2 3" xfId="21273" xr:uid="{034A2B85-871A-4849-9DE7-990172483AA7}"/>
    <cellStyle name="Normal 5 2 3 3 2 5 2 4" xfId="12832" xr:uid="{DF671BE8-055B-4E37-BD24-05730C7AABEB}"/>
    <cellStyle name="Normal 5 2 3 3 2 5 3" xfId="6455" xr:uid="{00000000-0005-0000-0000-000095180000}"/>
    <cellStyle name="Normal 5 2 3 3 2 5 3 2" xfId="23346" xr:uid="{56F4793C-6F0F-4DDA-BC2F-40AE13A40A5B}"/>
    <cellStyle name="Normal 5 2 3 3 2 5 3 3" xfId="14905" xr:uid="{19E7C4FE-EFBD-40CE-91EB-A68CBB660BCC}"/>
    <cellStyle name="Normal 5 2 3 3 2 5 4" xfId="19128" xr:uid="{0CF7B560-BC81-4A10-9777-BF87F7D8FC8E}"/>
    <cellStyle name="Normal 5 2 3 3 2 5 5" xfId="10687" xr:uid="{7B1A88F6-4987-475F-AD10-04811968198D}"/>
    <cellStyle name="Normal 5 2 3 3 2 6" xfId="2585" xr:uid="{00000000-0005-0000-0000-000096180000}"/>
    <cellStyle name="Normal 5 2 3 3 2 6 2" xfId="6868" xr:uid="{00000000-0005-0000-0000-000097180000}"/>
    <cellStyle name="Normal 5 2 3 3 2 6 2 2" xfId="23759" xr:uid="{15AA3866-2D52-4898-B973-A79E866C5BD3}"/>
    <cellStyle name="Normal 5 2 3 3 2 6 2 3" xfId="15318" xr:uid="{90EB7C75-FF2A-4985-A8BA-F86462CE09FE}"/>
    <cellStyle name="Normal 5 2 3 3 2 6 3" xfId="19541" xr:uid="{0ECCE9A5-73AB-4C76-9A6E-21E0292EB89E}"/>
    <cellStyle name="Normal 5 2 3 3 2 6 4" xfId="11100" xr:uid="{2D111248-AB64-460C-8431-845BD8FF01D8}"/>
    <cellStyle name="Normal 5 2 3 3 2 7" xfId="4803" xr:uid="{00000000-0005-0000-0000-000098180000}"/>
    <cellStyle name="Normal 5 2 3 3 2 7 2" xfId="21694" xr:uid="{10862328-9C63-45B1-827B-0FB56CD2D0BA}"/>
    <cellStyle name="Normal 5 2 3 3 2 7 3" xfId="13253" xr:uid="{02A301A5-0659-4C49-AA4C-3CA09F614DEA}"/>
    <cellStyle name="Normal 5 2 3 3 2 8" xfId="17476" xr:uid="{40A352ED-EA00-4170-AD07-E52E51AB60F8}"/>
    <cellStyle name="Normal 5 2 3 3 2 9" xfId="9035" xr:uid="{FB25AA2F-11FF-4C7A-B311-67DF014FA274}"/>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24251" xr:uid="{78D64E06-CA90-4CDA-A1BF-A6FF621D196B}"/>
    <cellStyle name="Normal 5 2 3 3 3 2 2 3" xfId="15810" xr:uid="{FCA78D58-3589-455F-ACE0-9401F1E5C20C}"/>
    <cellStyle name="Normal 5 2 3 3 3 2 3" xfId="20033" xr:uid="{AE6F755F-AC43-45C9-89A5-337A2F10B947}"/>
    <cellStyle name="Normal 5 2 3 3 3 2 4" xfId="11592" xr:uid="{91676CF3-378C-4445-9526-F49B71210A27}"/>
    <cellStyle name="Normal 5 2 3 3 3 3" xfId="5215" xr:uid="{00000000-0005-0000-0000-00009C180000}"/>
    <cellStyle name="Normal 5 2 3 3 3 3 2" xfId="22106" xr:uid="{4AB40303-8C2A-4A21-925E-E125F1DF2540}"/>
    <cellStyle name="Normal 5 2 3 3 3 3 3" xfId="13665" xr:uid="{640B9D73-1A2E-4E03-B5C6-282655212525}"/>
    <cellStyle name="Normal 5 2 3 3 3 4" xfId="17888" xr:uid="{04733C2F-805A-4EDF-B11E-228342DA98CD}"/>
    <cellStyle name="Normal 5 2 3 3 3 5" xfId="9447" xr:uid="{B18A356D-ABC2-4557-8D3A-EDA2FA39D890}"/>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24664" xr:uid="{00F7B5EA-3CD3-4526-966A-63091F213D6F}"/>
    <cellStyle name="Normal 5 2 3 3 4 2 2 3" xfId="16223" xr:uid="{640B9596-7484-48B6-BC40-C2B75D649032}"/>
    <cellStyle name="Normal 5 2 3 3 4 2 3" xfId="20446" xr:uid="{3B8CB6D6-F5DA-41E1-973D-6F888BFBA86D}"/>
    <cellStyle name="Normal 5 2 3 3 4 2 4" xfId="12005" xr:uid="{1C0DBEC8-118D-464C-9DAD-CC9CD0732A91}"/>
    <cellStyle name="Normal 5 2 3 3 4 3" xfId="5628" xr:uid="{00000000-0005-0000-0000-0000A0180000}"/>
    <cellStyle name="Normal 5 2 3 3 4 3 2" xfId="22519" xr:uid="{79331CB0-CF28-4880-944E-8F3CE6FCB6D7}"/>
    <cellStyle name="Normal 5 2 3 3 4 3 3" xfId="14078" xr:uid="{B176290C-97CD-45C5-B91F-A093B12A3108}"/>
    <cellStyle name="Normal 5 2 3 3 4 4" xfId="18301" xr:uid="{16B6DC9D-955C-4CFC-B99F-FF74EBFAA307}"/>
    <cellStyle name="Normal 5 2 3 3 4 5" xfId="9860" xr:uid="{05724309-B326-4FCE-8E85-8097CC141ADB}"/>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25077" xr:uid="{32891D41-EA0A-4327-83DA-8BD229DE8A7A}"/>
    <cellStyle name="Normal 5 2 3 3 5 2 2 3" xfId="16636" xr:uid="{A098A00E-A2EA-4FCD-BA8D-B9F48F9B9D86}"/>
    <cellStyle name="Normal 5 2 3 3 5 2 3" xfId="20859" xr:uid="{1F97123B-048E-4865-BE65-58D182CF6001}"/>
    <cellStyle name="Normal 5 2 3 3 5 2 4" xfId="12418" xr:uid="{AFE1F831-DB83-4AEB-9CEB-F671CEB58F34}"/>
    <cellStyle name="Normal 5 2 3 3 5 3" xfId="6041" xr:uid="{00000000-0005-0000-0000-0000A4180000}"/>
    <cellStyle name="Normal 5 2 3 3 5 3 2" xfId="22932" xr:uid="{04629863-773B-4962-8C1E-B40772CF6624}"/>
    <cellStyle name="Normal 5 2 3 3 5 3 3" xfId="14491" xr:uid="{AE868CAD-D7C4-45C8-9131-C5E2B07307B2}"/>
    <cellStyle name="Normal 5 2 3 3 5 4" xfId="18714" xr:uid="{F81CBD39-D5C6-4660-B091-3B76DACA9519}"/>
    <cellStyle name="Normal 5 2 3 3 5 5" xfId="10273" xr:uid="{45DA4711-ABB0-4CED-A4A1-C6909C2465CA}"/>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25490" xr:uid="{E401E9DF-DF66-44E1-985B-9B2A84309627}"/>
    <cellStyle name="Normal 5 2 3 3 6 2 2 3" xfId="17049" xr:uid="{25778D2A-E45C-4C70-ACEC-E5FD8EA86416}"/>
    <cellStyle name="Normal 5 2 3 3 6 2 3" xfId="21272" xr:uid="{609456EA-2781-4659-9F02-8797037A271F}"/>
    <cellStyle name="Normal 5 2 3 3 6 2 4" xfId="12831" xr:uid="{675EF512-18D0-4B60-97AF-E63456CDFD37}"/>
    <cellStyle name="Normal 5 2 3 3 6 3" xfId="6454" xr:uid="{00000000-0005-0000-0000-0000A8180000}"/>
    <cellStyle name="Normal 5 2 3 3 6 3 2" xfId="23345" xr:uid="{77A9A9C5-13FC-4202-AAD1-B000D0ADAFA3}"/>
    <cellStyle name="Normal 5 2 3 3 6 3 3" xfId="14904" xr:uid="{26BC31A6-F91D-4FB2-B71D-F832AA1F4248}"/>
    <cellStyle name="Normal 5 2 3 3 6 4" xfId="19127" xr:uid="{98DAA631-53A3-4B38-8EE3-0AE3B6CA92D2}"/>
    <cellStyle name="Normal 5 2 3 3 6 5" xfId="10686" xr:uid="{41522C4F-3F23-46B6-83E5-902E8DA37F59}"/>
    <cellStyle name="Normal 5 2 3 3 7" xfId="2584" xr:uid="{00000000-0005-0000-0000-0000A9180000}"/>
    <cellStyle name="Normal 5 2 3 3 7 2" xfId="6867" xr:uid="{00000000-0005-0000-0000-0000AA180000}"/>
    <cellStyle name="Normal 5 2 3 3 7 2 2" xfId="23758" xr:uid="{653E8B65-5CD4-4ECF-8F91-A6D26F139D24}"/>
    <cellStyle name="Normal 5 2 3 3 7 2 3" xfId="15317" xr:uid="{D0B1FBE9-4BAC-4E3F-A9CE-C5CBDD5170CD}"/>
    <cellStyle name="Normal 5 2 3 3 7 3" xfId="19540" xr:uid="{584ACBDB-3378-4045-BAD2-8D42E4388C87}"/>
    <cellStyle name="Normal 5 2 3 3 7 4" xfId="11099" xr:uid="{895B0D1D-DE77-4A84-9B42-2D871F9C49F9}"/>
    <cellStyle name="Normal 5 2 3 3 8" xfId="4802" xr:uid="{00000000-0005-0000-0000-0000AB180000}"/>
    <cellStyle name="Normal 5 2 3 3 8 2" xfId="21693" xr:uid="{11F231B5-40FB-4B32-BE23-F282AA6152FF}"/>
    <cellStyle name="Normal 5 2 3 3 8 3" xfId="13252" xr:uid="{D9A18D35-515F-4CE7-8A03-AB001CABC1E9}"/>
    <cellStyle name="Normal 5 2 3 3 9" xfId="17475" xr:uid="{CE75CE84-2A42-4A8A-9404-470E11212068}"/>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24253" xr:uid="{FE18AC37-47EC-4D15-8EF4-76314B4693FB}"/>
    <cellStyle name="Normal 5 2 3 4 2 2 2 3" xfId="15812" xr:uid="{F864BC64-F91E-412F-8DC8-0FDFF4D83285}"/>
    <cellStyle name="Normal 5 2 3 4 2 2 3" xfId="20035" xr:uid="{0C2F3E27-5DAE-465A-A276-88158C34D570}"/>
    <cellStyle name="Normal 5 2 3 4 2 2 4" xfId="11594" xr:uid="{CBF18B04-0D02-48D8-848D-BC7A86F12723}"/>
    <cellStyle name="Normal 5 2 3 4 2 3" xfId="5217" xr:uid="{00000000-0005-0000-0000-0000B0180000}"/>
    <cellStyle name="Normal 5 2 3 4 2 3 2" xfId="22108" xr:uid="{ADE45A51-59BC-402D-8C5A-A770A977DE6C}"/>
    <cellStyle name="Normal 5 2 3 4 2 3 3" xfId="13667" xr:uid="{69D329B7-469B-4AC7-8730-B2D18C252A92}"/>
    <cellStyle name="Normal 5 2 3 4 2 4" xfId="17890" xr:uid="{1D199790-C165-4E1E-A0EE-53ECA59A565F}"/>
    <cellStyle name="Normal 5 2 3 4 2 5" xfId="9449" xr:uid="{0BCAA5E0-F6FA-4CD0-BA91-E8846E732D03}"/>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24666" xr:uid="{58B5C2E0-95BF-427B-8AA5-1449F14AA694}"/>
    <cellStyle name="Normal 5 2 3 4 3 2 2 3" xfId="16225" xr:uid="{B8DB2951-1946-4CC5-9A8D-58FB7DA3C0B3}"/>
    <cellStyle name="Normal 5 2 3 4 3 2 3" xfId="20448" xr:uid="{58B2EA4A-314E-4584-8FC2-E20F9EAA96D9}"/>
    <cellStyle name="Normal 5 2 3 4 3 2 4" xfId="12007" xr:uid="{172B923C-6927-419F-B1C8-1041A9920810}"/>
    <cellStyle name="Normal 5 2 3 4 3 3" xfId="5630" xr:uid="{00000000-0005-0000-0000-0000B4180000}"/>
    <cellStyle name="Normal 5 2 3 4 3 3 2" xfId="22521" xr:uid="{4FC7C216-323E-4A72-BA89-D11017155241}"/>
    <cellStyle name="Normal 5 2 3 4 3 3 3" xfId="14080" xr:uid="{64BE1547-D1BC-4C74-A383-0CA834013D19}"/>
    <cellStyle name="Normal 5 2 3 4 3 4" xfId="18303" xr:uid="{141826FA-48C4-49FE-8480-38FE730C2E49}"/>
    <cellStyle name="Normal 5 2 3 4 3 5" xfId="9862" xr:uid="{98F5F08D-56B1-4BA8-8103-79CD2060F182}"/>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25079" xr:uid="{8BFB1414-1897-48AE-8A67-506CF5C63602}"/>
    <cellStyle name="Normal 5 2 3 4 4 2 2 3" xfId="16638" xr:uid="{4B6873BB-960A-4CBA-941E-93193044823C}"/>
    <cellStyle name="Normal 5 2 3 4 4 2 3" xfId="20861" xr:uid="{696B36BA-6CF0-49BC-BF69-3C5B5CFC7678}"/>
    <cellStyle name="Normal 5 2 3 4 4 2 4" xfId="12420" xr:uid="{26C9CFB2-1A1E-4C37-8150-6C680E1DAB49}"/>
    <cellStyle name="Normal 5 2 3 4 4 3" xfId="6043" xr:uid="{00000000-0005-0000-0000-0000B8180000}"/>
    <cellStyle name="Normal 5 2 3 4 4 3 2" xfId="22934" xr:uid="{A692AFE6-240D-4D46-AA54-9204131B5C5C}"/>
    <cellStyle name="Normal 5 2 3 4 4 3 3" xfId="14493" xr:uid="{A9C1F001-DB4B-447C-A32E-47E4F486B508}"/>
    <cellStyle name="Normal 5 2 3 4 4 4" xfId="18716" xr:uid="{CF0A4040-6184-4D17-B72D-A11527DE087A}"/>
    <cellStyle name="Normal 5 2 3 4 4 5" xfId="10275" xr:uid="{21778244-43CD-455C-96B4-F4EA3E8A548D}"/>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25492" xr:uid="{9DAF229A-1617-46C3-AA21-A9F8164611DF}"/>
    <cellStyle name="Normal 5 2 3 4 5 2 2 3" xfId="17051" xr:uid="{6D439F58-CD4E-4F8B-B37B-900EA30311E2}"/>
    <cellStyle name="Normal 5 2 3 4 5 2 3" xfId="21274" xr:uid="{C985B7E7-3CAB-402F-BA07-4303E8DAD18E}"/>
    <cellStyle name="Normal 5 2 3 4 5 2 4" xfId="12833" xr:uid="{856DBE4E-6E2E-4383-909D-D66EC1941140}"/>
    <cellStyle name="Normal 5 2 3 4 5 3" xfId="6456" xr:uid="{00000000-0005-0000-0000-0000BC180000}"/>
    <cellStyle name="Normal 5 2 3 4 5 3 2" xfId="23347" xr:uid="{393AFD75-45F3-475D-8E65-A8737C384EBE}"/>
    <cellStyle name="Normal 5 2 3 4 5 3 3" xfId="14906" xr:uid="{73123890-4C8F-4C3C-9D30-E77646F7F3C8}"/>
    <cellStyle name="Normal 5 2 3 4 5 4" xfId="19129" xr:uid="{2F118D4A-521B-45DA-B392-FDAD0CF81CDD}"/>
    <cellStyle name="Normal 5 2 3 4 5 5" xfId="10688" xr:uid="{25548A8C-FD31-4BA1-AA6D-D4861DCCC566}"/>
    <cellStyle name="Normal 5 2 3 4 6" xfId="2586" xr:uid="{00000000-0005-0000-0000-0000BD180000}"/>
    <cellStyle name="Normal 5 2 3 4 6 2" xfId="6869" xr:uid="{00000000-0005-0000-0000-0000BE180000}"/>
    <cellStyle name="Normal 5 2 3 4 6 2 2" xfId="23760" xr:uid="{866CD242-C670-4E59-8276-B58738CCA34C}"/>
    <cellStyle name="Normal 5 2 3 4 6 2 3" xfId="15319" xr:uid="{3D1AD24F-3A18-4B6D-9AD1-F2D114E1BF24}"/>
    <cellStyle name="Normal 5 2 3 4 6 3" xfId="19542" xr:uid="{51DCD638-8AE6-480B-94AA-3423DA9D57EE}"/>
    <cellStyle name="Normal 5 2 3 4 6 4" xfId="11101" xr:uid="{4F17A3CC-CEE2-4B9D-B9EE-BD22C8184745}"/>
    <cellStyle name="Normal 5 2 3 4 7" xfId="4804" xr:uid="{00000000-0005-0000-0000-0000BF180000}"/>
    <cellStyle name="Normal 5 2 3 4 7 2" xfId="21695" xr:uid="{F415D07B-C976-4269-AC66-3F6700F5F372}"/>
    <cellStyle name="Normal 5 2 3 4 7 3" xfId="13254" xr:uid="{CE6F09E8-2529-421B-846F-F7CD45B7D521}"/>
    <cellStyle name="Normal 5 2 3 4 8" xfId="17477" xr:uid="{E7820E7A-FD20-4F8C-AA09-E2931471C757}"/>
    <cellStyle name="Normal 5 2 3 4 9" xfId="9036" xr:uid="{8DB1D233-4F22-4F6C-BC60-0B0A4E739B3B}"/>
    <cellStyle name="Normal 5 2 3 5" xfId="898" xr:uid="{00000000-0005-0000-0000-0000C0180000}"/>
    <cellStyle name="Normal 5 2 3 5 2" xfId="3133" xr:uid="{00000000-0005-0000-0000-0000C1180000}"/>
    <cellStyle name="Normal 5 2 3 5 2 2" xfId="7355" xr:uid="{00000000-0005-0000-0000-0000C2180000}"/>
    <cellStyle name="Normal 5 2 3 5 2 2 2" xfId="24246" xr:uid="{B06DDD79-D860-4FAB-96A7-5042295B37A5}"/>
    <cellStyle name="Normal 5 2 3 5 2 2 3" xfId="15805" xr:uid="{8A5BD7E3-BAF2-4E3B-9C00-C4DE0355CB58}"/>
    <cellStyle name="Normal 5 2 3 5 2 3" xfId="20028" xr:uid="{513A618A-FE52-4F50-A9B4-4C3CC522E8EC}"/>
    <cellStyle name="Normal 5 2 3 5 2 4" xfId="11587" xr:uid="{782D1600-E6CC-433A-A3CB-82ECF695599E}"/>
    <cellStyle name="Normal 5 2 3 5 3" xfId="5210" xr:uid="{00000000-0005-0000-0000-0000C3180000}"/>
    <cellStyle name="Normal 5 2 3 5 3 2" xfId="22101" xr:uid="{A4A8DCB6-1D60-4B8D-B4A6-DC37C87AEBB5}"/>
    <cellStyle name="Normal 5 2 3 5 3 3" xfId="13660" xr:uid="{D4E4BD44-0C1C-485D-947A-DB8774AEAA2F}"/>
    <cellStyle name="Normal 5 2 3 5 4" xfId="17883" xr:uid="{B37FD6C5-B169-4A54-BF66-7BF6F1FBE43A}"/>
    <cellStyle name="Normal 5 2 3 5 5" xfId="9442" xr:uid="{98C0CDF4-7BF8-4FDE-B9FF-827C6FF394A5}"/>
    <cellStyle name="Normal 5 2 3 6" xfId="1316" xr:uid="{00000000-0005-0000-0000-0000C4180000}"/>
    <cellStyle name="Normal 5 2 3 6 2" xfId="3546" xr:uid="{00000000-0005-0000-0000-0000C5180000}"/>
    <cellStyle name="Normal 5 2 3 6 2 2" xfId="7768" xr:uid="{00000000-0005-0000-0000-0000C6180000}"/>
    <cellStyle name="Normal 5 2 3 6 2 2 2" xfId="24659" xr:uid="{C3AA7F35-2BD6-42A9-A3F8-CFE1B3805EF1}"/>
    <cellStyle name="Normal 5 2 3 6 2 2 3" xfId="16218" xr:uid="{5C24BF35-350F-4E3C-9F4B-19DB572F5460}"/>
    <cellStyle name="Normal 5 2 3 6 2 3" xfId="20441" xr:uid="{99CDCA55-B233-4384-9BA1-2FDF6A3C8031}"/>
    <cellStyle name="Normal 5 2 3 6 2 4" xfId="12000" xr:uid="{60B13AED-7A8F-425C-AAAB-03E1E3D41347}"/>
    <cellStyle name="Normal 5 2 3 6 3" xfId="5623" xr:uid="{00000000-0005-0000-0000-0000C7180000}"/>
    <cellStyle name="Normal 5 2 3 6 3 2" xfId="22514" xr:uid="{159457F5-298E-4341-824A-B7ED4CCAED85}"/>
    <cellStyle name="Normal 5 2 3 6 3 3" xfId="14073" xr:uid="{34F31D9A-1309-44ED-934A-47DE43CB8894}"/>
    <cellStyle name="Normal 5 2 3 6 4" xfId="18296" xr:uid="{BDEE8783-4041-4F10-8235-697FE37CD705}"/>
    <cellStyle name="Normal 5 2 3 6 5" xfId="9855" xr:uid="{73360520-727E-4B52-8E20-2AC66D269D14}"/>
    <cellStyle name="Normal 5 2 3 7" xfId="1729" xr:uid="{00000000-0005-0000-0000-0000C8180000}"/>
    <cellStyle name="Normal 5 2 3 7 2" xfId="3959" xr:uid="{00000000-0005-0000-0000-0000C9180000}"/>
    <cellStyle name="Normal 5 2 3 7 2 2" xfId="8181" xr:uid="{00000000-0005-0000-0000-0000CA180000}"/>
    <cellStyle name="Normal 5 2 3 7 2 2 2" xfId="25072" xr:uid="{4197EAD1-8763-42F0-B1FE-C87CD2CE5E7A}"/>
    <cellStyle name="Normal 5 2 3 7 2 2 3" xfId="16631" xr:uid="{E616B10B-80C0-427A-8A4F-223C9A7B07B4}"/>
    <cellStyle name="Normal 5 2 3 7 2 3" xfId="20854" xr:uid="{3E765357-934A-4874-8439-5203C6FC7619}"/>
    <cellStyle name="Normal 5 2 3 7 2 4" xfId="12413" xr:uid="{4DB60548-0599-456B-BE7B-C51181CA544A}"/>
    <cellStyle name="Normal 5 2 3 7 3" xfId="6036" xr:uid="{00000000-0005-0000-0000-0000CB180000}"/>
    <cellStyle name="Normal 5 2 3 7 3 2" xfId="22927" xr:uid="{4DF4DE8D-73EE-427E-AED4-8D2DB0F6DBD1}"/>
    <cellStyle name="Normal 5 2 3 7 3 3" xfId="14486" xr:uid="{E3793ED7-840A-4E01-973D-264CC54F1E50}"/>
    <cellStyle name="Normal 5 2 3 7 4" xfId="18709" xr:uid="{8A59FFC7-9867-4EB7-B287-69051D69479F}"/>
    <cellStyle name="Normal 5 2 3 7 5" xfId="10268" xr:uid="{2AE68B27-4C2D-4DC4-8271-E62788975C15}"/>
    <cellStyle name="Normal 5 2 3 8" xfId="2143" xr:uid="{00000000-0005-0000-0000-0000CC180000}"/>
    <cellStyle name="Normal 5 2 3 8 2" xfId="4372" xr:uid="{00000000-0005-0000-0000-0000CD180000}"/>
    <cellStyle name="Normal 5 2 3 8 2 2" xfId="8594" xr:uid="{00000000-0005-0000-0000-0000CE180000}"/>
    <cellStyle name="Normal 5 2 3 8 2 2 2" xfId="25485" xr:uid="{A69D03C6-D6F6-44C3-B0B5-23786C382043}"/>
    <cellStyle name="Normal 5 2 3 8 2 2 3" xfId="17044" xr:uid="{533B12D4-9177-42D5-A82D-829B80E92482}"/>
    <cellStyle name="Normal 5 2 3 8 2 3" xfId="21267" xr:uid="{1BA404B4-0F36-4C83-A780-EA7D2E1DBD87}"/>
    <cellStyle name="Normal 5 2 3 8 2 4" xfId="12826" xr:uid="{FDB80970-EAED-4356-A7A3-C78C66D09277}"/>
    <cellStyle name="Normal 5 2 3 8 3" xfId="6449" xr:uid="{00000000-0005-0000-0000-0000CF180000}"/>
    <cellStyle name="Normal 5 2 3 8 3 2" xfId="23340" xr:uid="{AA0E331A-126B-4F03-9AC0-7023CC027F2C}"/>
    <cellStyle name="Normal 5 2 3 8 3 3" xfId="14899" xr:uid="{FA5E30B5-A67F-42DF-852C-4271549F077B}"/>
    <cellStyle name="Normal 5 2 3 8 4" xfId="19122" xr:uid="{4535BE05-AEE5-4D0B-8E45-C26642B01DDF}"/>
    <cellStyle name="Normal 5 2 3 8 5" xfId="10681" xr:uid="{A51FDAB5-389B-497D-B90C-6008BF72B4AA}"/>
    <cellStyle name="Normal 5 2 3 9" xfId="2579" xr:uid="{00000000-0005-0000-0000-0000D0180000}"/>
    <cellStyle name="Normal 5 2 3 9 2" xfId="6862" xr:uid="{00000000-0005-0000-0000-0000D1180000}"/>
    <cellStyle name="Normal 5 2 3 9 2 2" xfId="23753" xr:uid="{10BA65A4-3A5B-4732-A6F3-37387B1B30E7}"/>
    <cellStyle name="Normal 5 2 3 9 2 3" xfId="15312" xr:uid="{3CF9150B-DF9C-41C5-A165-D431C1000FC0}"/>
    <cellStyle name="Normal 5 2 3 9 3" xfId="19535" xr:uid="{8CF989EF-7B60-4DD7-BF47-0AF6D56321C9}"/>
    <cellStyle name="Normal 5 2 3 9 4" xfId="11094" xr:uid="{50563B5F-DC03-4FA3-AE40-8CC5974A4543}"/>
    <cellStyle name="Normal 5 2 4" xfId="432" xr:uid="{00000000-0005-0000-0000-0000D2180000}"/>
    <cellStyle name="Normal 5 2 4 10" xfId="17478" xr:uid="{1706A3BD-F5A5-407F-A580-9577411177A0}"/>
    <cellStyle name="Normal 5 2 4 11" xfId="9037" xr:uid="{77F3A4A6-2C7C-4F89-9AAA-DFDA81EE186B}"/>
    <cellStyle name="Normal 5 2 4 2" xfId="433" xr:uid="{00000000-0005-0000-0000-0000D3180000}"/>
    <cellStyle name="Normal 5 2 4 2 10" xfId="9038" xr:uid="{14045BA5-C1CF-4093-BECF-B8931A4E0AE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24256" xr:uid="{895BCF4B-B319-4CA2-8F37-FC4CA82C7C22}"/>
    <cellStyle name="Normal 5 2 4 2 2 2 2 2 3" xfId="15815" xr:uid="{835B19A2-6C97-4C35-B12D-F07CBF5B946B}"/>
    <cellStyle name="Normal 5 2 4 2 2 2 2 3" xfId="20038" xr:uid="{6837CA4D-5DD1-48C1-8CB3-874CE67EF5C0}"/>
    <cellStyle name="Normal 5 2 4 2 2 2 2 4" xfId="11597" xr:uid="{BA937F5C-C92F-4C7D-B8AF-44FF521EA956}"/>
    <cellStyle name="Normal 5 2 4 2 2 2 3" xfId="5220" xr:uid="{00000000-0005-0000-0000-0000D8180000}"/>
    <cellStyle name="Normal 5 2 4 2 2 2 3 2" xfId="22111" xr:uid="{9CCDC47B-5697-46EB-B49A-FDA9EA2B14D4}"/>
    <cellStyle name="Normal 5 2 4 2 2 2 3 3" xfId="13670" xr:uid="{5C778B3B-9FE6-4FFD-942D-D37A400F4DFD}"/>
    <cellStyle name="Normal 5 2 4 2 2 2 4" xfId="17893" xr:uid="{94B55A28-5971-4E9D-A701-2B991090BDF4}"/>
    <cellStyle name="Normal 5 2 4 2 2 2 5" xfId="9452" xr:uid="{07A33130-631A-4FEB-9A88-3565AE0A4237}"/>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24669" xr:uid="{43C3D5D3-9E7D-4285-960F-BB9D696393E8}"/>
    <cellStyle name="Normal 5 2 4 2 2 3 2 2 3" xfId="16228" xr:uid="{B3C722FE-BD74-4A25-97BF-E0C98FBD0300}"/>
    <cellStyle name="Normal 5 2 4 2 2 3 2 3" xfId="20451" xr:uid="{B1928CBB-127B-4FD2-91D4-9ED841F3511D}"/>
    <cellStyle name="Normal 5 2 4 2 2 3 2 4" xfId="12010" xr:uid="{5D1A803B-3372-4169-A5E2-33419E30BF76}"/>
    <cellStyle name="Normal 5 2 4 2 2 3 3" xfId="5633" xr:uid="{00000000-0005-0000-0000-0000DC180000}"/>
    <cellStyle name="Normal 5 2 4 2 2 3 3 2" xfId="22524" xr:uid="{A6735526-18B0-401B-B3A6-31A493518C3C}"/>
    <cellStyle name="Normal 5 2 4 2 2 3 3 3" xfId="14083" xr:uid="{C3BD73A9-A153-4EC6-9DD1-9E063E830D92}"/>
    <cellStyle name="Normal 5 2 4 2 2 3 4" xfId="18306" xr:uid="{289EB2CD-E950-42A9-93CB-07BD849A74E8}"/>
    <cellStyle name="Normal 5 2 4 2 2 3 5" xfId="9865" xr:uid="{B1485885-5B62-43D2-9827-9836A72AD6AC}"/>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25082" xr:uid="{938C327C-A7E5-480F-A40A-F8DDF79E5680}"/>
    <cellStyle name="Normal 5 2 4 2 2 4 2 2 3" xfId="16641" xr:uid="{CAFD42AD-F8FD-4EB7-B6BB-71E668381DA8}"/>
    <cellStyle name="Normal 5 2 4 2 2 4 2 3" xfId="20864" xr:uid="{AAD498E0-D818-4276-BA2E-CD317FCCF9D8}"/>
    <cellStyle name="Normal 5 2 4 2 2 4 2 4" xfId="12423" xr:uid="{C805892B-6191-452C-9AF5-7227B2CF8DB2}"/>
    <cellStyle name="Normal 5 2 4 2 2 4 3" xfId="6046" xr:uid="{00000000-0005-0000-0000-0000E0180000}"/>
    <cellStyle name="Normal 5 2 4 2 2 4 3 2" xfId="22937" xr:uid="{BC5451F0-D219-4D04-B118-3036E2A1C517}"/>
    <cellStyle name="Normal 5 2 4 2 2 4 3 3" xfId="14496" xr:uid="{0F3369F2-49EA-442C-BC7B-7FE2B0422BDF}"/>
    <cellStyle name="Normal 5 2 4 2 2 4 4" xfId="18719" xr:uid="{D4CEF2A0-9DB0-4845-85F4-E3DD9742BE48}"/>
    <cellStyle name="Normal 5 2 4 2 2 4 5" xfId="10278" xr:uid="{39DA1331-6E48-4F3B-90E4-449D32702834}"/>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25495" xr:uid="{0EE58CEE-249B-49B5-82C4-72E85EACDE0C}"/>
    <cellStyle name="Normal 5 2 4 2 2 5 2 2 3" xfId="17054" xr:uid="{B5FD329A-CCD5-4409-B8D0-1EE3421446C4}"/>
    <cellStyle name="Normal 5 2 4 2 2 5 2 3" xfId="21277" xr:uid="{4824CE0E-CB50-4C97-8662-7C8410F55595}"/>
    <cellStyle name="Normal 5 2 4 2 2 5 2 4" xfId="12836" xr:uid="{44605255-FD4F-4312-B0D3-400F415FE043}"/>
    <cellStyle name="Normal 5 2 4 2 2 5 3" xfId="6459" xr:uid="{00000000-0005-0000-0000-0000E4180000}"/>
    <cellStyle name="Normal 5 2 4 2 2 5 3 2" xfId="23350" xr:uid="{33AD228C-FFC1-4059-8FF9-611844F9CE5F}"/>
    <cellStyle name="Normal 5 2 4 2 2 5 3 3" xfId="14909" xr:uid="{1BC2222C-18D5-404D-85C6-A12B83A1C6AA}"/>
    <cellStyle name="Normal 5 2 4 2 2 5 4" xfId="19132" xr:uid="{4246A842-81B6-4A2B-925D-8F4A4BF891F9}"/>
    <cellStyle name="Normal 5 2 4 2 2 5 5" xfId="10691" xr:uid="{CAD5CC8C-A762-47A1-B018-FE191BD556AA}"/>
    <cellStyle name="Normal 5 2 4 2 2 6" xfId="2589" xr:uid="{00000000-0005-0000-0000-0000E5180000}"/>
    <cellStyle name="Normal 5 2 4 2 2 6 2" xfId="6872" xr:uid="{00000000-0005-0000-0000-0000E6180000}"/>
    <cellStyle name="Normal 5 2 4 2 2 6 2 2" xfId="23763" xr:uid="{E0F66B70-D340-4617-8564-44A7EEAC02BA}"/>
    <cellStyle name="Normal 5 2 4 2 2 6 2 3" xfId="15322" xr:uid="{7F4B1D9F-D682-47B8-8224-707DD7B64CDA}"/>
    <cellStyle name="Normal 5 2 4 2 2 6 3" xfId="19545" xr:uid="{C17CCDB4-468C-41D4-A1E5-9F8FD98C70FA}"/>
    <cellStyle name="Normal 5 2 4 2 2 6 4" xfId="11104" xr:uid="{415798A9-0068-4D5D-AF5A-A61983803CA6}"/>
    <cellStyle name="Normal 5 2 4 2 2 7" xfId="4807" xr:uid="{00000000-0005-0000-0000-0000E7180000}"/>
    <cellStyle name="Normal 5 2 4 2 2 7 2" xfId="21698" xr:uid="{3F273C3B-D7D0-4538-A90A-FA04C42CA98B}"/>
    <cellStyle name="Normal 5 2 4 2 2 7 3" xfId="13257" xr:uid="{7470EF80-FB3C-4A40-A2CF-E7979468002C}"/>
    <cellStyle name="Normal 5 2 4 2 2 8" xfId="17480" xr:uid="{EAB6AC78-1C0C-4A0E-BC3F-DC442696AC3C}"/>
    <cellStyle name="Normal 5 2 4 2 2 9" xfId="9039" xr:uid="{338E0E2B-ED94-4BC3-AA30-B719006B67AF}"/>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24255" xr:uid="{73195B1B-6CBB-476E-8A9A-BBA0DD4C988C}"/>
    <cellStyle name="Normal 5 2 4 2 3 2 2 3" xfId="15814" xr:uid="{181BB0AE-B9A8-4E22-9EAD-41114AA4A80E}"/>
    <cellStyle name="Normal 5 2 4 2 3 2 3" xfId="20037" xr:uid="{3C742E9D-F1E7-4F0E-943C-757857B8CD1E}"/>
    <cellStyle name="Normal 5 2 4 2 3 2 4" xfId="11596" xr:uid="{435705DA-0EA3-4B11-8E26-A4EC9F968855}"/>
    <cellStyle name="Normal 5 2 4 2 3 3" xfId="5219" xr:uid="{00000000-0005-0000-0000-0000EB180000}"/>
    <cellStyle name="Normal 5 2 4 2 3 3 2" xfId="22110" xr:uid="{59D47444-2AF2-46C0-A88E-5BE56317608A}"/>
    <cellStyle name="Normal 5 2 4 2 3 3 3" xfId="13669" xr:uid="{AB31BCFA-AE20-4FF5-9EF3-22BA118B0865}"/>
    <cellStyle name="Normal 5 2 4 2 3 4" xfId="17892" xr:uid="{227BE8A8-E36B-4A48-993E-3F9F06368F87}"/>
    <cellStyle name="Normal 5 2 4 2 3 5" xfId="9451" xr:uid="{08C9C458-3B5A-4E7E-9C02-1D07419CCB56}"/>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24668" xr:uid="{C7E0B6FB-BB99-470C-921C-1C53F250F2A7}"/>
    <cellStyle name="Normal 5 2 4 2 4 2 2 3" xfId="16227" xr:uid="{01F6D1F9-F7BA-4665-B308-3249874B7DB7}"/>
    <cellStyle name="Normal 5 2 4 2 4 2 3" xfId="20450" xr:uid="{30254CE4-A249-4A2D-AD49-0E295272ED7F}"/>
    <cellStyle name="Normal 5 2 4 2 4 2 4" xfId="12009" xr:uid="{15CA2279-8C4A-44FD-9423-438325EEA2D8}"/>
    <cellStyle name="Normal 5 2 4 2 4 3" xfId="5632" xr:uid="{00000000-0005-0000-0000-0000EF180000}"/>
    <cellStyle name="Normal 5 2 4 2 4 3 2" xfId="22523" xr:uid="{08ED69A9-945B-4C3D-BDA2-5191278DA7BC}"/>
    <cellStyle name="Normal 5 2 4 2 4 3 3" xfId="14082" xr:uid="{4575DA47-A01D-44B3-AE46-8A25A195D655}"/>
    <cellStyle name="Normal 5 2 4 2 4 4" xfId="18305" xr:uid="{B0F87631-55D8-432A-A35F-65F7654480B4}"/>
    <cellStyle name="Normal 5 2 4 2 4 5" xfId="9864" xr:uid="{0B6A0E2B-B3C5-4893-9680-572B0A1D9511}"/>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25081" xr:uid="{CC8B8CD4-8DBE-4B97-BD68-32DB9F35EF5A}"/>
    <cellStyle name="Normal 5 2 4 2 5 2 2 3" xfId="16640" xr:uid="{CD15C6B3-6021-4282-8C0F-0B118FAE8A91}"/>
    <cellStyle name="Normal 5 2 4 2 5 2 3" xfId="20863" xr:uid="{6A0B2A24-E766-4AFA-BB5C-D9304B0B2F18}"/>
    <cellStyle name="Normal 5 2 4 2 5 2 4" xfId="12422" xr:uid="{E5B35750-F33E-4BF2-9427-362EC56191A2}"/>
    <cellStyle name="Normal 5 2 4 2 5 3" xfId="6045" xr:uid="{00000000-0005-0000-0000-0000F3180000}"/>
    <cellStyle name="Normal 5 2 4 2 5 3 2" xfId="22936" xr:uid="{0097899A-08BA-4F3F-A1F2-76E62FF11D8F}"/>
    <cellStyle name="Normal 5 2 4 2 5 3 3" xfId="14495" xr:uid="{A33C21E1-7D84-4568-85FA-D6222EF71415}"/>
    <cellStyle name="Normal 5 2 4 2 5 4" xfId="18718" xr:uid="{25DED4FA-9011-45C1-92B1-F5889F811E2F}"/>
    <cellStyle name="Normal 5 2 4 2 5 5" xfId="10277" xr:uid="{DCEE4264-6A44-44C5-A11B-206A2B5BDB1D}"/>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25494" xr:uid="{5E00C8FB-FEDF-4890-B96B-46D51F89A4F5}"/>
    <cellStyle name="Normal 5 2 4 2 6 2 2 3" xfId="17053" xr:uid="{54F96099-75EA-4DF9-B0F1-B5A0C04176A8}"/>
    <cellStyle name="Normal 5 2 4 2 6 2 3" xfId="21276" xr:uid="{FBE6EF7B-B01A-41C8-9A0C-1DACF880955E}"/>
    <cellStyle name="Normal 5 2 4 2 6 2 4" xfId="12835" xr:uid="{85B015CB-97DB-4720-95AA-63D8B5BAA01A}"/>
    <cellStyle name="Normal 5 2 4 2 6 3" xfId="6458" xr:uid="{00000000-0005-0000-0000-0000F7180000}"/>
    <cellStyle name="Normal 5 2 4 2 6 3 2" xfId="23349" xr:uid="{74D21919-7C27-42FE-B846-0B68CC4C1C65}"/>
    <cellStyle name="Normal 5 2 4 2 6 3 3" xfId="14908" xr:uid="{BE0B9B05-9CE7-437B-9165-B84A758AEB1F}"/>
    <cellStyle name="Normal 5 2 4 2 6 4" xfId="19131" xr:uid="{7247F0C5-99AC-47BF-A2E6-5FFAB5CE4973}"/>
    <cellStyle name="Normal 5 2 4 2 6 5" xfId="10690" xr:uid="{9EE88B96-0723-446F-9CCD-742FBC3EF355}"/>
    <cellStyle name="Normal 5 2 4 2 7" xfId="2588" xr:uid="{00000000-0005-0000-0000-0000F8180000}"/>
    <cellStyle name="Normal 5 2 4 2 7 2" xfId="6871" xr:uid="{00000000-0005-0000-0000-0000F9180000}"/>
    <cellStyle name="Normal 5 2 4 2 7 2 2" xfId="23762" xr:uid="{DA437F95-D205-4FF3-965A-153DA46B5B0A}"/>
    <cellStyle name="Normal 5 2 4 2 7 2 3" xfId="15321" xr:uid="{AC188161-5299-4796-8D08-B397988EAA6B}"/>
    <cellStyle name="Normal 5 2 4 2 7 3" xfId="19544" xr:uid="{3741CC97-27D5-4D57-A965-2C34C0F450C9}"/>
    <cellStyle name="Normal 5 2 4 2 7 4" xfId="11103" xr:uid="{78D47F36-7A1F-4523-A3A5-4EA74A41A4B1}"/>
    <cellStyle name="Normal 5 2 4 2 8" xfId="4806" xr:uid="{00000000-0005-0000-0000-0000FA180000}"/>
    <cellStyle name="Normal 5 2 4 2 8 2" xfId="21697" xr:uid="{7235F991-2B78-40AD-ACCE-7129D3E37355}"/>
    <cellStyle name="Normal 5 2 4 2 8 3" xfId="13256" xr:uid="{E396EEA9-970C-47E6-9A58-FA86DCB7B861}"/>
    <cellStyle name="Normal 5 2 4 2 9" xfId="17479" xr:uid="{40122C9C-41B2-452D-B797-05F670D7DC5A}"/>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24257" xr:uid="{7DF476FD-9072-4AA1-B144-B77594478D08}"/>
    <cellStyle name="Normal 5 2 4 3 2 2 2 3" xfId="15816" xr:uid="{9E7CA20E-99D2-4B2B-886E-1EF74EA1BAAF}"/>
    <cellStyle name="Normal 5 2 4 3 2 2 3" xfId="20039" xr:uid="{D5B702E3-F884-47B2-85FD-272B7ECB02C2}"/>
    <cellStyle name="Normal 5 2 4 3 2 2 4" xfId="11598" xr:uid="{ED3F324D-1EF7-4756-9C12-091D84D88C47}"/>
    <cellStyle name="Normal 5 2 4 3 2 3" xfId="5221" xr:uid="{00000000-0005-0000-0000-0000FF180000}"/>
    <cellStyle name="Normal 5 2 4 3 2 3 2" xfId="22112" xr:uid="{D2D00FF1-9CDE-4E0C-A7F0-F48CAA486C60}"/>
    <cellStyle name="Normal 5 2 4 3 2 3 3" xfId="13671" xr:uid="{0D8DFBB3-1BC1-4B84-A8AF-67D5B393B8A9}"/>
    <cellStyle name="Normal 5 2 4 3 2 4" xfId="17894" xr:uid="{ABA780F8-3B15-4575-9060-9F23D5C61578}"/>
    <cellStyle name="Normal 5 2 4 3 2 5" xfId="9453" xr:uid="{69BA90DF-DB32-4D2B-8352-A808750F7A6E}"/>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24670" xr:uid="{AE271DD4-45BA-4200-A89D-3E26C80CDA85}"/>
    <cellStyle name="Normal 5 2 4 3 3 2 2 3" xfId="16229" xr:uid="{6A4918D5-C364-4F26-BD94-6011F148399A}"/>
    <cellStyle name="Normal 5 2 4 3 3 2 3" xfId="20452" xr:uid="{7F3348DE-7DF4-4A6F-A616-7A7C11AEF6F5}"/>
    <cellStyle name="Normal 5 2 4 3 3 2 4" xfId="12011" xr:uid="{27C85717-FB2D-4FB7-ABD3-272465918414}"/>
    <cellStyle name="Normal 5 2 4 3 3 3" xfId="5634" xr:uid="{00000000-0005-0000-0000-000003190000}"/>
    <cellStyle name="Normal 5 2 4 3 3 3 2" xfId="22525" xr:uid="{60FE09BA-0EDF-4A16-9E31-D48B2C943A41}"/>
    <cellStyle name="Normal 5 2 4 3 3 3 3" xfId="14084" xr:uid="{01456B16-136C-40DE-83CC-CCB944F5F3F2}"/>
    <cellStyle name="Normal 5 2 4 3 3 4" xfId="18307" xr:uid="{0AB96B1D-B038-4A03-ADC0-B55DBCAE56EA}"/>
    <cellStyle name="Normal 5 2 4 3 3 5" xfId="9866" xr:uid="{EDD23211-ECC5-40A8-B463-D26A5B0E53E8}"/>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25083" xr:uid="{3C6185CD-8273-46E1-9AA6-4B2D20997957}"/>
    <cellStyle name="Normal 5 2 4 3 4 2 2 3" xfId="16642" xr:uid="{84FBFE98-56A9-4DD0-AF80-31978C0BE8FF}"/>
    <cellStyle name="Normal 5 2 4 3 4 2 3" xfId="20865" xr:uid="{7CAC75EE-706E-4453-A940-9FA3F5EB77D5}"/>
    <cellStyle name="Normal 5 2 4 3 4 2 4" xfId="12424" xr:uid="{D512A020-A877-4D6E-9832-E00BF4E7EFDD}"/>
    <cellStyle name="Normal 5 2 4 3 4 3" xfId="6047" xr:uid="{00000000-0005-0000-0000-000007190000}"/>
    <cellStyle name="Normal 5 2 4 3 4 3 2" xfId="22938" xr:uid="{1DA5DAF4-DEE7-4E4C-B7B8-AA878F8329A8}"/>
    <cellStyle name="Normal 5 2 4 3 4 3 3" xfId="14497" xr:uid="{56328C81-5C35-47A9-87E8-9563D5A45D05}"/>
    <cellStyle name="Normal 5 2 4 3 4 4" xfId="18720" xr:uid="{4C19079D-4860-430F-BBB8-0337992385A2}"/>
    <cellStyle name="Normal 5 2 4 3 4 5" xfId="10279" xr:uid="{44E790ED-A632-4710-B8A9-12FBB9A53988}"/>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25496" xr:uid="{B92AD80E-0B2B-4A73-9FC9-E67947C7A0CA}"/>
    <cellStyle name="Normal 5 2 4 3 5 2 2 3" xfId="17055" xr:uid="{124994BA-66AF-4586-A47B-DBA44E750BD2}"/>
    <cellStyle name="Normal 5 2 4 3 5 2 3" xfId="21278" xr:uid="{FDFAFFAE-65CD-4B8B-847D-82BAC53F89FF}"/>
    <cellStyle name="Normal 5 2 4 3 5 2 4" xfId="12837" xr:uid="{000E037C-39E9-4BC3-A95C-8D75D5904E59}"/>
    <cellStyle name="Normal 5 2 4 3 5 3" xfId="6460" xr:uid="{00000000-0005-0000-0000-00000B190000}"/>
    <cellStyle name="Normal 5 2 4 3 5 3 2" xfId="23351" xr:uid="{3AB8B348-10CF-426B-8CDA-FC25CC1CD7F8}"/>
    <cellStyle name="Normal 5 2 4 3 5 3 3" xfId="14910" xr:uid="{4AEBCDE4-E592-438D-84F2-4128446B2643}"/>
    <cellStyle name="Normal 5 2 4 3 5 4" xfId="19133" xr:uid="{EC083397-B690-4F76-B756-3B515F8035E1}"/>
    <cellStyle name="Normal 5 2 4 3 5 5" xfId="10692" xr:uid="{CC87EC94-0AE7-40D4-9695-4BB5C5CCEB60}"/>
    <cellStyle name="Normal 5 2 4 3 6" xfId="2590" xr:uid="{00000000-0005-0000-0000-00000C190000}"/>
    <cellStyle name="Normal 5 2 4 3 6 2" xfId="6873" xr:uid="{00000000-0005-0000-0000-00000D190000}"/>
    <cellStyle name="Normal 5 2 4 3 6 2 2" xfId="23764" xr:uid="{AAE4D88E-BCE3-41E5-9D51-8D7BE8170B0C}"/>
    <cellStyle name="Normal 5 2 4 3 6 2 3" xfId="15323" xr:uid="{7D24DECB-26BF-41FC-A204-69FFCE7A6117}"/>
    <cellStyle name="Normal 5 2 4 3 6 3" xfId="19546" xr:uid="{BAE48FB5-D56C-4C32-B071-BD19E40C0256}"/>
    <cellStyle name="Normal 5 2 4 3 6 4" xfId="11105" xr:uid="{BB1057CD-EF9A-49AA-9872-99174197AE5A}"/>
    <cellStyle name="Normal 5 2 4 3 7" xfId="4808" xr:uid="{00000000-0005-0000-0000-00000E190000}"/>
    <cellStyle name="Normal 5 2 4 3 7 2" xfId="21699" xr:uid="{D6FABF55-501B-4203-BC5A-70FCBE0FF288}"/>
    <cellStyle name="Normal 5 2 4 3 7 3" xfId="13258" xr:uid="{EDBA1288-6381-428B-A303-E5F0780CC819}"/>
    <cellStyle name="Normal 5 2 4 3 8" xfId="17481" xr:uid="{5F5FA3D1-E12B-437B-AE70-264198345C72}"/>
    <cellStyle name="Normal 5 2 4 3 9" xfId="9040" xr:uid="{B1145BE1-85CD-41D9-820D-4B4105B75755}"/>
    <cellStyle name="Normal 5 2 4 4" xfId="906" xr:uid="{00000000-0005-0000-0000-00000F190000}"/>
    <cellStyle name="Normal 5 2 4 4 2" xfId="3141" xr:uid="{00000000-0005-0000-0000-000010190000}"/>
    <cellStyle name="Normal 5 2 4 4 2 2" xfId="7363" xr:uid="{00000000-0005-0000-0000-000011190000}"/>
    <cellStyle name="Normal 5 2 4 4 2 2 2" xfId="24254" xr:uid="{0C2AC663-45F0-44AC-B8CA-7B73EC65A567}"/>
    <cellStyle name="Normal 5 2 4 4 2 2 3" xfId="15813" xr:uid="{206BC5FE-6B67-42A2-B72C-57B3BC4EAC85}"/>
    <cellStyle name="Normal 5 2 4 4 2 3" xfId="20036" xr:uid="{B14DD370-514F-43AC-8DF0-E88D375C80E3}"/>
    <cellStyle name="Normal 5 2 4 4 2 4" xfId="11595" xr:uid="{AD79F063-CA4B-40C5-B96D-FFC0A1095208}"/>
    <cellStyle name="Normal 5 2 4 4 3" xfId="5218" xr:uid="{00000000-0005-0000-0000-000012190000}"/>
    <cellStyle name="Normal 5 2 4 4 3 2" xfId="22109" xr:uid="{63386A85-B09E-4288-9033-21C1318E9E16}"/>
    <cellStyle name="Normal 5 2 4 4 3 3" xfId="13668" xr:uid="{ADC21FE3-6A24-4B4C-8D27-44C328B87F02}"/>
    <cellStyle name="Normal 5 2 4 4 4" xfId="17891" xr:uid="{82862ECB-DE40-4580-8997-DD9154456ACB}"/>
    <cellStyle name="Normal 5 2 4 4 5" xfId="9450" xr:uid="{992CBAEB-D72F-4B88-A9DC-50248B6A0CDD}"/>
    <cellStyle name="Normal 5 2 4 5" xfId="1324" xr:uid="{00000000-0005-0000-0000-000013190000}"/>
    <cellStyle name="Normal 5 2 4 5 2" xfId="3554" xr:uid="{00000000-0005-0000-0000-000014190000}"/>
    <cellStyle name="Normal 5 2 4 5 2 2" xfId="7776" xr:uid="{00000000-0005-0000-0000-000015190000}"/>
    <cellStyle name="Normal 5 2 4 5 2 2 2" xfId="24667" xr:uid="{84CD2659-F6A1-434D-A4C1-FE78B3ED2FD0}"/>
    <cellStyle name="Normal 5 2 4 5 2 2 3" xfId="16226" xr:uid="{053680B4-B429-466C-8C37-AB6F9A39EE68}"/>
    <cellStyle name="Normal 5 2 4 5 2 3" xfId="20449" xr:uid="{4D6833A7-DB39-4AD7-9110-828297C2FAE3}"/>
    <cellStyle name="Normal 5 2 4 5 2 4" xfId="12008" xr:uid="{1E975149-578F-4F9F-81BE-07589AD97784}"/>
    <cellStyle name="Normal 5 2 4 5 3" xfId="5631" xr:uid="{00000000-0005-0000-0000-000016190000}"/>
    <cellStyle name="Normal 5 2 4 5 3 2" xfId="22522" xr:uid="{B092DEB2-ECF4-4944-95B8-E2EB506A8DB4}"/>
    <cellStyle name="Normal 5 2 4 5 3 3" xfId="14081" xr:uid="{6EE89220-151C-4462-B7FD-3835348CDE63}"/>
    <cellStyle name="Normal 5 2 4 5 4" xfId="18304" xr:uid="{8A9B9C16-A9A7-4452-BF62-69365B6775BB}"/>
    <cellStyle name="Normal 5 2 4 5 5" xfId="9863" xr:uid="{8ECB03F8-0159-47F4-992B-8CEC15959BDC}"/>
    <cellStyle name="Normal 5 2 4 6" xfId="1737" xr:uid="{00000000-0005-0000-0000-000017190000}"/>
    <cellStyle name="Normal 5 2 4 6 2" xfId="3967" xr:uid="{00000000-0005-0000-0000-000018190000}"/>
    <cellStyle name="Normal 5 2 4 6 2 2" xfId="8189" xr:uid="{00000000-0005-0000-0000-000019190000}"/>
    <cellStyle name="Normal 5 2 4 6 2 2 2" xfId="25080" xr:uid="{03AD9B15-0159-4762-9ECA-6E914930D31A}"/>
    <cellStyle name="Normal 5 2 4 6 2 2 3" xfId="16639" xr:uid="{BD175B0E-5088-41C3-A70E-F4FF6FBD4331}"/>
    <cellStyle name="Normal 5 2 4 6 2 3" xfId="20862" xr:uid="{F126389F-7907-4969-9711-978583BC4410}"/>
    <cellStyle name="Normal 5 2 4 6 2 4" xfId="12421" xr:uid="{F825AFBA-62C6-4063-A9BE-8F308731E9B2}"/>
    <cellStyle name="Normal 5 2 4 6 3" xfId="6044" xr:uid="{00000000-0005-0000-0000-00001A190000}"/>
    <cellStyle name="Normal 5 2 4 6 3 2" xfId="22935" xr:uid="{2C5B03C6-0A44-4C55-9444-C3EDDE5F4654}"/>
    <cellStyle name="Normal 5 2 4 6 3 3" xfId="14494" xr:uid="{6CE09EB2-1963-4215-8E4B-FE9ED57AB0AF}"/>
    <cellStyle name="Normal 5 2 4 6 4" xfId="18717" xr:uid="{F53949B7-2183-4C3B-849F-F3B4447BD537}"/>
    <cellStyle name="Normal 5 2 4 6 5" xfId="10276" xr:uid="{8717E79B-B8E7-4888-AFBD-7716AA87BD0D}"/>
    <cellStyle name="Normal 5 2 4 7" xfId="2151" xr:uid="{00000000-0005-0000-0000-00001B190000}"/>
    <cellStyle name="Normal 5 2 4 7 2" xfId="4380" xr:uid="{00000000-0005-0000-0000-00001C190000}"/>
    <cellStyle name="Normal 5 2 4 7 2 2" xfId="8602" xr:uid="{00000000-0005-0000-0000-00001D190000}"/>
    <cellStyle name="Normal 5 2 4 7 2 2 2" xfId="25493" xr:uid="{0326E1A3-9610-41B0-99B1-157292FE56DE}"/>
    <cellStyle name="Normal 5 2 4 7 2 2 3" xfId="17052" xr:uid="{8CCC0B98-A820-4AB6-A06B-2B0D72C00503}"/>
    <cellStyle name="Normal 5 2 4 7 2 3" xfId="21275" xr:uid="{D9D1E8B1-F99B-4FCD-B38B-91EF69397072}"/>
    <cellStyle name="Normal 5 2 4 7 2 4" xfId="12834" xr:uid="{018CDC19-0CC7-4C81-AC06-CB9A26B82D39}"/>
    <cellStyle name="Normal 5 2 4 7 3" xfId="6457" xr:uid="{00000000-0005-0000-0000-00001E190000}"/>
    <cellStyle name="Normal 5 2 4 7 3 2" xfId="23348" xr:uid="{EF406027-A905-4AE1-9A4C-1DCA9450B026}"/>
    <cellStyle name="Normal 5 2 4 7 3 3" xfId="14907" xr:uid="{D2DCEE3B-8376-43D9-8200-68F19D8797C7}"/>
    <cellStyle name="Normal 5 2 4 7 4" xfId="19130" xr:uid="{6084D4C7-27E1-4FB0-8384-6408BFD58156}"/>
    <cellStyle name="Normal 5 2 4 7 5" xfId="10689" xr:uid="{A709559C-6D2F-4015-9055-0AE082F8F714}"/>
    <cellStyle name="Normal 5 2 4 8" xfId="2587" xr:uid="{00000000-0005-0000-0000-00001F190000}"/>
    <cellStyle name="Normal 5 2 4 8 2" xfId="6870" xr:uid="{00000000-0005-0000-0000-000020190000}"/>
    <cellStyle name="Normal 5 2 4 8 2 2" xfId="23761" xr:uid="{0956FB28-B8DD-4A90-8403-5504FF83F620}"/>
    <cellStyle name="Normal 5 2 4 8 2 3" xfId="15320" xr:uid="{D96042C7-BBD3-4B79-8804-8EA50597AD90}"/>
    <cellStyle name="Normal 5 2 4 8 3" xfId="19543" xr:uid="{5315C21D-9D5E-4E2C-836E-E0971B52AA49}"/>
    <cellStyle name="Normal 5 2 4 8 4" xfId="11102" xr:uid="{A14FED5B-D59F-42DC-90A6-2FF555E57907}"/>
    <cellStyle name="Normal 5 2 4 9" xfId="4805" xr:uid="{00000000-0005-0000-0000-000021190000}"/>
    <cellStyle name="Normal 5 2 4 9 2" xfId="21696" xr:uid="{C346CF23-06AE-41F4-AF63-92C0E63F9562}"/>
    <cellStyle name="Normal 5 2 4 9 3" xfId="13255" xr:uid="{EBE4BA09-FCC5-4EBB-924B-FF0EDC84379A}"/>
    <cellStyle name="Normal 5 2 5" xfId="436" xr:uid="{00000000-0005-0000-0000-000022190000}"/>
    <cellStyle name="Normal 5 2 5 10" xfId="9041" xr:uid="{FABC3B1F-8C3C-46E2-A4DB-DE526C425424}"/>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24259" xr:uid="{9D71EF22-6B5F-4F55-B9D3-1B8BB334B5F5}"/>
    <cellStyle name="Normal 5 2 5 2 2 2 2 3" xfId="15818" xr:uid="{14B2FCAE-9F88-4CA9-8FE5-05AEB27E6A0F}"/>
    <cellStyle name="Normal 5 2 5 2 2 2 3" xfId="20041" xr:uid="{0F6A4D2E-451C-48FC-9E3E-499F779CCCD2}"/>
    <cellStyle name="Normal 5 2 5 2 2 2 4" xfId="11600" xr:uid="{7E20FEDE-8144-450A-9529-91C150948FC1}"/>
    <cellStyle name="Normal 5 2 5 2 2 3" xfId="5223" xr:uid="{00000000-0005-0000-0000-000027190000}"/>
    <cellStyle name="Normal 5 2 5 2 2 3 2" xfId="22114" xr:uid="{894C1E56-CA87-4486-A042-EE64DCB9C592}"/>
    <cellStyle name="Normal 5 2 5 2 2 3 3" xfId="13673" xr:uid="{15A0C9FF-B027-410A-AC96-BC34D5F34DE0}"/>
    <cellStyle name="Normal 5 2 5 2 2 4" xfId="17896" xr:uid="{30DEE4CA-2486-4909-93F9-6C96DD03A590}"/>
    <cellStyle name="Normal 5 2 5 2 2 5" xfId="9455" xr:uid="{0B00EE47-FEFC-4E88-AAD4-40A186A1746A}"/>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24672" xr:uid="{95896401-1ACF-4BA5-8D73-1A45B0D3A2EB}"/>
    <cellStyle name="Normal 5 2 5 2 3 2 2 3" xfId="16231" xr:uid="{832E5A9D-EC9B-49A7-B7F3-A7B9B2FD7A2C}"/>
    <cellStyle name="Normal 5 2 5 2 3 2 3" xfId="20454" xr:uid="{CD23E346-8649-4502-BF98-5F786D803886}"/>
    <cellStyle name="Normal 5 2 5 2 3 2 4" xfId="12013" xr:uid="{EBB7BD8A-3B97-4D38-8C4E-60BC16837DC4}"/>
    <cellStyle name="Normal 5 2 5 2 3 3" xfId="5636" xr:uid="{00000000-0005-0000-0000-00002B190000}"/>
    <cellStyle name="Normal 5 2 5 2 3 3 2" xfId="22527" xr:uid="{6DA1A68A-0714-4DA6-B388-2849A38FCAD9}"/>
    <cellStyle name="Normal 5 2 5 2 3 3 3" xfId="14086" xr:uid="{4D005F90-7C56-43E3-8A9D-B060FAEB2F51}"/>
    <cellStyle name="Normal 5 2 5 2 3 4" xfId="18309" xr:uid="{752109C1-A216-4FCA-96B9-A8E8DE5033C3}"/>
    <cellStyle name="Normal 5 2 5 2 3 5" xfId="9868" xr:uid="{EF7EA17F-CC08-47E9-8926-4A229D25F3D1}"/>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25085" xr:uid="{0E1F5E4A-C3DC-46C1-8B77-89EAC34E25BE}"/>
    <cellStyle name="Normal 5 2 5 2 4 2 2 3" xfId="16644" xr:uid="{59C98A4D-5A60-478C-A303-87514558F361}"/>
    <cellStyle name="Normal 5 2 5 2 4 2 3" xfId="20867" xr:uid="{5234692A-8188-4D4F-9E19-2E52A5D31F58}"/>
    <cellStyle name="Normal 5 2 5 2 4 2 4" xfId="12426" xr:uid="{76C39AA2-9E80-476B-9EA2-CF06CBAE2B6E}"/>
    <cellStyle name="Normal 5 2 5 2 4 3" xfId="6049" xr:uid="{00000000-0005-0000-0000-00002F190000}"/>
    <cellStyle name="Normal 5 2 5 2 4 3 2" xfId="22940" xr:uid="{435107F8-747F-49C4-9BC7-7E00BD0283C9}"/>
    <cellStyle name="Normal 5 2 5 2 4 3 3" xfId="14499" xr:uid="{B715ECC1-D6A8-4583-8576-3F07D9130A8F}"/>
    <cellStyle name="Normal 5 2 5 2 4 4" xfId="18722" xr:uid="{7F5D4219-3BA7-4F15-9ED6-250E76ACCF97}"/>
    <cellStyle name="Normal 5 2 5 2 4 5" xfId="10281" xr:uid="{BFC203FE-ABC4-4EFB-994E-7AD3B75F3E22}"/>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25498" xr:uid="{DC803B54-D521-43D4-B579-ABF95133265B}"/>
    <cellStyle name="Normal 5 2 5 2 5 2 2 3" xfId="17057" xr:uid="{DC166B42-467E-4FC8-A903-1CF48D5AC816}"/>
    <cellStyle name="Normal 5 2 5 2 5 2 3" xfId="21280" xr:uid="{6BE01B94-A2FA-4949-8BDF-869E2BB20D17}"/>
    <cellStyle name="Normal 5 2 5 2 5 2 4" xfId="12839" xr:uid="{2A4E9933-FEBB-468E-B85F-9A4569FA3FEB}"/>
    <cellStyle name="Normal 5 2 5 2 5 3" xfId="6462" xr:uid="{00000000-0005-0000-0000-000033190000}"/>
    <cellStyle name="Normal 5 2 5 2 5 3 2" xfId="23353" xr:uid="{B160B392-2DFA-47E6-A9C1-2B96889B78C6}"/>
    <cellStyle name="Normal 5 2 5 2 5 3 3" xfId="14912" xr:uid="{FB4AC210-847D-4FE9-9098-45E598355C3E}"/>
    <cellStyle name="Normal 5 2 5 2 5 4" xfId="19135" xr:uid="{C0816549-0D3A-4C4B-AFC8-CC56748B7E91}"/>
    <cellStyle name="Normal 5 2 5 2 5 5" xfId="10694" xr:uid="{A7F2CB1B-3D90-40E8-A056-4BBF00A9928B}"/>
    <cellStyle name="Normal 5 2 5 2 6" xfId="2592" xr:uid="{00000000-0005-0000-0000-000034190000}"/>
    <cellStyle name="Normal 5 2 5 2 6 2" xfId="6875" xr:uid="{00000000-0005-0000-0000-000035190000}"/>
    <cellStyle name="Normal 5 2 5 2 6 2 2" xfId="23766" xr:uid="{D6A396AF-BACA-499D-AD0C-A790AB0E2567}"/>
    <cellStyle name="Normal 5 2 5 2 6 2 3" xfId="15325" xr:uid="{EEFCC1AF-029B-43AE-B010-4074CC05CB3B}"/>
    <cellStyle name="Normal 5 2 5 2 6 3" xfId="19548" xr:uid="{E8ABBAB2-4284-45F1-9615-0145F4D886D0}"/>
    <cellStyle name="Normal 5 2 5 2 6 4" xfId="11107" xr:uid="{9D526C98-4E39-4E46-B5FE-56F588A93CB3}"/>
    <cellStyle name="Normal 5 2 5 2 7" xfId="4810" xr:uid="{00000000-0005-0000-0000-000036190000}"/>
    <cellStyle name="Normal 5 2 5 2 7 2" xfId="21701" xr:uid="{0CE772B0-6A56-4B5A-85F5-F10D4CB34A36}"/>
    <cellStyle name="Normal 5 2 5 2 7 3" xfId="13260" xr:uid="{773C5470-7827-4953-9AB1-930FAC4E0394}"/>
    <cellStyle name="Normal 5 2 5 2 8" xfId="17483" xr:uid="{69BF04A5-AC84-42D9-AB7B-CCFA46FEAD3E}"/>
    <cellStyle name="Normal 5 2 5 2 9" xfId="9042" xr:uid="{DBE0A83E-509B-4776-A4A6-B7E5E4B18753}"/>
    <cellStyle name="Normal 5 2 5 3" xfId="910" xr:uid="{00000000-0005-0000-0000-000037190000}"/>
    <cellStyle name="Normal 5 2 5 3 2" xfId="3145" xr:uid="{00000000-0005-0000-0000-000038190000}"/>
    <cellStyle name="Normal 5 2 5 3 2 2" xfId="7367" xr:uid="{00000000-0005-0000-0000-000039190000}"/>
    <cellStyle name="Normal 5 2 5 3 2 2 2" xfId="24258" xr:uid="{42BDDEC2-CD35-4AD3-8CF0-E4683BAD55A9}"/>
    <cellStyle name="Normal 5 2 5 3 2 2 3" xfId="15817" xr:uid="{6AE06FD7-FDC2-4542-BBDA-46728F719BBC}"/>
    <cellStyle name="Normal 5 2 5 3 2 3" xfId="20040" xr:uid="{177FAA14-891D-4EE2-8E3A-132D13EEE319}"/>
    <cellStyle name="Normal 5 2 5 3 2 4" xfId="11599" xr:uid="{140C0AD8-5CB2-4E0D-9032-4CAAE6B7F1B7}"/>
    <cellStyle name="Normal 5 2 5 3 3" xfId="5222" xr:uid="{00000000-0005-0000-0000-00003A190000}"/>
    <cellStyle name="Normal 5 2 5 3 3 2" xfId="22113" xr:uid="{EC96FA17-F23B-4EDB-8246-9F10BF6210C0}"/>
    <cellStyle name="Normal 5 2 5 3 3 3" xfId="13672" xr:uid="{AE42D49E-AA7C-4846-8554-EC4DFAD03EFC}"/>
    <cellStyle name="Normal 5 2 5 3 4" xfId="17895" xr:uid="{55F99F5E-38F1-432C-BA8D-B738D4D3504B}"/>
    <cellStyle name="Normal 5 2 5 3 5" xfId="9454" xr:uid="{69152F5C-CF16-4ECC-80B7-2AA038CD2DEB}"/>
    <cellStyle name="Normal 5 2 5 4" xfId="1328" xr:uid="{00000000-0005-0000-0000-00003B190000}"/>
    <cellStyle name="Normal 5 2 5 4 2" xfId="3558" xr:uid="{00000000-0005-0000-0000-00003C190000}"/>
    <cellStyle name="Normal 5 2 5 4 2 2" xfId="7780" xr:uid="{00000000-0005-0000-0000-00003D190000}"/>
    <cellStyle name="Normal 5 2 5 4 2 2 2" xfId="24671" xr:uid="{AB21DC95-CA24-4FCA-8A87-569619152C17}"/>
    <cellStyle name="Normal 5 2 5 4 2 2 3" xfId="16230" xr:uid="{038F5E93-3674-4F5B-BD2C-62567243D580}"/>
    <cellStyle name="Normal 5 2 5 4 2 3" xfId="20453" xr:uid="{07BB5356-9A50-4243-A665-9F0AD123EA6C}"/>
    <cellStyle name="Normal 5 2 5 4 2 4" xfId="12012" xr:uid="{35F5EEBF-C407-4BE8-BFAB-81ACCF64C202}"/>
    <cellStyle name="Normal 5 2 5 4 3" xfId="5635" xr:uid="{00000000-0005-0000-0000-00003E190000}"/>
    <cellStyle name="Normal 5 2 5 4 3 2" xfId="22526" xr:uid="{E6D4BC73-09B2-4F11-8B6A-22CE88735A3C}"/>
    <cellStyle name="Normal 5 2 5 4 3 3" xfId="14085" xr:uid="{4B323EEB-4473-4906-9838-7CD27087DC85}"/>
    <cellStyle name="Normal 5 2 5 4 4" xfId="18308" xr:uid="{ADB47136-FFE5-46CE-A695-B8F1D1A1DB0F}"/>
    <cellStyle name="Normal 5 2 5 4 5" xfId="9867" xr:uid="{5AD28D81-B67F-464A-82AC-F47678462851}"/>
    <cellStyle name="Normal 5 2 5 5" xfId="1741" xr:uid="{00000000-0005-0000-0000-00003F190000}"/>
    <cellStyle name="Normal 5 2 5 5 2" xfId="3971" xr:uid="{00000000-0005-0000-0000-000040190000}"/>
    <cellStyle name="Normal 5 2 5 5 2 2" xfId="8193" xr:uid="{00000000-0005-0000-0000-000041190000}"/>
    <cellStyle name="Normal 5 2 5 5 2 2 2" xfId="25084" xr:uid="{3539FE85-86D0-45BA-A217-7F8AD57C1E7E}"/>
    <cellStyle name="Normal 5 2 5 5 2 2 3" xfId="16643" xr:uid="{F5C90892-56A6-4635-AF45-B89586360A50}"/>
    <cellStyle name="Normal 5 2 5 5 2 3" xfId="20866" xr:uid="{FF42FD24-B33F-4B87-803E-BFD74DBF5575}"/>
    <cellStyle name="Normal 5 2 5 5 2 4" xfId="12425" xr:uid="{947E2C1B-EC30-476E-AA2F-784D49CB665A}"/>
    <cellStyle name="Normal 5 2 5 5 3" xfId="6048" xr:uid="{00000000-0005-0000-0000-000042190000}"/>
    <cellStyle name="Normal 5 2 5 5 3 2" xfId="22939" xr:uid="{7FC33395-0BBC-4B39-91C7-EA7967482473}"/>
    <cellStyle name="Normal 5 2 5 5 3 3" xfId="14498" xr:uid="{E6981346-08CA-4E2E-BB5C-832993CB0DA5}"/>
    <cellStyle name="Normal 5 2 5 5 4" xfId="18721" xr:uid="{61A3E481-386A-4DFC-8052-D01ABCFF4A6A}"/>
    <cellStyle name="Normal 5 2 5 5 5" xfId="10280" xr:uid="{433C5D08-BF9D-427F-9531-CE0656BB7B0C}"/>
    <cellStyle name="Normal 5 2 5 6" xfId="2155" xr:uid="{00000000-0005-0000-0000-000043190000}"/>
    <cellStyle name="Normal 5 2 5 6 2" xfId="4384" xr:uid="{00000000-0005-0000-0000-000044190000}"/>
    <cellStyle name="Normal 5 2 5 6 2 2" xfId="8606" xr:uid="{00000000-0005-0000-0000-000045190000}"/>
    <cellStyle name="Normal 5 2 5 6 2 2 2" xfId="25497" xr:uid="{5F2045AB-761A-4B85-A1DC-2CAC4A693FEE}"/>
    <cellStyle name="Normal 5 2 5 6 2 2 3" xfId="17056" xr:uid="{E60C2E3B-61D5-48C6-A027-A54E2DF0616C}"/>
    <cellStyle name="Normal 5 2 5 6 2 3" xfId="21279" xr:uid="{7BC5E9B0-12AA-4DEA-BA11-E6E2EE0C554C}"/>
    <cellStyle name="Normal 5 2 5 6 2 4" xfId="12838" xr:uid="{D6AFC680-A8B5-41C8-885B-34A90345CCDF}"/>
    <cellStyle name="Normal 5 2 5 6 3" xfId="6461" xr:uid="{00000000-0005-0000-0000-000046190000}"/>
    <cellStyle name="Normal 5 2 5 6 3 2" xfId="23352" xr:uid="{2E316B1D-DFCA-47B5-89D1-AA29B05122EB}"/>
    <cellStyle name="Normal 5 2 5 6 3 3" xfId="14911" xr:uid="{A9B97A72-79BE-4F92-BA15-9E413DDFACE1}"/>
    <cellStyle name="Normal 5 2 5 6 4" xfId="19134" xr:uid="{A8F7B455-E87D-4539-AABA-8AFC642F47A5}"/>
    <cellStyle name="Normal 5 2 5 6 5" xfId="10693" xr:uid="{A598B2AB-B848-4002-B38E-F9A6DCBA3018}"/>
    <cellStyle name="Normal 5 2 5 7" xfId="2591" xr:uid="{00000000-0005-0000-0000-000047190000}"/>
    <cellStyle name="Normal 5 2 5 7 2" xfId="6874" xr:uid="{00000000-0005-0000-0000-000048190000}"/>
    <cellStyle name="Normal 5 2 5 7 2 2" xfId="23765" xr:uid="{1A678EF4-74F3-41AD-8FAD-0EC68068524A}"/>
    <cellStyle name="Normal 5 2 5 7 2 3" xfId="15324" xr:uid="{0430513B-8B15-4C6C-9320-6008EC8D40B8}"/>
    <cellStyle name="Normal 5 2 5 7 3" xfId="19547" xr:uid="{7943D1B2-A1BB-4880-973C-2785E9A8EE96}"/>
    <cellStyle name="Normal 5 2 5 7 4" xfId="11106" xr:uid="{14406E64-FF11-4714-AF59-BC0556A98517}"/>
    <cellStyle name="Normal 5 2 5 8" xfId="4809" xr:uid="{00000000-0005-0000-0000-000049190000}"/>
    <cellStyle name="Normal 5 2 5 8 2" xfId="21700" xr:uid="{76422E62-E650-41DE-A9E2-B3BF69721016}"/>
    <cellStyle name="Normal 5 2 5 8 3" xfId="13259" xr:uid="{1D193CFB-4E23-4E61-8483-10650721AD72}"/>
    <cellStyle name="Normal 5 2 5 9" xfId="17482" xr:uid="{03513FFF-F354-449E-BBD7-F2BFE455930A}"/>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2 2 2" xfId="24260" xr:uid="{0C378191-4B06-4DCF-AAC3-4F3A1A4DAFDC}"/>
    <cellStyle name="Normal 5 2 6 2 2 2 3" xfId="15819" xr:uid="{5E1E4F61-F5B2-4267-99CD-C805AE984EFF}"/>
    <cellStyle name="Normal 5 2 6 2 2 3" xfId="20042" xr:uid="{B54EACA7-A48D-47D9-9A12-16AB4F805519}"/>
    <cellStyle name="Normal 5 2 6 2 2 4" xfId="11601" xr:uid="{4B621C54-446B-4D10-A929-F6AB246F8B3D}"/>
    <cellStyle name="Normal 5 2 6 2 3" xfId="5224" xr:uid="{00000000-0005-0000-0000-00004E190000}"/>
    <cellStyle name="Normal 5 2 6 2 3 2" xfId="22115" xr:uid="{8419FEAF-6F65-4093-AC88-90ABC3CCD638}"/>
    <cellStyle name="Normal 5 2 6 2 3 3" xfId="13674" xr:uid="{AC598150-0469-4CB3-B1F5-9A605A3AFF9F}"/>
    <cellStyle name="Normal 5 2 6 2 4" xfId="17897" xr:uid="{D5DC4DDB-C774-42D2-88EA-511710A55608}"/>
    <cellStyle name="Normal 5 2 6 2 5" xfId="9456" xr:uid="{CFB00AE6-781C-4EC9-8B02-BC503E81D925}"/>
    <cellStyle name="Normal 5 2 6 3" xfId="1330" xr:uid="{00000000-0005-0000-0000-00004F190000}"/>
    <cellStyle name="Normal 5 2 6 3 2" xfId="3560" xr:uid="{00000000-0005-0000-0000-000050190000}"/>
    <cellStyle name="Normal 5 2 6 3 2 2" xfId="7782" xr:uid="{00000000-0005-0000-0000-000051190000}"/>
    <cellStyle name="Normal 5 2 6 3 2 2 2" xfId="24673" xr:uid="{3A40E70A-9235-407E-826C-A8F0C1916C14}"/>
    <cellStyle name="Normal 5 2 6 3 2 2 3" xfId="16232" xr:uid="{C2E91491-9EF2-41CA-86E4-8DB24534FD26}"/>
    <cellStyle name="Normal 5 2 6 3 2 3" xfId="20455" xr:uid="{A6C6A263-6119-471C-8827-DFD5CDD1F702}"/>
    <cellStyle name="Normal 5 2 6 3 2 4" xfId="12014" xr:uid="{C27E1BAD-740D-4A02-AF54-B5C3E3CC289F}"/>
    <cellStyle name="Normal 5 2 6 3 3" xfId="5637" xr:uid="{00000000-0005-0000-0000-000052190000}"/>
    <cellStyle name="Normal 5 2 6 3 3 2" xfId="22528" xr:uid="{5C04CAD2-0F16-4732-B475-AE7F0C3CB4B9}"/>
    <cellStyle name="Normal 5 2 6 3 3 3" xfId="14087" xr:uid="{CD34C790-993A-43E2-B5DF-9B4395D09A94}"/>
    <cellStyle name="Normal 5 2 6 3 4" xfId="18310" xr:uid="{3D5CB731-852D-433B-A67B-E7E6210CF41A}"/>
    <cellStyle name="Normal 5 2 6 3 5" xfId="9869" xr:uid="{FAC04960-D52C-42F3-BA18-84639A726AA7}"/>
    <cellStyle name="Normal 5 2 6 4" xfId="1743" xr:uid="{00000000-0005-0000-0000-000053190000}"/>
    <cellStyle name="Normal 5 2 6 4 2" xfId="3973" xr:uid="{00000000-0005-0000-0000-000054190000}"/>
    <cellStyle name="Normal 5 2 6 4 2 2" xfId="8195" xr:uid="{00000000-0005-0000-0000-000055190000}"/>
    <cellStyle name="Normal 5 2 6 4 2 2 2" xfId="25086" xr:uid="{1DC38ABA-6CC4-415C-B610-FB3E280CBD77}"/>
    <cellStyle name="Normal 5 2 6 4 2 2 3" xfId="16645" xr:uid="{EA3A6A56-7125-4357-8119-2B7F7F06CEC1}"/>
    <cellStyle name="Normal 5 2 6 4 2 3" xfId="20868" xr:uid="{3D43AEB2-484C-49BE-AB87-FD25C31F527A}"/>
    <cellStyle name="Normal 5 2 6 4 2 4" xfId="12427" xr:uid="{E4A4E71F-B473-4A50-969B-6268496A0ADC}"/>
    <cellStyle name="Normal 5 2 6 4 3" xfId="6050" xr:uid="{00000000-0005-0000-0000-000056190000}"/>
    <cellStyle name="Normal 5 2 6 4 3 2" xfId="22941" xr:uid="{A1CCC043-71F6-4F1F-873E-1EEE25EE88BD}"/>
    <cellStyle name="Normal 5 2 6 4 3 3" xfId="14500" xr:uid="{87EFD34E-105A-41A4-A733-3CB44EE5DAED}"/>
    <cellStyle name="Normal 5 2 6 4 4" xfId="18723" xr:uid="{E842DB3B-18D2-4D41-925F-A1D2FBF3DD3B}"/>
    <cellStyle name="Normal 5 2 6 4 5" xfId="10282" xr:uid="{67B74518-3A26-4CF9-9819-C710853B0D95}"/>
    <cellStyle name="Normal 5 2 6 5" xfId="2157" xr:uid="{00000000-0005-0000-0000-000057190000}"/>
    <cellStyle name="Normal 5 2 6 5 2" xfId="4386" xr:uid="{00000000-0005-0000-0000-000058190000}"/>
    <cellStyle name="Normal 5 2 6 5 2 2" xfId="8608" xr:uid="{00000000-0005-0000-0000-000059190000}"/>
    <cellStyle name="Normal 5 2 6 5 2 2 2" xfId="25499" xr:uid="{8A0DE74F-A0C0-4BE0-A4D9-2F1322471882}"/>
    <cellStyle name="Normal 5 2 6 5 2 2 3" xfId="17058" xr:uid="{9ED7DDCB-6F4B-4C58-95F1-6778D4DD0EF8}"/>
    <cellStyle name="Normal 5 2 6 5 2 3" xfId="21281" xr:uid="{09D7D3D1-2A92-4CA4-A395-A489D266BD06}"/>
    <cellStyle name="Normal 5 2 6 5 2 4" xfId="12840" xr:uid="{23B9F264-2C35-414D-B2C1-6F21378C14D5}"/>
    <cellStyle name="Normal 5 2 6 5 3" xfId="6463" xr:uid="{00000000-0005-0000-0000-00005A190000}"/>
    <cellStyle name="Normal 5 2 6 5 3 2" xfId="23354" xr:uid="{791D9722-0765-472B-B526-ACD1C858C8C1}"/>
    <cellStyle name="Normal 5 2 6 5 3 3" xfId="14913" xr:uid="{E77E5F2F-BA4B-4966-A005-D9A5F14F893C}"/>
    <cellStyle name="Normal 5 2 6 5 4" xfId="19136" xr:uid="{11CAC456-55F5-4BA9-BB7E-A85F214830BE}"/>
    <cellStyle name="Normal 5 2 6 5 5" xfId="10695" xr:uid="{BE25DB5C-B907-40E8-A421-6EE3CC20BC25}"/>
    <cellStyle name="Normal 5 2 6 6" xfId="2593" xr:uid="{00000000-0005-0000-0000-00005B190000}"/>
    <cellStyle name="Normal 5 2 6 6 2" xfId="6876" xr:uid="{00000000-0005-0000-0000-00005C190000}"/>
    <cellStyle name="Normal 5 2 6 6 2 2" xfId="23767" xr:uid="{12C2DD7C-2D05-496B-9033-BDC9A898F57D}"/>
    <cellStyle name="Normal 5 2 6 6 2 3" xfId="15326" xr:uid="{18B02E4E-6540-4792-AECC-09C0293D57ED}"/>
    <cellStyle name="Normal 5 2 6 6 3" xfId="19549" xr:uid="{91DF170E-416F-48E3-97B1-5833EF41E661}"/>
    <cellStyle name="Normal 5 2 6 6 4" xfId="11108" xr:uid="{23BAC87F-0854-44FF-8F43-66F70494E575}"/>
    <cellStyle name="Normal 5 2 6 7" xfId="4811" xr:uid="{00000000-0005-0000-0000-00005D190000}"/>
    <cellStyle name="Normal 5 2 6 7 2" xfId="21702" xr:uid="{EA6E577C-C468-4E5E-976B-F74636212795}"/>
    <cellStyle name="Normal 5 2 6 7 3" xfId="13261" xr:uid="{644C3068-FD04-498B-BE88-00F6688FF31D}"/>
    <cellStyle name="Normal 5 2 6 8" xfId="17484" xr:uid="{4F0C26D9-A69B-4858-A57D-BD182328C3CD}"/>
    <cellStyle name="Normal 5 2 6 9" xfId="9043" xr:uid="{497A6FD4-570A-499D-BAE8-5E55801F6DCA}"/>
    <cellStyle name="Normal 5 2 7" xfId="881" xr:uid="{00000000-0005-0000-0000-00005E190000}"/>
    <cellStyle name="Normal 5 2 7 2" xfId="3116" xr:uid="{00000000-0005-0000-0000-00005F190000}"/>
    <cellStyle name="Normal 5 2 7 2 2" xfId="7338" xr:uid="{00000000-0005-0000-0000-000060190000}"/>
    <cellStyle name="Normal 5 2 7 2 2 2" xfId="24229" xr:uid="{11254390-5B14-4EDC-BE6F-BBB864DA352B}"/>
    <cellStyle name="Normal 5 2 7 2 2 3" xfId="15788" xr:uid="{927F31EE-DBA3-45A4-BC90-B5A733F281DE}"/>
    <cellStyle name="Normal 5 2 7 2 3" xfId="20011" xr:uid="{DC4F8F04-CAEA-4C92-9E36-E2C442BD7BA6}"/>
    <cellStyle name="Normal 5 2 7 2 4" xfId="11570" xr:uid="{E984C509-4D5B-430A-931E-3F5A2C21CEA1}"/>
    <cellStyle name="Normal 5 2 7 3" xfId="5193" xr:uid="{00000000-0005-0000-0000-000061190000}"/>
    <cellStyle name="Normal 5 2 7 3 2" xfId="22084" xr:uid="{BF72888A-F5A5-435E-852C-BC40E854AF4B}"/>
    <cellStyle name="Normal 5 2 7 3 3" xfId="13643" xr:uid="{B574F0AC-E75B-424D-86EE-4C2F3D2BE1DD}"/>
    <cellStyle name="Normal 5 2 7 4" xfId="17866" xr:uid="{279E3525-66DF-4B20-9553-407BF87D794E}"/>
    <cellStyle name="Normal 5 2 7 5" xfId="9425" xr:uid="{A7B6ECAE-FFB3-4EC3-858A-A2F1397194AF}"/>
    <cellStyle name="Normal 5 2 8" xfId="1299" xr:uid="{00000000-0005-0000-0000-000062190000}"/>
    <cellStyle name="Normal 5 2 8 2" xfId="3529" xr:uid="{00000000-0005-0000-0000-000063190000}"/>
    <cellStyle name="Normal 5 2 8 2 2" xfId="7751" xr:uid="{00000000-0005-0000-0000-000064190000}"/>
    <cellStyle name="Normal 5 2 8 2 2 2" xfId="24642" xr:uid="{752A1B09-7A04-477D-8440-EE0874158F16}"/>
    <cellStyle name="Normal 5 2 8 2 2 3" xfId="16201" xr:uid="{BA618EC7-11B4-4750-A57E-6CED7CF3366E}"/>
    <cellStyle name="Normal 5 2 8 2 3" xfId="20424" xr:uid="{FFFA6B48-37E2-4F42-AB2C-779CCAC652E1}"/>
    <cellStyle name="Normal 5 2 8 2 4" xfId="11983" xr:uid="{B47A655D-9B1A-44C6-B852-C06B2B4B5AEF}"/>
    <cellStyle name="Normal 5 2 8 3" xfId="5606" xr:uid="{00000000-0005-0000-0000-000065190000}"/>
    <cellStyle name="Normal 5 2 8 3 2" xfId="22497" xr:uid="{3F1D78F7-5236-458B-B9D9-19EB8D71474F}"/>
    <cellStyle name="Normal 5 2 8 3 3" xfId="14056" xr:uid="{A2EEF8DF-8169-41FA-AE22-6FA462FCF2D3}"/>
    <cellStyle name="Normal 5 2 8 4" xfId="18279" xr:uid="{FA5762D4-BCCF-4D54-8BB4-9E9B68767E72}"/>
    <cellStyle name="Normal 5 2 8 5" xfId="9838" xr:uid="{FFBF5BF2-A2BE-4AD1-B2B7-8FFDEE94344A}"/>
    <cellStyle name="Normal 5 2 9" xfId="1712" xr:uid="{00000000-0005-0000-0000-000066190000}"/>
    <cellStyle name="Normal 5 2 9 2" xfId="3942" xr:uid="{00000000-0005-0000-0000-000067190000}"/>
    <cellStyle name="Normal 5 2 9 2 2" xfId="8164" xr:uid="{00000000-0005-0000-0000-000068190000}"/>
    <cellStyle name="Normal 5 2 9 2 2 2" xfId="25055" xr:uid="{1296B798-8420-4BC6-A65C-876D684DD555}"/>
    <cellStyle name="Normal 5 2 9 2 2 3" xfId="16614" xr:uid="{846A3178-4150-4C58-99F5-EC65B3297488}"/>
    <cellStyle name="Normal 5 2 9 2 3" xfId="20837" xr:uid="{353A32AE-8A0F-462F-9472-95D3ED425680}"/>
    <cellStyle name="Normal 5 2 9 2 4" xfId="12396" xr:uid="{92893100-930E-4E95-8688-429F635A640C}"/>
    <cellStyle name="Normal 5 2 9 3" xfId="6019" xr:uid="{00000000-0005-0000-0000-000069190000}"/>
    <cellStyle name="Normal 5 2 9 3 2" xfId="22910" xr:uid="{D95C5E00-7578-4417-88A9-F09E6EE4EF46}"/>
    <cellStyle name="Normal 5 2 9 3 3" xfId="14469" xr:uid="{1B855A9C-71D7-4E70-8F82-E2192DAB98F6}"/>
    <cellStyle name="Normal 5 2 9 4" xfId="18692" xr:uid="{AA714FA4-C014-425F-80B1-C0219791DBFF}"/>
    <cellStyle name="Normal 5 2 9 5" xfId="10251" xr:uid="{67C0FA19-BE33-4CD6-8CF6-E28A34B70345}"/>
    <cellStyle name="Normal 5 2_Item C7" xfId="25771" xr:uid="{74E9E095-6E36-450C-B242-40634BC7079A}"/>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25500" xr:uid="{92CB9E08-0BAC-4DF3-AD37-32E445C33033}"/>
    <cellStyle name="Normal 5 3 10 2 2 3" xfId="17059" xr:uid="{121B8D36-4E52-4B49-8B91-6267EC877B59}"/>
    <cellStyle name="Normal 5 3 10 2 3" xfId="21282" xr:uid="{CD5D9759-DAD3-4042-9365-212B1AC02062}"/>
    <cellStyle name="Normal 5 3 10 2 4" xfId="12841" xr:uid="{082E86B3-16D5-4869-92CA-E96928F0734E}"/>
    <cellStyle name="Normal 5 3 10 3" xfId="6464" xr:uid="{00000000-0005-0000-0000-00006E190000}"/>
    <cellStyle name="Normal 5 3 10 3 2" xfId="23355" xr:uid="{A7EAE3F5-CA6A-4CB4-9716-4D29A1118A2E}"/>
    <cellStyle name="Normal 5 3 10 3 3" xfId="14914" xr:uid="{215B65E8-D54B-4738-998D-3BA28914B8AC}"/>
    <cellStyle name="Normal 5 3 10 4" xfId="19137" xr:uid="{86DF402E-3042-4DC3-951E-2D1FA2D0407C}"/>
    <cellStyle name="Normal 5 3 10 5" xfId="10696" xr:uid="{B449E8CA-0F4F-4DC0-9974-5BA1182EDBBE}"/>
    <cellStyle name="Normal 5 3 11" xfId="2594" xr:uid="{00000000-0005-0000-0000-00006F190000}"/>
    <cellStyle name="Normal 5 3 11 2" xfId="6877" xr:uid="{00000000-0005-0000-0000-000070190000}"/>
    <cellStyle name="Normal 5 3 11 2 2" xfId="23768" xr:uid="{1DD58C39-3701-4F75-80A4-F91620A2162F}"/>
    <cellStyle name="Normal 5 3 11 2 3" xfId="15327" xr:uid="{C14AF792-39BE-41C3-9D41-8C3EA1FD8632}"/>
    <cellStyle name="Normal 5 3 11 3" xfId="19550" xr:uid="{23EA37F0-C401-4DED-BB58-CA246C467A3C}"/>
    <cellStyle name="Normal 5 3 11 4" xfId="11109" xr:uid="{B895ED48-EDD0-44CA-974B-0DD907A59D9B}"/>
    <cellStyle name="Normal 5 3 12" xfId="4812" xr:uid="{00000000-0005-0000-0000-000071190000}"/>
    <cellStyle name="Normal 5 3 12 2" xfId="21703" xr:uid="{32AD0AA1-1C6B-4DB5-B4B0-2E3A158B4F4A}"/>
    <cellStyle name="Normal 5 3 12 3" xfId="13262" xr:uid="{8F53A5EA-AB07-4A65-9F2F-7858031ADEE2}"/>
    <cellStyle name="Normal 5 3 13" xfId="17485" xr:uid="{487D3848-D0B0-4984-B9E5-55226CEA6C7A}"/>
    <cellStyle name="Normal 5 3 14" xfId="9044" xr:uid="{26ADC051-9B1A-4C01-9B4A-E9FDC2A2EFE0}"/>
    <cellStyle name="Normal 5 3 15" xfId="25772" xr:uid="{437435B9-2164-4290-8E27-BD412BFDE20D}"/>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21704" xr:uid="{9B94EDE5-0ED4-4C7E-8389-458C24825893}"/>
    <cellStyle name="Normal 5 3 3 10 3" xfId="13263" xr:uid="{4F3D713F-AD77-4E71-9415-0E8EF7CF1EA5}"/>
    <cellStyle name="Normal 5 3 3 11" xfId="17486" xr:uid="{1AB5AFEC-C236-4C46-BF44-E000A910CAF3}"/>
    <cellStyle name="Normal 5 3 3 12" xfId="9045" xr:uid="{FF3B810C-A191-4D6D-A09C-0C3E7B1E7892}"/>
    <cellStyle name="Normal 5 3 3 2" xfId="442" xr:uid="{00000000-0005-0000-0000-000076190000}"/>
    <cellStyle name="Normal 5 3 3 2 10" xfId="17487" xr:uid="{9D652ABF-1028-4368-8E4E-FB99F08ADC65}"/>
    <cellStyle name="Normal 5 3 3 2 11" xfId="9046" xr:uid="{A601B405-16EC-46CE-B0CA-DDD86125C637}"/>
    <cellStyle name="Normal 5 3 3 2 2" xfId="443" xr:uid="{00000000-0005-0000-0000-000077190000}"/>
    <cellStyle name="Normal 5 3 3 2 2 10" xfId="9047" xr:uid="{2B615F81-4775-4BB7-9A05-26B90B9750C3}"/>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24265" xr:uid="{4E693AF5-CAA9-4CC8-A67A-5A89853BB4A2}"/>
    <cellStyle name="Normal 5 3 3 2 2 2 2 2 2 3" xfId="15824" xr:uid="{6A945FA3-7F1E-40B2-ADED-628A670EEFEC}"/>
    <cellStyle name="Normal 5 3 3 2 2 2 2 2 3" xfId="20047" xr:uid="{EDECC10D-ADA3-4AD4-AD46-9B461AFCFCA0}"/>
    <cellStyle name="Normal 5 3 3 2 2 2 2 2 4" xfId="11606" xr:uid="{221B9FD6-E36F-4D0A-9459-44DC2BC1C8EE}"/>
    <cellStyle name="Normal 5 3 3 2 2 2 2 3" xfId="5229" xr:uid="{00000000-0005-0000-0000-00007C190000}"/>
    <cellStyle name="Normal 5 3 3 2 2 2 2 3 2" xfId="22120" xr:uid="{9713F8D2-29F2-45EC-9D71-099D10278C17}"/>
    <cellStyle name="Normal 5 3 3 2 2 2 2 3 3" xfId="13679" xr:uid="{CFF4266C-2C78-45BE-A9D0-8CE3B92C9104}"/>
    <cellStyle name="Normal 5 3 3 2 2 2 2 4" xfId="17902" xr:uid="{D6F0DD8E-89B5-4CFF-9AA0-2484CD1E996A}"/>
    <cellStyle name="Normal 5 3 3 2 2 2 2 5" xfId="9461" xr:uid="{95D37417-1963-4C2A-9E19-59479533B586}"/>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24678" xr:uid="{C26E8035-74DF-44A8-B034-82AA9DB85A4B}"/>
    <cellStyle name="Normal 5 3 3 2 2 2 3 2 2 3" xfId="16237" xr:uid="{479F00E9-4771-4C9B-85AC-27C27A418033}"/>
    <cellStyle name="Normal 5 3 3 2 2 2 3 2 3" xfId="20460" xr:uid="{27A50169-FBED-4DE1-8568-78F7A9273F59}"/>
    <cellStyle name="Normal 5 3 3 2 2 2 3 2 4" xfId="12019" xr:uid="{72FC698A-1D55-4669-A9BF-B2F22BEC4032}"/>
    <cellStyle name="Normal 5 3 3 2 2 2 3 3" xfId="5642" xr:uid="{00000000-0005-0000-0000-000080190000}"/>
    <cellStyle name="Normal 5 3 3 2 2 2 3 3 2" xfId="22533" xr:uid="{DDC25495-7FAE-417F-BB20-FF2A8EA5645B}"/>
    <cellStyle name="Normal 5 3 3 2 2 2 3 3 3" xfId="14092" xr:uid="{53EEC290-8C95-43F1-8567-0E86F35B1730}"/>
    <cellStyle name="Normal 5 3 3 2 2 2 3 4" xfId="18315" xr:uid="{F9C23D05-C0DC-45A3-88A0-82CBAF478A65}"/>
    <cellStyle name="Normal 5 3 3 2 2 2 3 5" xfId="9874" xr:uid="{AD30EA71-7405-4B86-A9A9-0E9C9C54401D}"/>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25091" xr:uid="{1EAC1CC6-8F6D-4E84-B5ED-007120F7E777}"/>
    <cellStyle name="Normal 5 3 3 2 2 2 4 2 2 3" xfId="16650" xr:uid="{6C6548EB-9D1D-46C8-947D-4CEC9FCE2F24}"/>
    <cellStyle name="Normal 5 3 3 2 2 2 4 2 3" xfId="20873" xr:uid="{9A0CD061-87FB-4C20-A52D-E05EDD29018F}"/>
    <cellStyle name="Normal 5 3 3 2 2 2 4 2 4" xfId="12432" xr:uid="{9B54204A-FF78-4507-9472-69209B5EF616}"/>
    <cellStyle name="Normal 5 3 3 2 2 2 4 3" xfId="6055" xr:uid="{00000000-0005-0000-0000-000084190000}"/>
    <cellStyle name="Normal 5 3 3 2 2 2 4 3 2" xfId="22946" xr:uid="{8DC4DADC-608D-4CE6-B51C-2077043ADF0B}"/>
    <cellStyle name="Normal 5 3 3 2 2 2 4 3 3" xfId="14505" xr:uid="{6B12EC6B-6BF5-47AA-8E95-3224A3DC8484}"/>
    <cellStyle name="Normal 5 3 3 2 2 2 4 4" xfId="18728" xr:uid="{4B8899B6-C867-453B-A809-B6CAA9196E09}"/>
    <cellStyle name="Normal 5 3 3 2 2 2 4 5" xfId="10287" xr:uid="{859E7BF6-F0B9-4D8B-B98E-A3DA958E670F}"/>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25504" xr:uid="{D083AA30-2001-4ACF-AA5A-732E1FF3CE97}"/>
    <cellStyle name="Normal 5 3 3 2 2 2 5 2 2 3" xfId="17063" xr:uid="{E629924A-15A7-4C4D-9142-57075D4C4BD5}"/>
    <cellStyle name="Normal 5 3 3 2 2 2 5 2 3" xfId="21286" xr:uid="{37C8639F-666D-4F09-8645-1040491672CC}"/>
    <cellStyle name="Normal 5 3 3 2 2 2 5 2 4" xfId="12845" xr:uid="{E2C0C490-2A51-4B89-B255-858BE7CDD66B}"/>
    <cellStyle name="Normal 5 3 3 2 2 2 5 3" xfId="6468" xr:uid="{00000000-0005-0000-0000-000088190000}"/>
    <cellStyle name="Normal 5 3 3 2 2 2 5 3 2" xfId="23359" xr:uid="{8135B436-5B26-43AB-B946-E09B6A9F6DCB}"/>
    <cellStyle name="Normal 5 3 3 2 2 2 5 3 3" xfId="14918" xr:uid="{AE1E3D56-F0E2-4789-893B-9C9C0AC1DC1C}"/>
    <cellStyle name="Normal 5 3 3 2 2 2 5 4" xfId="19141" xr:uid="{16C14DFE-DC46-433A-A5C8-C71F1787608F}"/>
    <cellStyle name="Normal 5 3 3 2 2 2 5 5" xfId="10700" xr:uid="{C450A816-37F1-4111-BF43-211236DAAA1E}"/>
    <cellStyle name="Normal 5 3 3 2 2 2 6" xfId="2598" xr:uid="{00000000-0005-0000-0000-000089190000}"/>
    <cellStyle name="Normal 5 3 3 2 2 2 6 2" xfId="6881" xr:uid="{00000000-0005-0000-0000-00008A190000}"/>
    <cellStyle name="Normal 5 3 3 2 2 2 6 2 2" xfId="23772" xr:uid="{A8FEC8F7-CC2C-49D3-BEB1-845AC6C5F931}"/>
    <cellStyle name="Normal 5 3 3 2 2 2 6 2 3" xfId="15331" xr:uid="{143B5186-40D1-44CC-97B8-F718A4646F52}"/>
    <cellStyle name="Normal 5 3 3 2 2 2 6 3" xfId="19554" xr:uid="{0170198C-549B-40D9-B567-FB65B93D0D59}"/>
    <cellStyle name="Normal 5 3 3 2 2 2 6 4" xfId="11113" xr:uid="{FA7324FB-20F9-4501-B3A7-6E3F41B10F3D}"/>
    <cellStyle name="Normal 5 3 3 2 2 2 7" xfId="4816" xr:uid="{00000000-0005-0000-0000-00008B190000}"/>
    <cellStyle name="Normal 5 3 3 2 2 2 7 2" xfId="21707" xr:uid="{ABA6A842-B375-4C56-AEC2-3BE1EE2A075E}"/>
    <cellStyle name="Normal 5 3 3 2 2 2 7 3" xfId="13266" xr:uid="{6B401ADA-D668-4E81-8C7E-44FBD4F8AABB}"/>
    <cellStyle name="Normal 5 3 3 2 2 2 8" xfId="17489" xr:uid="{584279CC-555C-48CF-9403-0018E5256849}"/>
    <cellStyle name="Normal 5 3 3 2 2 2 9" xfId="9048" xr:uid="{1833C782-3D8F-4117-97BE-7666F41B1949}"/>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24264" xr:uid="{8700031A-89DF-45CF-8F34-66F672134C28}"/>
    <cellStyle name="Normal 5 3 3 2 2 3 2 2 3" xfId="15823" xr:uid="{246BCD28-A54A-489D-82CA-02BAA8A620C0}"/>
    <cellStyle name="Normal 5 3 3 2 2 3 2 3" xfId="20046" xr:uid="{68F073BC-E372-4A05-86BC-00C4DB73627C}"/>
    <cellStyle name="Normal 5 3 3 2 2 3 2 4" xfId="11605" xr:uid="{5182AFD9-1368-4284-A174-6A6AD6C67F12}"/>
    <cellStyle name="Normal 5 3 3 2 2 3 3" xfId="5228" xr:uid="{00000000-0005-0000-0000-00008F190000}"/>
    <cellStyle name="Normal 5 3 3 2 2 3 3 2" xfId="22119" xr:uid="{295140BF-7671-420D-93A9-16A7297C482D}"/>
    <cellStyle name="Normal 5 3 3 2 2 3 3 3" xfId="13678" xr:uid="{B490C1E6-F07E-4B9A-BA54-17C1ABF838AE}"/>
    <cellStyle name="Normal 5 3 3 2 2 3 4" xfId="17901" xr:uid="{E7AD2D1E-7616-4402-929E-E0A036168BBB}"/>
    <cellStyle name="Normal 5 3 3 2 2 3 5" xfId="9460" xr:uid="{64CA818D-16C2-479F-9822-DC4A8EB07839}"/>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24677" xr:uid="{A5F03358-B35A-4E51-A8D6-CDE76E2A80D6}"/>
    <cellStyle name="Normal 5 3 3 2 2 4 2 2 3" xfId="16236" xr:uid="{BA10AE0C-2F77-471D-86B4-C42535252149}"/>
    <cellStyle name="Normal 5 3 3 2 2 4 2 3" xfId="20459" xr:uid="{3CAEB413-7676-4A96-898F-0EF04E7535F8}"/>
    <cellStyle name="Normal 5 3 3 2 2 4 2 4" xfId="12018" xr:uid="{F0259C99-1616-4C3B-A5D7-A0466A12AABB}"/>
    <cellStyle name="Normal 5 3 3 2 2 4 3" xfId="5641" xr:uid="{00000000-0005-0000-0000-000093190000}"/>
    <cellStyle name="Normal 5 3 3 2 2 4 3 2" xfId="22532" xr:uid="{96BFDA15-D12F-4FB4-A8FF-A0B720B236B9}"/>
    <cellStyle name="Normal 5 3 3 2 2 4 3 3" xfId="14091" xr:uid="{382E1BCB-BC7C-4C19-8392-C8C8513C65E3}"/>
    <cellStyle name="Normal 5 3 3 2 2 4 4" xfId="18314" xr:uid="{8AC5A363-CCBC-458A-AAC7-E6CB5ED9E46B}"/>
    <cellStyle name="Normal 5 3 3 2 2 4 5" xfId="9873" xr:uid="{FF957A93-4850-4CAD-AA89-F5A7F2A5826E}"/>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25090" xr:uid="{1EA1263B-6DDB-41B6-ABC5-6F69797939D5}"/>
    <cellStyle name="Normal 5 3 3 2 2 5 2 2 3" xfId="16649" xr:uid="{835497BB-C38C-4BF9-9039-FA9A96850284}"/>
    <cellStyle name="Normal 5 3 3 2 2 5 2 3" xfId="20872" xr:uid="{E9CDDB2C-EFC7-4BAD-9707-CEC06629F24F}"/>
    <cellStyle name="Normal 5 3 3 2 2 5 2 4" xfId="12431" xr:uid="{C434E2D6-3CAE-4913-80F6-D7ADD8251246}"/>
    <cellStyle name="Normal 5 3 3 2 2 5 3" xfId="6054" xr:uid="{00000000-0005-0000-0000-000097190000}"/>
    <cellStyle name="Normal 5 3 3 2 2 5 3 2" xfId="22945" xr:uid="{556A9EC7-9249-47B3-AD41-C623430BA255}"/>
    <cellStyle name="Normal 5 3 3 2 2 5 3 3" xfId="14504" xr:uid="{91812CB3-99FE-4ED7-8480-4924AE773045}"/>
    <cellStyle name="Normal 5 3 3 2 2 5 4" xfId="18727" xr:uid="{C764B4C5-6510-4D0D-AB5C-315ABFBBBA28}"/>
    <cellStyle name="Normal 5 3 3 2 2 5 5" xfId="10286" xr:uid="{E8EA90C5-969B-4827-9A94-0D2CFAC61E76}"/>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25503" xr:uid="{F5379D66-4A2A-4652-A3A0-C758602FC139}"/>
    <cellStyle name="Normal 5 3 3 2 2 6 2 2 3" xfId="17062" xr:uid="{C750C682-914F-4193-94B1-73EEB08D4BA2}"/>
    <cellStyle name="Normal 5 3 3 2 2 6 2 3" xfId="21285" xr:uid="{F5D77109-C14A-491A-B722-19B2A457CAE3}"/>
    <cellStyle name="Normal 5 3 3 2 2 6 2 4" xfId="12844" xr:uid="{C45370CD-1A13-44BA-BCB8-F8735BEE211F}"/>
    <cellStyle name="Normal 5 3 3 2 2 6 3" xfId="6467" xr:uid="{00000000-0005-0000-0000-00009B190000}"/>
    <cellStyle name="Normal 5 3 3 2 2 6 3 2" xfId="23358" xr:uid="{B76960EE-5D88-4D73-A24B-40103E8B301E}"/>
    <cellStyle name="Normal 5 3 3 2 2 6 3 3" xfId="14917" xr:uid="{03C5B8C7-A241-463F-80BE-6A53BAEC42D7}"/>
    <cellStyle name="Normal 5 3 3 2 2 6 4" xfId="19140" xr:uid="{4E10D4FA-1C47-467C-97EE-F80A46E0788D}"/>
    <cellStyle name="Normal 5 3 3 2 2 6 5" xfId="10699" xr:uid="{38FB0162-50B1-4085-9FFA-36C3CF07D48D}"/>
    <cellStyle name="Normal 5 3 3 2 2 7" xfId="2597" xr:uid="{00000000-0005-0000-0000-00009C190000}"/>
    <cellStyle name="Normal 5 3 3 2 2 7 2" xfId="6880" xr:uid="{00000000-0005-0000-0000-00009D190000}"/>
    <cellStyle name="Normal 5 3 3 2 2 7 2 2" xfId="23771" xr:uid="{11EF3600-4E21-4328-BB5C-74C6A9DECC04}"/>
    <cellStyle name="Normal 5 3 3 2 2 7 2 3" xfId="15330" xr:uid="{1DFA13D2-ED2C-481E-BDF0-EEF0F85C4960}"/>
    <cellStyle name="Normal 5 3 3 2 2 7 3" xfId="19553" xr:uid="{4A95034A-3693-4071-A8D8-513E2F2E3581}"/>
    <cellStyle name="Normal 5 3 3 2 2 7 4" xfId="11112" xr:uid="{2B564A07-598A-4730-A6A5-4BDD5B635EE6}"/>
    <cellStyle name="Normal 5 3 3 2 2 8" xfId="4815" xr:uid="{00000000-0005-0000-0000-00009E190000}"/>
    <cellStyle name="Normal 5 3 3 2 2 8 2" xfId="21706" xr:uid="{D089E637-F790-4DD4-BE9F-B164DF3CF81D}"/>
    <cellStyle name="Normal 5 3 3 2 2 8 3" xfId="13265" xr:uid="{F125F22B-11D2-4B37-9766-107396565E28}"/>
    <cellStyle name="Normal 5 3 3 2 2 9" xfId="17488" xr:uid="{DB09A397-6AE0-46D7-A2C2-1FEBA7ACEFBA}"/>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24266" xr:uid="{4FC25D24-8553-46B1-A790-0E6DECBF7C0A}"/>
    <cellStyle name="Normal 5 3 3 2 3 2 2 2 3" xfId="15825" xr:uid="{A242E2AB-012A-4929-B51C-9FCD04AEED0E}"/>
    <cellStyle name="Normal 5 3 3 2 3 2 2 3" xfId="20048" xr:uid="{A49CA806-6F73-4A82-8C1A-3EC3EEC023DD}"/>
    <cellStyle name="Normal 5 3 3 2 3 2 2 4" xfId="11607" xr:uid="{670CFAAB-F016-4CBE-A9B5-EAD52A869E91}"/>
    <cellStyle name="Normal 5 3 3 2 3 2 3" xfId="5230" xr:uid="{00000000-0005-0000-0000-0000A3190000}"/>
    <cellStyle name="Normal 5 3 3 2 3 2 3 2" xfId="22121" xr:uid="{55DD2403-D11E-45DD-B921-9F5F73362262}"/>
    <cellStyle name="Normal 5 3 3 2 3 2 3 3" xfId="13680" xr:uid="{12B3F384-E15C-43D9-B9E0-9547677468AA}"/>
    <cellStyle name="Normal 5 3 3 2 3 2 4" xfId="17903" xr:uid="{FD18DDA5-4046-4CFB-8636-C15B66CC9B0D}"/>
    <cellStyle name="Normal 5 3 3 2 3 2 5" xfId="9462" xr:uid="{AEFCAC8B-0DF7-4FE9-8643-B492B2680D9A}"/>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24679" xr:uid="{9F207979-BDD5-4FCD-925A-35D11EFFC945}"/>
    <cellStyle name="Normal 5 3 3 2 3 3 2 2 3" xfId="16238" xr:uid="{D4BC69F0-1C7A-44BD-BADD-929FD15386A7}"/>
    <cellStyle name="Normal 5 3 3 2 3 3 2 3" xfId="20461" xr:uid="{62252A5D-12E9-45A3-A360-A64AAA87902B}"/>
    <cellStyle name="Normal 5 3 3 2 3 3 2 4" xfId="12020" xr:uid="{5F64E753-3AC5-4991-BA07-68D1153E86ED}"/>
    <cellStyle name="Normal 5 3 3 2 3 3 3" xfId="5643" xr:uid="{00000000-0005-0000-0000-0000A7190000}"/>
    <cellStyle name="Normal 5 3 3 2 3 3 3 2" xfId="22534" xr:uid="{7D82576D-FF03-4A88-9494-016D3C8C0B70}"/>
    <cellStyle name="Normal 5 3 3 2 3 3 3 3" xfId="14093" xr:uid="{9A79FBD6-DE49-4345-9E83-989B14573C6C}"/>
    <cellStyle name="Normal 5 3 3 2 3 3 4" xfId="18316" xr:uid="{7106892B-0936-4CDF-8A07-E00A15E2AF76}"/>
    <cellStyle name="Normal 5 3 3 2 3 3 5" xfId="9875" xr:uid="{E6CEFEC4-41F5-40E5-AB0F-3F68B5D6C8FD}"/>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25092" xr:uid="{BCBA01EE-E2C6-4C52-A9E7-77BF37377183}"/>
    <cellStyle name="Normal 5 3 3 2 3 4 2 2 3" xfId="16651" xr:uid="{E467CC3C-8524-498A-83D6-4582725D559E}"/>
    <cellStyle name="Normal 5 3 3 2 3 4 2 3" xfId="20874" xr:uid="{99142F22-75EA-4A4E-8843-83E27918ED2F}"/>
    <cellStyle name="Normal 5 3 3 2 3 4 2 4" xfId="12433" xr:uid="{001B9D1C-CB4D-4C54-85B6-06EAFD3F2A32}"/>
    <cellStyle name="Normal 5 3 3 2 3 4 3" xfId="6056" xr:uid="{00000000-0005-0000-0000-0000AB190000}"/>
    <cellStyle name="Normal 5 3 3 2 3 4 3 2" xfId="22947" xr:uid="{412FF2F3-2CC9-4137-9FB5-F02E06A391E8}"/>
    <cellStyle name="Normal 5 3 3 2 3 4 3 3" xfId="14506" xr:uid="{1C741EFA-974E-43AD-B405-690E4518583B}"/>
    <cellStyle name="Normal 5 3 3 2 3 4 4" xfId="18729" xr:uid="{B4F8F1CB-677E-49DE-B6F6-EDE240F59714}"/>
    <cellStyle name="Normal 5 3 3 2 3 4 5" xfId="10288" xr:uid="{5A86F8A0-5831-48E6-9908-5D16249EC194}"/>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25505" xr:uid="{BBC1423F-EA22-4947-89D0-174C2A0E2578}"/>
    <cellStyle name="Normal 5 3 3 2 3 5 2 2 3" xfId="17064" xr:uid="{7B01F80D-61CF-4C3C-A5B5-4FD92A9D7591}"/>
    <cellStyle name="Normal 5 3 3 2 3 5 2 3" xfId="21287" xr:uid="{48B06A43-8861-43BA-BB6A-15798D603C18}"/>
    <cellStyle name="Normal 5 3 3 2 3 5 2 4" xfId="12846" xr:uid="{29EAE6CF-B209-4219-934B-4424C67A2E9C}"/>
    <cellStyle name="Normal 5 3 3 2 3 5 3" xfId="6469" xr:uid="{00000000-0005-0000-0000-0000AF190000}"/>
    <cellStyle name="Normal 5 3 3 2 3 5 3 2" xfId="23360" xr:uid="{D4129CE3-5967-4AC3-8F16-564BDBA28D58}"/>
    <cellStyle name="Normal 5 3 3 2 3 5 3 3" xfId="14919" xr:uid="{57A8CC1B-81CD-4EA1-ADB0-7719B5B28D3B}"/>
    <cellStyle name="Normal 5 3 3 2 3 5 4" xfId="19142" xr:uid="{18F11EA8-F405-4FA4-9FBE-906BA0ADF761}"/>
    <cellStyle name="Normal 5 3 3 2 3 5 5" xfId="10701" xr:uid="{35463406-17EA-4FD4-810A-3AE422DB4094}"/>
    <cellStyle name="Normal 5 3 3 2 3 6" xfId="2599" xr:uid="{00000000-0005-0000-0000-0000B0190000}"/>
    <cellStyle name="Normal 5 3 3 2 3 6 2" xfId="6882" xr:uid="{00000000-0005-0000-0000-0000B1190000}"/>
    <cellStyle name="Normal 5 3 3 2 3 6 2 2" xfId="23773" xr:uid="{14737AA6-EB3D-4F4C-8E31-E7BDABDA37FD}"/>
    <cellStyle name="Normal 5 3 3 2 3 6 2 3" xfId="15332" xr:uid="{1F1AA435-5554-4B75-9E95-8AC898C5267A}"/>
    <cellStyle name="Normal 5 3 3 2 3 6 3" xfId="19555" xr:uid="{3E3AFB64-EC54-45C7-AD63-4F64BA1B488A}"/>
    <cellStyle name="Normal 5 3 3 2 3 6 4" xfId="11114" xr:uid="{B8614998-D88D-4472-8CEC-D4AD66CF4DC6}"/>
    <cellStyle name="Normal 5 3 3 2 3 7" xfId="4817" xr:uid="{00000000-0005-0000-0000-0000B2190000}"/>
    <cellStyle name="Normal 5 3 3 2 3 7 2" xfId="21708" xr:uid="{9B00B67F-5A97-436A-8A8A-3128F2D4232E}"/>
    <cellStyle name="Normal 5 3 3 2 3 7 3" xfId="13267" xr:uid="{23BC0DBB-7629-434B-ADFE-DC8083177282}"/>
    <cellStyle name="Normal 5 3 3 2 3 8" xfId="17490" xr:uid="{C59E2EC3-065B-4DD1-8803-D6E43C8D7502}"/>
    <cellStyle name="Normal 5 3 3 2 3 9" xfId="9049" xr:uid="{C40B133F-3F5C-4A25-82E7-4083CA3079BF}"/>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24263" xr:uid="{1D7389C8-88A5-4E65-918C-B99F47986C7F}"/>
    <cellStyle name="Normal 5 3 3 2 4 2 2 3" xfId="15822" xr:uid="{F7B24EEF-9DA6-477B-877A-8ABD996569E1}"/>
    <cellStyle name="Normal 5 3 3 2 4 2 3" xfId="20045" xr:uid="{117166D1-150D-41CB-BE62-69CF428173AE}"/>
    <cellStyle name="Normal 5 3 3 2 4 2 4" xfId="11604" xr:uid="{DABF00B5-9F4E-4841-834F-F586B81B6502}"/>
    <cellStyle name="Normal 5 3 3 2 4 3" xfId="5227" xr:uid="{00000000-0005-0000-0000-0000B6190000}"/>
    <cellStyle name="Normal 5 3 3 2 4 3 2" xfId="22118" xr:uid="{CBCF3982-0502-4C0B-B2DB-D7806D87D408}"/>
    <cellStyle name="Normal 5 3 3 2 4 3 3" xfId="13677" xr:uid="{F1A9345D-4478-4716-8A5E-621F36898AF4}"/>
    <cellStyle name="Normal 5 3 3 2 4 4" xfId="17900" xr:uid="{4F8FF20B-5B72-4F9D-8439-525352F569B5}"/>
    <cellStyle name="Normal 5 3 3 2 4 5" xfId="9459" xr:uid="{15822414-968F-4D36-95E9-6D61A9252F47}"/>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24676" xr:uid="{17B4A5B3-8741-4D62-B0DD-E2E6668FD700}"/>
    <cellStyle name="Normal 5 3 3 2 5 2 2 3" xfId="16235" xr:uid="{1AAA24BE-4AB1-49F6-8AF0-02E93AA99013}"/>
    <cellStyle name="Normal 5 3 3 2 5 2 3" xfId="20458" xr:uid="{C612E163-5558-46E8-9D0E-8BA42365ADD0}"/>
    <cellStyle name="Normal 5 3 3 2 5 2 4" xfId="12017" xr:uid="{AD12ABCC-7368-431A-9E3C-C37A43A5C972}"/>
    <cellStyle name="Normal 5 3 3 2 5 3" xfId="5640" xr:uid="{00000000-0005-0000-0000-0000BA190000}"/>
    <cellStyle name="Normal 5 3 3 2 5 3 2" xfId="22531" xr:uid="{D336D9C3-FBD6-4990-9829-513BABE46E7A}"/>
    <cellStyle name="Normal 5 3 3 2 5 3 3" xfId="14090" xr:uid="{29EE6378-AAB1-4A47-A9DD-752D7273A64B}"/>
    <cellStyle name="Normal 5 3 3 2 5 4" xfId="18313" xr:uid="{C23623A1-A32A-49A7-81A9-7F0246DD26F4}"/>
    <cellStyle name="Normal 5 3 3 2 5 5" xfId="9872" xr:uid="{76456D43-7652-41B9-9624-50AB61FE4B02}"/>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25089" xr:uid="{72339A80-8BEC-4392-A85F-93FC730B0452}"/>
    <cellStyle name="Normal 5 3 3 2 6 2 2 3" xfId="16648" xr:uid="{0B5A263A-3103-4703-B01D-8E382FFEEAD6}"/>
    <cellStyle name="Normal 5 3 3 2 6 2 3" xfId="20871" xr:uid="{5574CC0B-E66F-4DB0-8E62-BC9080D6876A}"/>
    <cellStyle name="Normal 5 3 3 2 6 2 4" xfId="12430" xr:uid="{10B2A39C-7167-41F9-8EDC-8B8D85B330E4}"/>
    <cellStyle name="Normal 5 3 3 2 6 3" xfId="6053" xr:uid="{00000000-0005-0000-0000-0000BE190000}"/>
    <cellStyle name="Normal 5 3 3 2 6 3 2" xfId="22944" xr:uid="{04465F70-B3E9-4B46-805E-830283CCCA15}"/>
    <cellStyle name="Normal 5 3 3 2 6 3 3" xfId="14503" xr:uid="{054F00EE-36D3-475A-8B57-D78510E0EA4A}"/>
    <cellStyle name="Normal 5 3 3 2 6 4" xfId="18726" xr:uid="{C8740541-6FD8-491F-9CC6-6E0D2C3E1B53}"/>
    <cellStyle name="Normal 5 3 3 2 6 5" xfId="10285" xr:uid="{D6ADAB18-2DAE-4C80-B4DA-F51A5E972B72}"/>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25502" xr:uid="{94A16AE3-9509-463C-B6B8-4263119F7164}"/>
    <cellStyle name="Normal 5 3 3 2 7 2 2 3" xfId="17061" xr:uid="{D84BC916-6195-435A-B2D3-69620FC3268D}"/>
    <cellStyle name="Normal 5 3 3 2 7 2 3" xfId="21284" xr:uid="{F42638CA-15FD-458C-A65B-E9F8A1A887F7}"/>
    <cellStyle name="Normal 5 3 3 2 7 2 4" xfId="12843" xr:uid="{7F157BEE-C9AB-4FAC-B750-E6B2A39395B5}"/>
    <cellStyle name="Normal 5 3 3 2 7 3" xfId="6466" xr:uid="{00000000-0005-0000-0000-0000C2190000}"/>
    <cellStyle name="Normal 5 3 3 2 7 3 2" xfId="23357" xr:uid="{261EA73C-B26E-4DA7-84D7-2E54C775AA31}"/>
    <cellStyle name="Normal 5 3 3 2 7 3 3" xfId="14916" xr:uid="{3136B56F-FBF6-4C67-9237-F2C5A991E402}"/>
    <cellStyle name="Normal 5 3 3 2 7 4" xfId="19139" xr:uid="{187ECBD9-3817-4113-B967-F742C7CE83F6}"/>
    <cellStyle name="Normal 5 3 3 2 7 5" xfId="10698" xr:uid="{2638CEC9-EC0E-42E5-A51C-FC0F95BECE22}"/>
    <cellStyle name="Normal 5 3 3 2 8" xfId="2596" xr:uid="{00000000-0005-0000-0000-0000C3190000}"/>
    <cellStyle name="Normal 5 3 3 2 8 2" xfId="6879" xr:uid="{00000000-0005-0000-0000-0000C4190000}"/>
    <cellStyle name="Normal 5 3 3 2 8 2 2" xfId="23770" xr:uid="{AB30BF8C-9C60-4B63-B9A6-087433E44BDB}"/>
    <cellStyle name="Normal 5 3 3 2 8 2 3" xfId="15329" xr:uid="{17040D22-4A40-42FD-98F1-49CD6F3D08A9}"/>
    <cellStyle name="Normal 5 3 3 2 8 3" xfId="19552" xr:uid="{6D3B8ABB-EC46-4E80-AE25-3BF31BFB61CE}"/>
    <cellStyle name="Normal 5 3 3 2 8 4" xfId="11111" xr:uid="{FC2484F6-4A40-4017-B7EA-9FD9C6430A77}"/>
    <cellStyle name="Normal 5 3 3 2 9" xfId="4814" xr:uid="{00000000-0005-0000-0000-0000C5190000}"/>
    <cellStyle name="Normal 5 3 3 2 9 2" xfId="21705" xr:uid="{8527200C-4CEB-47CD-B754-5DA92F49C8CB}"/>
    <cellStyle name="Normal 5 3 3 2 9 3" xfId="13264" xr:uid="{7F023B84-FB9B-4FB2-BF8A-B1021C8731CF}"/>
    <cellStyle name="Normal 5 3 3 3" xfId="446" xr:uid="{00000000-0005-0000-0000-0000C6190000}"/>
    <cellStyle name="Normal 5 3 3 3 10" xfId="9050" xr:uid="{C7C06620-3AAA-44B9-B09C-8C50DF5034DD}"/>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24268" xr:uid="{0E492B29-D455-407D-8881-FF6EB20015D4}"/>
    <cellStyle name="Normal 5 3 3 3 2 2 2 2 3" xfId="15827" xr:uid="{18627041-AC97-489B-B507-11B31129F1C0}"/>
    <cellStyle name="Normal 5 3 3 3 2 2 2 3" xfId="20050" xr:uid="{4D3F1C2E-9C23-4D19-976E-3905AFACCDD1}"/>
    <cellStyle name="Normal 5 3 3 3 2 2 2 4" xfId="11609" xr:uid="{242F65D5-1588-4769-AC09-C0A6C8102202}"/>
    <cellStyle name="Normal 5 3 3 3 2 2 3" xfId="5232" xr:uid="{00000000-0005-0000-0000-0000CB190000}"/>
    <cellStyle name="Normal 5 3 3 3 2 2 3 2" xfId="22123" xr:uid="{BE8E80AF-30B5-4A90-9E1E-759B1653F76B}"/>
    <cellStyle name="Normal 5 3 3 3 2 2 3 3" xfId="13682" xr:uid="{5B1F6777-4801-4195-A706-F4CB7B6DCFBD}"/>
    <cellStyle name="Normal 5 3 3 3 2 2 4" xfId="17905" xr:uid="{C481B644-6D14-4978-B2D8-33E08EFDD440}"/>
    <cellStyle name="Normal 5 3 3 3 2 2 5" xfId="9464" xr:uid="{AD732527-17D9-4B19-A803-5A116CFFF71C}"/>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24681" xr:uid="{E3F3913E-3FCC-4595-9D04-88F4F034DFF5}"/>
    <cellStyle name="Normal 5 3 3 3 2 3 2 2 3" xfId="16240" xr:uid="{19A75665-C1BA-48B5-ADFB-2F3825B5B6D6}"/>
    <cellStyle name="Normal 5 3 3 3 2 3 2 3" xfId="20463" xr:uid="{528CA4B8-0DD4-4BBD-8CA4-C1C6CC86396D}"/>
    <cellStyle name="Normal 5 3 3 3 2 3 2 4" xfId="12022" xr:uid="{562D3318-72AF-43F9-99F0-E07B2374BC74}"/>
    <cellStyle name="Normal 5 3 3 3 2 3 3" xfId="5645" xr:uid="{00000000-0005-0000-0000-0000CF190000}"/>
    <cellStyle name="Normal 5 3 3 3 2 3 3 2" xfId="22536" xr:uid="{E028423B-6581-45AF-B05F-471D56C1FF91}"/>
    <cellStyle name="Normal 5 3 3 3 2 3 3 3" xfId="14095" xr:uid="{FA9A06EF-1B11-4E4E-8290-2FB46C473A26}"/>
    <cellStyle name="Normal 5 3 3 3 2 3 4" xfId="18318" xr:uid="{3660D9B4-A056-4573-BC86-844E5016341D}"/>
    <cellStyle name="Normal 5 3 3 3 2 3 5" xfId="9877" xr:uid="{013C67DD-D756-4664-B870-0DC41105ED83}"/>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25094" xr:uid="{347D408A-B94E-40BC-95C4-F3A2FA7BC343}"/>
    <cellStyle name="Normal 5 3 3 3 2 4 2 2 3" xfId="16653" xr:uid="{C070383E-2A7A-4CAA-A341-8EAAC8EC81D2}"/>
    <cellStyle name="Normal 5 3 3 3 2 4 2 3" xfId="20876" xr:uid="{39F8B589-C413-47E0-B41E-79AF633996B0}"/>
    <cellStyle name="Normal 5 3 3 3 2 4 2 4" xfId="12435" xr:uid="{38009A24-75DB-4B04-9A32-4BAC1B2207B9}"/>
    <cellStyle name="Normal 5 3 3 3 2 4 3" xfId="6058" xr:uid="{00000000-0005-0000-0000-0000D3190000}"/>
    <cellStyle name="Normal 5 3 3 3 2 4 3 2" xfId="22949" xr:uid="{2176E421-9868-45CA-B6AD-5A10209ADF04}"/>
    <cellStyle name="Normal 5 3 3 3 2 4 3 3" xfId="14508" xr:uid="{6941F850-63E3-40F2-87AC-FF96CA0FD062}"/>
    <cellStyle name="Normal 5 3 3 3 2 4 4" xfId="18731" xr:uid="{AE73AA48-A924-42A8-961B-7380B19E98B7}"/>
    <cellStyle name="Normal 5 3 3 3 2 4 5" xfId="10290" xr:uid="{02EA669A-700E-42F1-811F-EE148790FE3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25507" xr:uid="{9D56D551-75CB-4714-9748-8F8D974F5A8F}"/>
    <cellStyle name="Normal 5 3 3 3 2 5 2 2 3" xfId="17066" xr:uid="{EC51F685-2201-46C8-9F1A-2F0743E86ACF}"/>
    <cellStyle name="Normal 5 3 3 3 2 5 2 3" xfId="21289" xr:uid="{FCB07AB9-0BE5-400B-83E6-8DD0A5C001AC}"/>
    <cellStyle name="Normal 5 3 3 3 2 5 2 4" xfId="12848" xr:uid="{6925520F-5DD8-448D-92A3-A66485AE41B6}"/>
    <cellStyle name="Normal 5 3 3 3 2 5 3" xfId="6471" xr:uid="{00000000-0005-0000-0000-0000D7190000}"/>
    <cellStyle name="Normal 5 3 3 3 2 5 3 2" xfId="23362" xr:uid="{10A91BAB-7F86-4E37-BC07-5D5C856D326C}"/>
    <cellStyle name="Normal 5 3 3 3 2 5 3 3" xfId="14921" xr:uid="{B166687E-69E7-4921-B6BB-F8C715204CB5}"/>
    <cellStyle name="Normal 5 3 3 3 2 5 4" xfId="19144" xr:uid="{8D40F5EC-A103-439B-B16F-FDFD5A07E342}"/>
    <cellStyle name="Normal 5 3 3 3 2 5 5" xfId="10703" xr:uid="{28EBE3A7-36FB-473F-9750-BF31D7D898FC}"/>
    <cellStyle name="Normal 5 3 3 3 2 6" xfId="2601" xr:uid="{00000000-0005-0000-0000-0000D8190000}"/>
    <cellStyle name="Normal 5 3 3 3 2 6 2" xfId="6884" xr:uid="{00000000-0005-0000-0000-0000D9190000}"/>
    <cellStyle name="Normal 5 3 3 3 2 6 2 2" xfId="23775" xr:uid="{5C4FD18E-4D9E-4048-B330-E5FB3B688B45}"/>
    <cellStyle name="Normal 5 3 3 3 2 6 2 3" xfId="15334" xr:uid="{89FA2893-5BE7-4723-A644-077F673EF38D}"/>
    <cellStyle name="Normal 5 3 3 3 2 6 3" xfId="19557" xr:uid="{D7084DC4-6ADF-4F32-BF99-C31DF0DA80C3}"/>
    <cellStyle name="Normal 5 3 3 3 2 6 4" xfId="11116" xr:uid="{0D383C02-20B2-4272-A1D9-26B45BB1466A}"/>
    <cellStyle name="Normal 5 3 3 3 2 7" xfId="4819" xr:uid="{00000000-0005-0000-0000-0000DA190000}"/>
    <cellStyle name="Normal 5 3 3 3 2 7 2" xfId="21710" xr:uid="{CEC9F388-F972-4876-9C4B-940DD468983B}"/>
    <cellStyle name="Normal 5 3 3 3 2 7 3" xfId="13269" xr:uid="{AD5A1F5C-C38B-4A4C-B2BD-4FC160F7C9B2}"/>
    <cellStyle name="Normal 5 3 3 3 2 8" xfId="17492" xr:uid="{40BF14F1-198F-4DD1-9454-FBEFCE976F64}"/>
    <cellStyle name="Normal 5 3 3 3 2 9" xfId="9051" xr:uid="{599F838D-41C0-433D-8994-47A750FB023D}"/>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24267" xr:uid="{5BC2583A-9096-471D-B05B-703A3B540383}"/>
    <cellStyle name="Normal 5 3 3 3 3 2 2 3" xfId="15826" xr:uid="{3BBCE520-20AB-429E-93BB-81D20446CD80}"/>
    <cellStyle name="Normal 5 3 3 3 3 2 3" xfId="20049" xr:uid="{1E61522D-2219-4ADE-AF4F-3AE718CA9EBA}"/>
    <cellStyle name="Normal 5 3 3 3 3 2 4" xfId="11608" xr:uid="{16683436-94A0-4188-8769-925104FB8E55}"/>
    <cellStyle name="Normal 5 3 3 3 3 3" xfId="5231" xr:uid="{00000000-0005-0000-0000-0000DE190000}"/>
    <cellStyle name="Normal 5 3 3 3 3 3 2" xfId="22122" xr:uid="{5F56CDE2-E4E2-42D0-BF35-9C847E8266CB}"/>
    <cellStyle name="Normal 5 3 3 3 3 3 3" xfId="13681" xr:uid="{E7B4C9B2-3B8D-4CAA-B37B-431BDC20952A}"/>
    <cellStyle name="Normal 5 3 3 3 3 4" xfId="17904" xr:uid="{4E57655A-7D11-4966-A30F-097DA80B0A11}"/>
    <cellStyle name="Normal 5 3 3 3 3 5" xfId="9463" xr:uid="{0814EA53-9535-40F2-A332-C5E40876C888}"/>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24680" xr:uid="{290AFACD-49E9-4996-812E-7BE2EF46376B}"/>
    <cellStyle name="Normal 5 3 3 3 4 2 2 3" xfId="16239" xr:uid="{5ECC5557-F1D3-4509-BF61-7DF58400A028}"/>
    <cellStyle name="Normal 5 3 3 3 4 2 3" xfId="20462" xr:uid="{7667E0E7-35E4-4034-881D-47A895FC4120}"/>
    <cellStyle name="Normal 5 3 3 3 4 2 4" xfId="12021" xr:uid="{77D54A00-4F80-4B40-B32A-C44386E07A11}"/>
    <cellStyle name="Normal 5 3 3 3 4 3" xfId="5644" xr:uid="{00000000-0005-0000-0000-0000E2190000}"/>
    <cellStyle name="Normal 5 3 3 3 4 3 2" xfId="22535" xr:uid="{D4F8396C-8CBA-4FB7-AE22-84A9CD6B7C1E}"/>
    <cellStyle name="Normal 5 3 3 3 4 3 3" xfId="14094" xr:uid="{966A5067-5730-4D83-A48D-EB1BF0129F81}"/>
    <cellStyle name="Normal 5 3 3 3 4 4" xfId="18317" xr:uid="{83308166-62F5-4A55-8266-376103A22E16}"/>
    <cellStyle name="Normal 5 3 3 3 4 5" xfId="9876" xr:uid="{9422A7EB-15AB-401F-946C-5D86F34EF31E}"/>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25093" xr:uid="{98F0B29F-DBFD-448A-9F67-D9050BD2B31E}"/>
    <cellStyle name="Normal 5 3 3 3 5 2 2 3" xfId="16652" xr:uid="{22BB66D0-2DBE-4791-B501-5A8DCDE0DAA5}"/>
    <cellStyle name="Normal 5 3 3 3 5 2 3" xfId="20875" xr:uid="{FD42DCE6-28C7-47B0-B115-27594AFF928E}"/>
    <cellStyle name="Normal 5 3 3 3 5 2 4" xfId="12434" xr:uid="{A3F0D837-09CD-45C2-B992-5CD101B82B18}"/>
    <cellStyle name="Normal 5 3 3 3 5 3" xfId="6057" xr:uid="{00000000-0005-0000-0000-0000E6190000}"/>
    <cellStyle name="Normal 5 3 3 3 5 3 2" xfId="22948" xr:uid="{5BE3FDB2-C87C-4CE5-BFEF-22F03E0F86EF}"/>
    <cellStyle name="Normal 5 3 3 3 5 3 3" xfId="14507" xr:uid="{DC1E61FB-F5D4-432B-AEA7-F5A58ECB040D}"/>
    <cellStyle name="Normal 5 3 3 3 5 4" xfId="18730" xr:uid="{0A9A825B-E688-45DE-BA14-376297A46D68}"/>
    <cellStyle name="Normal 5 3 3 3 5 5" xfId="10289" xr:uid="{9D457E16-A597-42EB-9041-C1826965083B}"/>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25506" xr:uid="{645A5A65-C1A0-49C5-9149-5310470AB9A5}"/>
    <cellStyle name="Normal 5 3 3 3 6 2 2 3" xfId="17065" xr:uid="{26AC7DDA-4065-4906-BDAF-A9A307FB53EA}"/>
    <cellStyle name="Normal 5 3 3 3 6 2 3" xfId="21288" xr:uid="{BC4F9630-676D-4611-997F-824A266EFBBA}"/>
    <cellStyle name="Normal 5 3 3 3 6 2 4" xfId="12847" xr:uid="{0259593B-A0B2-481D-BBC6-56BB5E3D9DFB}"/>
    <cellStyle name="Normal 5 3 3 3 6 3" xfId="6470" xr:uid="{00000000-0005-0000-0000-0000EA190000}"/>
    <cellStyle name="Normal 5 3 3 3 6 3 2" xfId="23361" xr:uid="{58A6AFD2-6DFB-46C0-B9ED-7F62AD5C6006}"/>
    <cellStyle name="Normal 5 3 3 3 6 3 3" xfId="14920" xr:uid="{4CC042F7-1090-4F08-9C18-C3258B25AA9D}"/>
    <cellStyle name="Normal 5 3 3 3 6 4" xfId="19143" xr:uid="{6B62342C-5991-4734-A124-BC37D78DF630}"/>
    <cellStyle name="Normal 5 3 3 3 6 5" xfId="10702" xr:uid="{3F1F77B4-A2A2-47AE-BAA2-9613B68D11BC}"/>
    <cellStyle name="Normal 5 3 3 3 7" xfId="2600" xr:uid="{00000000-0005-0000-0000-0000EB190000}"/>
    <cellStyle name="Normal 5 3 3 3 7 2" xfId="6883" xr:uid="{00000000-0005-0000-0000-0000EC190000}"/>
    <cellStyle name="Normal 5 3 3 3 7 2 2" xfId="23774" xr:uid="{DADFAF59-AC57-4601-A439-A9BE488625F4}"/>
    <cellStyle name="Normal 5 3 3 3 7 2 3" xfId="15333" xr:uid="{3C1184F3-8602-42AD-907D-4CBA5AA84927}"/>
    <cellStyle name="Normal 5 3 3 3 7 3" xfId="19556" xr:uid="{62EA9034-3EA2-45B2-B39D-D34F8269A315}"/>
    <cellStyle name="Normal 5 3 3 3 7 4" xfId="11115" xr:uid="{BFEE3760-B402-4C7B-A231-48D05C9D5871}"/>
    <cellStyle name="Normal 5 3 3 3 8" xfId="4818" xr:uid="{00000000-0005-0000-0000-0000ED190000}"/>
    <cellStyle name="Normal 5 3 3 3 8 2" xfId="21709" xr:uid="{0F8EFBA8-95DA-4E4E-A5B3-0DD6EC4A13F3}"/>
    <cellStyle name="Normal 5 3 3 3 8 3" xfId="13268" xr:uid="{59B4A1FE-451D-4AA3-99EA-64776104A0F1}"/>
    <cellStyle name="Normal 5 3 3 3 9" xfId="17491" xr:uid="{2546A36A-9C46-4157-AAF5-8AA37E16038C}"/>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24269" xr:uid="{38500510-F7E1-434B-8B06-DDB3C7230667}"/>
    <cellStyle name="Normal 5 3 3 4 2 2 2 3" xfId="15828" xr:uid="{A279FD2E-FE16-407F-9D97-D748121A814F}"/>
    <cellStyle name="Normal 5 3 3 4 2 2 3" xfId="20051" xr:uid="{7829E2B3-2455-4F5B-8380-9204028FFC6F}"/>
    <cellStyle name="Normal 5 3 3 4 2 2 4" xfId="11610" xr:uid="{B6557556-57D1-4EAA-842D-155FD56B8E08}"/>
    <cellStyle name="Normal 5 3 3 4 2 3" xfId="5233" xr:uid="{00000000-0005-0000-0000-0000F2190000}"/>
    <cellStyle name="Normal 5 3 3 4 2 3 2" xfId="22124" xr:uid="{A34E846A-D045-49F5-BB24-4CB742D15219}"/>
    <cellStyle name="Normal 5 3 3 4 2 3 3" xfId="13683" xr:uid="{BD3A4ABF-18CA-4607-B740-7A0D8951B36D}"/>
    <cellStyle name="Normal 5 3 3 4 2 4" xfId="17906" xr:uid="{B1847B6B-1411-4D03-8CF2-950DFE69E834}"/>
    <cellStyle name="Normal 5 3 3 4 2 5" xfId="9465" xr:uid="{873005AD-8DDF-4AC0-8798-A5E42A2BA888}"/>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24682" xr:uid="{18DFCC64-B24E-4533-8975-91B5E9BC73E3}"/>
    <cellStyle name="Normal 5 3 3 4 3 2 2 3" xfId="16241" xr:uid="{98A6CC75-E5DC-425A-BE3A-BBB300C8F95C}"/>
    <cellStyle name="Normal 5 3 3 4 3 2 3" xfId="20464" xr:uid="{7097AC0C-F7BD-40C6-BBDE-CC4CAFF111EE}"/>
    <cellStyle name="Normal 5 3 3 4 3 2 4" xfId="12023" xr:uid="{09A27692-693F-4637-9A39-5A7EA390A077}"/>
    <cellStyle name="Normal 5 3 3 4 3 3" xfId="5646" xr:uid="{00000000-0005-0000-0000-0000F6190000}"/>
    <cellStyle name="Normal 5 3 3 4 3 3 2" xfId="22537" xr:uid="{D25A43D8-08EC-468B-A29A-3FFDFBA1EFC5}"/>
    <cellStyle name="Normal 5 3 3 4 3 3 3" xfId="14096" xr:uid="{E3B9B797-26D6-4D66-B850-82C9F3906179}"/>
    <cellStyle name="Normal 5 3 3 4 3 4" xfId="18319" xr:uid="{9464F081-1E1D-4B25-AB45-E4C047BC65B3}"/>
    <cellStyle name="Normal 5 3 3 4 3 5" xfId="9878" xr:uid="{9C3EFE5E-1AB9-4797-98C6-F96FE00A1176}"/>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25095" xr:uid="{5A98A3E9-2A09-4714-91A4-DD643680475F}"/>
    <cellStyle name="Normal 5 3 3 4 4 2 2 3" xfId="16654" xr:uid="{8C0DE851-4677-498C-9944-A174B95FDCAE}"/>
    <cellStyle name="Normal 5 3 3 4 4 2 3" xfId="20877" xr:uid="{7BF7A5A5-E1FE-4C30-9B5D-5C758537B4EF}"/>
    <cellStyle name="Normal 5 3 3 4 4 2 4" xfId="12436" xr:uid="{F3054892-FD9A-4B19-BB44-0662C856A8C0}"/>
    <cellStyle name="Normal 5 3 3 4 4 3" xfId="6059" xr:uid="{00000000-0005-0000-0000-0000FA190000}"/>
    <cellStyle name="Normal 5 3 3 4 4 3 2" xfId="22950" xr:uid="{B6860701-9D88-4540-BDC1-2F9F7FA0B882}"/>
    <cellStyle name="Normal 5 3 3 4 4 3 3" xfId="14509" xr:uid="{0336A3F8-5F6D-4763-8741-3C5E7ED1457B}"/>
    <cellStyle name="Normal 5 3 3 4 4 4" xfId="18732" xr:uid="{2BC1B08E-0860-471E-ABCE-A60716796E79}"/>
    <cellStyle name="Normal 5 3 3 4 4 5" xfId="10291" xr:uid="{9D41566D-1CAB-465D-B2D6-DDB43015E59E}"/>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25508" xr:uid="{D6868EBA-416B-49DF-A3BC-E105A002C9AC}"/>
    <cellStyle name="Normal 5 3 3 4 5 2 2 3" xfId="17067" xr:uid="{74193581-78A1-4BB7-AA53-58F20012E2F1}"/>
    <cellStyle name="Normal 5 3 3 4 5 2 3" xfId="21290" xr:uid="{6FDCDA25-D95B-42D6-BD9B-09447E25675F}"/>
    <cellStyle name="Normal 5 3 3 4 5 2 4" xfId="12849" xr:uid="{1668118B-4093-4CF3-AB39-582F725CFDCE}"/>
    <cellStyle name="Normal 5 3 3 4 5 3" xfId="6472" xr:uid="{00000000-0005-0000-0000-0000FE190000}"/>
    <cellStyle name="Normal 5 3 3 4 5 3 2" xfId="23363" xr:uid="{380D92D7-6A0A-4A6B-B816-D0DDC068F13C}"/>
    <cellStyle name="Normal 5 3 3 4 5 3 3" xfId="14922" xr:uid="{DE10DEA9-D89A-47BB-928B-905C266CF68F}"/>
    <cellStyle name="Normal 5 3 3 4 5 4" xfId="19145" xr:uid="{1258EA89-58C5-49B5-B471-76EDC902C410}"/>
    <cellStyle name="Normal 5 3 3 4 5 5" xfId="10704" xr:uid="{E03EF476-2F54-43C5-A8D0-16984210EB34}"/>
    <cellStyle name="Normal 5 3 3 4 6" xfId="2602" xr:uid="{00000000-0005-0000-0000-0000FF190000}"/>
    <cellStyle name="Normal 5 3 3 4 6 2" xfId="6885" xr:uid="{00000000-0005-0000-0000-0000001A0000}"/>
    <cellStyle name="Normal 5 3 3 4 6 2 2" xfId="23776" xr:uid="{BC564569-1B56-4F4F-B0CB-1307983F04C7}"/>
    <cellStyle name="Normal 5 3 3 4 6 2 3" xfId="15335" xr:uid="{06D50C04-B7F8-44F1-A585-BB94510DDEF6}"/>
    <cellStyle name="Normal 5 3 3 4 6 3" xfId="19558" xr:uid="{737B53FE-A5E9-47F2-A1BF-F6C7E7947934}"/>
    <cellStyle name="Normal 5 3 3 4 6 4" xfId="11117" xr:uid="{F0A924E2-9FCC-447C-B4E0-8430FE1E484D}"/>
    <cellStyle name="Normal 5 3 3 4 7" xfId="4820" xr:uid="{00000000-0005-0000-0000-0000011A0000}"/>
    <cellStyle name="Normal 5 3 3 4 7 2" xfId="21711" xr:uid="{5A82C29F-AA75-42DA-9F27-39C4071645E3}"/>
    <cellStyle name="Normal 5 3 3 4 7 3" xfId="13270" xr:uid="{B94E7007-91A5-4AAC-8CFE-98689C7FE082}"/>
    <cellStyle name="Normal 5 3 3 4 8" xfId="17493" xr:uid="{0C70F855-8BEE-4123-ABAE-3B1056645F76}"/>
    <cellStyle name="Normal 5 3 3 4 9" xfId="9052" xr:uid="{6EA382A5-B521-4E89-ACAE-B82FF503B58C}"/>
    <cellStyle name="Normal 5 3 3 5" xfId="915" xr:uid="{00000000-0005-0000-0000-0000021A0000}"/>
    <cellStyle name="Normal 5 3 3 5 2" xfId="3149" xr:uid="{00000000-0005-0000-0000-0000031A0000}"/>
    <cellStyle name="Normal 5 3 3 5 2 2" xfId="7371" xr:uid="{00000000-0005-0000-0000-0000041A0000}"/>
    <cellStyle name="Normal 5 3 3 5 2 2 2" xfId="24262" xr:uid="{F7D970C3-2E23-44CE-923D-7A2487B25BE6}"/>
    <cellStyle name="Normal 5 3 3 5 2 2 3" xfId="15821" xr:uid="{11FFFE9E-E494-4A56-B529-D01E719EE387}"/>
    <cellStyle name="Normal 5 3 3 5 2 3" xfId="20044" xr:uid="{6CBB1561-2377-49F2-B1D0-B5BAD3BED6BE}"/>
    <cellStyle name="Normal 5 3 3 5 2 4" xfId="11603" xr:uid="{AA806937-E8B3-4E3C-A869-75D88CC49331}"/>
    <cellStyle name="Normal 5 3 3 5 3" xfId="5226" xr:uid="{00000000-0005-0000-0000-0000051A0000}"/>
    <cellStyle name="Normal 5 3 3 5 3 2" xfId="22117" xr:uid="{2AD79936-EF5B-4C30-9D08-C973DB9C7455}"/>
    <cellStyle name="Normal 5 3 3 5 3 3" xfId="13676" xr:uid="{B260D050-F246-4D28-BBB2-20FE25F95824}"/>
    <cellStyle name="Normal 5 3 3 5 4" xfId="17899" xr:uid="{6C305CA0-A22E-4798-B628-30DB1B261AF2}"/>
    <cellStyle name="Normal 5 3 3 5 5" xfId="9458" xr:uid="{B85AAA83-C5EF-4B5F-A232-0B93DFEDB1BD}"/>
    <cellStyle name="Normal 5 3 3 6" xfId="1332" xr:uid="{00000000-0005-0000-0000-0000061A0000}"/>
    <cellStyle name="Normal 5 3 3 6 2" xfId="3562" xr:uid="{00000000-0005-0000-0000-0000071A0000}"/>
    <cellStyle name="Normal 5 3 3 6 2 2" xfId="7784" xr:uid="{00000000-0005-0000-0000-0000081A0000}"/>
    <cellStyle name="Normal 5 3 3 6 2 2 2" xfId="24675" xr:uid="{EBDA2105-6265-4CCC-AB4B-62E6FB8A6E7C}"/>
    <cellStyle name="Normal 5 3 3 6 2 2 3" xfId="16234" xr:uid="{41720CD0-5D92-4282-AF53-A3823C8F2663}"/>
    <cellStyle name="Normal 5 3 3 6 2 3" xfId="20457" xr:uid="{9416D0BB-2C96-4996-AAE7-BAD980AF70B0}"/>
    <cellStyle name="Normal 5 3 3 6 2 4" xfId="12016" xr:uid="{698D074C-A265-487D-8E37-D4DA8A83945A}"/>
    <cellStyle name="Normal 5 3 3 6 3" xfId="5639" xr:uid="{00000000-0005-0000-0000-0000091A0000}"/>
    <cellStyle name="Normal 5 3 3 6 3 2" xfId="22530" xr:uid="{7CD04FD4-526F-4BAB-8212-FAE04DDC1345}"/>
    <cellStyle name="Normal 5 3 3 6 3 3" xfId="14089" xr:uid="{7FBA4D18-86FA-443D-B9DF-309287D2A202}"/>
    <cellStyle name="Normal 5 3 3 6 4" xfId="18312" xr:uid="{17552CBD-16B4-4066-AD77-3EF3F6FCE8DE}"/>
    <cellStyle name="Normal 5 3 3 6 5" xfId="9871" xr:uid="{D4530EA7-A05F-4352-80D9-28CC64E24791}"/>
    <cellStyle name="Normal 5 3 3 7" xfId="1745" xr:uid="{00000000-0005-0000-0000-00000A1A0000}"/>
    <cellStyle name="Normal 5 3 3 7 2" xfId="3975" xr:uid="{00000000-0005-0000-0000-00000B1A0000}"/>
    <cellStyle name="Normal 5 3 3 7 2 2" xfId="8197" xr:uid="{00000000-0005-0000-0000-00000C1A0000}"/>
    <cellStyle name="Normal 5 3 3 7 2 2 2" xfId="25088" xr:uid="{AB74A798-FF27-4A40-B6EB-881AAC9E6426}"/>
    <cellStyle name="Normal 5 3 3 7 2 2 3" xfId="16647" xr:uid="{1491F529-C82B-48DD-BBD8-DFC510FB0EA3}"/>
    <cellStyle name="Normal 5 3 3 7 2 3" xfId="20870" xr:uid="{55E1F0A2-8E27-4DA1-A2F4-29B7E2D7E3DF}"/>
    <cellStyle name="Normal 5 3 3 7 2 4" xfId="12429" xr:uid="{78503BC0-9E1B-44E2-9F11-A64614E54794}"/>
    <cellStyle name="Normal 5 3 3 7 3" xfId="6052" xr:uid="{00000000-0005-0000-0000-00000D1A0000}"/>
    <cellStyle name="Normal 5 3 3 7 3 2" xfId="22943" xr:uid="{5A6A02AA-A127-4726-B8E2-56B69DE2254C}"/>
    <cellStyle name="Normal 5 3 3 7 3 3" xfId="14502" xr:uid="{15A568A9-7FB3-4CCF-8754-52A4310EB5D9}"/>
    <cellStyle name="Normal 5 3 3 7 4" xfId="18725" xr:uid="{72F1D6C4-5A2D-4D44-A82B-CAAA8D65002E}"/>
    <cellStyle name="Normal 5 3 3 7 5" xfId="10284" xr:uid="{23DB4EB8-BFCE-4C02-9DB6-6FA7B9D1F3A0}"/>
    <cellStyle name="Normal 5 3 3 8" xfId="2159" xr:uid="{00000000-0005-0000-0000-00000E1A0000}"/>
    <cellStyle name="Normal 5 3 3 8 2" xfId="4388" xr:uid="{00000000-0005-0000-0000-00000F1A0000}"/>
    <cellStyle name="Normal 5 3 3 8 2 2" xfId="8610" xr:uid="{00000000-0005-0000-0000-0000101A0000}"/>
    <cellStyle name="Normal 5 3 3 8 2 2 2" xfId="25501" xr:uid="{CE0F7F3D-F8BF-4CF5-B0DE-0F3A6F7706B3}"/>
    <cellStyle name="Normal 5 3 3 8 2 2 3" xfId="17060" xr:uid="{2E49C5E9-5BB8-4D3D-897E-67080A669726}"/>
    <cellStyle name="Normal 5 3 3 8 2 3" xfId="21283" xr:uid="{5C45FF52-0710-4F40-B4F0-B0C269C60A9C}"/>
    <cellStyle name="Normal 5 3 3 8 2 4" xfId="12842" xr:uid="{5B14E33F-A9ED-4113-B64A-87F620C7FADE}"/>
    <cellStyle name="Normal 5 3 3 8 3" xfId="6465" xr:uid="{00000000-0005-0000-0000-0000111A0000}"/>
    <cellStyle name="Normal 5 3 3 8 3 2" xfId="23356" xr:uid="{A10E16E2-1FC7-4168-9F9A-6C5FB5CF9461}"/>
    <cellStyle name="Normal 5 3 3 8 3 3" xfId="14915" xr:uid="{8C382F7C-0501-4652-BD60-927E2126FFE5}"/>
    <cellStyle name="Normal 5 3 3 8 4" xfId="19138" xr:uid="{6EA4FAA7-0772-49EF-A675-9777BFBFDD61}"/>
    <cellStyle name="Normal 5 3 3 8 5" xfId="10697" xr:uid="{4E5F641B-33A3-4344-B31C-1B56F4846837}"/>
    <cellStyle name="Normal 5 3 3 9" xfId="2595" xr:uid="{00000000-0005-0000-0000-0000121A0000}"/>
    <cellStyle name="Normal 5 3 3 9 2" xfId="6878" xr:uid="{00000000-0005-0000-0000-0000131A0000}"/>
    <cellStyle name="Normal 5 3 3 9 2 2" xfId="23769" xr:uid="{730D1B7A-879A-42FA-843F-64A7288E999C}"/>
    <cellStyle name="Normal 5 3 3 9 2 3" xfId="15328" xr:uid="{705CC4A7-2A5A-4819-9AAC-6A9857BF9917}"/>
    <cellStyle name="Normal 5 3 3 9 3" xfId="19551" xr:uid="{54CD8E0E-37EF-444A-95C9-A5DEBED53F0A}"/>
    <cellStyle name="Normal 5 3 3 9 4" xfId="11110" xr:uid="{9FC38869-0246-4816-86AA-B16BCD219B6C}"/>
    <cellStyle name="Normal 5 3 4" xfId="449" xr:uid="{00000000-0005-0000-0000-0000141A0000}"/>
    <cellStyle name="Normal 5 3 4 10" xfId="17494" xr:uid="{03D83775-3D4C-4D46-808E-7C3402611CCC}"/>
    <cellStyle name="Normal 5 3 4 11" xfId="9053" xr:uid="{FE23C479-8E30-455D-A108-B16F5637F2DA}"/>
    <cellStyle name="Normal 5 3 4 2" xfId="450" xr:uid="{00000000-0005-0000-0000-0000151A0000}"/>
    <cellStyle name="Normal 5 3 4 2 10" xfId="9054" xr:uid="{7EEAB852-ADEE-499C-8C85-60A91227CC97}"/>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24272" xr:uid="{786FC5CF-587D-4F48-A5D8-ADF348D5DFE0}"/>
    <cellStyle name="Normal 5 3 4 2 2 2 2 2 3" xfId="15831" xr:uid="{FC00C46E-AE6E-4AB8-A68A-F90AC8DDC7FD}"/>
    <cellStyle name="Normal 5 3 4 2 2 2 2 3" xfId="20054" xr:uid="{3E6F0624-2D5E-4C3D-9252-912AAAA799E3}"/>
    <cellStyle name="Normal 5 3 4 2 2 2 2 4" xfId="11613" xr:uid="{508F26CE-E306-4490-9B9E-84446881D9A4}"/>
    <cellStyle name="Normal 5 3 4 2 2 2 3" xfId="5236" xr:uid="{00000000-0005-0000-0000-00001A1A0000}"/>
    <cellStyle name="Normal 5 3 4 2 2 2 3 2" xfId="22127" xr:uid="{569D8F06-78AA-4E1B-921F-CC34F961FC96}"/>
    <cellStyle name="Normal 5 3 4 2 2 2 3 3" xfId="13686" xr:uid="{51273DB1-BE54-4698-B09A-19BD2A18CD26}"/>
    <cellStyle name="Normal 5 3 4 2 2 2 4" xfId="17909" xr:uid="{9ACBAB47-E483-4572-861B-EE3057934DEC}"/>
    <cellStyle name="Normal 5 3 4 2 2 2 5" xfId="9468" xr:uid="{1771AF79-27A4-4AF3-9CDE-5A3B6C847559}"/>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24685" xr:uid="{E06097A8-E9C3-4C1C-B204-E803499DDD97}"/>
    <cellStyle name="Normal 5 3 4 2 2 3 2 2 3" xfId="16244" xr:uid="{7235980E-6D86-467B-901B-2DA2C03BFA7B}"/>
    <cellStyle name="Normal 5 3 4 2 2 3 2 3" xfId="20467" xr:uid="{672875CF-1B63-48BE-8229-521CCE46D526}"/>
    <cellStyle name="Normal 5 3 4 2 2 3 2 4" xfId="12026" xr:uid="{4C718218-CA42-45DD-9158-C88425EC216B}"/>
    <cellStyle name="Normal 5 3 4 2 2 3 3" xfId="5649" xr:uid="{00000000-0005-0000-0000-00001E1A0000}"/>
    <cellStyle name="Normal 5 3 4 2 2 3 3 2" xfId="22540" xr:uid="{E18E3741-FE23-429F-A42C-DC7D3BEF0136}"/>
    <cellStyle name="Normal 5 3 4 2 2 3 3 3" xfId="14099" xr:uid="{FF75C58A-2FA7-464E-91C5-05DAD7489757}"/>
    <cellStyle name="Normal 5 3 4 2 2 3 4" xfId="18322" xr:uid="{3FEDBF01-B99C-4FF7-A807-410552F1DC40}"/>
    <cellStyle name="Normal 5 3 4 2 2 3 5" xfId="9881" xr:uid="{7F92A0C5-F834-44CF-9B3B-C3FD6A4FA1B5}"/>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25098" xr:uid="{9C0754E6-51F5-4206-903C-1BBFA988AD4F}"/>
    <cellStyle name="Normal 5 3 4 2 2 4 2 2 3" xfId="16657" xr:uid="{9F96A290-7803-42EB-8090-F8E463341975}"/>
    <cellStyle name="Normal 5 3 4 2 2 4 2 3" xfId="20880" xr:uid="{770938E5-3F39-4529-A04B-A74C5C601C24}"/>
    <cellStyle name="Normal 5 3 4 2 2 4 2 4" xfId="12439" xr:uid="{906DEB55-FB9B-427C-A23E-B716F3DBB2BF}"/>
    <cellStyle name="Normal 5 3 4 2 2 4 3" xfId="6062" xr:uid="{00000000-0005-0000-0000-0000221A0000}"/>
    <cellStyle name="Normal 5 3 4 2 2 4 3 2" xfId="22953" xr:uid="{8F96F836-FC5C-46B6-BB00-B84C610C03D9}"/>
    <cellStyle name="Normal 5 3 4 2 2 4 3 3" xfId="14512" xr:uid="{F10FC077-D403-45E3-9702-C8823A214DCC}"/>
    <cellStyle name="Normal 5 3 4 2 2 4 4" xfId="18735" xr:uid="{9E8EA08E-EAA8-4CF3-800D-0FA64E77E838}"/>
    <cellStyle name="Normal 5 3 4 2 2 4 5" xfId="10294" xr:uid="{F6AB4188-5711-4F7D-A69A-DD7BFEB739A4}"/>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25511" xr:uid="{2FE1EA27-D521-4C53-8701-BE3B8BD57FE9}"/>
    <cellStyle name="Normal 5 3 4 2 2 5 2 2 3" xfId="17070" xr:uid="{3580EF68-404B-48B5-A00E-BFF1CA5DC8D2}"/>
    <cellStyle name="Normal 5 3 4 2 2 5 2 3" xfId="21293" xr:uid="{327C1E6C-5B0A-4D12-BB3B-5559041A6083}"/>
    <cellStyle name="Normal 5 3 4 2 2 5 2 4" xfId="12852" xr:uid="{64F5C48C-E29B-46EC-93B0-B1B802CD7D3F}"/>
    <cellStyle name="Normal 5 3 4 2 2 5 3" xfId="6475" xr:uid="{00000000-0005-0000-0000-0000261A0000}"/>
    <cellStyle name="Normal 5 3 4 2 2 5 3 2" xfId="23366" xr:uid="{B84EA8C4-AA85-44F8-9BFE-4223DE5547A8}"/>
    <cellStyle name="Normal 5 3 4 2 2 5 3 3" xfId="14925" xr:uid="{23142B9D-BA3E-4B46-AB2D-3C0201ED7D4A}"/>
    <cellStyle name="Normal 5 3 4 2 2 5 4" xfId="19148" xr:uid="{3E87FDD1-3245-4BE4-B8BA-8680EE041E8D}"/>
    <cellStyle name="Normal 5 3 4 2 2 5 5" xfId="10707" xr:uid="{DECE36BF-0C69-4279-8275-0DE52F49D937}"/>
    <cellStyle name="Normal 5 3 4 2 2 6" xfId="2605" xr:uid="{00000000-0005-0000-0000-0000271A0000}"/>
    <cellStyle name="Normal 5 3 4 2 2 6 2" xfId="6888" xr:uid="{00000000-0005-0000-0000-0000281A0000}"/>
    <cellStyle name="Normal 5 3 4 2 2 6 2 2" xfId="23779" xr:uid="{47DF1A72-8F86-4A0B-B320-29DFA1D96E01}"/>
    <cellStyle name="Normal 5 3 4 2 2 6 2 3" xfId="15338" xr:uid="{4F1FB59F-EDD5-4384-900A-725833146A59}"/>
    <cellStyle name="Normal 5 3 4 2 2 6 3" xfId="19561" xr:uid="{1E1D5747-9E55-45C3-9071-8A13E1100DA4}"/>
    <cellStyle name="Normal 5 3 4 2 2 6 4" xfId="11120" xr:uid="{EF18E5B0-F4B2-4BB7-9F7F-9B53DD794562}"/>
    <cellStyle name="Normal 5 3 4 2 2 7" xfId="4823" xr:uid="{00000000-0005-0000-0000-0000291A0000}"/>
    <cellStyle name="Normal 5 3 4 2 2 7 2" xfId="21714" xr:uid="{79942274-2E1E-4FC7-9D32-BD443B54FF1B}"/>
    <cellStyle name="Normal 5 3 4 2 2 7 3" xfId="13273" xr:uid="{E19341E4-F68D-487D-B811-EE0966F1446F}"/>
    <cellStyle name="Normal 5 3 4 2 2 8" xfId="17496" xr:uid="{8D36E187-7066-4A14-80BA-1DDE8A171F96}"/>
    <cellStyle name="Normal 5 3 4 2 2 9" xfId="9055" xr:uid="{F431A5C1-DD8E-43BE-8BFD-CA957747F566}"/>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24271" xr:uid="{F2A864E7-D20C-4A50-8022-182F57C53E11}"/>
    <cellStyle name="Normal 5 3 4 2 3 2 2 3" xfId="15830" xr:uid="{508EDB37-BB20-4CC2-BF55-449DCAF94095}"/>
    <cellStyle name="Normal 5 3 4 2 3 2 3" xfId="20053" xr:uid="{39509023-AE04-4FAD-961A-429BA5019A06}"/>
    <cellStyle name="Normal 5 3 4 2 3 2 4" xfId="11612" xr:uid="{215C1F31-B551-4F7B-B5C4-319B5AFD3DA7}"/>
    <cellStyle name="Normal 5 3 4 2 3 3" xfId="5235" xr:uid="{00000000-0005-0000-0000-00002D1A0000}"/>
    <cellStyle name="Normal 5 3 4 2 3 3 2" xfId="22126" xr:uid="{D6DC84E9-360E-452E-9315-D02A814E2286}"/>
    <cellStyle name="Normal 5 3 4 2 3 3 3" xfId="13685" xr:uid="{5D04467A-FCFC-4818-9487-99FF2F0C20FA}"/>
    <cellStyle name="Normal 5 3 4 2 3 4" xfId="17908" xr:uid="{0F47342C-FE14-4271-A2C9-5B6416E3B226}"/>
    <cellStyle name="Normal 5 3 4 2 3 5" xfId="9467" xr:uid="{9A9A78BC-EE58-4E89-BF56-6233E7C6BF8E}"/>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24684" xr:uid="{27660763-0227-4697-AE8E-7382BE859B13}"/>
    <cellStyle name="Normal 5 3 4 2 4 2 2 3" xfId="16243" xr:uid="{8E601C26-3560-4FEB-9196-626593AC4535}"/>
    <cellStyle name="Normal 5 3 4 2 4 2 3" xfId="20466" xr:uid="{FD4B15E1-5745-457B-9039-5EE1DC1CB097}"/>
    <cellStyle name="Normal 5 3 4 2 4 2 4" xfId="12025" xr:uid="{33429989-27E7-44E3-9EBA-716FCC94A6BE}"/>
    <cellStyle name="Normal 5 3 4 2 4 3" xfId="5648" xr:uid="{00000000-0005-0000-0000-0000311A0000}"/>
    <cellStyle name="Normal 5 3 4 2 4 3 2" xfId="22539" xr:uid="{56C52992-5C72-4669-842E-FA187408410D}"/>
    <cellStyle name="Normal 5 3 4 2 4 3 3" xfId="14098" xr:uid="{5A0079EC-0806-4061-ADB9-9A44CD1A9B76}"/>
    <cellStyle name="Normal 5 3 4 2 4 4" xfId="18321" xr:uid="{847F18B8-60F5-4CBB-8BD9-8C08DE85E62D}"/>
    <cellStyle name="Normal 5 3 4 2 4 5" xfId="9880" xr:uid="{D8E5D1DE-D64F-427A-93DE-B56F273E4A01}"/>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25097" xr:uid="{00C7056E-9D3F-44F7-A8DC-71D7F820F8B8}"/>
    <cellStyle name="Normal 5 3 4 2 5 2 2 3" xfId="16656" xr:uid="{127AB9B3-AFB2-4B4A-B42B-74065DEA0A7B}"/>
    <cellStyle name="Normal 5 3 4 2 5 2 3" xfId="20879" xr:uid="{4BB486F8-2A07-4ABB-8547-57BBAA73BF7B}"/>
    <cellStyle name="Normal 5 3 4 2 5 2 4" xfId="12438" xr:uid="{35B48840-43A0-4DFE-8B34-4C0E95145326}"/>
    <cellStyle name="Normal 5 3 4 2 5 3" xfId="6061" xr:uid="{00000000-0005-0000-0000-0000351A0000}"/>
    <cellStyle name="Normal 5 3 4 2 5 3 2" xfId="22952" xr:uid="{C7C703EA-85D8-4AE1-ACC1-39DA6C35805D}"/>
    <cellStyle name="Normal 5 3 4 2 5 3 3" xfId="14511" xr:uid="{990370E3-479A-4187-B4A0-10A4116C9A23}"/>
    <cellStyle name="Normal 5 3 4 2 5 4" xfId="18734" xr:uid="{0E56DFE5-5CF3-4DEE-930B-753FD0160247}"/>
    <cellStyle name="Normal 5 3 4 2 5 5" xfId="10293" xr:uid="{A83A8A1E-6666-4CD3-8BB3-33E58C53A057}"/>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25510" xr:uid="{1D29AEC4-53DC-4771-97DD-32F2E3E9444A}"/>
    <cellStyle name="Normal 5 3 4 2 6 2 2 3" xfId="17069" xr:uid="{81C769D5-3B62-491A-A65D-A4538B514DCB}"/>
    <cellStyle name="Normal 5 3 4 2 6 2 3" xfId="21292" xr:uid="{529CF0C8-9E97-493A-9881-CC1FC27FE643}"/>
    <cellStyle name="Normal 5 3 4 2 6 2 4" xfId="12851" xr:uid="{14BC5EF9-C432-4441-9203-835AA478B164}"/>
    <cellStyle name="Normal 5 3 4 2 6 3" xfId="6474" xr:uid="{00000000-0005-0000-0000-0000391A0000}"/>
    <cellStyle name="Normal 5 3 4 2 6 3 2" xfId="23365" xr:uid="{4AF30FE6-9988-4698-B312-881C83BC75BB}"/>
    <cellStyle name="Normal 5 3 4 2 6 3 3" xfId="14924" xr:uid="{E8C8F9DC-4BAB-4BC8-83D5-AABA42A0576C}"/>
    <cellStyle name="Normal 5 3 4 2 6 4" xfId="19147" xr:uid="{E716C0A2-1F99-4679-878F-4C160C24C875}"/>
    <cellStyle name="Normal 5 3 4 2 6 5" xfId="10706" xr:uid="{59C5CB77-8C12-4525-B78F-7CC0D22EE938}"/>
    <cellStyle name="Normal 5 3 4 2 7" xfId="2604" xr:uid="{00000000-0005-0000-0000-00003A1A0000}"/>
    <cellStyle name="Normal 5 3 4 2 7 2" xfId="6887" xr:uid="{00000000-0005-0000-0000-00003B1A0000}"/>
    <cellStyle name="Normal 5 3 4 2 7 2 2" xfId="23778" xr:uid="{030917F0-D586-4BC2-9F4E-D8D66708B819}"/>
    <cellStyle name="Normal 5 3 4 2 7 2 3" xfId="15337" xr:uid="{8906C374-348C-4237-B396-D0708EDE8F43}"/>
    <cellStyle name="Normal 5 3 4 2 7 3" xfId="19560" xr:uid="{C5A483F9-330C-41D0-B72F-81221F2B4BC9}"/>
    <cellStyle name="Normal 5 3 4 2 7 4" xfId="11119" xr:uid="{2B8DCD43-8263-4993-B15F-43A9DA767C62}"/>
    <cellStyle name="Normal 5 3 4 2 8" xfId="4822" xr:uid="{00000000-0005-0000-0000-00003C1A0000}"/>
    <cellStyle name="Normal 5 3 4 2 8 2" xfId="21713" xr:uid="{E7A91F4A-7819-4FE5-9D93-05FF879A8130}"/>
    <cellStyle name="Normal 5 3 4 2 8 3" xfId="13272" xr:uid="{0BA6A779-8DD9-4615-A03F-DE62C098A885}"/>
    <cellStyle name="Normal 5 3 4 2 9" xfId="17495" xr:uid="{21C7E4BD-1A2C-4048-A4E6-6684F1514665}"/>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24273" xr:uid="{72F7B7C6-3434-41E6-85D6-E25A776B94A5}"/>
    <cellStyle name="Normal 5 3 4 3 2 2 2 3" xfId="15832" xr:uid="{A97927A5-7CCA-4C1F-95FD-48E64770E912}"/>
    <cellStyle name="Normal 5 3 4 3 2 2 3" xfId="20055" xr:uid="{423F290C-2CB5-4DCE-9731-02C0EEE73ED4}"/>
    <cellStyle name="Normal 5 3 4 3 2 2 4" xfId="11614" xr:uid="{E3B0AC04-4C6E-4707-9077-62CB1AAF0BA9}"/>
    <cellStyle name="Normal 5 3 4 3 2 3" xfId="5237" xr:uid="{00000000-0005-0000-0000-0000411A0000}"/>
    <cellStyle name="Normal 5 3 4 3 2 3 2" xfId="22128" xr:uid="{91120E3B-F868-4C6B-89E4-4497B991E50E}"/>
    <cellStyle name="Normal 5 3 4 3 2 3 3" xfId="13687" xr:uid="{88AF62BD-08AF-4EDE-AC82-E65349129D57}"/>
    <cellStyle name="Normal 5 3 4 3 2 4" xfId="17910" xr:uid="{FD4AD6E4-3DDC-4906-BA94-5AE54924B972}"/>
    <cellStyle name="Normal 5 3 4 3 2 5" xfId="9469" xr:uid="{7967D65A-EB1C-4BA2-8C4C-06407B764D7F}"/>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24686" xr:uid="{AD00A6B1-FF99-42F8-BF61-AAD74743E3F2}"/>
    <cellStyle name="Normal 5 3 4 3 3 2 2 3" xfId="16245" xr:uid="{B8D667E2-C991-4540-BF49-4661CAF7C487}"/>
    <cellStyle name="Normal 5 3 4 3 3 2 3" xfId="20468" xr:uid="{DDF3D7C1-4F69-4CF9-A7A7-2C513F416365}"/>
    <cellStyle name="Normal 5 3 4 3 3 2 4" xfId="12027" xr:uid="{C76DF887-0821-4DC1-8879-1852F6FA5991}"/>
    <cellStyle name="Normal 5 3 4 3 3 3" xfId="5650" xr:uid="{00000000-0005-0000-0000-0000451A0000}"/>
    <cellStyle name="Normal 5 3 4 3 3 3 2" xfId="22541" xr:uid="{D33A155F-5934-4A3D-A3E3-4C21F1DA2227}"/>
    <cellStyle name="Normal 5 3 4 3 3 3 3" xfId="14100" xr:uid="{F4195F32-EBE7-4BE8-A806-0700458CCC78}"/>
    <cellStyle name="Normal 5 3 4 3 3 4" xfId="18323" xr:uid="{E33DE505-CB49-4780-B126-1AEB55D45C70}"/>
    <cellStyle name="Normal 5 3 4 3 3 5" xfId="9882" xr:uid="{E2448947-42B7-425C-82A4-6C29648A6778}"/>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25099" xr:uid="{BE2F7A7D-1A42-4DB4-B750-6302886C4710}"/>
    <cellStyle name="Normal 5 3 4 3 4 2 2 3" xfId="16658" xr:uid="{97DE875A-AE73-4591-A30C-FEC7ABE927E1}"/>
    <cellStyle name="Normal 5 3 4 3 4 2 3" xfId="20881" xr:uid="{06FC0BA2-A7BB-411A-9396-C1D44D567B78}"/>
    <cellStyle name="Normal 5 3 4 3 4 2 4" xfId="12440" xr:uid="{04027233-04B2-43F3-AA62-36F9A92835A4}"/>
    <cellStyle name="Normal 5 3 4 3 4 3" xfId="6063" xr:uid="{00000000-0005-0000-0000-0000491A0000}"/>
    <cellStyle name="Normal 5 3 4 3 4 3 2" xfId="22954" xr:uid="{58D8667E-D2D5-4702-9343-B4CC6766F58B}"/>
    <cellStyle name="Normal 5 3 4 3 4 3 3" xfId="14513" xr:uid="{08177F47-B468-4382-8FB5-091A2AB73886}"/>
    <cellStyle name="Normal 5 3 4 3 4 4" xfId="18736" xr:uid="{A5C58BD9-ED1A-4800-98AD-F808D8CE8711}"/>
    <cellStyle name="Normal 5 3 4 3 4 5" xfId="10295" xr:uid="{CD4F6721-CB7E-4E55-9B72-FEF0E74560E3}"/>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25512" xr:uid="{32B5A16D-ED00-4EC2-BB23-17191DEF2E9A}"/>
    <cellStyle name="Normal 5 3 4 3 5 2 2 3" xfId="17071" xr:uid="{518AB384-E718-40B5-B2EB-7FE341CB2B4A}"/>
    <cellStyle name="Normal 5 3 4 3 5 2 3" xfId="21294" xr:uid="{E9F6F505-1C51-406E-9F39-CEE6B2AD8039}"/>
    <cellStyle name="Normal 5 3 4 3 5 2 4" xfId="12853" xr:uid="{9F40CC98-4D91-4845-94EE-857D0AF02820}"/>
    <cellStyle name="Normal 5 3 4 3 5 3" xfId="6476" xr:uid="{00000000-0005-0000-0000-00004D1A0000}"/>
    <cellStyle name="Normal 5 3 4 3 5 3 2" xfId="23367" xr:uid="{3B57EE50-40D7-4A05-BBD7-073FA8589218}"/>
    <cellStyle name="Normal 5 3 4 3 5 3 3" xfId="14926" xr:uid="{20F67C5F-4A98-4822-A67E-A691347DDC3A}"/>
    <cellStyle name="Normal 5 3 4 3 5 4" xfId="19149" xr:uid="{EBB18B88-7F9A-4CBE-821B-347F5D1990BB}"/>
    <cellStyle name="Normal 5 3 4 3 5 5" xfId="10708" xr:uid="{43558255-0BF6-4BB8-BECF-5D2B7B5A49A9}"/>
    <cellStyle name="Normal 5 3 4 3 6" xfId="2606" xr:uid="{00000000-0005-0000-0000-00004E1A0000}"/>
    <cellStyle name="Normal 5 3 4 3 6 2" xfId="6889" xr:uid="{00000000-0005-0000-0000-00004F1A0000}"/>
    <cellStyle name="Normal 5 3 4 3 6 2 2" xfId="23780" xr:uid="{611A5C71-C7DE-4C43-8E2A-271E6E78EC52}"/>
    <cellStyle name="Normal 5 3 4 3 6 2 3" xfId="15339" xr:uid="{0F7B245B-6ED7-4DBE-9765-389AA6BD49FD}"/>
    <cellStyle name="Normal 5 3 4 3 6 3" xfId="19562" xr:uid="{D3EFFACF-7452-4F19-A62C-6C6415110036}"/>
    <cellStyle name="Normal 5 3 4 3 6 4" xfId="11121" xr:uid="{60AA01DC-5596-4C53-A08F-0777B1E805D4}"/>
    <cellStyle name="Normal 5 3 4 3 7" xfId="4824" xr:uid="{00000000-0005-0000-0000-0000501A0000}"/>
    <cellStyle name="Normal 5 3 4 3 7 2" xfId="21715" xr:uid="{31DFA984-65F6-42D7-AD33-DBBBDE817C21}"/>
    <cellStyle name="Normal 5 3 4 3 7 3" xfId="13274" xr:uid="{C3D5F3F8-3C20-4E57-A901-3FFC5FD0350F}"/>
    <cellStyle name="Normal 5 3 4 3 8" xfId="17497" xr:uid="{BB90A3CC-F326-4D3A-ADC9-CDF37843C877}"/>
    <cellStyle name="Normal 5 3 4 3 9" xfId="9056" xr:uid="{862ACDE2-A00C-475D-9A47-D0EA549701E1}"/>
    <cellStyle name="Normal 5 3 4 4" xfId="923" xr:uid="{00000000-0005-0000-0000-0000511A0000}"/>
    <cellStyle name="Normal 5 3 4 4 2" xfId="3157" xr:uid="{00000000-0005-0000-0000-0000521A0000}"/>
    <cellStyle name="Normal 5 3 4 4 2 2" xfId="7379" xr:uid="{00000000-0005-0000-0000-0000531A0000}"/>
    <cellStyle name="Normal 5 3 4 4 2 2 2" xfId="24270" xr:uid="{E13A9EAE-E51B-4BFD-BFEA-41904DC58FBD}"/>
    <cellStyle name="Normal 5 3 4 4 2 2 3" xfId="15829" xr:uid="{E220E2E2-5DB1-4F42-8387-B8ED0A7ACE47}"/>
    <cellStyle name="Normal 5 3 4 4 2 3" xfId="20052" xr:uid="{975D8F13-4397-48E4-976F-5512D9E0BF88}"/>
    <cellStyle name="Normal 5 3 4 4 2 4" xfId="11611" xr:uid="{B88A6834-8007-4530-BC60-5C9AFBC38A39}"/>
    <cellStyle name="Normal 5 3 4 4 3" xfId="5234" xr:uid="{00000000-0005-0000-0000-0000541A0000}"/>
    <cellStyle name="Normal 5 3 4 4 3 2" xfId="22125" xr:uid="{126E0CF9-E224-4FBE-9592-69C05C78ECE3}"/>
    <cellStyle name="Normal 5 3 4 4 3 3" xfId="13684" xr:uid="{3DACDE3A-13F7-4BB1-8991-1DA8C42D2201}"/>
    <cellStyle name="Normal 5 3 4 4 4" xfId="17907" xr:uid="{6DC3B73E-EB2C-4F3E-A7FF-CE867AEB0CF0}"/>
    <cellStyle name="Normal 5 3 4 4 5" xfId="9466" xr:uid="{272D8A1C-534D-46CB-9E3A-C18C4D28D960}"/>
    <cellStyle name="Normal 5 3 4 5" xfId="1340" xr:uid="{00000000-0005-0000-0000-0000551A0000}"/>
    <cellStyle name="Normal 5 3 4 5 2" xfId="3570" xr:uid="{00000000-0005-0000-0000-0000561A0000}"/>
    <cellStyle name="Normal 5 3 4 5 2 2" xfId="7792" xr:uid="{00000000-0005-0000-0000-0000571A0000}"/>
    <cellStyle name="Normal 5 3 4 5 2 2 2" xfId="24683" xr:uid="{C96EE550-8EBD-4943-9580-88D76F61D34E}"/>
    <cellStyle name="Normal 5 3 4 5 2 2 3" xfId="16242" xr:uid="{63314BB3-FC66-4F4F-8C60-879252584926}"/>
    <cellStyle name="Normal 5 3 4 5 2 3" xfId="20465" xr:uid="{74F24807-0623-4682-8B93-0A92FDB5B109}"/>
    <cellStyle name="Normal 5 3 4 5 2 4" xfId="12024" xr:uid="{4DEB0485-56CA-4EAE-8777-F94A397792B4}"/>
    <cellStyle name="Normal 5 3 4 5 3" xfId="5647" xr:uid="{00000000-0005-0000-0000-0000581A0000}"/>
    <cellStyle name="Normal 5 3 4 5 3 2" xfId="22538" xr:uid="{7D3A59F6-616D-4CD4-9F1E-B5ED0A836BB1}"/>
    <cellStyle name="Normal 5 3 4 5 3 3" xfId="14097" xr:uid="{429B2EF2-245C-4E02-A088-570D579FC886}"/>
    <cellStyle name="Normal 5 3 4 5 4" xfId="18320" xr:uid="{60FBB160-68E2-47AD-A6D1-96B5A1D76D16}"/>
    <cellStyle name="Normal 5 3 4 5 5" xfId="9879" xr:uid="{F3EC2629-62E4-4F2A-9BA6-EF8066C2FDED}"/>
    <cellStyle name="Normal 5 3 4 6" xfId="1753" xr:uid="{00000000-0005-0000-0000-0000591A0000}"/>
    <cellStyle name="Normal 5 3 4 6 2" xfId="3983" xr:uid="{00000000-0005-0000-0000-00005A1A0000}"/>
    <cellStyle name="Normal 5 3 4 6 2 2" xfId="8205" xr:uid="{00000000-0005-0000-0000-00005B1A0000}"/>
    <cellStyle name="Normal 5 3 4 6 2 2 2" xfId="25096" xr:uid="{137A50AB-4147-4116-A940-01801010474D}"/>
    <cellStyle name="Normal 5 3 4 6 2 2 3" xfId="16655" xr:uid="{452C2D89-F8C4-4177-A131-8E1283FD9C8F}"/>
    <cellStyle name="Normal 5 3 4 6 2 3" xfId="20878" xr:uid="{1EC9989C-10D6-4C12-A67A-956166CD65FB}"/>
    <cellStyle name="Normal 5 3 4 6 2 4" xfId="12437" xr:uid="{DE0F9ECB-6160-42EB-9C5F-B459B6D63A5D}"/>
    <cellStyle name="Normal 5 3 4 6 3" xfId="6060" xr:uid="{00000000-0005-0000-0000-00005C1A0000}"/>
    <cellStyle name="Normal 5 3 4 6 3 2" xfId="22951" xr:uid="{BABCEB92-86D6-4908-A8BD-AECF5EC95459}"/>
    <cellStyle name="Normal 5 3 4 6 3 3" xfId="14510" xr:uid="{265608FA-FB35-4A23-A9E1-02F4BA3F0951}"/>
    <cellStyle name="Normal 5 3 4 6 4" xfId="18733" xr:uid="{ED4AFDDE-D9D6-4D09-BA7D-0FA3432F0D16}"/>
    <cellStyle name="Normal 5 3 4 6 5" xfId="10292" xr:uid="{38E0B649-7CC7-424E-B57E-FA4E9777CD8B}"/>
    <cellStyle name="Normal 5 3 4 7" xfId="2167" xr:uid="{00000000-0005-0000-0000-00005D1A0000}"/>
    <cellStyle name="Normal 5 3 4 7 2" xfId="4396" xr:uid="{00000000-0005-0000-0000-00005E1A0000}"/>
    <cellStyle name="Normal 5 3 4 7 2 2" xfId="8618" xr:uid="{00000000-0005-0000-0000-00005F1A0000}"/>
    <cellStyle name="Normal 5 3 4 7 2 2 2" xfId="25509" xr:uid="{47FAECB7-FA3B-4F28-AB98-44D78653B566}"/>
    <cellStyle name="Normal 5 3 4 7 2 2 3" xfId="17068" xr:uid="{79EF3FF3-03CD-44DD-A81D-A3BD4C27689D}"/>
    <cellStyle name="Normal 5 3 4 7 2 3" xfId="21291" xr:uid="{E759F9BC-1006-4B8E-8E89-AD67497290DA}"/>
    <cellStyle name="Normal 5 3 4 7 2 4" xfId="12850" xr:uid="{D793B0F5-991D-409F-9607-3DF8BC994F0B}"/>
    <cellStyle name="Normal 5 3 4 7 3" xfId="6473" xr:uid="{00000000-0005-0000-0000-0000601A0000}"/>
    <cellStyle name="Normal 5 3 4 7 3 2" xfId="23364" xr:uid="{C1EFB228-35EB-4603-A11A-3C92ADBC397B}"/>
    <cellStyle name="Normal 5 3 4 7 3 3" xfId="14923" xr:uid="{5DEFEA60-DC9C-4132-848C-8C3FF4DE96A1}"/>
    <cellStyle name="Normal 5 3 4 7 4" xfId="19146" xr:uid="{2D520D5B-335F-4286-90C9-EB53DEC771A8}"/>
    <cellStyle name="Normal 5 3 4 7 5" xfId="10705" xr:uid="{C113D215-0832-44E0-BD54-E1DA4744D6A1}"/>
    <cellStyle name="Normal 5 3 4 8" xfId="2603" xr:uid="{00000000-0005-0000-0000-0000611A0000}"/>
    <cellStyle name="Normal 5 3 4 8 2" xfId="6886" xr:uid="{00000000-0005-0000-0000-0000621A0000}"/>
    <cellStyle name="Normal 5 3 4 8 2 2" xfId="23777" xr:uid="{08DCF7FA-6FB3-470B-8BC2-1EF50B343266}"/>
    <cellStyle name="Normal 5 3 4 8 2 3" xfId="15336" xr:uid="{343EF27E-D386-45EC-8121-4E9518122F50}"/>
    <cellStyle name="Normal 5 3 4 8 3" xfId="19559" xr:uid="{65FB0A6D-98A7-4F03-8297-9CFF5A7C8CAF}"/>
    <cellStyle name="Normal 5 3 4 8 4" xfId="11118" xr:uid="{454EF4EE-E6EB-46E9-9E39-9F5AF772C392}"/>
    <cellStyle name="Normal 5 3 4 9" xfId="4821" xr:uid="{00000000-0005-0000-0000-0000631A0000}"/>
    <cellStyle name="Normal 5 3 4 9 2" xfId="21712" xr:uid="{2951509B-2199-4274-AB5F-1770AA1E0621}"/>
    <cellStyle name="Normal 5 3 4 9 3" xfId="13271" xr:uid="{18FEF876-1AA4-4B42-A727-E27DA46439F7}"/>
    <cellStyle name="Normal 5 3 5" xfId="453" xr:uid="{00000000-0005-0000-0000-0000641A0000}"/>
    <cellStyle name="Normal 5 3 5 10" xfId="9057" xr:uid="{5AD69245-131B-401A-B391-F58C24D02883}"/>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24275" xr:uid="{40DAC927-D136-447A-B85A-E7D59FC35750}"/>
    <cellStyle name="Normal 5 3 5 2 2 2 2 3" xfId="15834" xr:uid="{7EA76BD2-A95F-4C3C-A410-9FE612A9F2A8}"/>
    <cellStyle name="Normal 5 3 5 2 2 2 3" xfId="20057" xr:uid="{2A43B6AC-5788-470E-903C-8EFAED021757}"/>
    <cellStyle name="Normal 5 3 5 2 2 2 4" xfId="11616" xr:uid="{561048F4-CB68-4A50-8333-149993529940}"/>
    <cellStyle name="Normal 5 3 5 2 2 3" xfId="5239" xr:uid="{00000000-0005-0000-0000-0000691A0000}"/>
    <cellStyle name="Normal 5 3 5 2 2 3 2" xfId="22130" xr:uid="{C9AF6555-504C-4AFC-8E79-64EF91689488}"/>
    <cellStyle name="Normal 5 3 5 2 2 3 3" xfId="13689" xr:uid="{2C722AE6-E099-4801-82B8-8370A1B43ED0}"/>
    <cellStyle name="Normal 5 3 5 2 2 4" xfId="17912" xr:uid="{DAE6677F-2169-411B-9AE3-C7D530C80B75}"/>
    <cellStyle name="Normal 5 3 5 2 2 5" xfId="9471" xr:uid="{8AEF2539-088D-413B-B724-2F70F1DF3D5C}"/>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24688" xr:uid="{2239322E-A171-4167-875A-A151B8DB641A}"/>
    <cellStyle name="Normal 5 3 5 2 3 2 2 3" xfId="16247" xr:uid="{EDF93C70-9B59-464C-91B1-72D989D89079}"/>
    <cellStyle name="Normal 5 3 5 2 3 2 3" xfId="20470" xr:uid="{2816A381-1DED-47CA-A088-5C8A9AB1F5B9}"/>
    <cellStyle name="Normal 5 3 5 2 3 2 4" xfId="12029" xr:uid="{40FB70E3-CDAB-4A3F-AC93-82AAEC4F01DF}"/>
    <cellStyle name="Normal 5 3 5 2 3 3" xfId="5652" xr:uid="{00000000-0005-0000-0000-00006D1A0000}"/>
    <cellStyle name="Normal 5 3 5 2 3 3 2" xfId="22543" xr:uid="{83D5BC8B-F326-4B3C-B6DC-E92FBBD86897}"/>
    <cellStyle name="Normal 5 3 5 2 3 3 3" xfId="14102" xr:uid="{A66E1325-9F79-4913-9A20-CE0D8C9E6A9D}"/>
    <cellStyle name="Normal 5 3 5 2 3 4" xfId="18325" xr:uid="{B21A5F06-21FC-4AB6-9FA9-002823B7C140}"/>
    <cellStyle name="Normal 5 3 5 2 3 5" xfId="9884" xr:uid="{D183813B-ECF1-4087-B4FE-6197E6BDE160}"/>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25101" xr:uid="{328009FC-463B-4202-948D-D29795BE4F41}"/>
    <cellStyle name="Normal 5 3 5 2 4 2 2 3" xfId="16660" xr:uid="{D3F4D413-2A7A-4C27-B8B5-DD1BF0DA2B23}"/>
    <cellStyle name="Normal 5 3 5 2 4 2 3" xfId="20883" xr:uid="{DBAA141A-6AB7-4966-AFC3-3534AE996871}"/>
    <cellStyle name="Normal 5 3 5 2 4 2 4" xfId="12442" xr:uid="{3EC3C018-244E-4A43-9D91-92E8E80B2F1C}"/>
    <cellStyle name="Normal 5 3 5 2 4 3" xfId="6065" xr:uid="{00000000-0005-0000-0000-0000711A0000}"/>
    <cellStyle name="Normal 5 3 5 2 4 3 2" xfId="22956" xr:uid="{3E46B6E9-BB4B-4F34-80D3-FB2D7FE2A72C}"/>
    <cellStyle name="Normal 5 3 5 2 4 3 3" xfId="14515" xr:uid="{0D43B275-1A5E-4F67-A0E9-8ADD3EC05C68}"/>
    <cellStyle name="Normal 5 3 5 2 4 4" xfId="18738" xr:uid="{CC750CD3-676A-4E13-8482-14B5E7D7A2D8}"/>
    <cellStyle name="Normal 5 3 5 2 4 5" xfId="10297" xr:uid="{23C2DADE-56C9-439E-BB21-D3DB76C89CCD}"/>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25514" xr:uid="{77E072A9-56A9-49CA-9480-769D26A0AFE2}"/>
    <cellStyle name="Normal 5 3 5 2 5 2 2 3" xfId="17073" xr:uid="{CAD8BF71-E768-47AE-8716-BAF12369FDCD}"/>
    <cellStyle name="Normal 5 3 5 2 5 2 3" xfId="21296" xr:uid="{C427B18A-13B4-47AD-84E8-DC8C2E2FAADA}"/>
    <cellStyle name="Normal 5 3 5 2 5 2 4" xfId="12855" xr:uid="{1847EBF6-404A-4648-9399-8536BC98F007}"/>
    <cellStyle name="Normal 5 3 5 2 5 3" xfId="6478" xr:uid="{00000000-0005-0000-0000-0000751A0000}"/>
    <cellStyle name="Normal 5 3 5 2 5 3 2" xfId="23369" xr:uid="{0A4544D0-4D41-46F6-A48B-8204D7F7F208}"/>
    <cellStyle name="Normal 5 3 5 2 5 3 3" xfId="14928" xr:uid="{9F9A41AD-1376-4017-B33A-95759FA8908F}"/>
    <cellStyle name="Normal 5 3 5 2 5 4" xfId="19151" xr:uid="{365A5A7C-96C6-426D-87F0-AE35C1F96E29}"/>
    <cellStyle name="Normal 5 3 5 2 5 5" xfId="10710" xr:uid="{2B70F317-2977-4AC7-831D-86B59F7DA701}"/>
    <cellStyle name="Normal 5 3 5 2 6" xfId="2608" xr:uid="{00000000-0005-0000-0000-0000761A0000}"/>
    <cellStyle name="Normal 5 3 5 2 6 2" xfId="6891" xr:uid="{00000000-0005-0000-0000-0000771A0000}"/>
    <cellStyle name="Normal 5 3 5 2 6 2 2" xfId="23782" xr:uid="{48ECAED9-9F8F-4FA8-96FD-4DB2B7AD001A}"/>
    <cellStyle name="Normal 5 3 5 2 6 2 3" xfId="15341" xr:uid="{39A1ACA1-C85F-48E0-868A-DC80ADD23F37}"/>
    <cellStyle name="Normal 5 3 5 2 6 3" xfId="19564" xr:uid="{F571E3D4-5540-49C1-9F91-0E3547FA8A1E}"/>
    <cellStyle name="Normal 5 3 5 2 6 4" xfId="11123" xr:uid="{59C1E5CC-5788-4416-B26C-4BC6A746CB86}"/>
    <cellStyle name="Normal 5 3 5 2 7" xfId="4826" xr:uid="{00000000-0005-0000-0000-0000781A0000}"/>
    <cellStyle name="Normal 5 3 5 2 7 2" xfId="21717" xr:uid="{B01952D3-ACB0-40B2-8704-234191045A45}"/>
    <cellStyle name="Normal 5 3 5 2 7 3" xfId="13276" xr:uid="{DCEB4D53-3171-43D3-A829-19656851DDD5}"/>
    <cellStyle name="Normal 5 3 5 2 8" xfId="17499" xr:uid="{2CC99E03-F5D9-4F7F-8037-FEE6BC696831}"/>
    <cellStyle name="Normal 5 3 5 2 9" xfId="9058" xr:uid="{C703A4A6-1DE6-4B65-9E31-1D4C28C8B629}"/>
    <cellStyle name="Normal 5 3 5 3" xfId="927" xr:uid="{00000000-0005-0000-0000-0000791A0000}"/>
    <cellStyle name="Normal 5 3 5 3 2" xfId="3161" xr:uid="{00000000-0005-0000-0000-00007A1A0000}"/>
    <cellStyle name="Normal 5 3 5 3 2 2" xfId="7383" xr:uid="{00000000-0005-0000-0000-00007B1A0000}"/>
    <cellStyle name="Normal 5 3 5 3 2 2 2" xfId="24274" xr:uid="{1432CDD4-7521-432C-92B7-2C6B2E167D33}"/>
    <cellStyle name="Normal 5 3 5 3 2 2 3" xfId="15833" xr:uid="{801AD4F2-90D8-4588-950F-34DAB856720D}"/>
    <cellStyle name="Normal 5 3 5 3 2 3" xfId="20056" xr:uid="{E4BC6DCB-B896-4AA8-BF5A-DADA53CF6BF7}"/>
    <cellStyle name="Normal 5 3 5 3 2 4" xfId="11615" xr:uid="{CC2B6DCD-BD36-4FFC-A211-182CA421874D}"/>
    <cellStyle name="Normal 5 3 5 3 3" xfId="5238" xr:uid="{00000000-0005-0000-0000-00007C1A0000}"/>
    <cellStyle name="Normal 5 3 5 3 3 2" xfId="22129" xr:uid="{F8B86F9A-8DD3-4B6C-9B3F-A4709289BD50}"/>
    <cellStyle name="Normal 5 3 5 3 3 3" xfId="13688" xr:uid="{15775857-A5C1-48BC-B129-5B3630EBBB6B}"/>
    <cellStyle name="Normal 5 3 5 3 4" xfId="17911" xr:uid="{2E99AE23-916A-4628-B579-5043AC7B02B8}"/>
    <cellStyle name="Normal 5 3 5 3 5" xfId="9470" xr:uid="{291910FD-FCB6-4630-8718-1CD9F2F1D1B7}"/>
    <cellStyle name="Normal 5 3 5 4" xfId="1344" xr:uid="{00000000-0005-0000-0000-00007D1A0000}"/>
    <cellStyle name="Normal 5 3 5 4 2" xfId="3574" xr:uid="{00000000-0005-0000-0000-00007E1A0000}"/>
    <cellStyle name="Normal 5 3 5 4 2 2" xfId="7796" xr:uid="{00000000-0005-0000-0000-00007F1A0000}"/>
    <cellStyle name="Normal 5 3 5 4 2 2 2" xfId="24687" xr:uid="{2951CE83-E799-4986-AD1E-51C2FC90633D}"/>
    <cellStyle name="Normal 5 3 5 4 2 2 3" xfId="16246" xr:uid="{D89CC77A-84EB-4527-B3D1-23888B60D527}"/>
    <cellStyle name="Normal 5 3 5 4 2 3" xfId="20469" xr:uid="{15F20CF9-498C-419E-91DD-24FF5BA8C663}"/>
    <cellStyle name="Normal 5 3 5 4 2 4" xfId="12028" xr:uid="{E8089061-D8B2-4CC6-A132-967A12F5A2DC}"/>
    <cellStyle name="Normal 5 3 5 4 3" xfId="5651" xr:uid="{00000000-0005-0000-0000-0000801A0000}"/>
    <cellStyle name="Normal 5 3 5 4 3 2" xfId="22542" xr:uid="{64CE3659-D4E1-4B36-B798-2792A1959E86}"/>
    <cellStyle name="Normal 5 3 5 4 3 3" xfId="14101" xr:uid="{7513DA54-0BA1-48EF-972B-2082F6165EC1}"/>
    <cellStyle name="Normal 5 3 5 4 4" xfId="18324" xr:uid="{2B61EE7F-13B0-423E-9C7F-E2593845BD67}"/>
    <cellStyle name="Normal 5 3 5 4 5" xfId="9883" xr:uid="{83F1FFC1-E844-4B02-B4C7-2EF6FA6FAF7D}"/>
    <cellStyle name="Normal 5 3 5 5" xfId="1757" xr:uid="{00000000-0005-0000-0000-0000811A0000}"/>
    <cellStyle name="Normal 5 3 5 5 2" xfId="3987" xr:uid="{00000000-0005-0000-0000-0000821A0000}"/>
    <cellStyle name="Normal 5 3 5 5 2 2" xfId="8209" xr:uid="{00000000-0005-0000-0000-0000831A0000}"/>
    <cellStyle name="Normal 5 3 5 5 2 2 2" xfId="25100" xr:uid="{663780D0-EC7E-4BDC-ADEC-640054BD3ECE}"/>
    <cellStyle name="Normal 5 3 5 5 2 2 3" xfId="16659" xr:uid="{2E17C57B-14D9-430F-B98B-46F064C44F44}"/>
    <cellStyle name="Normal 5 3 5 5 2 3" xfId="20882" xr:uid="{222FE09E-AE74-4C96-ABF0-BFF5CCEAB98A}"/>
    <cellStyle name="Normal 5 3 5 5 2 4" xfId="12441" xr:uid="{8CF33733-1C94-41D4-B746-4CC19301C8E2}"/>
    <cellStyle name="Normal 5 3 5 5 3" xfId="6064" xr:uid="{00000000-0005-0000-0000-0000841A0000}"/>
    <cellStyle name="Normal 5 3 5 5 3 2" xfId="22955" xr:uid="{606FCA1E-62C6-4BD0-B99A-3D9061167449}"/>
    <cellStyle name="Normal 5 3 5 5 3 3" xfId="14514" xr:uid="{51E3475F-5914-46CE-8EF2-F68E04E08179}"/>
    <cellStyle name="Normal 5 3 5 5 4" xfId="18737" xr:uid="{CD6C8909-CFD4-4373-8C10-C9AEB34B2A55}"/>
    <cellStyle name="Normal 5 3 5 5 5" xfId="10296" xr:uid="{C0AA615D-6B78-46DC-B0C7-21ACBF2C6D5A}"/>
    <cellStyle name="Normal 5 3 5 6" xfId="2171" xr:uid="{00000000-0005-0000-0000-0000851A0000}"/>
    <cellStyle name="Normal 5 3 5 6 2" xfId="4400" xr:uid="{00000000-0005-0000-0000-0000861A0000}"/>
    <cellStyle name="Normal 5 3 5 6 2 2" xfId="8622" xr:uid="{00000000-0005-0000-0000-0000871A0000}"/>
    <cellStyle name="Normal 5 3 5 6 2 2 2" xfId="25513" xr:uid="{F1C92076-7C20-4EF8-9E80-FF032561B010}"/>
    <cellStyle name="Normal 5 3 5 6 2 2 3" xfId="17072" xr:uid="{0A54736C-57DD-4872-B309-2855CB023A02}"/>
    <cellStyle name="Normal 5 3 5 6 2 3" xfId="21295" xr:uid="{7B3D6037-D9C5-4C39-9045-9BB6CD459312}"/>
    <cellStyle name="Normal 5 3 5 6 2 4" xfId="12854" xr:uid="{38F923CD-B033-464E-8B04-87993DCBFC20}"/>
    <cellStyle name="Normal 5 3 5 6 3" xfId="6477" xr:uid="{00000000-0005-0000-0000-0000881A0000}"/>
    <cellStyle name="Normal 5 3 5 6 3 2" xfId="23368" xr:uid="{CD0E0FE9-D250-4390-ACC4-299BB62C832E}"/>
    <cellStyle name="Normal 5 3 5 6 3 3" xfId="14927" xr:uid="{30A2522D-4879-4E61-A97C-2A3AF7AB9553}"/>
    <cellStyle name="Normal 5 3 5 6 4" xfId="19150" xr:uid="{A6C02D43-CEA9-434B-85F3-6D8E395A1D75}"/>
    <cellStyle name="Normal 5 3 5 6 5" xfId="10709" xr:uid="{346C61E1-AFA7-4EC6-B80B-9AB83515566A}"/>
    <cellStyle name="Normal 5 3 5 7" xfId="2607" xr:uid="{00000000-0005-0000-0000-0000891A0000}"/>
    <cellStyle name="Normal 5 3 5 7 2" xfId="6890" xr:uid="{00000000-0005-0000-0000-00008A1A0000}"/>
    <cellStyle name="Normal 5 3 5 7 2 2" xfId="23781" xr:uid="{BD0A1F16-A5E2-4DAF-ABBF-9AC71954D2CD}"/>
    <cellStyle name="Normal 5 3 5 7 2 3" xfId="15340" xr:uid="{C1D0A999-DE91-4789-BC48-825FA3F50F8C}"/>
    <cellStyle name="Normal 5 3 5 7 3" xfId="19563" xr:uid="{903086D0-4798-452A-A83D-FEB6768B4363}"/>
    <cellStyle name="Normal 5 3 5 7 4" xfId="11122" xr:uid="{3555D0E9-E25A-4F05-9C0D-0C853D179228}"/>
    <cellStyle name="Normal 5 3 5 8" xfId="4825" xr:uid="{00000000-0005-0000-0000-00008B1A0000}"/>
    <cellStyle name="Normal 5 3 5 8 2" xfId="21716" xr:uid="{1105C5E5-8779-48A4-A429-311748E8C1B7}"/>
    <cellStyle name="Normal 5 3 5 8 3" xfId="13275" xr:uid="{E81989BC-361C-442C-83A5-FEC324D87D8F}"/>
    <cellStyle name="Normal 5 3 5 9" xfId="17498" xr:uid="{CB95B9CC-800C-4708-813E-637BF9E5AED8}"/>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2 2 2" xfId="24276" xr:uid="{41A4A6E9-F238-4D77-A5DB-43FBC8B66D47}"/>
    <cellStyle name="Normal 5 3 6 2 2 2 3" xfId="15835" xr:uid="{E887A4EE-F7ED-4F0D-A552-1A8FA4E915CE}"/>
    <cellStyle name="Normal 5 3 6 2 2 3" xfId="20058" xr:uid="{168C1034-8140-46B7-952E-83122000F899}"/>
    <cellStyle name="Normal 5 3 6 2 2 4" xfId="11617" xr:uid="{6F056B5A-29AD-44C4-9E71-8D44F87FD49B}"/>
    <cellStyle name="Normal 5 3 6 2 3" xfId="5240" xr:uid="{00000000-0005-0000-0000-0000901A0000}"/>
    <cellStyle name="Normal 5 3 6 2 3 2" xfId="22131" xr:uid="{B2635C50-11E5-49E9-8A27-37CCBFE8BC64}"/>
    <cellStyle name="Normal 5 3 6 2 3 3" xfId="13690" xr:uid="{AFDBA182-43B7-46D2-AE78-36858C4797F4}"/>
    <cellStyle name="Normal 5 3 6 2 4" xfId="17913" xr:uid="{7CC46633-FE26-4783-B3DE-79CB9EBD9040}"/>
    <cellStyle name="Normal 5 3 6 2 5" xfId="9472" xr:uid="{D1CF67D9-63EE-4869-8E46-FE911C681BEF}"/>
    <cellStyle name="Normal 5 3 6 3" xfId="1346" xr:uid="{00000000-0005-0000-0000-0000911A0000}"/>
    <cellStyle name="Normal 5 3 6 3 2" xfId="3576" xr:uid="{00000000-0005-0000-0000-0000921A0000}"/>
    <cellStyle name="Normal 5 3 6 3 2 2" xfId="7798" xr:uid="{00000000-0005-0000-0000-0000931A0000}"/>
    <cellStyle name="Normal 5 3 6 3 2 2 2" xfId="24689" xr:uid="{F41AAC43-4E36-4D29-AF27-25FBDD6F1821}"/>
    <cellStyle name="Normal 5 3 6 3 2 2 3" xfId="16248" xr:uid="{547D796C-B17F-4BCA-8FED-D5BE503C1D79}"/>
    <cellStyle name="Normal 5 3 6 3 2 3" xfId="20471" xr:uid="{D364EB7E-658F-4DDF-A19C-B21DD9D50607}"/>
    <cellStyle name="Normal 5 3 6 3 2 4" xfId="12030" xr:uid="{B5BBA00C-F760-4707-B8FB-582CB4365397}"/>
    <cellStyle name="Normal 5 3 6 3 3" xfId="5653" xr:uid="{00000000-0005-0000-0000-0000941A0000}"/>
    <cellStyle name="Normal 5 3 6 3 3 2" xfId="22544" xr:uid="{CEA1861A-B05F-4D73-B8B8-2DBFFEA4705A}"/>
    <cellStyle name="Normal 5 3 6 3 3 3" xfId="14103" xr:uid="{FB0CF2A1-35E1-407B-A242-1F13EAF1DDB7}"/>
    <cellStyle name="Normal 5 3 6 3 4" xfId="18326" xr:uid="{21B9A26B-6AD3-4495-A50D-2CED212FD547}"/>
    <cellStyle name="Normal 5 3 6 3 5" xfId="9885" xr:uid="{0FBEBA5E-B3EE-4ED6-9487-61B434FFA1CC}"/>
    <cellStyle name="Normal 5 3 6 4" xfId="1759" xr:uid="{00000000-0005-0000-0000-0000951A0000}"/>
    <cellStyle name="Normal 5 3 6 4 2" xfId="3989" xr:uid="{00000000-0005-0000-0000-0000961A0000}"/>
    <cellStyle name="Normal 5 3 6 4 2 2" xfId="8211" xr:uid="{00000000-0005-0000-0000-0000971A0000}"/>
    <cellStyle name="Normal 5 3 6 4 2 2 2" xfId="25102" xr:uid="{AFEDFA91-D0DE-4B1C-8D59-50267CE2656A}"/>
    <cellStyle name="Normal 5 3 6 4 2 2 3" xfId="16661" xr:uid="{5A85CED6-FE7B-481E-B91B-4AECD251F654}"/>
    <cellStyle name="Normal 5 3 6 4 2 3" xfId="20884" xr:uid="{879F2360-8503-4D0B-B21F-3134089D5060}"/>
    <cellStyle name="Normal 5 3 6 4 2 4" xfId="12443" xr:uid="{D58DA9D8-EAA9-4D7F-8DE4-64E275C9170B}"/>
    <cellStyle name="Normal 5 3 6 4 3" xfId="6066" xr:uid="{00000000-0005-0000-0000-0000981A0000}"/>
    <cellStyle name="Normal 5 3 6 4 3 2" xfId="22957" xr:uid="{2CB0135E-60DA-49CB-920C-7372707E605B}"/>
    <cellStyle name="Normal 5 3 6 4 3 3" xfId="14516" xr:uid="{2127D745-9E68-4794-993F-9E6BC5F92BE8}"/>
    <cellStyle name="Normal 5 3 6 4 4" xfId="18739" xr:uid="{F26842F5-C709-4FC1-B681-09C8637BAC65}"/>
    <cellStyle name="Normal 5 3 6 4 5" xfId="10298" xr:uid="{927A6135-C154-4538-8EAC-B3F18A3A6BCC}"/>
    <cellStyle name="Normal 5 3 6 5" xfId="2173" xr:uid="{00000000-0005-0000-0000-0000991A0000}"/>
    <cellStyle name="Normal 5 3 6 5 2" xfId="4402" xr:uid="{00000000-0005-0000-0000-00009A1A0000}"/>
    <cellStyle name="Normal 5 3 6 5 2 2" xfId="8624" xr:uid="{00000000-0005-0000-0000-00009B1A0000}"/>
    <cellStyle name="Normal 5 3 6 5 2 2 2" xfId="25515" xr:uid="{034C2687-7A67-46EE-AED7-C17F424772B9}"/>
    <cellStyle name="Normal 5 3 6 5 2 2 3" xfId="17074" xr:uid="{C05FE0E1-0C6E-40A0-A119-CB9546E5B921}"/>
    <cellStyle name="Normal 5 3 6 5 2 3" xfId="21297" xr:uid="{AA81FDEB-BCFB-4334-B63B-B31E1FB47831}"/>
    <cellStyle name="Normal 5 3 6 5 2 4" xfId="12856" xr:uid="{88757D45-2730-4C31-BA52-EABAAA67447D}"/>
    <cellStyle name="Normal 5 3 6 5 3" xfId="6479" xr:uid="{00000000-0005-0000-0000-00009C1A0000}"/>
    <cellStyle name="Normal 5 3 6 5 3 2" xfId="23370" xr:uid="{FF91986F-0E18-4A43-AB37-2E5AD62547A6}"/>
    <cellStyle name="Normal 5 3 6 5 3 3" xfId="14929" xr:uid="{D6C6ED9F-73D6-4453-826D-6D62C0E8DFCE}"/>
    <cellStyle name="Normal 5 3 6 5 4" xfId="19152" xr:uid="{7A304D15-835F-4FDB-8A4C-C6280D009A85}"/>
    <cellStyle name="Normal 5 3 6 5 5" xfId="10711" xr:uid="{DAB155FD-ACEB-4FAB-AB86-0D76BB5DF20E}"/>
    <cellStyle name="Normal 5 3 6 6" xfId="2609" xr:uid="{00000000-0005-0000-0000-00009D1A0000}"/>
    <cellStyle name="Normal 5 3 6 6 2" xfId="6892" xr:uid="{00000000-0005-0000-0000-00009E1A0000}"/>
    <cellStyle name="Normal 5 3 6 6 2 2" xfId="23783" xr:uid="{857826DA-212C-4787-BC53-170649E0706A}"/>
    <cellStyle name="Normal 5 3 6 6 2 3" xfId="15342" xr:uid="{B556D923-7227-488B-85F3-B992D03C07F5}"/>
    <cellStyle name="Normal 5 3 6 6 3" xfId="19565" xr:uid="{79F95FF8-95FF-4D20-A0F6-D11D9C5263A1}"/>
    <cellStyle name="Normal 5 3 6 6 4" xfId="11124" xr:uid="{F1731579-6EF6-401E-9BEF-B4450CA84FC8}"/>
    <cellStyle name="Normal 5 3 6 7" xfId="4827" xr:uid="{00000000-0005-0000-0000-00009F1A0000}"/>
    <cellStyle name="Normal 5 3 6 7 2" xfId="21718" xr:uid="{3E7F435C-AEFD-41C9-A6C4-1521EA24FD1E}"/>
    <cellStyle name="Normal 5 3 6 7 3" xfId="13277" xr:uid="{6658C52E-BF02-44CA-AD9A-6D2B8785E613}"/>
    <cellStyle name="Normal 5 3 6 8" xfId="17500" xr:uid="{3B3165E7-D259-4EE0-9724-FD0D0A9A5838}"/>
    <cellStyle name="Normal 5 3 6 9" xfId="9059" xr:uid="{6F4907A0-E884-47C0-B95D-461C5442D3C1}"/>
    <cellStyle name="Normal 5 3 7" xfId="913" xr:uid="{00000000-0005-0000-0000-0000A01A0000}"/>
    <cellStyle name="Normal 5 3 7 2" xfId="3148" xr:uid="{00000000-0005-0000-0000-0000A11A0000}"/>
    <cellStyle name="Normal 5 3 7 2 2" xfId="7370" xr:uid="{00000000-0005-0000-0000-0000A21A0000}"/>
    <cellStyle name="Normal 5 3 7 2 2 2" xfId="24261" xr:uid="{4751FEE8-DCB0-4684-856C-5D163DE5E071}"/>
    <cellStyle name="Normal 5 3 7 2 2 3" xfId="15820" xr:uid="{6E5EEA19-1FEC-4E2A-8137-EE70D2D8D6D3}"/>
    <cellStyle name="Normal 5 3 7 2 3" xfId="20043" xr:uid="{C1490F1D-41F6-4A0E-A695-4CD152886429}"/>
    <cellStyle name="Normal 5 3 7 2 4" xfId="11602" xr:uid="{E297B7E3-868D-4B6B-8C7D-E481521136FE}"/>
    <cellStyle name="Normal 5 3 7 3" xfId="5225" xr:uid="{00000000-0005-0000-0000-0000A31A0000}"/>
    <cellStyle name="Normal 5 3 7 3 2" xfId="22116" xr:uid="{9A6D04FE-B1A6-45EA-8DF3-98E0C086C8B5}"/>
    <cellStyle name="Normal 5 3 7 3 3" xfId="13675" xr:uid="{5B293C4D-0D1C-41F2-9FE3-000F84551350}"/>
    <cellStyle name="Normal 5 3 7 4" xfId="17898" xr:uid="{EE69F13A-90D1-4871-8BDA-2E93C7A10F7F}"/>
    <cellStyle name="Normal 5 3 7 5" xfId="9457" xr:uid="{38B8B4F1-6FEB-43F1-91FF-325E0F3646FD}"/>
    <cellStyle name="Normal 5 3 8" xfId="1331" xr:uid="{00000000-0005-0000-0000-0000A41A0000}"/>
    <cellStyle name="Normal 5 3 8 2" xfId="3561" xr:uid="{00000000-0005-0000-0000-0000A51A0000}"/>
    <cellStyle name="Normal 5 3 8 2 2" xfId="7783" xr:uid="{00000000-0005-0000-0000-0000A61A0000}"/>
    <cellStyle name="Normal 5 3 8 2 2 2" xfId="24674" xr:uid="{9C6A2343-5F94-4075-9238-409F2AC6EE8E}"/>
    <cellStyle name="Normal 5 3 8 2 2 3" xfId="16233" xr:uid="{1BD72711-6D55-4765-976B-E31A002C59AD}"/>
    <cellStyle name="Normal 5 3 8 2 3" xfId="20456" xr:uid="{EFE9DD9F-4747-4012-911B-C814A94C988D}"/>
    <cellStyle name="Normal 5 3 8 2 4" xfId="12015" xr:uid="{49E9123D-0AC2-41BA-AF5E-67B0F07C99D8}"/>
    <cellStyle name="Normal 5 3 8 3" xfId="5638" xr:uid="{00000000-0005-0000-0000-0000A71A0000}"/>
    <cellStyle name="Normal 5 3 8 3 2" xfId="22529" xr:uid="{8FD0CED0-3EA3-4776-AC9A-110192D94E96}"/>
    <cellStyle name="Normal 5 3 8 3 3" xfId="14088" xr:uid="{85CBB2C1-A5F1-4443-9BC9-63C3D8F60207}"/>
    <cellStyle name="Normal 5 3 8 4" xfId="18311" xr:uid="{46E1981D-DC02-4FBD-897C-6F5BC7A3F495}"/>
    <cellStyle name="Normal 5 3 8 5" xfId="9870" xr:uid="{37423736-2118-42B5-82CF-D03258813976}"/>
    <cellStyle name="Normal 5 3 9" xfId="1744" xr:uid="{00000000-0005-0000-0000-0000A81A0000}"/>
    <cellStyle name="Normal 5 3 9 2" xfId="3974" xr:uid="{00000000-0005-0000-0000-0000A91A0000}"/>
    <cellStyle name="Normal 5 3 9 2 2" xfId="8196" xr:uid="{00000000-0005-0000-0000-0000AA1A0000}"/>
    <cellStyle name="Normal 5 3 9 2 2 2" xfId="25087" xr:uid="{05A2A19D-CFE4-4258-938B-6181628AC3B6}"/>
    <cellStyle name="Normal 5 3 9 2 2 3" xfId="16646" xr:uid="{D6D47CB6-15C8-4A0F-925D-5D67A6274019}"/>
    <cellStyle name="Normal 5 3 9 2 3" xfId="20869" xr:uid="{7C976BB7-B182-4E9A-B607-78161F45C6C2}"/>
    <cellStyle name="Normal 5 3 9 2 4" xfId="12428" xr:uid="{275BBFCB-E3E4-4535-9179-658499FDD741}"/>
    <cellStyle name="Normal 5 3 9 3" xfId="6051" xr:uid="{00000000-0005-0000-0000-0000AB1A0000}"/>
    <cellStyle name="Normal 5 3 9 3 2" xfId="22942" xr:uid="{28D4553A-53D5-4BCC-A293-C67288B09F22}"/>
    <cellStyle name="Normal 5 3 9 3 3" xfId="14501" xr:uid="{A23A4007-6C60-4D28-A1C7-A2CB71D5C0F2}"/>
    <cellStyle name="Normal 5 3 9 4" xfId="18724" xr:uid="{7C0CFC0E-A31B-43DE-9920-2FD184840C48}"/>
    <cellStyle name="Normal 5 3 9 5" xfId="10283" xr:uid="{10846605-A05E-4C7D-BD9C-C8D86D3E29F0}"/>
    <cellStyle name="Normal 5 4" xfId="456" xr:uid="{00000000-0005-0000-0000-0000AC1A0000}"/>
    <cellStyle name="Normal 5 4 10" xfId="4828" xr:uid="{00000000-0005-0000-0000-0000AD1A0000}"/>
    <cellStyle name="Normal 5 4 10 2" xfId="21719" xr:uid="{567D0F68-5BE4-4EC4-832C-4A19422E94EE}"/>
    <cellStyle name="Normal 5 4 10 3" xfId="13278" xr:uid="{D2CAAC54-167C-4800-A123-0E6518F8C898}"/>
    <cellStyle name="Normal 5 4 11" xfId="17501" xr:uid="{1865228B-ECE7-4F53-9D27-1938C54BC342}"/>
    <cellStyle name="Normal 5 4 12" xfId="9060" xr:uid="{78856404-8F1E-468B-8B01-F6F8EDD75EF8}"/>
    <cellStyle name="Normal 5 4 13" xfId="25773" xr:uid="{FE8E1884-C764-4D3C-9D65-CC849D8C6104}"/>
    <cellStyle name="Normal 5 4 2" xfId="457" xr:uid="{00000000-0005-0000-0000-0000AE1A0000}"/>
    <cellStyle name="Normal 5 4 2 10" xfId="17502" xr:uid="{70E2F4FB-C5B7-45E7-8EA4-666F0DF1A04B}"/>
    <cellStyle name="Normal 5 4 2 11" xfId="9061" xr:uid="{FBF34424-0968-48A9-8E51-80F13E3E1B63}"/>
    <cellStyle name="Normal 5 4 2 2" xfId="458" xr:uid="{00000000-0005-0000-0000-0000AF1A0000}"/>
    <cellStyle name="Normal 5 4 2 2 10" xfId="9062" xr:uid="{2882D246-EBF3-43F2-A717-8A43EFDA1197}"/>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24280" xr:uid="{2B6869D5-A725-454A-BB63-2BE6E088ED26}"/>
    <cellStyle name="Normal 5 4 2 2 2 2 2 2 3" xfId="15839" xr:uid="{AD48CB9F-2ECD-493E-BE5A-5B2CBB1CDCE5}"/>
    <cellStyle name="Normal 5 4 2 2 2 2 2 3" xfId="20062" xr:uid="{7938CDD5-76B6-4557-BD8E-30A8F800443F}"/>
    <cellStyle name="Normal 5 4 2 2 2 2 2 4" xfId="11621" xr:uid="{86F88586-0EF9-470C-A300-596FE866C86B}"/>
    <cellStyle name="Normal 5 4 2 2 2 2 3" xfId="5244" xr:uid="{00000000-0005-0000-0000-0000B41A0000}"/>
    <cellStyle name="Normal 5 4 2 2 2 2 3 2" xfId="22135" xr:uid="{8F631986-1E5F-41F7-8085-F83D6BC323C4}"/>
    <cellStyle name="Normal 5 4 2 2 2 2 3 3" xfId="13694" xr:uid="{D26E4F95-03A5-4D90-A286-A8609EC6001B}"/>
    <cellStyle name="Normal 5 4 2 2 2 2 4" xfId="17917" xr:uid="{DF7E775C-4BF9-4288-A28B-C5427DF79F45}"/>
    <cellStyle name="Normal 5 4 2 2 2 2 5" xfId="9476" xr:uid="{CDFE1FB4-B379-4848-B6E6-4EBA9D2FDCF1}"/>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24693" xr:uid="{E807A820-3C18-4A03-9626-8D8CED859E38}"/>
    <cellStyle name="Normal 5 4 2 2 2 3 2 2 3" xfId="16252" xr:uid="{043C43A5-822B-41AE-8B97-CBB777FE81E0}"/>
    <cellStyle name="Normal 5 4 2 2 2 3 2 3" xfId="20475" xr:uid="{86D35EB5-BEC5-423B-A9C1-BC075E28DF52}"/>
    <cellStyle name="Normal 5 4 2 2 2 3 2 4" xfId="12034" xr:uid="{4DF14A8E-C12D-4429-B818-ACF95ABB5933}"/>
    <cellStyle name="Normal 5 4 2 2 2 3 3" xfId="5657" xr:uid="{00000000-0005-0000-0000-0000B81A0000}"/>
    <cellStyle name="Normal 5 4 2 2 2 3 3 2" xfId="22548" xr:uid="{76E6C707-1E75-481F-BE55-2773580F5580}"/>
    <cellStyle name="Normal 5 4 2 2 2 3 3 3" xfId="14107" xr:uid="{037B0037-0E24-4050-8DE3-72529660854B}"/>
    <cellStyle name="Normal 5 4 2 2 2 3 4" xfId="18330" xr:uid="{29EA8D04-840A-47BE-B8A1-BB6B8971CFC2}"/>
    <cellStyle name="Normal 5 4 2 2 2 3 5" xfId="9889" xr:uid="{42FC7848-944D-4304-B6ED-B7A2705DED1D}"/>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25106" xr:uid="{95DEDB00-9D64-48FD-AB16-C6BF12F00411}"/>
    <cellStyle name="Normal 5 4 2 2 2 4 2 2 3" xfId="16665" xr:uid="{C51C597D-77D8-4056-9BA2-C1ECCBB4CC84}"/>
    <cellStyle name="Normal 5 4 2 2 2 4 2 3" xfId="20888" xr:uid="{C1DB600A-521D-40ED-8164-680E00FE2470}"/>
    <cellStyle name="Normal 5 4 2 2 2 4 2 4" xfId="12447" xr:uid="{E763EB85-A682-4918-A5B6-E2645A3604DA}"/>
    <cellStyle name="Normal 5 4 2 2 2 4 3" xfId="6070" xr:uid="{00000000-0005-0000-0000-0000BC1A0000}"/>
    <cellStyle name="Normal 5 4 2 2 2 4 3 2" xfId="22961" xr:uid="{4404AFA3-B75B-49F4-81F0-88F8846448DE}"/>
    <cellStyle name="Normal 5 4 2 2 2 4 3 3" xfId="14520" xr:uid="{5CF51B46-E390-4BF6-8703-705B4265739F}"/>
    <cellStyle name="Normal 5 4 2 2 2 4 4" xfId="18743" xr:uid="{A116DE26-9072-42E3-A2EB-3AE52F4EBB57}"/>
    <cellStyle name="Normal 5 4 2 2 2 4 5" xfId="10302" xr:uid="{4F0C5BF3-8019-4646-8E41-11932F44C24E}"/>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25519" xr:uid="{EDBBD383-BA93-497B-AFF5-203D003E6FA6}"/>
    <cellStyle name="Normal 5 4 2 2 2 5 2 2 3" xfId="17078" xr:uid="{69A395E6-56C0-4C7B-B3C2-DE91C2031AE1}"/>
    <cellStyle name="Normal 5 4 2 2 2 5 2 3" xfId="21301" xr:uid="{BA103C51-E4C2-4530-9E87-6A54CA00DEFA}"/>
    <cellStyle name="Normal 5 4 2 2 2 5 2 4" xfId="12860" xr:uid="{1838DD05-4040-4D80-A657-1B0D4D77B078}"/>
    <cellStyle name="Normal 5 4 2 2 2 5 3" xfId="6483" xr:uid="{00000000-0005-0000-0000-0000C01A0000}"/>
    <cellStyle name="Normal 5 4 2 2 2 5 3 2" xfId="23374" xr:uid="{C97DF5EB-988E-4D13-8946-E45308DEA2ED}"/>
    <cellStyle name="Normal 5 4 2 2 2 5 3 3" xfId="14933" xr:uid="{300B00D9-327B-4C47-A9C3-C8908C18E0DB}"/>
    <cellStyle name="Normal 5 4 2 2 2 5 4" xfId="19156" xr:uid="{C7C7F840-0192-404B-A68D-A045E534E2B4}"/>
    <cellStyle name="Normal 5 4 2 2 2 5 5" xfId="10715" xr:uid="{E52A851F-D807-4B1A-81D2-EE6F01AF3052}"/>
    <cellStyle name="Normal 5 4 2 2 2 6" xfId="2613" xr:uid="{00000000-0005-0000-0000-0000C11A0000}"/>
    <cellStyle name="Normal 5 4 2 2 2 6 2" xfId="6896" xr:uid="{00000000-0005-0000-0000-0000C21A0000}"/>
    <cellStyle name="Normal 5 4 2 2 2 6 2 2" xfId="23787" xr:uid="{21DB662F-4F75-404D-BF79-124FC46BCDDD}"/>
    <cellStyle name="Normal 5 4 2 2 2 6 2 3" xfId="15346" xr:uid="{F5559830-8D04-4884-8866-018B5FA36E3B}"/>
    <cellStyle name="Normal 5 4 2 2 2 6 3" xfId="19569" xr:uid="{862CAAD6-75C1-4C50-8659-98277DDEBE1F}"/>
    <cellStyle name="Normal 5 4 2 2 2 6 4" xfId="11128" xr:uid="{11F853F3-901A-4CE9-8E23-E2FF49A90E42}"/>
    <cellStyle name="Normal 5 4 2 2 2 7" xfId="4831" xr:uid="{00000000-0005-0000-0000-0000C31A0000}"/>
    <cellStyle name="Normal 5 4 2 2 2 7 2" xfId="21722" xr:uid="{400C29E8-E617-4587-9169-1B38BF430D08}"/>
    <cellStyle name="Normal 5 4 2 2 2 7 3" xfId="13281" xr:uid="{4E5B667E-5F48-4BC1-9F78-20AFFDCDB3EE}"/>
    <cellStyle name="Normal 5 4 2 2 2 8" xfId="17504" xr:uid="{05BBAB51-4298-419F-AEB7-FAE8C9CC5320}"/>
    <cellStyle name="Normal 5 4 2 2 2 9" xfId="9063" xr:uid="{0217181C-FBD6-401D-8E22-192424874681}"/>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24279" xr:uid="{2BE41197-6479-43F2-AE3B-A7715BDC229A}"/>
    <cellStyle name="Normal 5 4 2 2 3 2 2 3" xfId="15838" xr:uid="{E77955C5-ED66-4494-BB4A-462A83E9DED8}"/>
    <cellStyle name="Normal 5 4 2 2 3 2 3" xfId="20061" xr:uid="{5D424D3C-92DA-4D61-9CF5-766B68D13836}"/>
    <cellStyle name="Normal 5 4 2 2 3 2 4" xfId="11620" xr:uid="{5E40D4C6-7371-4D03-B6BB-C5313CFAFC9C}"/>
    <cellStyle name="Normal 5 4 2 2 3 3" xfId="5243" xr:uid="{00000000-0005-0000-0000-0000C71A0000}"/>
    <cellStyle name="Normal 5 4 2 2 3 3 2" xfId="22134" xr:uid="{A1FA47D0-037E-4578-9062-0215E072AEAD}"/>
    <cellStyle name="Normal 5 4 2 2 3 3 3" xfId="13693" xr:uid="{26A02A8E-AFA6-4C44-9B48-0954D4596A67}"/>
    <cellStyle name="Normal 5 4 2 2 3 4" xfId="17916" xr:uid="{DA9EA3AF-2509-4B9A-A1C0-14ABA9EED893}"/>
    <cellStyle name="Normal 5 4 2 2 3 5" xfId="9475" xr:uid="{1C133A60-6CFF-417F-90BE-014C1BAC50F9}"/>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24692" xr:uid="{C0819D5F-BADD-47E4-BB67-924C09F55DD0}"/>
    <cellStyle name="Normal 5 4 2 2 4 2 2 3" xfId="16251" xr:uid="{2F199BAD-FEAF-4071-8A9C-9652A4F15D29}"/>
    <cellStyle name="Normal 5 4 2 2 4 2 3" xfId="20474" xr:uid="{821EC917-006B-43CE-9A5F-10B348B15553}"/>
    <cellStyle name="Normal 5 4 2 2 4 2 4" xfId="12033" xr:uid="{FF4DC124-BF66-4ADC-A368-8C5EC8E8EB2A}"/>
    <cellStyle name="Normal 5 4 2 2 4 3" xfId="5656" xr:uid="{00000000-0005-0000-0000-0000CB1A0000}"/>
    <cellStyle name="Normal 5 4 2 2 4 3 2" xfId="22547" xr:uid="{17D75AF1-4B1F-419F-A209-BE4239AAFBEF}"/>
    <cellStyle name="Normal 5 4 2 2 4 3 3" xfId="14106" xr:uid="{4D810000-593A-4929-86FD-0068389698D8}"/>
    <cellStyle name="Normal 5 4 2 2 4 4" xfId="18329" xr:uid="{7BF410F9-1D43-4449-96F4-88D4521B6AF0}"/>
    <cellStyle name="Normal 5 4 2 2 4 5" xfId="9888" xr:uid="{FF8B721D-F211-4271-983B-A2F13B94FC14}"/>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25105" xr:uid="{74A96D28-2D99-4F7E-9888-E737FC02DBD8}"/>
    <cellStyle name="Normal 5 4 2 2 5 2 2 3" xfId="16664" xr:uid="{B817C858-BA49-4CDF-B40B-ACF390A0DB84}"/>
    <cellStyle name="Normal 5 4 2 2 5 2 3" xfId="20887" xr:uid="{C7FFA986-B81A-407F-9D2E-1A81117E92D3}"/>
    <cellStyle name="Normal 5 4 2 2 5 2 4" xfId="12446" xr:uid="{943B1F9F-F300-4D95-B175-58541606B386}"/>
    <cellStyle name="Normal 5 4 2 2 5 3" xfId="6069" xr:uid="{00000000-0005-0000-0000-0000CF1A0000}"/>
    <cellStyle name="Normal 5 4 2 2 5 3 2" xfId="22960" xr:uid="{DFE276B8-0EA5-4C6B-9C3F-88C5F36DE0B7}"/>
    <cellStyle name="Normal 5 4 2 2 5 3 3" xfId="14519" xr:uid="{EEBB8252-89AE-4D46-9811-B38556388F31}"/>
    <cellStyle name="Normal 5 4 2 2 5 4" xfId="18742" xr:uid="{5464E9B8-CE88-4F7D-B0CF-44A02FD0F1E8}"/>
    <cellStyle name="Normal 5 4 2 2 5 5" xfId="10301" xr:uid="{D7F971A5-336C-4F5A-85BB-2BE479293E97}"/>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25518" xr:uid="{0789BCCA-C5AB-4866-BE3B-37F79CEB5D8D}"/>
    <cellStyle name="Normal 5 4 2 2 6 2 2 3" xfId="17077" xr:uid="{82F1ED5D-EF60-4E9C-9F58-61E856E904D0}"/>
    <cellStyle name="Normal 5 4 2 2 6 2 3" xfId="21300" xr:uid="{82556572-C666-4A27-875C-F5B4BE2A15E5}"/>
    <cellStyle name="Normal 5 4 2 2 6 2 4" xfId="12859" xr:uid="{C8CCD6D4-B9ED-40DF-91A6-796803C1DF8E}"/>
    <cellStyle name="Normal 5 4 2 2 6 3" xfId="6482" xr:uid="{00000000-0005-0000-0000-0000D31A0000}"/>
    <cellStyle name="Normal 5 4 2 2 6 3 2" xfId="23373" xr:uid="{065D91FA-77A0-4D33-9D91-E0C3E9D2BFAB}"/>
    <cellStyle name="Normal 5 4 2 2 6 3 3" xfId="14932" xr:uid="{73443525-00B4-4262-92B7-7B9136F455FD}"/>
    <cellStyle name="Normal 5 4 2 2 6 4" xfId="19155" xr:uid="{8DF869D8-4BCE-4A65-B276-3AB9B972A13B}"/>
    <cellStyle name="Normal 5 4 2 2 6 5" xfId="10714" xr:uid="{44175EA6-E4F8-44B3-9287-4071AFA1BEA6}"/>
    <cellStyle name="Normal 5 4 2 2 7" xfId="2612" xr:uid="{00000000-0005-0000-0000-0000D41A0000}"/>
    <cellStyle name="Normal 5 4 2 2 7 2" xfId="6895" xr:uid="{00000000-0005-0000-0000-0000D51A0000}"/>
    <cellStyle name="Normal 5 4 2 2 7 2 2" xfId="23786" xr:uid="{CBFDDA1B-2D52-40BC-9033-3153FEC7106B}"/>
    <cellStyle name="Normal 5 4 2 2 7 2 3" xfId="15345" xr:uid="{21AEFF76-CB26-4FB4-9D64-3636A983B834}"/>
    <cellStyle name="Normal 5 4 2 2 7 3" xfId="19568" xr:uid="{35AF633B-C707-4D7D-A8F6-DB4B9B1ECCEC}"/>
    <cellStyle name="Normal 5 4 2 2 7 4" xfId="11127" xr:uid="{DCE699C5-5A7D-44B6-9A8C-8CE7DEE90529}"/>
    <cellStyle name="Normal 5 4 2 2 8" xfId="4830" xr:uid="{00000000-0005-0000-0000-0000D61A0000}"/>
    <cellStyle name="Normal 5 4 2 2 8 2" xfId="21721" xr:uid="{D4B9C9D4-4D1C-4E30-8211-AF0FC47CCC0A}"/>
    <cellStyle name="Normal 5 4 2 2 8 3" xfId="13280" xr:uid="{793FA310-D05B-433D-A93C-AB2FB2DDF233}"/>
    <cellStyle name="Normal 5 4 2 2 9" xfId="17503" xr:uid="{C3465286-C7F8-462E-9359-49B29430BA41}"/>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24281" xr:uid="{26DAA288-23E2-4180-854F-6737F4F8AE73}"/>
    <cellStyle name="Normal 5 4 2 3 2 2 2 3" xfId="15840" xr:uid="{575FE8F7-05E5-49F1-A1FB-0727BBC21333}"/>
    <cellStyle name="Normal 5 4 2 3 2 2 3" xfId="20063" xr:uid="{D24F6C50-5A21-415C-B77C-7EB18D672B3E}"/>
    <cellStyle name="Normal 5 4 2 3 2 2 4" xfId="11622" xr:uid="{4D209168-62EE-45F0-9DCD-8D2DBA96C951}"/>
    <cellStyle name="Normal 5 4 2 3 2 3" xfId="5245" xr:uid="{00000000-0005-0000-0000-0000DB1A0000}"/>
    <cellStyle name="Normal 5 4 2 3 2 3 2" xfId="22136" xr:uid="{A424D33E-C60F-4DCF-9A09-46AB5E7E93D6}"/>
    <cellStyle name="Normal 5 4 2 3 2 3 3" xfId="13695" xr:uid="{54FDDF17-EC76-4E74-88E1-F8F272921671}"/>
    <cellStyle name="Normal 5 4 2 3 2 4" xfId="17918" xr:uid="{CE6D8100-D9A3-4E36-8FBB-54E1A5E5FF43}"/>
    <cellStyle name="Normal 5 4 2 3 2 5" xfId="9477" xr:uid="{79A5DB03-6A0A-4E11-B010-A609F004B5B0}"/>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24694" xr:uid="{64DF12C2-E0C4-41A7-A47D-532DB2ACB821}"/>
    <cellStyle name="Normal 5 4 2 3 3 2 2 3" xfId="16253" xr:uid="{4C74FFB1-C26D-48C9-8D01-4054780D2103}"/>
    <cellStyle name="Normal 5 4 2 3 3 2 3" xfId="20476" xr:uid="{7892C08E-3D39-4494-8E46-874B3F593F77}"/>
    <cellStyle name="Normal 5 4 2 3 3 2 4" xfId="12035" xr:uid="{D1179FD6-87B7-49B9-93CC-803F88F27A49}"/>
    <cellStyle name="Normal 5 4 2 3 3 3" xfId="5658" xr:uid="{00000000-0005-0000-0000-0000DF1A0000}"/>
    <cellStyle name="Normal 5 4 2 3 3 3 2" xfId="22549" xr:uid="{88FCECCF-6481-4663-A48A-6D1972D86915}"/>
    <cellStyle name="Normal 5 4 2 3 3 3 3" xfId="14108" xr:uid="{EB62E6AA-CD31-4873-82E3-1094C5AD4C38}"/>
    <cellStyle name="Normal 5 4 2 3 3 4" xfId="18331" xr:uid="{0513BDD9-3B95-4999-8DA8-6EB245EFC12B}"/>
    <cellStyle name="Normal 5 4 2 3 3 5" xfId="9890" xr:uid="{6004F9EB-D55B-43C0-AB7E-75AE095BEDA6}"/>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25107" xr:uid="{60BDAAB8-9695-45A2-9A6D-1BB6CF17A841}"/>
    <cellStyle name="Normal 5 4 2 3 4 2 2 3" xfId="16666" xr:uid="{77BAF058-4F17-4E4A-845C-9C325775D3DC}"/>
    <cellStyle name="Normal 5 4 2 3 4 2 3" xfId="20889" xr:uid="{ED816444-ACF9-4640-890F-88CA102BD27C}"/>
    <cellStyle name="Normal 5 4 2 3 4 2 4" xfId="12448" xr:uid="{8A956920-B984-4A0F-A5B8-EE7EC382A101}"/>
    <cellStyle name="Normal 5 4 2 3 4 3" xfId="6071" xr:uid="{00000000-0005-0000-0000-0000E31A0000}"/>
    <cellStyle name="Normal 5 4 2 3 4 3 2" xfId="22962" xr:uid="{C789FDC3-B86D-4E68-AF6A-F06394FAA77D}"/>
    <cellStyle name="Normal 5 4 2 3 4 3 3" xfId="14521" xr:uid="{586F5E06-EC95-4019-8B50-C717A29A74C6}"/>
    <cellStyle name="Normal 5 4 2 3 4 4" xfId="18744" xr:uid="{F7CDADCB-51B4-46D1-A95A-46A09093513A}"/>
    <cellStyle name="Normal 5 4 2 3 4 5" xfId="10303" xr:uid="{37D43154-047C-445E-8990-B65F08E74279}"/>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25520" xr:uid="{E6E8BA83-67D0-41CB-83FA-F2C47AF83C55}"/>
    <cellStyle name="Normal 5 4 2 3 5 2 2 3" xfId="17079" xr:uid="{0948619C-92E3-49CE-9DBA-983F49FA974F}"/>
    <cellStyle name="Normal 5 4 2 3 5 2 3" xfId="21302" xr:uid="{D5AB4C7B-D102-4B89-9A12-9D858C74503C}"/>
    <cellStyle name="Normal 5 4 2 3 5 2 4" xfId="12861" xr:uid="{ACE3B251-3ABD-4E85-8817-311F12DEF504}"/>
    <cellStyle name="Normal 5 4 2 3 5 3" xfId="6484" xr:uid="{00000000-0005-0000-0000-0000E71A0000}"/>
    <cellStyle name="Normal 5 4 2 3 5 3 2" xfId="23375" xr:uid="{21D579E3-9A54-47C3-8EDD-CED5ABB32723}"/>
    <cellStyle name="Normal 5 4 2 3 5 3 3" xfId="14934" xr:uid="{59541A8A-66EF-4E63-BF8F-51F7F2878FAE}"/>
    <cellStyle name="Normal 5 4 2 3 5 4" xfId="19157" xr:uid="{5A08254F-5854-4E78-A2E2-62BB3D99BDC7}"/>
    <cellStyle name="Normal 5 4 2 3 5 5" xfId="10716" xr:uid="{7258E219-A624-449F-A407-436A232B1EB5}"/>
    <cellStyle name="Normal 5 4 2 3 6" xfId="2614" xr:uid="{00000000-0005-0000-0000-0000E81A0000}"/>
    <cellStyle name="Normal 5 4 2 3 6 2" xfId="6897" xr:uid="{00000000-0005-0000-0000-0000E91A0000}"/>
    <cellStyle name="Normal 5 4 2 3 6 2 2" xfId="23788" xr:uid="{992E8C26-C099-4315-84A0-2317DA1FAE16}"/>
    <cellStyle name="Normal 5 4 2 3 6 2 3" xfId="15347" xr:uid="{AD24D78C-BAC3-4291-A214-732E1FB31958}"/>
    <cellStyle name="Normal 5 4 2 3 6 3" xfId="19570" xr:uid="{EF0A3308-5042-4D8C-BE1E-881852B3C579}"/>
    <cellStyle name="Normal 5 4 2 3 6 4" xfId="11129" xr:uid="{A8FADB47-0BB8-4934-B795-52520806ACB6}"/>
    <cellStyle name="Normal 5 4 2 3 7" xfId="4832" xr:uid="{00000000-0005-0000-0000-0000EA1A0000}"/>
    <cellStyle name="Normal 5 4 2 3 7 2" xfId="21723" xr:uid="{CE0A4FAF-9CA1-413B-BBD9-A2957A537734}"/>
    <cellStyle name="Normal 5 4 2 3 7 3" xfId="13282" xr:uid="{F35B3397-27C1-492F-B469-1E9DC0AB2266}"/>
    <cellStyle name="Normal 5 4 2 3 8" xfId="17505" xr:uid="{D58D783B-D115-4499-9C2E-834A7C3BD7ED}"/>
    <cellStyle name="Normal 5 4 2 3 9" xfId="9064" xr:uid="{D4BED20C-56AF-43E3-AFB6-8BDF925C6008}"/>
    <cellStyle name="Normal 5 4 2 4" xfId="931" xr:uid="{00000000-0005-0000-0000-0000EB1A0000}"/>
    <cellStyle name="Normal 5 4 2 4 2" xfId="3165" xr:uid="{00000000-0005-0000-0000-0000EC1A0000}"/>
    <cellStyle name="Normal 5 4 2 4 2 2" xfId="7387" xr:uid="{00000000-0005-0000-0000-0000ED1A0000}"/>
    <cellStyle name="Normal 5 4 2 4 2 2 2" xfId="24278" xr:uid="{43F2529A-AF69-40A8-A2FB-D573FF20BFE8}"/>
    <cellStyle name="Normal 5 4 2 4 2 2 3" xfId="15837" xr:uid="{C5D153DD-E8BF-43A3-8DEF-A48D86DD80B8}"/>
    <cellStyle name="Normal 5 4 2 4 2 3" xfId="20060" xr:uid="{759BEB1B-0E33-404E-9F19-BC433E9B5F2F}"/>
    <cellStyle name="Normal 5 4 2 4 2 4" xfId="11619" xr:uid="{5B70E18C-01C8-448F-A62B-40D069B0C63E}"/>
    <cellStyle name="Normal 5 4 2 4 3" xfId="5242" xr:uid="{00000000-0005-0000-0000-0000EE1A0000}"/>
    <cellStyle name="Normal 5 4 2 4 3 2" xfId="22133" xr:uid="{6C56B51E-2563-4B56-BB04-460CCC4C0ACD}"/>
    <cellStyle name="Normal 5 4 2 4 3 3" xfId="13692" xr:uid="{254AEDD7-F1DB-4E44-859A-F381B4049AF9}"/>
    <cellStyle name="Normal 5 4 2 4 4" xfId="17915" xr:uid="{E6A803D9-32DF-4408-A232-72809C4048AC}"/>
    <cellStyle name="Normal 5 4 2 4 5" xfId="9474" xr:uid="{917B99DD-5FC1-441D-9FEC-1E6EAF3F854C}"/>
    <cellStyle name="Normal 5 4 2 5" xfId="1348" xr:uid="{00000000-0005-0000-0000-0000EF1A0000}"/>
    <cellStyle name="Normal 5 4 2 5 2" xfId="3578" xr:uid="{00000000-0005-0000-0000-0000F01A0000}"/>
    <cellStyle name="Normal 5 4 2 5 2 2" xfId="7800" xr:uid="{00000000-0005-0000-0000-0000F11A0000}"/>
    <cellStyle name="Normal 5 4 2 5 2 2 2" xfId="24691" xr:uid="{41A1CAC1-F71E-475E-8408-5D4C47C95548}"/>
    <cellStyle name="Normal 5 4 2 5 2 2 3" xfId="16250" xr:uid="{036642D4-BADE-414F-9FF5-DD49A9FF817B}"/>
    <cellStyle name="Normal 5 4 2 5 2 3" xfId="20473" xr:uid="{EF39E9C9-3375-4B10-B932-CC685334FFAD}"/>
    <cellStyle name="Normal 5 4 2 5 2 4" xfId="12032" xr:uid="{9F8F38B8-3A21-4741-83D3-DFBD42192746}"/>
    <cellStyle name="Normal 5 4 2 5 3" xfId="5655" xr:uid="{00000000-0005-0000-0000-0000F21A0000}"/>
    <cellStyle name="Normal 5 4 2 5 3 2" xfId="22546" xr:uid="{CD3FAC91-C9E3-4889-B392-3AE29DBDCD23}"/>
    <cellStyle name="Normal 5 4 2 5 3 3" xfId="14105" xr:uid="{C47FA742-402C-4EC6-B13F-C69DBA594CBE}"/>
    <cellStyle name="Normal 5 4 2 5 4" xfId="18328" xr:uid="{61574288-F846-40D6-BBA1-E46368DB762E}"/>
    <cellStyle name="Normal 5 4 2 5 5" xfId="9887" xr:uid="{7398708F-623C-4798-A793-D72D271F96EB}"/>
    <cellStyle name="Normal 5 4 2 6" xfId="1761" xr:uid="{00000000-0005-0000-0000-0000F31A0000}"/>
    <cellStyle name="Normal 5 4 2 6 2" xfId="3991" xr:uid="{00000000-0005-0000-0000-0000F41A0000}"/>
    <cellStyle name="Normal 5 4 2 6 2 2" xfId="8213" xr:uid="{00000000-0005-0000-0000-0000F51A0000}"/>
    <cellStyle name="Normal 5 4 2 6 2 2 2" xfId="25104" xr:uid="{EA902692-C2A4-4C99-A48B-2B6A81391D19}"/>
    <cellStyle name="Normal 5 4 2 6 2 2 3" xfId="16663" xr:uid="{ADD3A579-A5E3-41BC-B4A3-5A8A0C4A7AFE}"/>
    <cellStyle name="Normal 5 4 2 6 2 3" xfId="20886" xr:uid="{2AD25FC0-42DD-49D9-BDB0-1AB588BA0539}"/>
    <cellStyle name="Normal 5 4 2 6 2 4" xfId="12445" xr:uid="{82DDF1C4-B644-4A7A-B328-BFF4F01B229B}"/>
    <cellStyle name="Normal 5 4 2 6 3" xfId="6068" xr:uid="{00000000-0005-0000-0000-0000F61A0000}"/>
    <cellStyle name="Normal 5 4 2 6 3 2" xfId="22959" xr:uid="{F17248D5-833A-4A43-B0F2-F64F58805EF7}"/>
    <cellStyle name="Normal 5 4 2 6 3 3" xfId="14518" xr:uid="{76A791D7-43F9-4BC3-B7BC-6C2BBD9F1BD6}"/>
    <cellStyle name="Normal 5 4 2 6 4" xfId="18741" xr:uid="{74138096-82D1-4D69-9BDB-B7B6AF4E9DB7}"/>
    <cellStyle name="Normal 5 4 2 6 5" xfId="10300" xr:uid="{E0156EDD-9C23-4746-AF6B-C94A60FACF3E}"/>
    <cellStyle name="Normal 5 4 2 7" xfId="2175" xr:uid="{00000000-0005-0000-0000-0000F71A0000}"/>
    <cellStyle name="Normal 5 4 2 7 2" xfId="4404" xr:uid="{00000000-0005-0000-0000-0000F81A0000}"/>
    <cellStyle name="Normal 5 4 2 7 2 2" xfId="8626" xr:uid="{00000000-0005-0000-0000-0000F91A0000}"/>
    <cellStyle name="Normal 5 4 2 7 2 2 2" xfId="25517" xr:uid="{26533747-3903-45D6-8B4C-1BDEB2051607}"/>
    <cellStyle name="Normal 5 4 2 7 2 2 3" xfId="17076" xr:uid="{885B3794-66D6-44B6-993A-D603640A6E6C}"/>
    <cellStyle name="Normal 5 4 2 7 2 3" xfId="21299" xr:uid="{FEF014B6-B1B3-4DD9-9B06-9F6FA11F1051}"/>
    <cellStyle name="Normal 5 4 2 7 2 4" xfId="12858" xr:uid="{6FE79D26-9BEF-429B-8A63-FF5A9473DEE6}"/>
    <cellStyle name="Normal 5 4 2 7 3" xfId="6481" xr:uid="{00000000-0005-0000-0000-0000FA1A0000}"/>
    <cellStyle name="Normal 5 4 2 7 3 2" xfId="23372" xr:uid="{F2D78125-33CE-4AE5-AFED-9700E447671D}"/>
    <cellStyle name="Normal 5 4 2 7 3 3" xfId="14931" xr:uid="{402F7D31-EE98-43F7-AC60-41F3DE8C67D3}"/>
    <cellStyle name="Normal 5 4 2 7 4" xfId="19154" xr:uid="{AF45B01C-DC70-48AF-9BB3-FC45059FCB50}"/>
    <cellStyle name="Normal 5 4 2 7 5" xfId="10713" xr:uid="{8C5EEEDE-A973-49B3-BD65-335F5B010F25}"/>
    <cellStyle name="Normal 5 4 2 8" xfId="2611" xr:uid="{00000000-0005-0000-0000-0000FB1A0000}"/>
    <cellStyle name="Normal 5 4 2 8 2" xfId="6894" xr:uid="{00000000-0005-0000-0000-0000FC1A0000}"/>
    <cellStyle name="Normal 5 4 2 8 2 2" xfId="23785" xr:uid="{6CC0AAB8-DF26-4AF3-9E61-D50070D2D3CC}"/>
    <cellStyle name="Normal 5 4 2 8 2 3" xfId="15344" xr:uid="{EDF6F760-FD80-41E9-B435-2D4EC99E2CD8}"/>
    <cellStyle name="Normal 5 4 2 8 3" xfId="19567" xr:uid="{C7742AB2-CAF4-4653-BAA5-33534856C3C0}"/>
    <cellStyle name="Normal 5 4 2 8 4" xfId="11126" xr:uid="{533D5BE2-9D05-4748-922C-C5A9A443302A}"/>
    <cellStyle name="Normal 5 4 2 9" xfId="4829" xr:uid="{00000000-0005-0000-0000-0000FD1A0000}"/>
    <cellStyle name="Normal 5 4 2 9 2" xfId="21720" xr:uid="{340C2472-8815-4EDE-933F-C2FFE3C1DE01}"/>
    <cellStyle name="Normal 5 4 2 9 3" xfId="13279" xr:uid="{91518BB7-305F-4F9B-ADBD-03430097ED8B}"/>
    <cellStyle name="Normal 5 4 3" xfId="461" xr:uid="{00000000-0005-0000-0000-0000FE1A0000}"/>
    <cellStyle name="Normal 5 4 3 10" xfId="9065" xr:uid="{C329EBF7-71A4-4FF9-B0FD-AD0E553B2BC1}"/>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24283" xr:uid="{38D5011E-327A-400A-B819-A4665AED0504}"/>
    <cellStyle name="Normal 5 4 3 2 2 2 2 3" xfId="15842" xr:uid="{7DCA8836-9813-4FC1-B298-361E224ADA03}"/>
    <cellStyle name="Normal 5 4 3 2 2 2 3" xfId="20065" xr:uid="{506C00EC-7ACE-44FA-9655-6EB512212923}"/>
    <cellStyle name="Normal 5 4 3 2 2 2 4" xfId="11624" xr:uid="{E7A42FFB-C9CF-4FC8-A86B-D425573022D6}"/>
    <cellStyle name="Normal 5 4 3 2 2 3" xfId="5247" xr:uid="{00000000-0005-0000-0000-0000031B0000}"/>
    <cellStyle name="Normal 5 4 3 2 2 3 2" xfId="22138" xr:uid="{351E88DB-450A-4160-A6CC-643193D43E8E}"/>
    <cellStyle name="Normal 5 4 3 2 2 3 3" xfId="13697" xr:uid="{0BDB3597-7BA9-405B-988D-47D895AD80DE}"/>
    <cellStyle name="Normal 5 4 3 2 2 4" xfId="17920" xr:uid="{0BC507D3-C8E2-4E94-ADFB-9EDB6BC7ADA7}"/>
    <cellStyle name="Normal 5 4 3 2 2 5" xfId="9479" xr:uid="{C94D690F-01B7-402E-9968-168D2F2E8F6E}"/>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24696" xr:uid="{22317896-9776-4218-903F-E65B6D9BF636}"/>
    <cellStyle name="Normal 5 4 3 2 3 2 2 3" xfId="16255" xr:uid="{35026B81-2A9D-4FA3-BEE0-340216285A35}"/>
    <cellStyle name="Normal 5 4 3 2 3 2 3" xfId="20478" xr:uid="{5A4A8110-EC5A-4EA5-A395-C4D7ADE6D43A}"/>
    <cellStyle name="Normal 5 4 3 2 3 2 4" xfId="12037" xr:uid="{327E025A-4DFB-496E-97C6-6A6FCE874275}"/>
    <cellStyle name="Normal 5 4 3 2 3 3" xfId="5660" xr:uid="{00000000-0005-0000-0000-0000071B0000}"/>
    <cellStyle name="Normal 5 4 3 2 3 3 2" xfId="22551" xr:uid="{9D835860-FB28-4F68-AFD7-1FABE8F23595}"/>
    <cellStyle name="Normal 5 4 3 2 3 3 3" xfId="14110" xr:uid="{DFB5D1CD-E30B-4DEA-B4CC-E2E80A6EC1C4}"/>
    <cellStyle name="Normal 5 4 3 2 3 4" xfId="18333" xr:uid="{0D227B9B-F79B-4F98-BCA5-138142B47874}"/>
    <cellStyle name="Normal 5 4 3 2 3 5" xfId="9892" xr:uid="{444555BC-B611-413A-B372-E5C4891ABEAB}"/>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25109" xr:uid="{146015F9-7583-4DC7-BDA5-431283953785}"/>
    <cellStyle name="Normal 5 4 3 2 4 2 2 3" xfId="16668" xr:uid="{1DCB9D5D-FC67-49FB-A1BB-DA25E8CC3CA9}"/>
    <cellStyle name="Normal 5 4 3 2 4 2 3" xfId="20891" xr:uid="{82016758-02DA-4B6E-AB50-4CBFCCBABE67}"/>
    <cellStyle name="Normal 5 4 3 2 4 2 4" xfId="12450" xr:uid="{74818458-389C-4AC9-A9DF-56603A2B12EB}"/>
    <cellStyle name="Normal 5 4 3 2 4 3" xfId="6073" xr:uid="{00000000-0005-0000-0000-00000B1B0000}"/>
    <cellStyle name="Normal 5 4 3 2 4 3 2" xfId="22964" xr:uid="{6901B2B8-9619-47E9-BC6F-492A6E55DD96}"/>
    <cellStyle name="Normal 5 4 3 2 4 3 3" xfId="14523" xr:uid="{96164B98-7169-4359-BA15-17085B43CECD}"/>
    <cellStyle name="Normal 5 4 3 2 4 4" xfId="18746" xr:uid="{2F0C58AD-BFA4-4AEC-B106-7273A381BFAC}"/>
    <cellStyle name="Normal 5 4 3 2 4 5" xfId="10305" xr:uid="{4E1E936A-5677-4E9A-AD36-47B71172D58C}"/>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25522" xr:uid="{7B165ED8-9DB2-4BEE-9F9B-50BEA5ECCDB5}"/>
    <cellStyle name="Normal 5 4 3 2 5 2 2 3" xfId="17081" xr:uid="{E402407F-22FA-4B1F-B933-6C61EFB756C0}"/>
    <cellStyle name="Normal 5 4 3 2 5 2 3" xfId="21304" xr:uid="{19CD4FE1-30A7-4AEE-B5BE-AC58C9D9F159}"/>
    <cellStyle name="Normal 5 4 3 2 5 2 4" xfId="12863" xr:uid="{6996E38D-2B87-48CA-98D6-20EA0C365307}"/>
    <cellStyle name="Normal 5 4 3 2 5 3" xfId="6486" xr:uid="{00000000-0005-0000-0000-00000F1B0000}"/>
    <cellStyle name="Normal 5 4 3 2 5 3 2" xfId="23377" xr:uid="{C4883A2D-60AB-42A9-ADF4-6148397DE45E}"/>
    <cellStyle name="Normal 5 4 3 2 5 3 3" xfId="14936" xr:uid="{5C7B9403-306A-4681-8A3D-1F4BA4A4EB19}"/>
    <cellStyle name="Normal 5 4 3 2 5 4" xfId="19159" xr:uid="{47A5D064-82EC-40A6-B98B-4A71E37D0507}"/>
    <cellStyle name="Normal 5 4 3 2 5 5" xfId="10718" xr:uid="{34261C80-6F71-4D1B-A78C-747D5813DB4A}"/>
    <cellStyle name="Normal 5 4 3 2 6" xfId="2616" xr:uid="{00000000-0005-0000-0000-0000101B0000}"/>
    <cellStyle name="Normal 5 4 3 2 6 2" xfId="6899" xr:uid="{00000000-0005-0000-0000-0000111B0000}"/>
    <cellStyle name="Normal 5 4 3 2 6 2 2" xfId="23790" xr:uid="{BE898A75-198B-40F8-84D0-B3519C0C3778}"/>
    <cellStyle name="Normal 5 4 3 2 6 2 3" xfId="15349" xr:uid="{9E3F6C67-3FC5-4680-A6CF-8D52AB8B37C4}"/>
    <cellStyle name="Normal 5 4 3 2 6 3" xfId="19572" xr:uid="{4B21DCCA-9B37-4E2E-898F-FE34982063FF}"/>
    <cellStyle name="Normal 5 4 3 2 6 4" xfId="11131" xr:uid="{1DD017C5-2EB0-45C6-B20C-EE9B855DCABD}"/>
    <cellStyle name="Normal 5 4 3 2 7" xfId="4834" xr:uid="{00000000-0005-0000-0000-0000121B0000}"/>
    <cellStyle name="Normal 5 4 3 2 7 2" xfId="21725" xr:uid="{5AF338F5-1B87-46CF-8936-4D984F5EA42E}"/>
    <cellStyle name="Normal 5 4 3 2 7 3" xfId="13284" xr:uid="{238B870F-87B3-42A2-9490-01DE54C51BB5}"/>
    <cellStyle name="Normal 5 4 3 2 8" xfId="17507" xr:uid="{3C2873DB-42CF-4527-AD3B-C586075F8CCF}"/>
    <cellStyle name="Normal 5 4 3 2 9" xfId="9066" xr:uid="{DDC95C47-FCC9-402F-8C15-AE7C43F1862B}"/>
    <cellStyle name="Normal 5 4 3 3" xfId="935" xr:uid="{00000000-0005-0000-0000-0000131B0000}"/>
    <cellStyle name="Normal 5 4 3 3 2" xfId="3169" xr:uid="{00000000-0005-0000-0000-0000141B0000}"/>
    <cellStyle name="Normal 5 4 3 3 2 2" xfId="7391" xr:uid="{00000000-0005-0000-0000-0000151B0000}"/>
    <cellStyle name="Normal 5 4 3 3 2 2 2" xfId="24282" xr:uid="{DAFBFDF8-1839-4D5F-8726-3DCB61C2E28A}"/>
    <cellStyle name="Normal 5 4 3 3 2 2 3" xfId="15841" xr:uid="{A84C39D2-63B1-4D37-807D-646D91418D7F}"/>
    <cellStyle name="Normal 5 4 3 3 2 3" xfId="20064" xr:uid="{EC9913D0-E359-47B9-9DF2-7FE9983030D1}"/>
    <cellStyle name="Normal 5 4 3 3 2 4" xfId="11623" xr:uid="{A8B2716B-40A2-4B7A-9187-2AD779CA54AC}"/>
    <cellStyle name="Normal 5 4 3 3 3" xfId="5246" xr:uid="{00000000-0005-0000-0000-0000161B0000}"/>
    <cellStyle name="Normal 5 4 3 3 3 2" xfId="22137" xr:uid="{4F8B5DA8-0F04-4D9F-B507-1166B041AB91}"/>
    <cellStyle name="Normal 5 4 3 3 3 3" xfId="13696" xr:uid="{69EBD06C-F723-48EC-81E5-0C6E9C1DE96B}"/>
    <cellStyle name="Normal 5 4 3 3 4" xfId="17919" xr:uid="{1A41C9CF-5721-4A22-B644-A51BDE4A6E59}"/>
    <cellStyle name="Normal 5 4 3 3 5" xfId="9478" xr:uid="{686797EF-5858-493A-A971-1CCD865C951F}"/>
    <cellStyle name="Normal 5 4 3 4" xfId="1352" xr:uid="{00000000-0005-0000-0000-0000171B0000}"/>
    <cellStyle name="Normal 5 4 3 4 2" xfId="3582" xr:uid="{00000000-0005-0000-0000-0000181B0000}"/>
    <cellStyle name="Normal 5 4 3 4 2 2" xfId="7804" xr:uid="{00000000-0005-0000-0000-0000191B0000}"/>
    <cellStyle name="Normal 5 4 3 4 2 2 2" xfId="24695" xr:uid="{57BEEC03-A824-4606-AB87-261F5723AD39}"/>
    <cellStyle name="Normal 5 4 3 4 2 2 3" xfId="16254" xr:uid="{3F3ACF50-1DB6-4FDA-9567-D2A3A597099C}"/>
    <cellStyle name="Normal 5 4 3 4 2 3" xfId="20477" xr:uid="{7130177A-BC5A-4760-9640-D6EE102F9326}"/>
    <cellStyle name="Normal 5 4 3 4 2 4" xfId="12036" xr:uid="{6E1966AA-6BEC-4249-8428-8AD3660BBDA5}"/>
    <cellStyle name="Normal 5 4 3 4 3" xfId="5659" xr:uid="{00000000-0005-0000-0000-00001A1B0000}"/>
    <cellStyle name="Normal 5 4 3 4 3 2" xfId="22550" xr:uid="{FEAD8046-0441-4FA8-9BB3-55855FC0BBDB}"/>
    <cellStyle name="Normal 5 4 3 4 3 3" xfId="14109" xr:uid="{698D5C94-5CB7-409C-AE60-1B5875D02271}"/>
    <cellStyle name="Normal 5 4 3 4 4" xfId="18332" xr:uid="{01E092AF-BDAD-49DD-A3FE-62F983002BFF}"/>
    <cellStyle name="Normal 5 4 3 4 5" xfId="9891" xr:uid="{E6177B2A-B9DA-46F8-8091-3C3ACD0C4423}"/>
    <cellStyle name="Normal 5 4 3 5" xfId="1765" xr:uid="{00000000-0005-0000-0000-00001B1B0000}"/>
    <cellStyle name="Normal 5 4 3 5 2" xfId="3995" xr:uid="{00000000-0005-0000-0000-00001C1B0000}"/>
    <cellStyle name="Normal 5 4 3 5 2 2" xfId="8217" xr:uid="{00000000-0005-0000-0000-00001D1B0000}"/>
    <cellStyle name="Normal 5 4 3 5 2 2 2" xfId="25108" xr:uid="{4B7A18AE-9311-4BFD-8ECE-5CB6B536B895}"/>
    <cellStyle name="Normal 5 4 3 5 2 2 3" xfId="16667" xr:uid="{26A79420-0EDD-4A9B-8CEA-5C0DBEF7199F}"/>
    <cellStyle name="Normal 5 4 3 5 2 3" xfId="20890" xr:uid="{4B19A227-9CF2-4E8B-BB9C-FA538E29B00A}"/>
    <cellStyle name="Normal 5 4 3 5 2 4" xfId="12449" xr:uid="{CB01A3AC-B359-4131-90C2-EDEA5AA4200C}"/>
    <cellStyle name="Normal 5 4 3 5 3" xfId="6072" xr:uid="{00000000-0005-0000-0000-00001E1B0000}"/>
    <cellStyle name="Normal 5 4 3 5 3 2" xfId="22963" xr:uid="{17250E80-D6DD-4D4F-91D6-CE6E163DDB61}"/>
    <cellStyle name="Normal 5 4 3 5 3 3" xfId="14522" xr:uid="{F6F03BE2-705B-4559-817C-CBC8F5940A6A}"/>
    <cellStyle name="Normal 5 4 3 5 4" xfId="18745" xr:uid="{AC74F857-DA02-4D8C-9DEA-7368DC457047}"/>
    <cellStyle name="Normal 5 4 3 5 5" xfId="10304" xr:uid="{C409F211-9832-4559-BF4E-A91D1B0AC0FF}"/>
    <cellStyle name="Normal 5 4 3 6" xfId="2179" xr:uid="{00000000-0005-0000-0000-00001F1B0000}"/>
    <cellStyle name="Normal 5 4 3 6 2" xfId="4408" xr:uid="{00000000-0005-0000-0000-0000201B0000}"/>
    <cellStyle name="Normal 5 4 3 6 2 2" xfId="8630" xr:uid="{00000000-0005-0000-0000-0000211B0000}"/>
    <cellStyle name="Normal 5 4 3 6 2 2 2" xfId="25521" xr:uid="{2E53F5F3-9BFF-4049-BD2B-327B5918AF21}"/>
    <cellStyle name="Normal 5 4 3 6 2 2 3" xfId="17080" xr:uid="{BE6551E6-319D-4257-AAFE-80B20945A146}"/>
    <cellStyle name="Normal 5 4 3 6 2 3" xfId="21303" xr:uid="{8DE478C9-D22C-42B1-816E-627187D2B34B}"/>
    <cellStyle name="Normal 5 4 3 6 2 4" xfId="12862" xr:uid="{3D6056CD-5F3D-42EF-ABDA-8C60B9F85B55}"/>
    <cellStyle name="Normal 5 4 3 6 3" xfId="6485" xr:uid="{00000000-0005-0000-0000-0000221B0000}"/>
    <cellStyle name="Normal 5 4 3 6 3 2" xfId="23376" xr:uid="{4063C890-6053-4525-900B-40F0CCD06A6E}"/>
    <cellStyle name="Normal 5 4 3 6 3 3" xfId="14935" xr:uid="{A4650E53-B05E-44B0-9B65-B4BFE6F7067E}"/>
    <cellStyle name="Normal 5 4 3 6 4" xfId="19158" xr:uid="{D5A860F8-BD8F-47EF-B452-91BB6172AA8B}"/>
    <cellStyle name="Normal 5 4 3 6 5" xfId="10717" xr:uid="{01F273AC-0944-4EEC-AE27-30AECADEAC58}"/>
    <cellStyle name="Normal 5 4 3 7" xfId="2615" xr:uid="{00000000-0005-0000-0000-0000231B0000}"/>
    <cellStyle name="Normal 5 4 3 7 2" xfId="6898" xr:uid="{00000000-0005-0000-0000-0000241B0000}"/>
    <cellStyle name="Normal 5 4 3 7 2 2" xfId="23789" xr:uid="{BD4B850F-9D24-4D6B-A5CD-CD0329D4D2AF}"/>
    <cellStyle name="Normal 5 4 3 7 2 3" xfId="15348" xr:uid="{87F85657-8990-4DDA-8418-7CA9A916DFE3}"/>
    <cellStyle name="Normal 5 4 3 7 3" xfId="19571" xr:uid="{AD7B17E7-06A3-453B-9A7B-03BA4461D464}"/>
    <cellStyle name="Normal 5 4 3 7 4" xfId="11130" xr:uid="{F08AD67A-79F9-4CFE-98DF-2CD06523D45E}"/>
    <cellStyle name="Normal 5 4 3 8" xfId="4833" xr:uid="{00000000-0005-0000-0000-0000251B0000}"/>
    <cellStyle name="Normal 5 4 3 8 2" xfId="21724" xr:uid="{07178109-8E3A-45E0-8704-D76B32397F2C}"/>
    <cellStyle name="Normal 5 4 3 8 3" xfId="13283" xr:uid="{7896D473-28D7-4F90-A713-7BE648F8092B}"/>
    <cellStyle name="Normal 5 4 3 9" xfId="17506" xr:uid="{0E47C805-6D61-4024-9819-BD49ED2E1ED3}"/>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2 2 2" xfId="24284" xr:uid="{88A3CBB3-246C-4B67-ACBA-39FB725A4177}"/>
    <cellStyle name="Normal 5 4 4 2 2 2 3" xfId="15843" xr:uid="{FAC695FF-6DF9-454B-8595-BABC523B9FBF}"/>
    <cellStyle name="Normal 5 4 4 2 2 3" xfId="20066" xr:uid="{C8E981C5-747B-4546-AD40-84CF82675279}"/>
    <cellStyle name="Normal 5 4 4 2 2 4" xfId="11625" xr:uid="{41B6BBA1-1FCF-4EB6-87D2-B29BB15790C5}"/>
    <cellStyle name="Normal 5 4 4 2 3" xfId="5248" xr:uid="{00000000-0005-0000-0000-00002A1B0000}"/>
    <cellStyle name="Normal 5 4 4 2 3 2" xfId="22139" xr:uid="{90FD9717-8247-45C9-8268-4C6E08BDF6DB}"/>
    <cellStyle name="Normal 5 4 4 2 3 3" xfId="13698" xr:uid="{67F9591A-3E49-47FE-A7E7-15FF4E2FF49D}"/>
    <cellStyle name="Normal 5 4 4 2 4" xfId="17921" xr:uid="{03C03D9C-4DDB-4F25-AE1C-EF3A63457517}"/>
    <cellStyle name="Normal 5 4 4 2 5" xfId="9480" xr:uid="{4CB80DEC-57B2-46FF-B32D-CB2E6DCA44D5}"/>
    <cellStyle name="Normal 5 4 4 3" xfId="1354" xr:uid="{00000000-0005-0000-0000-00002B1B0000}"/>
    <cellStyle name="Normal 5 4 4 3 2" xfId="3584" xr:uid="{00000000-0005-0000-0000-00002C1B0000}"/>
    <cellStyle name="Normal 5 4 4 3 2 2" xfId="7806" xr:uid="{00000000-0005-0000-0000-00002D1B0000}"/>
    <cellStyle name="Normal 5 4 4 3 2 2 2" xfId="24697" xr:uid="{25E63FEF-074F-49EE-8C2A-823AB5D89ACF}"/>
    <cellStyle name="Normal 5 4 4 3 2 2 3" xfId="16256" xr:uid="{61C109E8-4ECE-4888-BDAF-C555DB504008}"/>
    <cellStyle name="Normal 5 4 4 3 2 3" xfId="20479" xr:uid="{37AC6A3C-5CB5-43E8-8C7D-40939C9031B1}"/>
    <cellStyle name="Normal 5 4 4 3 2 4" xfId="12038" xr:uid="{BF52A20A-7520-468A-8C37-43F4975BBE6E}"/>
    <cellStyle name="Normal 5 4 4 3 3" xfId="5661" xr:uid="{00000000-0005-0000-0000-00002E1B0000}"/>
    <cellStyle name="Normal 5 4 4 3 3 2" xfId="22552" xr:uid="{D5CDD059-E97F-4CE8-83EA-EFFBC0BC9D96}"/>
    <cellStyle name="Normal 5 4 4 3 3 3" xfId="14111" xr:uid="{A46069C5-09DB-4526-B933-90A5F933D4F0}"/>
    <cellStyle name="Normal 5 4 4 3 4" xfId="18334" xr:uid="{066D18C4-68CC-4E76-A78C-DBCEC50EA05C}"/>
    <cellStyle name="Normal 5 4 4 3 5" xfId="9893" xr:uid="{78DBAE07-DDE3-41A4-A8E8-EEF14692A310}"/>
    <cellStyle name="Normal 5 4 4 4" xfId="1767" xr:uid="{00000000-0005-0000-0000-00002F1B0000}"/>
    <cellStyle name="Normal 5 4 4 4 2" xfId="3997" xr:uid="{00000000-0005-0000-0000-0000301B0000}"/>
    <cellStyle name="Normal 5 4 4 4 2 2" xfId="8219" xr:uid="{00000000-0005-0000-0000-0000311B0000}"/>
    <cellStyle name="Normal 5 4 4 4 2 2 2" xfId="25110" xr:uid="{FA866736-5032-426E-9453-A90E61A42F60}"/>
    <cellStyle name="Normal 5 4 4 4 2 2 3" xfId="16669" xr:uid="{0431E1DF-F96F-4F57-A239-07C3AFE7F1F4}"/>
    <cellStyle name="Normal 5 4 4 4 2 3" xfId="20892" xr:uid="{FC717AAC-97E5-4134-A522-F0753B341E24}"/>
    <cellStyle name="Normal 5 4 4 4 2 4" xfId="12451" xr:uid="{D8416E21-F283-4EB2-B855-1571FC3E8BC2}"/>
    <cellStyle name="Normal 5 4 4 4 3" xfId="6074" xr:uid="{00000000-0005-0000-0000-0000321B0000}"/>
    <cellStyle name="Normal 5 4 4 4 3 2" xfId="22965" xr:uid="{C08F637A-3D3B-4CD0-A45B-B076FF1789E5}"/>
    <cellStyle name="Normal 5 4 4 4 3 3" xfId="14524" xr:uid="{46619562-4AD8-433B-9C3F-465BF1AC9ED1}"/>
    <cellStyle name="Normal 5 4 4 4 4" xfId="18747" xr:uid="{08F277E1-5689-4723-AC02-818DFE768E2A}"/>
    <cellStyle name="Normal 5 4 4 4 5" xfId="10306" xr:uid="{89EC69A8-2635-42A1-9CEE-2FE4F1B36119}"/>
    <cellStyle name="Normal 5 4 4 5" xfId="2181" xr:uid="{00000000-0005-0000-0000-0000331B0000}"/>
    <cellStyle name="Normal 5 4 4 5 2" xfId="4410" xr:uid="{00000000-0005-0000-0000-0000341B0000}"/>
    <cellStyle name="Normal 5 4 4 5 2 2" xfId="8632" xr:uid="{00000000-0005-0000-0000-0000351B0000}"/>
    <cellStyle name="Normal 5 4 4 5 2 2 2" xfId="25523" xr:uid="{77D2CA8C-B668-4000-90EF-4A6D3E0DBC9D}"/>
    <cellStyle name="Normal 5 4 4 5 2 2 3" xfId="17082" xr:uid="{DF89ECFA-49FD-4361-85FC-F28B4CD41814}"/>
    <cellStyle name="Normal 5 4 4 5 2 3" xfId="21305" xr:uid="{15B33952-FED0-4921-8A50-F2DBAD5FEEEA}"/>
    <cellStyle name="Normal 5 4 4 5 2 4" xfId="12864" xr:uid="{5FA3EC98-CB0F-4943-9ECE-89770B4426C1}"/>
    <cellStyle name="Normal 5 4 4 5 3" xfId="6487" xr:uid="{00000000-0005-0000-0000-0000361B0000}"/>
    <cellStyle name="Normal 5 4 4 5 3 2" xfId="23378" xr:uid="{91076DCF-0277-4C07-B14D-1F35CBCB92E9}"/>
    <cellStyle name="Normal 5 4 4 5 3 3" xfId="14937" xr:uid="{8F5D3505-F9D3-4606-8FC0-FA72FC3CCE09}"/>
    <cellStyle name="Normal 5 4 4 5 4" xfId="19160" xr:uid="{3E86EF9B-5D08-4D5B-95B3-E5D775056C62}"/>
    <cellStyle name="Normal 5 4 4 5 5" xfId="10719" xr:uid="{53AC5C29-B1A8-4516-9623-9CC2725FAC8C}"/>
    <cellStyle name="Normal 5 4 4 6" xfId="2617" xr:uid="{00000000-0005-0000-0000-0000371B0000}"/>
    <cellStyle name="Normal 5 4 4 6 2" xfId="6900" xr:uid="{00000000-0005-0000-0000-0000381B0000}"/>
    <cellStyle name="Normal 5 4 4 6 2 2" xfId="23791" xr:uid="{E75D6BCD-7B60-41FF-AFF6-24222BDAEC34}"/>
    <cellStyle name="Normal 5 4 4 6 2 3" xfId="15350" xr:uid="{06A2903C-9D8C-4619-A77C-6DF24976DD3E}"/>
    <cellStyle name="Normal 5 4 4 6 3" xfId="19573" xr:uid="{DD899C67-19BD-4557-9E43-C2C31C80CCAC}"/>
    <cellStyle name="Normal 5 4 4 6 4" xfId="11132" xr:uid="{724D44B4-FF3F-43B0-9EFB-C9E02443C033}"/>
    <cellStyle name="Normal 5 4 4 7" xfId="4835" xr:uid="{00000000-0005-0000-0000-0000391B0000}"/>
    <cellStyle name="Normal 5 4 4 7 2" xfId="21726" xr:uid="{77FC9E2B-2B5F-40DB-8D71-4D234CE67A17}"/>
    <cellStyle name="Normal 5 4 4 7 3" xfId="13285" xr:uid="{76DC99DC-DB88-49DA-A02F-2A6447774F1C}"/>
    <cellStyle name="Normal 5 4 4 8" xfId="17508" xr:uid="{E6AD69FD-B653-4F80-A00E-DC6E5348595D}"/>
    <cellStyle name="Normal 5 4 4 9" xfId="9067" xr:uid="{01DD6398-4992-4DAC-8C1A-A2EC534D2CD2}"/>
    <cellStyle name="Normal 5 4 5" xfId="930" xr:uid="{00000000-0005-0000-0000-00003A1B0000}"/>
    <cellStyle name="Normal 5 4 5 2" xfId="3164" xr:uid="{00000000-0005-0000-0000-00003B1B0000}"/>
    <cellStyle name="Normal 5 4 5 2 2" xfId="7386" xr:uid="{00000000-0005-0000-0000-00003C1B0000}"/>
    <cellStyle name="Normal 5 4 5 2 2 2" xfId="24277" xr:uid="{D69AE445-ED0E-465E-B87B-C36A61EF5095}"/>
    <cellStyle name="Normal 5 4 5 2 2 3" xfId="15836" xr:uid="{70168AF6-14CB-4F9E-9E14-236651492E92}"/>
    <cellStyle name="Normal 5 4 5 2 3" xfId="20059" xr:uid="{95DAB9FB-BF1C-4B33-A054-88239024E148}"/>
    <cellStyle name="Normal 5 4 5 2 4" xfId="11618" xr:uid="{0998106C-C75F-4CB9-8B34-F69617969A0A}"/>
    <cellStyle name="Normal 5 4 5 3" xfId="5241" xr:uid="{00000000-0005-0000-0000-00003D1B0000}"/>
    <cellStyle name="Normal 5 4 5 3 2" xfId="22132" xr:uid="{284206F2-C896-4D56-8577-355B19AE20F7}"/>
    <cellStyle name="Normal 5 4 5 3 3" xfId="13691" xr:uid="{1D833392-2258-4314-AD1D-22AA165B6CCC}"/>
    <cellStyle name="Normal 5 4 5 4" xfId="17914" xr:uid="{D77CE8D5-0027-429B-9D36-C3EBFE7A1A75}"/>
    <cellStyle name="Normal 5 4 5 5" xfId="9473" xr:uid="{75EBC407-5EF1-4893-AD7F-4D52DF40F2A0}"/>
    <cellStyle name="Normal 5 4 6" xfId="1347" xr:uid="{00000000-0005-0000-0000-00003E1B0000}"/>
    <cellStyle name="Normal 5 4 6 2" xfId="3577" xr:uid="{00000000-0005-0000-0000-00003F1B0000}"/>
    <cellStyle name="Normal 5 4 6 2 2" xfId="7799" xr:uid="{00000000-0005-0000-0000-0000401B0000}"/>
    <cellStyle name="Normal 5 4 6 2 2 2" xfId="24690" xr:uid="{38961257-E37B-4677-929A-900ED4F03586}"/>
    <cellStyle name="Normal 5 4 6 2 2 3" xfId="16249" xr:uid="{4FC6192F-1F73-4FA8-B141-4234E5A6857D}"/>
    <cellStyle name="Normal 5 4 6 2 3" xfId="20472" xr:uid="{10432B11-5FE5-4BD7-8562-73037F38E455}"/>
    <cellStyle name="Normal 5 4 6 2 4" xfId="12031" xr:uid="{5209CFE4-6389-4B9A-AC02-CFA2A4B45FA8}"/>
    <cellStyle name="Normal 5 4 6 3" xfId="5654" xr:uid="{00000000-0005-0000-0000-0000411B0000}"/>
    <cellStyle name="Normal 5 4 6 3 2" xfId="22545" xr:uid="{E516BD9F-C86D-42C5-93F4-63A03C6BD76A}"/>
    <cellStyle name="Normal 5 4 6 3 3" xfId="14104" xr:uid="{E72A1A12-6F42-407F-AE87-7486636A7D96}"/>
    <cellStyle name="Normal 5 4 6 4" xfId="18327" xr:uid="{B6E5464F-6A8A-4133-B31B-F8F2E82237A8}"/>
    <cellStyle name="Normal 5 4 6 5" xfId="9886" xr:uid="{8C05AA36-31F5-4868-89E8-1EDE9BD7C8F3}"/>
    <cellStyle name="Normal 5 4 7" xfId="1760" xr:uid="{00000000-0005-0000-0000-0000421B0000}"/>
    <cellStyle name="Normal 5 4 7 2" xfId="3990" xr:uid="{00000000-0005-0000-0000-0000431B0000}"/>
    <cellStyle name="Normal 5 4 7 2 2" xfId="8212" xr:uid="{00000000-0005-0000-0000-0000441B0000}"/>
    <cellStyle name="Normal 5 4 7 2 2 2" xfId="25103" xr:uid="{684D6A2E-6F9C-4A6E-9714-1444843C67AC}"/>
    <cellStyle name="Normal 5 4 7 2 2 3" xfId="16662" xr:uid="{7FD76550-6907-465F-B994-966222AB125E}"/>
    <cellStyle name="Normal 5 4 7 2 3" xfId="20885" xr:uid="{4157A3EE-C45C-4A25-9156-D21CBA3C2F51}"/>
    <cellStyle name="Normal 5 4 7 2 4" xfId="12444" xr:uid="{71B0E43C-19DD-49A9-B708-5E38E372A891}"/>
    <cellStyle name="Normal 5 4 7 3" xfId="6067" xr:uid="{00000000-0005-0000-0000-0000451B0000}"/>
    <cellStyle name="Normal 5 4 7 3 2" xfId="22958" xr:uid="{5FA40E46-E07A-4838-95F9-BDFD3AE0A9D3}"/>
    <cellStyle name="Normal 5 4 7 3 3" xfId="14517" xr:uid="{4771FF5C-6648-4B5D-A7B3-461FF401330B}"/>
    <cellStyle name="Normal 5 4 7 4" xfId="18740" xr:uid="{05C6B4FF-868B-42FB-A553-0166F76D938F}"/>
    <cellStyle name="Normal 5 4 7 5" xfId="10299" xr:uid="{EDA73630-CC48-42AF-AF65-26C243F70D90}"/>
    <cellStyle name="Normal 5 4 8" xfId="2174" xr:uid="{00000000-0005-0000-0000-0000461B0000}"/>
    <cellStyle name="Normal 5 4 8 2" xfId="4403" xr:uid="{00000000-0005-0000-0000-0000471B0000}"/>
    <cellStyle name="Normal 5 4 8 2 2" xfId="8625" xr:uid="{00000000-0005-0000-0000-0000481B0000}"/>
    <cellStyle name="Normal 5 4 8 2 2 2" xfId="25516" xr:uid="{AD9E01B3-233A-41DC-BB29-7C6740C8BDBF}"/>
    <cellStyle name="Normal 5 4 8 2 2 3" xfId="17075" xr:uid="{64A7E612-6EBB-4CC1-A2C4-E7AF83361E6F}"/>
    <cellStyle name="Normal 5 4 8 2 3" xfId="21298" xr:uid="{B494BFC8-47E6-48BD-8D67-09CBA09D552B}"/>
    <cellStyle name="Normal 5 4 8 2 4" xfId="12857" xr:uid="{2D93AB3E-EF8B-403E-870D-4005B909B94C}"/>
    <cellStyle name="Normal 5 4 8 3" xfId="6480" xr:uid="{00000000-0005-0000-0000-0000491B0000}"/>
    <cellStyle name="Normal 5 4 8 3 2" xfId="23371" xr:uid="{7F10CE65-E63D-4B76-BD34-A914CBF62F49}"/>
    <cellStyle name="Normal 5 4 8 3 3" xfId="14930" xr:uid="{75AA888D-5E30-44A0-A663-79E2F796C21C}"/>
    <cellStyle name="Normal 5 4 8 4" xfId="19153" xr:uid="{56336869-1FD7-40BF-AAC8-4F88B744838B}"/>
    <cellStyle name="Normal 5 4 8 5" xfId="10712" xr:uid="{A1C623B1-CEE8-4795-BF8E-4DFA04A21A9F}"/>
    <cellStyle name="Normal 5 4 9" xfId="2610" xr:uid="{00000000-0005-0000-0000-00004A1B0000}"/>
    <cellStyle name="Normal 5 4 9 2" xfId="6893" xr:uid="{00000000-0005-0000-0000-00004B1B0000}"/>
    <cellStyle name="Normal 5 4 9 2 2" xfId="23784" xr:uid="{042677AD-20DC-4622-9692-E574DF482FE4}"/>
    <cellStyle name="Normal 5 4 9 2 3" xfId="15343" xr:uid="{F530AB95-4350-4A4D-8AFD-FBFD7CDCF53A}"/>
    <cellStyle name="Normal 5 4 9 3" xfId="19566" xr:uid="{C9274D43-DBE4-40F8-9AFA-2D6A5F85456D}"/>
    <cellStyle name="Normal 5 4 9 4" xfId="11125" xr:uid="{5B47E175-72E7-42DF-BA71-04E30446D96D}"/>
    <cellStyle name="Normal 5 5" xfId="464" xr:uid="{00000000-0005-0000-0000-00004C1B0000}"/>
    <cellStyle name="Normal 5 5 10" xfId="17509" xr:uid="{0DFD3250-F9D5-404A-A78F-6B1025331FCE}"/>
    <cellStyle name="Normal 5 5 11" xfId="9068" xr:uid="{58C00147-287D-4FC9-B036-B38FB935C1F8}"/>
    <cellStyle name="Normal 5 5 2" xfId="465" xr:uid="{00000000-0005-0000-0000-00004D1B0000}"/>
    <cellStyle name="Normal 5 5 2 10" xfId="9069" xr:uid="{5F26D768-0FC4-44BB-A54A-2773CBCF13D8}"/>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24287" xr:uid="{CA954BD2-5A9D-4404-A3DD-3E9F2DEAE44C}"/>
    <cellStyle name="Normal 5 5 2 2 2 2 2 3" xfId="15846" xr:uid="{3FFB1DD2-E9A7-47C6-900F-FE178DD508B5}"/>
    <cellStyle name="Normal 5 5 2 2 2 2 3" xfId="20069" xr:uid="{297F2F9B-E0CB-490A-966A-02343102472F}"/>
    <cellStyle name="Normal 5 5 2 2 2 2 4" xfId="11628" xr:uid="{FD3C021A-7E2F-47F5-8B63-1993A31FC1B3}"/>
    <cellStyle name="Normal 5 5 2 2 2 3" xfId="5251" xr:uid="{00000000-0005-0000-0000-0000521B0000}"/>
    <cellStyle name="Normal 5 5 2 2 2 3 2" xfId="22142" xr:uid="{04CEEE68-BD24-4AFA-9058-72330B813DBC}"/>
    <cellStyle name="Normal 5 5 2 2 2 3 3" xfId="13701" xr:uid="{679BB2A7-5B6A-4602-863A-0AFDACD35E27}"/>
    <cellStyle name="Normal 5 5 2 2 2 4" xfId="17924" xr:uid="{487B8481-E87F-406D-A567-71FD42E72745}"/>
    <cellStyle name="Normal 5 5 2 2 2 5" xfId="9483" xr:uid="{CA395AA7-45C5-4491-A607-F08FF057E1A8}"/>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24700" xr:uid="{656CC33F-A438-4805-B4BA-1AD374A21DDD}"/>
    <cellStyle name="Normal 5 5 2 2 3 2 2 3" xfId="16259" xr:uid="{65552C42-AE6B-4443-9685-1EC3E4478D5D}"/>
    <cellStyle name="Normal 5 5 2 2 3 2 3" xfId="20482" xr:uid="{2EB23F64-C40F-4482-AEA6-40E0F6D07FA1}"/>
    <cellStyle name="Normal 5 5 2 2 3 2 4" xfId="12041" xr:uid="{2742C922-13D2-4416-AF28-C9762894286B}"/>
    <cellStyle name="Normal 5 5 2 2 3 3" xfId="5664" xr:uid="{00000000-0005-0000-0000-0000561B0000}"/>
    <cellStyle name="Normal 5 5 2 2 3 3 2" xfId="22555" xr:uid="{5766E2B1-0930-493F-BAA5-FE5A68AE5FBF}"/>
    <cellStyle name="Normal 5 5 2 2 3 3 3" xfId="14114" xr:uid="{0F355ACF-5ABB-4669-B7AA-E3B8E4B0DF13}"/>
    <cellStyle name="Normal 5 5 2 2 3 4" xfId="18337" xr:uid="{3290283B-165E-4619-A885-A7D3D496795A}"/>
    <cellStyle name="Normal 5 5 2 2 3 5" xfId="9896" xr:uid="{346DC756-53C1-41DE-A307-E25FBDD673DE}"/>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25113" xr:uid="{E67907AA-DB39-4F67-AF34-4D303C771F64}"/>
    <cellStyle name="Normal 5 5 2 2 4 2 2 3" xfId="16672" xr:uid="{B8500DBA-B0FC-4247-ADA6-CAA43B074EC3}"/>
    <cellStyle name="Normal 5 5 2 2 4 2 3" xfId="20895" xr:uid="{F4067B0D-E530-4C43-B6E3-5C284369E050}"/>
    <cellStyle name="Normal 5 5 2 2 4 2 4" xfId="12454" xr:uid="{7C2279B7-9A72-4A54-9CFA-7ECFA8727E18}"/>
    <cellStyle name="Normal 5 5 2 2 4 3" xfId="6077" xr:uid="{00000000-0005-0000-0000-00005A1B0000}"/>
    <cellStyle name="Normal 5 5 2 2 4 3 2" xfId="22968" xr:uid="{12208D49-13AD-4953-900E-2CD8C292DF74}"/>
    <cellStyle name="Normal 5 5 2 2 4 3 3" xfId="14527" xr:uid="{104CABBB-9060-4A6B-A516-A0B9A6A94E50}"/>
    <cellStyle name="Normal 5 5 2 2 4 4" xfId="18750" xr:uid="{FD52618D-BF6D-4599-A51A-8E62BCC23793}"/>
    <cellStyle name="Normal 5 5 2 2 4 5" xfId="10309" xr:uid="{7CAB9761-CB52-4CD4-98F0-99C1D907D222}"/>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25526" xr:uid="{9A2A9873-0064-4679-A82A-8CF6DD10EE20}"/>
    <cellStyle name="Normal 5 5 2 2 5 2 2 3" xfId="17085" xr:uid="{F76FF1F4-DB40-4E1B-898D-FEC58483DD22}"/>
    <cellStyle name="Normal 5 5 2 2 5 2 3" xfId="21308" xr:uid="{6A1D7F36-8008-41ED-904B-29B37EAFCDFA}"/>
    <cellStyle name="Normal 5 5 2 2 5 2 4" xfId="12867" xr:uid="{5BD5F04B-CD9F-48A9-A6C2-4865825E02D7}"/>
    <cellStyle name="Normal 5 5 2 2 5 3" xfId="6490" xr:uid="{00000000-0005-0000-0000-00005E1B0000}"/>
    <cellStyle name="Normal 5 5 2 2 5 3 2" xfId="23381" xr:uid="{06D357E6-233A-48FA-A361-AA1229AC80AE}"/>
    <cellStyle name="Normal 5 5 2 2 5 3 3" xfId="14940" xr:uid="{55708814-00BE-4390-8B03-4BADB2D8FF6D}"/>
    <cellStyle name="Normal 5 5 2 2 5 4" xfId="19163" xr:uid="{17538192-D1D0-4A1A-A5A6-C5381AB54A80}"/>
    <cellStyle name="Normal 5 5 2 2 5 5" xfId="10722" xr:uid="{68A3434F-3270-4CC6-859E-DB01A3E48A3F}"/>
    <cellStyle name="Normal 5 5 2 2 6" xfId="2620" xr:uid="{00000000-0005-0000-0000-00005F1B0000}"/>
    <cellStyle name="Normal 5 5 2 2 6 2" xfId="6903" xr:uid="{00000000-0005-0000-0000-0000601B0000}"/>
    <cellStyle name="Normal 5 5 2 2 6 2 2" xfId="23794" xr:uid="{8646C346-DD40-45EB-8DFA-FEB210C0AE75}"/>
    <cellStyle name="Normal 5 5 2 2 6 2 3" xfId="15353" xr:uid="{5CCA6826-A89F-4B29-83D1-C7F58E3FE6A3}"/>
    <cellStyle name="Normal 5 5 2 2 6 3" xfId="19576" xr:uid="{03189726-7364-40C2-92B4-D72F7012A2AF}"/>
    <cellStyle name="Normal 5 5 2 2 6 4" xfId="11135" xr:uid="{B365D3F5-CDFE-489C-B3B3-EF82145A915C}"/>
    <cellStyle name="Normal 5 5 2 2 7" xfId="4838" xr:uid="{00000000-0005-0000-0000-0000611B0000}"/>
    <cellStyle name="Normal 5 5 2 2 7 2" xfId="21729" xr:uid="{39713430-3513-42A2-A144-9A704F0723E4}"/>
    <cellStyle name="Normal 5 5 2 2 7 3" xfId="13288" xr:uid="{2C74AB88-83DB-4176-B54E-EA66202E0230}"/>
    <cellStyle name="Normal 5 5 2 2 8" xfId="17511" xr:uid="{3E004C0E-2482-4A3E-B419-FD91D33C9D72}"/>
    <cellStyle name="Normal 5 5 2 2 9" xfId="9070" xr:uid="{1933CC6D-293E-4719-8C64-EFEF7E81D4B5}"/>
    <cellStyle name="Normal 5 5 2 3" xfId="939" xr:uid="{00000000-0005-0000-0000-0000621B0000}"/>
    <cellStyle name="Normal 5 5 2 3 2" xfId="3173" xr:uid="{00000000-0005-0000-0000-0000631B0000}"/>
    <cellStyle name="Normal 5 5 2 3 2 2" xfId="7395" xr:uid="{00000000-0005-0000-0000-0000641B0000}"/>
    <cellStyle name="Normal 5 5 2 3 2 2 2" xfId="24286" xr:uid="{064EB575-094F-4591-9B82-E331420E6F11}"/>
    <cellStyle name="Normal 5 5 2 3 2 2 3" xfId="15845" xr:uid="{45732533-0A17-4766-AFD1-1855962D3E26}"/>
    <cellStyle name="Normal 5 5 2 3 2 3" xfId="20068" xr:uid="{355B3518-AF19-4C3D-B1A7-7F8BDA0B2848}"/>
    <cellStyle name="Normal 5 5 2 3 2 4" xfId="11627" xr:uid="{9EA6DF42-0849-4BF1-B3F2-47C49501DDA3}"/>
    <cellStyle name="Normal 5 5 2 3 3" xfId="5250" xr:uid="{00000000-0005-0000-0000-0000651B0000}"/>
    <cellStyle name="Normal 5 5 2 3 3 2" xfId="22141" xr:uid="{C0AA075E-C5AF-420D-A354-55D6CCE7BA3E}"/>
    <cellStyle name="Normal 5 5 2 3 3 3" xfId="13700" xr:uid="{BE438905-F2A8-4E0F-8B68-96E57B667510}"/>
    <cellStyle name="Normal 5 5 2 3 4" xfId="17923" xr:uid="{F1A57BCC-200C-4429-BC38-D2DA0C9DCF8C}"/>
    <cellStyle name="Normal 5 5 2 3 5" xfId="9482" xr:uid="{24689321-B9D5-4860-B40D-71DCA774F16E}"/>
    <cellStyle name="Normal 5 5 2 4" xfId="1356" xr:uid="{00000000-0005-0000-0000-0000661B0000}"/>
    <cellStyle name="Normal 5 5 2 4 2" xfId="3586" xr:uid="{00000000-0005-0000-0000-0000671B0000}"/>
    <cellStyle name="Normal 5 5 2 4 2 2" xfId="7808" xr:uid="{00000000-0005-0000-0000-0000681B0000}"/>
    <cellStyle name="Normal 5 5 2 4 2 2 2" xfId="24699" xr:uid="{E4C137F2-4587-4C65-9132-3C501B4654DD}"/>
    <cellStyle name="Normal 5 5 2 4 2 2 3" xfId="16258" xr:uid="{0F30D6D6-3C75-45AA-9FCA-8EF34B9C2313}"/>
    <cellStyle name="Normal 5 5 2 4 2 3" xfId="20481" xr:uid="{75AB0C62-47DD-4DB6-83B1-B1F83865BFE4}"/>
    <cellStyle name="Normal 5 5 2 4 2 4" xfId="12040" xr:uid="{1AA1F62D-D513-44F3-9C85-FFBB19E2FEC5}"/>
    <cellStyle name="Normal 5 5 2 4 3" xfId="5663" xr:uid="{00000000-0005-0000-0000-0000691B0000}"/>
    <cellStyle name="Normal 5 5 2 4 3 2" xfId="22554" xr:uid="{D014EAAE-2B1F-4F6B-8E4B-86514E76AD9D}"/>
    <cellStyle name="Normal 5 5 2 4 3 3" xfId="14113" xr:uid="{FE82E79C-04BA-4218-B1CF-6883D476F492}"/>
    <cellStyle name="Normal 5 5 2 4 4" xfId="18336" xr:uid="{08B04AB8-8792-4537-9A73-2EEAF2E8E9DE}"/>
    <cellStyle name="Normal 5 5 2 4 5" xfId="9895" xr:uid="{895248C4-655C-4A30-BF37-A84B3E858107}"/>
    <cellStyle name="Normal 5 5 2 5" xfId="1769" xr:uid="{00000000-0005-0000-0000-00006A1B0000}"/>
    <cellStyle name="Normal 5 5 2 5 2" xfId="3999" xr:uid="{00000000-0005-0000-0000-00006B1B0000}"/>
    <cellStyle name="Normal 5 5 2 5 2 2" xfId="8221" xr:uid="{00000000-0005-0000-0000-00006C1B0000}"/>
    <cellStyle name="Normal 5 5 2 5 2 2 2" xfId="25112" xr:uid="{01A38523-AC68-4909-B2BB-AFFAB20CED81}"/>
    <cellStyle name="Normal 5 5 2 5 2 2 3" xfId="16671" xr:uid="{AB4E1373-4008-4CCB-9415-A0513F9675A8}"/>
    <cellStyle name="Normal 5 5 2 5 2 3" xfId="20894" xr:uid="{358180C9-4A26-437A-8140-ADE20AF3CDF6}"/>
    <cellStyle name="Normal 5 5 2 5 2 4" xfId="12453" xr:uid="{5A96C9B0-07F7-46FD-A080-CBE9791FC079}"/>
    <cellStyle name="Normal 5 5 2 5 3" xfId="6076" xr:uid="{00000000-0005-0000-0000-00006D1B0000}"/>
    <cellStyle name="Normal 5 5 2 5 3 2" xfId="22967" xr:uid="{ACE177F5-AF89-4FF5-B40C-81802284B494}"/>
    <cellStyle name="Normal 5 5 2 5 3 3" xfId="14526" xr:uid="{5BC66127-F56D-4881-BF30-A70E87CA01AA}"/>
    <cellStyle name="Normal 5 5 2 5 4" xfId="18749" xr:uid="{3D6AFE56-1441-42EA-8648-D5ED1FAB2412}"/>
    <cellStyle name="Normal 5 5 2 5 5" xfId="10308" xr:uid="{42BC7EBB-B767-4269-A099-598F2CB3F594}"/>
    <cellStyle name="Normal 5 5 2 6" xfId="2183" xr:uid="{00000000-0005-0000-0000-00006E1B0000}"/>
    <cellStyle name="Normal 5 5 2 6 2" xfId="4412" xr:uid="{00000000-0005-0000-0000-00006F1B0000}"/>
    <cellStyle name="Normal 5 5 2 6 2 2" xfId="8634" xr:uid="{00000000-0005-0000-0000-0000701B0000}"/>
    <cellStyle name="Normal 5 5 2 6 2 2 2" xfId="25525" xr:uid="{4EE5960E-7CD2-49FC-9DB9-022678E58FDD}"/>
    <cellStyle name="Normal 5 5 2 6 2 2 3" xfId="17084" xr:uid="{9FD05427-801F-460C-ACA5-AEE76A14A6E5}"/>
    <cellStyle name="Normal 5 5 2 6 2 3" xfId="21307" xr:uid="{DEC9BEC1-F071-4920-9F7C-5841EBCDA56C}"/>
    <cellStyle name="Normal 5 5 2 6 2 4" xfId="12866" xr:uid="{0E3BEB80-40EB-488B-86DB-E05F8777BD9C}"/>
    <cellStyle name="Normal 5 5 2 6 3" xfId="6489" xr:uid="{00000000-0005-0000-0000-0000711B0000}"/>
    <cellStyle name="Normal 5 5 2 6 3 2" xfId="23380" xr:uid="{57548D96-AFEE-421B-A4F0-A18646384606}"/>
    <cellStyle name="Normal 5 5 2 6 3 3" xfId="14939" xr:uid="{F2C77CD7-9483-42F5-867F-C28798ADA252}"/>
    <cellStyle name="Normal 5 5 2 6 4" xfId="19162" xr:uid="{C9580C0E-F34B-4593-A37F-AFE82BC3588D}"/>
    <cellStyle name="Normal 5 5 2 6 5" xfId="10721" xr:uid="{9EFDB20D-8838-44DD-82C0-D86240356CD9}"/>
    <cellStyle name="Normal 5 5 2 7" xfId="2619" xr:uid="{00000000-0005-0000-0000-0000721B0000}"/>
    <cellStyle name="Normal 5 5 2 7 2" xfId="6902" xr:uid="{00000000-0005-0000-0000-0000731B0000}"/>
    <cellStyle name="Normal 5 5 2 7 2 2" xfId="23793" xr:uid="{14DD0423-F9D4-410B-A514-4E7C187A6815}"/>
    <cellStyle name="Normal 5 5 2 7 2 3" xfId="15352" xr:uid="{A4178C54-9F2D-4C06-95E9-F38901DE1166}"/>
    <cellStyle name="Normal 5 5 2 7 3" xfId="19575" xr:uid="{2C2D7D7E-496D-4D36-A457-6A284DCBC50F}"/>
    <cellStyle name="Normal 5 5 2 7 4" xfId="11134" xr:uid="{69BED5FE-6CCE-4E64-947B-E6C8521A4655}"/>
    <cellStyle name="Normal 5 5 2 8" xfId="4837" xr:uid="{00000000-0005-0000-0000-0000741B0000}"/>
    <cellStyle name="Normal 5 5 2 8 2" xfId="21728" xr:uid="{14A8D9BC-006C-4C95-BFD8-6DF6318F1EC4}"/>
    <cellStyle name="Normal 5 5 2 8 3" xfId="13287" xr:uid="{EBD2D36E-D4B6-49D3-A269-C67F1F37D9F5}"/>
    <cellStyle name="Normal 5 5 2 9" xfId="17510" xr:uid="{5B0BB5DA-5A8A-4AB8-806E-DE878BC2F065}"/>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2 2 2" xfId="24288" xr:uid="{971B3D02-E5F7-405F-9689-B1CC82BB61E2}"/>
    <cellStyle name="Normal 5 5 3 2 2 2 3" xfId="15847" xr:uid="{807ECC70-D58B-4D64-ABA7-E29D23E9A189}"/>
    <cellStyle name="Normal 5 5 3 2 2 3" xfId="20070" xr:uid="{76FFF670-0D9F-4E7A-942D-2D48395D2118}"/>
    <cellStyle name="Normal 5 5 3 2 2 4" xfId="11629" xr:uid="{AA2B26B1-B57C-445E-A677-35E79AF0ECF1}"/>
    <cellStyle name="Normal 5 5 3 2 3" xfId="5252" xr:uid="{00000000-0005-0000-0000-0000791B0000}"/>
    <cellStyle name="Normal 5 5 3 2 3 2" xfId="22143" xr:uid="{DAF52BBE-07C4-4652-B95A-D76EE1002246}"/>
    <cellStyle name="Normal 5 5 3 2 3 3" xfId="13702" xr:uid="{A660C895-A878-47A4-AEC7-FB90F400F5CA}"/>
    <cellStyle name="Normal 5 5 3 2 4" xfId="17925" xr:uid="{C92615B7-CB5C-468F-A2E3-0746D7011532}"/>
    <cellStyle name="Normal 5 5 3 2 5" xfId="9484" xr:uid="{3C5D3B4E-039C-47BF-8C73-12FBFDB77C9D}"/>
    <cellStyle name="Normal 5 5 3 3" xfId="1358" xr:uid="{00000000-0005-0000-0000-00007A1B0000}"/>
    <cellStyle name="Normal 5 5 3 3 2" xfId="3588" xr:uid="{00000000-0005-0000-0000-00007B1B0000}"/>
    <cellStyle name="Normal 5 5 3 3 2 2" xfId="7810" xr:uid="{00000000-0005-0000-0000-00007C1B0000}"/>
    <cellStyle name="Normal 5 5 3 3 2 2 2" xfId="24701" xr:uid="{D6D5F5E6-A71E-4A9E-AE8B-4405A02F7210}"/>
    <cellStyle name="Normal 5 5 3 3 2 2 3" xfId="16260" xr:uid="{6BCB47FE-298B-44D7-AC8A-5A11EE48CC21}"/>
    <cellStyle name="Normal 5 5 3 3 2 3" xfId="20483" xr:uid="{80466130-785E-4E28-93DC-D3E5CFF7D300}"/>
    <cellStyle name="Normal 5 5 3 3 2 4" xfId="12042" xr:uid="{1DAAA888-A77F-4965-985C-8C18D7DA5D76}"/>
    <cellStyle name="Normal 5 5 3 3 3" xfId="5665" xr:uid="{00000000-0005-0000-0000-00007D1B0000}"/>
    <cellStyle name="Normal 5 5 3 3 3 2" xfId="22556" xr:uid="{4C686369-4D18-45D7-A2D5-C9B4684FC141}"/>
    <cellStyle name="Normal 5 5 3 3 3 3" xfId="14115" xr:uid="{D8DDA281-5207-4C45-B3A8-9824DDE88055}"/>
    <cellStyle name="Normal 5 5 3 3 4" xfId="18338" xr:uid="{1C423FF0-4E46-47E4-A3BF-2303BC2099D6}"/>
    <cellStyle name="Normal 5 5 3 3 5" xfId="9897" xr:uid="{3A273B88-150B-4615-A81F-50185E2DB1E5}"/>
    <cellStyle name="Normal 5 5 3 4" xfId="1771" xr:uid="{00000000-0005-0000-0000-00007E1B0000}"/>
    <cellStyle name="Normal 5 5 3 4 2" xfId="4001" xr:uid="{00000000-0005-0000-0000-00007F1B0000}"/>
    <cellStyle name="Normal 5 5 3 4 2 2" xfId="8223" xr:uid="{00000000-0005-0000-0000-0000801B0000}"/>
    <cellStyle name="Normal 5 5 3 4 2 2 2" xfId="25114" xr:uid="{CD4D3966-9732-4B9D-83DE-21AE40199C8C}"/>
    <cellStyle name="Normal 5 5 3 4 2 2 3" xfId="16673" xr:uid="{E1CA5A56-058D-47A2-AA1E-C6293626A068}"/>
    <cellStyle name="Normal 5 5 3 4 2 3" xfId="20896" xr:uid="{7BCE7E65-FE18-4C3C-958A-4C4D7B6CDCDA}"/>
    <cellStyle name="Normal 5 5 3 4 2 4" xfId="12455" xr:uid="{9A37BAC2-52E5-4531-B2C1-3C99E25DCC00}"/>
    <cellStyle name="Normal 5 5 3 4 3" xfId="6078" xr:uid="{00000000-0005-0000-0000-0000811B0000}"/>
    <cellStyle name="Normal 5 5 3 4 3 2" xfId="22969" xr:uid="{E57DAFB7-9C6E-4B09-A1C5-EE82004B0635}"/>
    <cellStyle name="Normal 5 5 3 4 3 3" xfId="14528" xr:uid="{D2386538-183D-41D0-B982-0739E54FC4FB}"/>
    <cellStyle name="Normal 5 5 3 4 4" xfId="18751" xr:uid="{A0358994-BF5D-4824-BC1B-E96280BA7304}"/>
    <cellStyle name="Normal 5 5 3 4 5" xfId="10310" xr:uid="{AA68BA60-6EA0-4916-8B3A-1F0AD10702B6}"/>
    <cellStyle name="Normal 5 5 3 5" xfId="2185" xr:uid="{00000000-0005-0000-0000-0000821B0000}"/>
    <cellStyle name="Normal 5 5 3 5 2" xfId="4414" xr:uid="{00000000-0005-0000-0000-0000831B0000}"/>
    <cellStyle name="Normal 5 5 3 5 2 2" xfId="8636" xr:uid="{00000000-0005-0000-0000-0000841B0000}"/>
    <cellStyle name="Normal 5 5 3 5 2 2 2" xfId="25527" xr:uid="{3B854EE6-17D0-46BD-B02C-5951C0BE26D5}"/>
    <cellStyle name="Normal 5 5 3 5 2 2 3" xfId="17086" xr:uid="{DAA56E4B-7D68-46A2-AB3E-B90135214899}"/>
    <cellStyle name="Normal 5 5 3 5 2 3" xfId="21309" xr:uid="{80BBEC90-1651-4AD7-9C94-25953CA68450}"/>
    <cellStyle name="Normal 5 5 3 5 2 4" xfId="12868" xr:uid="{5BB4077C-C6D7-4FE2-8F36-F811FC3B3A2A}"/>
    <cellStyle name="Normal 5 5 3 5 3" xfId="6491" xr:uid="{00000000-0005-0000-0000-0000851B0000}"/>
    <cellStyle name="Normal 5 5 3 5 3 2" xfId="23382" xr:uid="{F750EDE5-CA8C-471C-8C73-AEAC8D409B09}"/>
    <cellStyle name="Normal 5 5 3 5 3 3" xfId="14941" xr:uid="{78BFDFCC-F2D6-4B88-91A9-E03FBBCDC595}"/>
    <cellStyle name="Normal 5 5 3 5 4" xfId="19164" xr:uid="{82625614-6464-4B16-930C-B91EEDD8B112}"/>
    <cellStyle name="Normal 5 5 3 5 5" xfId="10723" xr:uid="{B51A737B-1261-41FB-BCA8-62BBE16E5C9E}"/>
    <cellStyle name="Normal 5 5 3 6" xfId="2621" xr:uid="{00000000-0005-0000-0000-0000861B0000}"/>
    <cellStyle name="Normal 5 5 3 6 2" xfId="6904" xr:uid="{00000000-0005-0000-0000-0000871B0000}"/>
    <cellStyle name="Normal 5 5 3 6 2 2" xfId="23795" xr:uid="{67092E06-933E-4E6C-A6FE-9A01C5821633}"/>
    <cellStyle name="Normal 5 5 3 6 2 3" xfId="15354" xr:uid="{5E012D9E-20F7-4439-9D58-F14D9D6BE903}"/>
    <cellStyle name="Normal 5 5 3 6 3" xfId="19577" xr:uid="{CADF2D25-DB2C-4763-A5BD-4659E46BD148}"/>
    <cellStyle name="Normal 5 5 3 6 4" xfId="11136" xr:uid="{2AC089BD-EFF4-484D-8235-21EDF8713F64}"/>
    <cellStyle name="Normal 5 5 3 7" xfId="4839" xr:uid="{00000000-0005-0000-0000-0000881B0000}"/>
    <cellStyle name="Normal 5 5 3 7 2" xfId="21730" xr:uid="{887CDADA-431E-486F-9C92-A05A0B6ED6FB}"/>
    <cellStyle name="Normal 5 5 3 7 3" xfId="13289" xr:uid="{920BBC81-981C-4D90-B730-CB5C8F63E721}"/>
    <cellStyle name="Normal 5 5 3 8" xfId="17512" xr:uid="{6BD5A3EC-BE9E-424C-A7C9-D962FFDCD152}"/>
    <cellStyle name="Normal 5 5 3 9" xfId="9071" xr:uid="{FAEA2419-9FA3-4E06-9C1D-DA317BFEEC04}"/>
    <cellStyle name="Normal 5 5 4" xfId="938" xr:uid="{00000000-0005-0000-0000-0000891B0000}"/>
    <cellStyle name="Normal 5 5 4 2" xfId="3172" xr:uid="{00000000-0005-0000-0000-00008A1B0000}"/>
    <cellStyle name="Normal 5 5 4 2 2" xfId="7394" xr:uid="{00000000-0005-0000-0000-00008B1B0000}"/>
    <cellStyle name="Normal 5 5 4 2 2 2" xfId="24285" xr:uid="{FCD36615-328E-4734-8278-EC83D9C47B5D}"/>
    <cellStyle name="Normal 5 5 4 2 2 3" xfId="15844" xr:uid="{D01EDF65-9F6B-4277-8802-CF5201659EC5}"/>
    <cellStyle name="Normal 5 5 4 2 3" xfId="20067" xr:uid="{143761E8-8747-4CF9-878E-C22020B5820C}"/>
    <cellStyle name="Normal 5 5 4 2 4" xfId="11626" xr:uid="{F3ACFC12-1E70-4EA3-9155-178A23072634}"/>
    <cellStyle name="Normal 5 5 4 3" xfId="5249" xr:uid="{00000000-0005-0000-0000-00008C1B0000}"/>
    <cellStyle name="Normal 5 5 4 3 2" xfId="22140" xr:uid="{B903E016-B1BE-4E9D-8770-0A4245287F1A}"/>
    <cellStyle name="Normal 5 5 4 3 3" xfId="13699" xr:uid="{BE831DC6-29AA-4F52-B4CF-61BF82F6437E}"/>
    <cellStyle name="Normal 5 5 4 4" xfId="17922" xr:uid="{94756311-C93F-4A43-8CF4-009B37F566BC}"/>
    <cellStyle name="Normal 5 5 4 5" xfId="9481" xr:uid="{76A49172-1759-4399-9EAC-829E94F590AE}"/>
    <cellStyle name="Normal 5 5 5" xfId="1355" xr:uid="{00000000-0005-0000-0000-00008D1B0000}"/>
    <cellStyle name="Normal 5 5 5 2" xfId="3585" xr:uid="{00000000-0005-0000-0000-00008E1B0000}"/>
    <cellStyle name="Normal 5 5 5 2 2" xfId="7807" xr:uid="{00000000-0005-0000-0000-00008F1B0000}"/>
    <cellStyle name="Normal 5 5 5 2 2 2" xfId="24698" xr:uid="{12BFBD47-DB5A-4525-9D62-775A822E2979}"/>
    <cellStyle name="Normal 5 5 5 2 2 3" xfId="16257" xr:uid="{72C11A89-B7E1-4893-9E89-9F5986D1A4E4}"/>
    <cellStyle name="Normal 5 5 5 2 3" xfId="20480" xr:uid="{0007AFE7-D6AD-4B5B-9D47-E6FC9735DAA0}"/>
    <cellStyle name="Normal 5 5 5 2 4" xfId="12039" xr:uid="{F3C7073A-B7F7-48E3-BCE9-B0A32B941472}"/>
    <cellStyle name="Normal 5 5 5 3" xfId="5662" xr:uid="{00000000-0005-0000-0000-0000901B0000}"/>
    <cellStyle name="Normal 5 5 5 3 2" xfId="22553" xr:uid="{47D776F1-06F4-4180-8EC4-869D0BD92D82}"/>
    <cellStyle name="Normal 5 5 5 3 3" xfId="14112" xr:uid="{B2B86CBF-43EB-4209-9E16-8A3A43B56900}"/>
    <cellStyle name="Normal 5 5 5 4" xfId="18335" xr:uid="{31116C5D-8690-495B-A7AF-6E8BB48EE93D}"/>
    <cellStyle name="Normal 5 5 5 5" xfId="9894" xr:uid="{C2B32256-4F36-4FB1-A107-D48155D21E11}"/>
    <cellStyle name="Normal 5 5 6" xfId="1768" xr:uid="{00000000-0005-0000-0000-0000911B0000}"/>
    <cellStyle name="Normal 5 5 6 2" xfId="3998" xr:uid="{00000000-0005-0000-0000-0000921B0000}"/>
    <cellStyle name="Normal 5 5 6 2 2" xfId="8220" xr:uid="{00000000-0005-0000-0000-0000931B0000}"/>
    <cellStyle name="Normal 5 5 6 2 2 2" xfId="25111" xr:uid="{E8617EF3-E559-4BD0-A444-8135D003A831}"/>
    <cellStyle name="Normal 5 5 6 2 2 3" xfId="16670" xr:uid="{9D57BF73-E765-4AA2-9FF1-1137B8FD0CF0}"/>
    <cellStyle name="Normal 5 5 6 2 3" xfId="20893" xr:uid="{A3B8B0F0-1B54-4789-BA31-86CC088CF7B0}"/>
    <cellStyle name="Normal 5 5 6 2 4" xfId="12452" xr:uid="{54C45ACF-5010-4405-A62B-7B87621EBDB7}"/>
    <cellStyle name="Normal 5 5 6 3" xfId="6075" xr:uid="{00000000-0005-0000-0000-0000941B0000}"/>
    <cellStyle name="Normal 5 5 6 3 2" xfId="22966" xr:uid="{CC8D3F31-89E1-401F-878D-F7E1764E2F45}"/>
    <cellStyle name="Normal 5 5 6 3 3" xfId="14525" xr:uid="{6861A600-8E52-4672-B355-CCC86A2AA63C}"/>
    <cellStyle name="Normal 5 5 6 4" xfId="18748" xr:uid="{58F40ADD-A15E-4C0D-BDC4-83EB9591889D}"/>
    <cellStyle name="Normal 5 5 6 5" xfId="10307" xr:uid="{341DEC33-C1EC-4DE0-B8FA-39B34727A4BD}"/>
    <cellStyle name="Normal 5 5 7" xfId="2182" xr:uid="{00000000-0005-0000-0000-0000951B0000}"/>
    <cellStyle name="Normal 5 5 7 2" xfId="4411" xr:uid="{00000000-0005-0000-0000-0000961B0000}"/>
    <cellStyle name="Normal 5 5 7 2 2" xfId="8633" xr:uid="{00000000-0005-0000-0000-0000971B0000}"/>
    <cellStyle name="Normal 5 5 7 2 2 2" xfId="25524" xr:uid="{35B40488-7D2B-49C1-A1CA-890A1AED1D31}"/>
    <cellStyle name="Normal 5 5 7 2 2 3" xfId="17083" xr:uid="{9B04BAC3-25C3-4256-B421-422606866110}"/>
    <cellStyle name="Normal 5 5 7 2 3" xfId="21306" xr:uid="{4DC240FB-187A-451A-B94E-08FE704B5F0F}"/>
    <cellStyle name="Normal 5 5 7 2 4" xfId="12865" xr:uid="{095C6628-3F53-4B96-A17E-AEE6340A0CE0}"/>
    <cellStyle name="Normal 5 5 7 3" xfId="6488" xr:uid="{00000000-0005-0000-0000-0000981B0000}"/>
    <cellStyle name="Normal 5 5 7 3 2" xfId="23379" xr:uid="{1CD6BE65-80E7-4400-9BC3-078E37089A21}"/>
    <cellStyle name="Normal 5 5 7 3 3" xfId="14938" xr:uid="{5A6B52EC-DE9A-4231-A8AB-0EB492CFA7AC}"/>
    <cellStyle name="Normal 5 5 7 4" xfId="19161" xr:uid="{D6C990F2-FA11-4947-AF2B-E5EDAF3CAA5B}"/>
    <cellStyle name="Normal 5 5 7 5" xfId="10720" xr:uid="{A9C8DA6C-EF54-4106-BF37-B9F4B8A13D88}"/>
    <cellStyle name="Normal 5 5 8" xfId="2618" xr:uid="{00000000-0005-0000-0000-0000991B0000}"/>
    <cellStyle name="Normal 5 5 8 2" xfId="6901" xr:uid="{00000000-0005-0000-0000-00009A1B0000}"/>
    <cellStyle name="Normal 5 5 8 2 2" xfId="23792" xr:uid="{BF312EF7-65B7-4334-A7D4-A20AD2A1D396}"/>
    <cellStyle name="Normal 5 5 8 2 3" xfId="15351" xr:uid="{5FE0EC90-F630-4F39-83C1-D064C8844971}"/>
    <cellStyle name="Normal 5 5 8 3" xfId="19574" xr:uid="{FB3F22B9-A5D4-4AD9-B59B-833368C89266}"/>
    <cellStyle name="Normal 5 5 8 4" xfId="11133" xr:uid="{7188E43E-944D-4D9E-BCDB-BF192BF1F3AA}"/>
    <cellStyle name="Normal 5 5 9" xfId="4836" xr:uid="{00000000-0005-0000-0000-00009B1B0000}"/>
    <cellStyle name="Normal 5 5 9 2" xfId="21727" xr:uid="{B66E5575-DF02-455C-801B-14CD74398A63}"/>
    <cellStyle name="Normal 5 5 9 3" xfId="13286" xr:uid="{AC6F28C0-0C2C-4366-AE33-9D76A943F76F}"/>
    <cellStyle name="Normal 5 6" xfId="468" xr:uid="{00000000-0005-0000-0000-00009C1B0000}"/>
    <cellStyle name="Normal 5 6 10" xfId="9072" xr:uid="{D35B4BC1-2DC4-41E0-858D-66DA22256815}"/>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2 2 2" xfId="24290" xr:uid="{3A53C5B6-A159-4E3B-83CF-DDDD63C78C3C}"/>
    <cellStyle name="Normal 5 6 2 2 2 2 3" xfId="15849" xr:uid="{9F772213-F85E-4AAB-AD76-5A1EA6A6DB7A}"/>
    <cellStyle name="Normal 5 6 2 2 2 3" xfId="20072" xr:uid="{8E3720BE-EA39-4FBB-AD6E-0ABBA87BD5ED}"/>
    <cellStyle name="Normal 5 6 2 2 2 4" xfId="11631" xr:uid="{B32E28B2-649E-4327-94A8-1A16AB794730}"/>
    <cellStyle name="Normal 5 6 2 2 3" xfId="5254" xr:uid="{00000000-0005-0000-0000-0000A11B0000}"/>
    <cellStyle name="Normal 5 6 2 2 3 2" xfId="22145" xr:uid="{C4EC3BD4-AABC-416E-A948-750B735DD2A2}"/>
    <cellStyle name="Normal 5 6 2 2 3 3" xfId="13704" xr:uid="{E9B5725B-7495-44D0-AB8C-29C4C6D6BE54}"/>
    <cellStyle name="Normal 5 6 2 2 4" xfId="17927" xr:uid="{194FF58B-470B-4490-9EC6-349D43A16820}"/>
    <cellStyle name="Normal 5 6 2 2 5" xfId="9486" xr:uid="{B2698D37-5C48-4588-A083-EFFFBD85E924}"/>
    <cellStyle name="Normal 5 6 2 3" xfId="1360" xr:uid="{00000000-0005-0000-0000-0000A21B0000}"/>
    <cellStyle name="Normal 5 6 2 3 2" xfId="3590" xr:uid="{00000000-0005-0000-0000-0000A31B0000}"/>
    <cellStyle name="Normal 5 6 2 3 2 2" xfId="7812" xr:uid="{00000000-0005-0000-0000-0000A41B0000}"/>
    <cellStyle name="Normal 5 6 2 3 2 2 2" xfId="24703" xr:uid="{5618CA7D-8AD3-4448-84DE-43270AC5BFE0}"/>
    <cellStyle name="Normal 5 6 2 3 2 2 3" xfId="16262" xr:uid="{0A1EC73F-F8C7-4CB7-A0D1-51598AE6C974}"/>
    <cellStyle name="Normal 5 6 2 3 2 3" xfId="20485" xr:uid="{D677E19A-B31A-439D-A00F-B3FB7232B95F}"/>
    <cellStyle name="Normal 5 6 2 3 2 4" xfId="12044" xr:uid="{28FDB80A-FF33-4EFA-ADD0-093C683E2AD3}"/>
    <cellStyle name="Normal 5 6 2 3 3" xfId="5667" xr:uid="{00000000-0005-0000-0000-0000A51B0000}"/>
    <cellStyle name="Normal 5 6 2 3 3 2" xfId="22558" xr:uid="{C4CFA405-23EE-4BD0-8377-4777BA5C10FB}"/>
    <cellStyle name="Normal 5 6 2 3 3 3" xfId="14117" xr:uid="{11D559DB-F96B-40B4-956F-65D74EEC3F4F}"/>
    <cellStyle name="Normal 5 6 2 3 4" xfId="18340" xr:uid="{1847668C-0F92-4BD0-ACCD-26C542E7192A}"/>
    <cellStyle name="Normal 5 6 2 3 5" xfId="9899" xr:uid="{4086A995-261E-4EEF-90B0-F5DBDA1D880A}"/>
    <cellStyle name="Normal 5 6 2 4" xfId="1773" xr:uid="{00000000-0005-0000-0000-0000A61B0000}"/>
    <cellStyle name="Normal 5 6 2 4 2" xfId="4003" xr:uid="{00000000-0005-0000-0000-0000A71B0000}"/>
    <cellStyle name="Normal 5 6 2 4 2 2" xfId="8225" xr:uid="{00000000-0005-0000-0000-0000A81B0000}"/>
    <cellStyle name="Normal 5 6 2 4 2 2 2" xfId="25116" xr:uid="{853FB8C2-E1A8-42AE-9CAB-2CE4ACFA1014}"/>
    <cellStyle name="Normal 5 6 2 4 2 2 3" xfId="16675" xr:uid="{85050E3D-491A-4FE5-A4C1-8FF1E0D9EBF8}"/>
    <cellStyle name="Normal 5 6 2 4 2 3" xfId="20898" xr:uid="{ECF0C76C-1A40-4544-BB76-931DDCE02D98}"/>
    <cellStyle name="Normal 5 6 2 4 2 4" xfId="12457" xr:uid="{33F1B031-1D0F-41AD-9283-365E09484C30}"/>
    <cellStyle name="Normal 5 6 2 4 3" xfId="6080" xr:uid="{00000000-0005-0000-0000-0000A91B0000}"/>
    <cellStyle name="Normal 5 6 2 4 3 2" xfId="22971" xr:uid="{CC77D4D2-FF85-415B-820D-94FE0FE09516}"/>
    <cellStyle name="Normal 5 6 2 4 3 3" xfId="14530" xr:uid="{59A0E6D6-F118-47A9-A57F-7139B66D711A}"/>
    <cellStyle name="Normal 5 6 2 4 4" xfId="18753" xr:uid="{5B39CB81-BF23-454F-B343-518D15D3703A}"/>
    <cellStyle name="Normal 5 6 2 4 5" xfId="10312" xr:uid="{D0B4157A-13AB-42F8-9FBA-CE1C426D004B}"/>
    <cellStyle name="Normal 5 6 2 5" xfId="2187" xr:uid="{00000000-0005-0000-0000-0000AA1B0000}"/>
    <cellStyle name="Normal 5 6 2 5 2" xfId="4416" xr:uid="{00000000-0005-0000-0000-0000AB1B0000}"/>
    <cellStyle name="Normal 5 6 2 5 2 2" xfId="8638" xr:uid="{00000000-0005-0000-0000-0000AC1B0000}"/>
    <cellStyle name="Normal 5 6 2 5 2 2 2" xfId="25529" xr:uid="{333AB4AB-B5CF-4EB3-BD3C-331C98CDB9A2}"/>
    <cellStyle name="Normal 5 6 2 5 2 2 3" xfId="17088" xr:uid="{30537187-DDD6-4A6F-A383-6222F996FE9C}"/>
    <cellStyle name="Normal 5 6 2 5 2 3" xfId="21311" xr:uid="{D1C54B97-EEB3-446D-AB91-7EE50424356A}"/>
    <cellStyle name="Normal 5 6 2 5 2 4" xfId="12870" xr:uid="{9DF37AD7-3ECD-49D4-898C-BA776A77E284}"/>
    <cellStyle name="Normal 5 6 2 5 3" xfId="6493" xr:uid="{00000000-0005-0000-0000-0000AD1B0000}"/>
    <cellStyle name="Normal 5 6 2 5 3 2" xfId="23384" xr:uid="{BD5A1189-5C02-4F93-B985-B265FDFF7059}"/>
    <cellStyle name="Normal 5 6 2 5 3 3" xfId="14943" xr:uid="{AF464A76-7DFD-47F8-BFA2-2348EFDEB3F5}"/>
    <cellStyle name="Normal 5 6 2 5 4" xfId="19166" xr:uid="{49E2B0C5-5603-47D5-8191-1E1D6738C67D}"/>
    <cellStyle name="Normal 5 6 2 5 5" xfId="10725" xr:uid="{C843EE76-7856-49F2-9EEB-13EB8FA9B51F}"/>
    <cellStyle name="Normal 5 6 2 6" xfId="2623" xr:uid="{00000000-0005-0000-0000-0000AE1B0000}"/>
    <cellStyle name="Normal 5 6 2 6 2" xfId="6906" xr:uid="{00000000-0005-0000-0000-0000AF1B0000}"/>
    <cellStyle name="Normal 5 6 2 6 2 2" xfId="23797" xr:uid="{F11C40B4-1A01-413F-9529-4616F70B8C5B}"/>
    <cellStyle name="Normal 5 6 2 6 2 3" xfId="15356" xr:uid="{3B91DBAF-22D8-4BE7-988D-36D76F5DDBD3}"/>
    <cellStyle name="Normal 5 6 2 6 3" xfId="19579" xr:uid="{1C3BC93C-9D1F-4B62-99ED-D0A2155E0595}"/>
    <cellStyle name="Normal 5 6 2 6 4" xfId="11138" xr:uid="{D529BE6D-EAA9-4F51-A6CF-BC59F1CEEA86}"/>
    <cellStyle name="Normal 5 6 2 7" xfId="4841" xr:uid="{00000000-0005-0000-0000-0000B01B0000}"/>
    <cellStyle name="Normal 5 6 2 7 2" xfId="21732" xr:uid="{8B8EAD84-CAB0-4B64-BCCB-93600F53256A}"/>
    <cellStyle name="Normal 5 6 2 7 3" xfId="13291" xr:uid="{B0D2C138-FF04-4B8B-94F6-C4595403BDE7}"/>
    <cellStyle name="Normal 5 6 2 8" xfId="17514" xr:uid="{95C1C4F0-46EB-4302-90CD-D574AA3C1C85}"/>
    <cellStyle name="Normal 5 6 2 9" xfId="9073" xr:uid="{CF584921-E423-4288-AA32-BC065C89B2F5}"/>
    <cellStyle name="Normal 5 6 3" xfId="942" xr:uid="{00000000-0005-0000-0000-0000B11B0000}"/>
    <cellStyle name="Normal 5 6 3 2" xfId="3176" xr:uid="{00000000-0005-0000-0000-0000B21B0000}"/>
    <cellStyle name="Normal 5 6 3 2 2" xfId="7398" xr:uid="{00000000-0005-0000-0000-0000B31B0000}"/>
    <cellStyle name="Normal 5 6 3 2 2 2" xfId="24289" xr:uid="{44AB783D-F07B-4E88-9869-1CE20E123451}"/>
    <cellStyle name="Normal 5 6 3 2 2 3" xfId="15848" xr:uid="{00876DDD-C54E-4344-93A2-3845F01E740F}"/>
    <cellStyle name="Normal 5 6 3 2 3" xfId="20071" xr:uid="{3F8978EB-814C-43CA-9C36-9B3596887E61}"/>
    <cellStyle name="Normal 5 6 3 2 4" xfId="11630" xr:uid="{C7F552EA-C4ED-4929-ADE0-D8AD9F0CAF32}"/>
    <cellStyle name="Normal 5 6 3 3" xfId="5253" xr:uid="{00000000-0005-0000-0000-0000B41B0000}"/>
    <cellStyle name="Normal 5 6 3 3 2" xfId="22144" xr:uid="{9E697AAB-3CB1-4000-8AD8-B3C2C0721500}"/>
    <cellStyle name="Normal 5 6 3 3 3" xfId="13703" xr:uid="{E8E014FE-429D-4FBB-B493-F7728C25B469}"/>
    <cellStyle name="Normal 5 6 3 4" xfId="17926" xr:uid="{80D8C916-FB07-4841-A3C1-17014E9995F1}"/>
    <cellStyle name="Normal 5 6 3 5" xfId="9485" xr:uid="{35C9ACA3-8BF7-425F-B45B-17D538B25367}"/>
    <cellStyle name="Normal 5 6 4" xfId="1359" xr:uid="{00000000-0005-0000-0000-0000B51B0000}"/>
    <cellStyle name="Normal 5 6 4 2" xfId="3589" xr:uid="{00000000-0005-0000-0000-0000B61B0000}"/>
    <cellStyle name="Normal 5 6 4 2 2" xfId="7811" xr:uid="{00000000-0005-0000-0000-0000B71B0000}"/>
    <cellStyle name="Normal 5 6 4 2 2 2" xfId="24702" xr:uid="{9AB49475-D379-4E4E-9730-3D667FDDBEF6}"/>
    <cellStyle name="Normal 5 6 4 2 2 3" xfId="16261" xr:uid="{FD0FA71D-43FF-4A63-B643-004BB03664B2}"/>
    <cellStyle name="Normal 5 6 4 2 3" xfId="20484" xr:uid="{C1F84DC4-C8DF-4DAC-98FF-1ED6CA1CFB69}"/>
    <cellStyle name="Normal 5 6 4 2 4" xfId="12043" xr:uid="{8C4F4427-8242-4826-8578-7A483E7C18CA}"/>
    <cellStyle name="Normal 5 6 4 3" xfId="5666" xr:uid="{00000000-0005-0000-0000-0000B81B0000}"/>
    <cellStyle name="Normal 5 6 4 3 2" xfId="22557" xr:uid="{3BFEE165-0531-473D-AAD9-BA687CAC1CDB}"/>
    <cellStyle name="Normal 5 6 4 3 3" xfId="14116" xr:uid="{9766B99F-216A-4785-9DA7-A03EAD4D196B}"/>
    <cellStyle name="Normal 5 6 4 4" xfId="18339" xr:uid="{7F8BF682-6E40-47AE-9753-9EA26B26CDEF}"/>
    <cellStyle name="Normal 5 6 4 5" xfId="9898" xr:uid="{A7D7A10F-2F46-4CD3-A797-748ECBF3DC97}"/>
    <cellStyle name="Normal 5 6 5" xfId="1772" xr:uid="{00000000-0005-0000-0000-0000B91B0000}"/>
    <cellStyle name="Normal 5 6 5 2" xfId="4002" xr:uid="{00000000-0005-0000-0000-0000BA1B0000}"/>
    <cellStyle name="Normal 5 6 5 2 2" xfId="8224" xr:uid="{00000000-0005-0000-0000-0000BB1B0000}"/>
    <cellStyle name="Normal 5 6 5 2 2 2" xfId="25115" xr:uid="{E10610C5-6CB3-4AEC-BC32-3E21BAD91B5D}"/>
    <cellStyle name="Normal 5 6 5 2 2 3" xfId="16674" xr:uid="{668C91C0-2796-4611-9770-B631E2918828}"/>
    <cellStyle name="Normal 5 6 5 2 3" xfId="20897" xr:uid="{35A005CE-1136-4A50-8104-D8C6360D5960}"/>
    <cellStyle name="Normal 5 6 5 2 4" xfId="12456" xr:uid="{F0D79845-585C-4317-9BB1-3A75DF4FE283}"/>
    <cellStyle name="Normal 5 6 5 3" xfId="6079" xr:uid="{00000000-0005-0000-0000-0000BC1B0000}"/>
    <cellStyle name="Normal 5 6 5 3 2" xfId="22970" xr:uid="{84B916B9-BBF7-4DBC-B228-C7BBF5449556}"/>
    <cellStyle name="Normal 5 6 5 3 3" xfId="14529" xr:uid="{C81ED5C5-04D6-4E13-885D-0CE70A296329}"/>
    <cellStyle name="Normal 5 6 5 4" xfId="18752" xr:uid="{2D073DF2-5E55-4BEC-94D1-65F21ED2DA6B}"/>
    <cellStyle name="Normal 5 6 5 5" xfId="10311" xr:uid="{DBF92546-7BD1-46B9-A5E6-687E2B6CB0CE}"/>
    <cellStyle name="Normal 5 6 6" xfId="2186" xr:uid="{00000000-0005-0000-0000-0000BD1B0000}"/>
    <cellStyle name="Normal 5 6 6 2" xfId="4415" xr:uid="{00000000-0005-0000-0000-0000BE1B0000}"/>
    <cellStyle name="Normal 5 6 6 2 2" xfId="8637" xr:uid="{00000000-0005-0000-0000-0000BF1B0000}"/>
    <cellStyle name="Normal 5 6 6 2 2 2" xfId="25528" xr:uid="{17613A39-A33D-4BD3-A073-9604C00B54BB}"/>
    <cellStyle name="Normal 5 6 6 2 2 3" xfId="17087" xr:uid="{C5029672-D6A6-46C2-8DB9-A4FABAE62037}"/>
    <cellStyle name="Normal 5 6 6 2 3" xfId="21310" xr:uid="{C22BA7CF-3281-4AE1-A4C8-E66499363E69}"/>
    <cellStyle name="Normal 5 6 6 2 4" xfId="12869" xr:uid="{432FA8ED-F440-4B7F-82D1-DD85722667B3}"/>
    <cellStyle name="Normal 5 6 6 3" xfId="6492" xr:uid="{00000000-0005-0000-0000-0000C01B0000}"/>
    <cellStyle name="Normal 5 6 6 3 2" xfId="23383" xr:uid="{B4558553-388E-4CB2-94B6-49D6CAF0E28E}"/>
    <cellStyle name="Normal 5 6 6 3 3" xfId="14942" xr:uid="{3FFE26A1-6738-41B7-ABC3-CCF2A84B044D}"/>
    <cellStyle name="Normal 5 6 6 4" xfId="19165" xr:uid="{8D08962B-DABA-459C-94D1-7279412C06D5}"/>
    <cellStyle name="Normal 5 6 6 5" xfId="10724" xr:uid="{40F085AF-ADA1-4DB3-9683-E994040AC551}"/>
    <cellStyle name="Normal 5 6 7" xfId="2622" xr:uid="{00000000-0005-0000-0000-0000C11B0000}"/>
    <cellStyle name="Normal 5 6 7 2" xfId="6905" xr:uid="{00000000-0005-0000-0000-0000C21B0000}"/>
    <cellStyle name="Normal 5 6 7 2 2" xfId="23796" xr:uid="{F859E762-FA41-4B3E-88D3-C28BDA08EA0E}"/>
    <cellStyle name="Normal 5 6 7 2 3" xfId="15355" xr:uid="{A8951C56-A3D2-46EF-976D-D41A296064D6}"/>
    <cellStyle name="Normal 5 6 7 3" xfId="19578" xr:uid="{A3E61C81-2E65-4298-83DD-2BC81D33C43F}"/>
    <cellStyle name="Normal 5 6 7 4" xfId="11137" xr:uid="{B640D92E-70B7-4908-B9E3-58308CC4FD28}"/>
    <cellStyle name="Normal 5 6 8" xfId="4840" xr:uid="{00000000-0005-0000-0000-0000C31B0000}"/>
    <cellStyle name="Normal 5 6 8 2" xfId="21731" xr:uid="{E4E89AB5-B165-413F-ACE0-7BDF31967BE8}"/>
    <cellStyle name="Normal 5 6 8 3" xfId="13290" xr:uid="{5E30CF7E-0DF2-450E-AB8D-1F3DD518AC57}"/>
    <cellStyle name="Normal 5 6 9" xfId="17513" xr:uid="{CB148386-8FE6-4C1C-BD85-87E89EDEA074}"/>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2 2 2" xfId="24291" xr:uid="{FB764268-AF47-4170-9804-C536DA5C9CD3}"/>
    <cellStyle name="Normal 5 7 2 2 2 3" xfId="15850" xr:uid="{5CCA1327-A967-4E9F-9071-DEA691B665CB}"/>
    <cellStyle name="Normal 5 7 2 2 3" xfId="20073" xr:uid="{8CF98136-0954-4ECA-A549-4794A73EED5D}"/>
    <cellStyle name="Normal 5 7 2 2 4" xfId="11632" xr:uid="{C1E9C690-F1FA-4359-AA57-AA51BFC34D85}"/>
    <cellStyle name="Normal 5 7 2 3" xfId="5255" xr:uid="{00000000-0005-0000-0000-0000C81B0000}"/>
    <cellStyle name="Normal 5 7 2 3 2" xfId="22146" xr:uid="{6B630431-0DC2-40C8-B24A-0AAC5544004E}"/>
    <cellStyle name="Normal 5 7 2 3 3" xfId="13705" xr:uid="{902FC42A-5465-4A58-9974-A0ED6A04755D}"/>
    <cellStyle name="Normal 5 7 2 4" xfId="17928" xr:uid="{B519E4F5-86CB-4515-BDB6-39869A478EC6}"/>
    <cellStyle name="Normal 5 7 2 5" xfId="9487" xr:uid="{3DECD823-1290-4154-9B94-8839782DE016}"/>
    <cellStyle name="Normal 5 7 3" xfId="1361" xr:uid="{00000000-0005-0000-0000-0000C91B0000}"/>
    <cellStyle name="Normal 5 7 3 2" xfId="3591" xr:uid="{00000000-0005-0000-0000-0000CA1B0000}"/>
    <cellStyle name="Normal 5 7 3 2 2" xfId="7813" xr:uid="{00000000-0005-0000-0000-0000CB1B0000}"/>
    <cellStyle name="Normal 5 7 3 2 2 2" xfId="24704" xr:uid="{E7168130-AB16-420B-90EC-47EFBA0C7D85}"/>
    <cellStyle name="Normal 5 7 3 2 2 3" xfId="16263" xr:uid="{2D2D1A13-2B8E-4DF0-BC2D-32727E6075E2}"/>
    <cellStyle name="Normal 5 7 3 2 3" xfId="20486" xr:uid="{0AFE58EC-32B2-4756-87F4-1D8A195B9B68}"/>
    <cellStyle name="Normal 5 7 3 2 4" xfId="12045" xr:uid="{9BCB4655-26AB-4668-AC2A-DC5AD4103F7D}"/>
    <cellStyle name="Normal 5 7 3 3" xfId="5668" xr:uid="{00000000-0005-0000-0000-0000CC1B0000}"/>
    <cellStyle name="Normal 5 7 3 3 2" xfId="22559" xr:uid="{6E53A498-43D7-42DC-BCEF-430E654FA54D}"/>
    <cellStyle name="Normal 5 7 3 3 3" xfId="14118" xr:uid="{F65C810C-DFDC-457F-8278-97D090E9197C}"/>
    <cellStyle name="Normal 5 7 3 4" xfId="18341" xr:uid="{5C0A5B93-3D11-4950-AC9D-17C093813C82}"/>
    <cellStyle name="Normal 5 7 3 5" xfId="9900" xr:uid="{065C76EF-71CD-456D-B8E1-995E9264A312}"/>
    <cellStyle name="Normal 5 7 4" xfId="1774" xr:uid="{00000000-0005-0000-0000-0000CD1B0000}"/>
    <cellStyle name="Normal 5 7 4 2" xfId="4004" xr:uid="{00000000-0005-0000-0000-0000CE1B0000}"/>
    <cellStyle name="Normal 5 7 4 2 2" xfId="8226" xr:uid="{00000000-0005-0000-0000-0000CF1B0000}"/>
    <cellStyle name="Normal 5 7 4 2 2 2" xfId="25117" xr:uid="{810D7361-48B8-4D36-A518-02BD48625F83}"/>
    <cellStyle name="Normal 5 7 4 2 2 3" xfId="16676" xr:uid="{AE3721C4-6B09-4675-AA74-41202DDAB888}"/>
    <cellStyle name="Normal 5 7 4 2 3" xfId="20899" xr:uid="{DFC09919-87F3-4AD3-BE4D-1D0723AEA848}"/>
    <cellStyle name="Normal 5 7 4 2 4" xfId="12458" xr:uid="{ED9C9851-3551-45B8-BD4C-665478A9475B}"/>
    <cellStyle name="Normal 5 7 4 3" xfId="6081" xr:uid="{00000000-0005-0000-0000-0000D01B0000}"/>
    <cellStyle name="Normal 5 7 4 3 2" xfId="22972" xr:uid="{6AAB1F42-929A-4EDD-BCAE-A4FA2C392770}"/>
    <cellStyle name="Normal 5 7 4 3 3" xfId="14531" xr:uid="{CE22C353-79A8-44EF-BCD5-7DBA271DC4B0}"/>
    <cellStyle name="Normal 5 7 4 4" xfId="18754" xr:uid="{9B049B09-14B3-4530-B6EC-C3874610F434}"/>
    <cellStyle name="Normal 5 7 4 5" xfId="10313" xr:uid="{C793BCB8-B960-41BD-B963-858997240B11}"/>
    <cellStyle name="Normal 5 7 5" xfId="2188" xr:uid="{00000000-0005-0000-0000-0000D11B0000}"/>
    <cellStyle name="Normal 5 7 5 2" xfId="4417" xr:uid="{00000000-0005-0000-0000-0000D21B0000}"/>
    <cellStyle name="Normal 5 7 5 2 2" xfId="8639" xr:uid="{00000000-0005-0000-0000-0000D31B0000}"/>
    <cellStyle name="Normal 5 7 5 2 2 2" xfId="25530" xr:uid="{9424181D-4D04-4FCA-9AB7-0AABAE59331A}"/>
    <cellStyle name="Normal 5 7 5 2 2 3" xfId="17089" xr:uid="{E172320D-A238-4F27-AC27-F39D872E5DE2}"/>
    <cellStyle name="Normal 5 7 5 2 3" xfId="21312" xr:uid="{49EA8FB1-F6A4-4186-8C3B-75CC12D737FE}"/>
    <cellStyle name="Normal 5 7 5 2 4" xfId="12871" xr:uid="{50E0836B-1940-4334-B15E-2B98FEBEA951}"/>
    <cellStyle name="Normal 5 7 5 3" xfId="6494" xr:uid="{00000000-0005-0000-0000-0000D41B0000}"/>
    <cellStyle name="Normal 5 7 5 3 2" xfId="23385" xr:uid="{04B5D101-EBB6-4732-AA3F-F68B13FD6E5E}"/>
    <cellStyle name="Normal 5 7 5 3 3" xfId="14944" xr:uid="{985A8570-7A65-4D27-B219-7F4A86A9F4E3}"/>
    <cellStyle name="Normal 5 7 5 4" xfId="19167" xr:uid="{4FCB9DB9-249B-4446-874C-4A3C5DC97130}"/>
    <cellStyle name="Normal 5 7 5 5" xfId="10726" xr:uid="{FDFF31A1-EE96-47DD-8D28-1DDC828C8AA7}"/>
    <cellStyle name="Normal 5 7 6" xfId="2624" xr:uid="{00000000-0005-0000-0000-0000D51B0000}"/>
    <cellStyle name="Normal 5 7 6 2" xfId="6907" xr:uid="{00000000-0005-0000-0000-0000D61B0000}"/>
    <cellStyle name="Normal 5 7 6 2 2" xfId="23798" xr:uid="{E766120E-DB22-4CE5-AE03-2989A99D2675}"/>
    <cellStyle name="Normal 5 7 6 2 3" xfId="15357" xr:uid="{9D85647C-B671-4349-8563-A0ACBB6E175E}"/>
    <cellStyle name="Normal 5 7 6 3" xfId="19580" xr:uid="{5A97E462-297F-40F5-9EEC-67651A17497B}"/>
    <cellStyle name="Normal 5 7 6 4" xfId="11139" xr:uid="{8E7E2622-7E4B-42CE-A6E8-87831663BD95}"/>
    <cellStyle name="Normal 5 7 7" xfId="4842" xr:uid="{00000000-0005-0000-0000-0000D71B0000}"/>
    <cellStyle name="Normal 5 7 7 2" xfId="21733" xr:uid="{1BDD25DF-E4A9-4312-B290-C05355F3B0CB}"/>
    <cellStyle name="Normal 5 7 7 3" xfId="13292" xr:uid="{06D69F0D-A066-4EBE-B27C-2AD28E7F97F7}"/>
    <cellStyle name="Normal 5 7 8" xfId="17515" xr:uid="{0887AFD0-DF02-48CE-B343-1A01B95E386D}"/>
    <cellStyle name="Normal 5 7 9" xfId="9074" xr:uid="{50D6C3ED-4222-45E5-BB9C-65F733788BE6}"/>
    <cellStyle name="Normal 5 8" xfId="880" xr:uid="{00000000-0005-0000-0000-0000D81B0000}"/>
    <cellStyle name="Normal 5 8 2" xfId="3115" xr:uid="{00000000-0005-0000-0000-0000D91B0000}"/>
    <cellStyle name="Normal 5 8 2 2" xfId="7337" xr:uid="{00000000-0005-0000-0000-0000DA1B0000}"/>
    <cellStyle name="Normal 5 8 2 2 2" xfId="24228" xr:uid="{B9345718-B0E6-476B-AA99-FF8146569BE4}"/>
    <cellStyle name="Normal 5 8 2 2 3" xfId="15787" xr:uid="{106CF5A6-CB9C-4895-9833-D478BA1C606D}"/>
    <cellStyle name="Normal 5 8 2 3" xfId="20010" xr:uid="{54E1CE6B-7ABF-48FC-ABE5-F229A7578130}"/>
    <cellStyle name="Normal 5 8 2 4" xfId="11569" xr:uid="{D72B13A5-A3BF-4B99-BD97-3638FB625AAB}"/>
    <cellStyle name="Normal 5 8 3" xfId="5192" xr:uid="{00000000-0005-0000-0000-0000DB1B0000}"/>
    <cellStyle name="Normal 5 8 3 2" xfId="22083" xr:uid="{E215FC37-8F3E-4BDB-85B7-D3A4D41C0C94}"/>
    <cellStyle name="Normal 5 8 3 3" xfId="13642" xr:uid="{9A7410F0-A843-47F9-82A1-D92CA590024B}"/>
    <cellStyle name="Normal 5 8 4" xfId="17865" xr:uid="{A946C44F-ED48-48CA-B38D-96637843F7EB}"/>
    <cellStyle name="Normal 5 8 5" xfId="9424" xr:uid="{BCA00AA7-D218-4C56-AC0A-CD7DF6A85B32}"/>
    <cellStyle name="Normal 5 9" xfId="1298" xr:uid="{00000000-0005-0000-0000-0000DC1B0000}"/>
    <cellStyle name="Normal 5 9 2" xfId="3528" xr:uid="{00000000-0005-0000-0000-0000DD1B0000}"/>
    <cellStyle name="Normal 5 9 2 2" xfId="7750" xr:uid="{00000000-0005-0000-0000-0000DE1B0000}"/>
    <cellStyle name="Normal 5 9 2 2 2" xfId="24641" xr:uid="{6BB3753D-BD01-4264-AB6C-A34BF3D3CCB6}"/>
    <cellStyle name="Normal 5 9 2 2 3" xfId="16200" xr:uid="{70EA0F09-5177-4B93-87EF-3A8C7C582770}"/>
    <cellStyle name="Normal 5 9 2 3" xfId="20423" xr:uid="{AD3779EB-6CDC-4C2B-AFF8-E6AF0DA3B386}"/>
    <cellStyle name="Normal 5 9 2 4" xfId="11982" xr:uid="{9AA22347-C6D3-4334-A86A-115F53AE0392}"/>
    <cellStyle name="Normal 5 9 3" xfId="5605" xr:uid="{00000000-0005-0000-0000-0000DF1B0000}"/>
    <cellStyle name="Normal 5 9 3 2" xfId="22496" xr:uid="{8BE98C0F-5FF8-41AC-9E58-4455472E9934}"/>
    <cellStyle name="Normal 5 9 3 3" xfId="14055" xr:uid="{A131A8A2-0D2B-4E7D-9949-9D19888551C7}"/>
    <cellStyle name="Normal 5 9 4" xfId="18278" xr:uid="{C3BCB81A-0D4C-4165-A10E-DD315AD90972}"/>
    <cellStyle name="Normal 5 9 5" xfId="9837" xr:uid="{BF9EF310-033B-45A2-A460-6B3181CF7B85}"/>
    <cellStyle name="Normal 5_Dropdowns" xfId="25768" xr:uid="{2EBC0129-9B7B-4589-84E0-7D5E9EDE08E5}"/>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6 3 4" xfId="25775" xr:uid="{DC2804DA-0F24-498D-8AC5-EF370945E715}"/>
    <cellStyle name="Normal 6 4" xfId="25817" xr:uid="{7D77B6D6-0AAA-4CCB-9148-B09A3A14C6A3}"/>
    <cellStyle name="Normal 6 5" xfId="25652" xr:uid="{0532837A-9BA7-46CE-AC38-A44CB2462895}"/>
    <cellStyle name="Normal 6_Dropdowns" xfId="25774" xr:uid="{B84E7711-0A86-4663-9C3E-9779E5FF248F}"/>
    <cellStyle name="Normal 7" xfId="476" xr:uid="{00000000-0005-0000-0000-0000E51B0000}"/>
    <cellStyle name="Normal 7 2" xfId="477" xr:uid="{00000000-0005-0000-0000-0000E61B0000}"/>
    <cellStyle name="Normal 7 3" xfId="25638" xr:uid="{95B6F742-378B-4538-B561-53DAC3EE819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25531" xr:uid="{4ED25CE9-326F-452E-B760-602FDFB0EE78}"/>
    <cellStyle name="Normal 8 10 2 2 3" xfId="17090" xr:uid="{F95EAD21-34D7-4127-AED2-ADD07A7140DF}"/>
    <cellStyle name="Normal 8 10 2 3" xfId="21313" xr:uid="{5E633AB8-F6D8-4E30-AF62-382976C8CA6C}"/>
    <cellStyle name="Normal 8 10 2 4" xfId="12872" xr:uid="{EC56BB79-9633-42C5-92D7-7109486E5C8E}"/>
    <cellStyle name="Normal 8 10 3" xfId="6495" xr:uid="{00000000-0005-0000-0000-0000EB1B0000}"/>
    <cellStyle name="Normal 8 10 3 2" xfId="23386" xr:uid="{29954686-2BA5-485B-9981-4E5F1259877C}"/>
    <cellStyle name="Normal 8 10 3 3" xfId="14945" xr:uid="{86D7D84C-3165-428B-8227-D8B75616C41E}"/>
    <cellStyle name="Normal 8 10 4" xfId="19168" xr:uid="{60E51E42-47F8-4DE4-9DF1-761491CD50D7}"/>
    <cellStyle name="Normal 8 10 5" xfId="10727" xr:uid="{FBC837A4-3349-4764-8FCF-824A0FFF18F9}"/>
    <cellStyle name="Normal 8 11" xfId="2625" xr:uid="{00000000-0005-0000-0000-0000EC1B0000}"/>
    <cellStyle name="Normal 8 11 2" xfId="6908" xr:uid="{00000000-0005-0000-0000-0000ED1B0000}"/>
    <cellStyle name="Normal 8 11 2 2" xfId="23799" xr:uid="{0E45AF24-855B-4F7E-8022-45F8AF3492C9}"/>
    <cellStyle name="Normal 8 11 2 3" xfId="15358" xr:uid="{8D487B16-BA6F-47A3-A4F1-248A51074E35}"/>
    <cellStyle name="Normal 8 11 3" xfId="19581" xr:uid="{5869C5A2-EA84-4211-B029-D116F75B4FDA}"/>
    <cellStyle name="Normal 8 11 4" xfId="11140" xr:uid="{1FED044B-AC07-478E-A431-699FE0A3E87F}"/>
    <cellStyle name="Normal 8 12" xfId="4843" xr:uid="{00000000-0005-0000-0000-0000EE1B0000}"/>
    <cellStyle name="Normal 8 12 2" xfId="21734" xr:uid="{8B03CC91-9810-4A82-B628-FEDC673976CA}"/>
    <cellStyle name="Normal 8 12 3" xfId="13293" xr:uid="{3D7E9844-8EE1-457E-921C-4F0B57C422B6}"/>
    <cellStyle name="Normal 8 13" xfId="17516" xr:uid="{4E43791C-EBCF-461F-B95A-AB3CA2819DCD}"/>
    <cellStyle name="Normal 8 14" xfId="9075" xr:uid="{EB86647E-0B92-4B22-AD1B-9B92BE4FAF1D}"/>
    <cellStyle name="Normal 8 15" xfId="25654" xr:uid="{DDE4F741-B374-49F8-BFA5-45993D0BE786}"/>
    <cellStyle name="Normal 8 2" xfId="479" xr:uid="{00000000-0005-0000-0000-0000EF1B0000}"/>
    <cellStyle name="Normal 8 2 10" xfId="2626" xr:uid="{00000000-0005-0000-0000-0000F01B0000}"/>
    <cellStyle name="Normal 8 2 10 2" xfId="6909" xr:uid="{00000000-0005-0000-0000-0000F11B0000}"/>
    <cellStyle name="Normal 8 2 10 2 2" xfId="23800" xr:uid="{5E989BD7-0EE0-49BA-A6FE-02C7834B6239}"/>
    <cellStyle name="Normal 8 2 10 2 3" xfId="15359" xr:uid="{8564D5DD-9A66-4A8B-AD20-32748C410E4A}"/>
    <cellStyle name="Normal 8 2 10 3" xfId="19582" xr:uid="{ED2B1F75-78D1-452A-AEB6-F6B797FC9044}"/>
    <cellStyle name="Normal 8 2 10 4" xfId="11141" xr:uid="{25671221-AB18-4D13-A17D-BE35DB1027C7}"/>
    <cellStyle name="Normal 8 2 11" xfId="4844" xr:uid="{00000000-0005-0000-0000-0000F21B0000}"/>
    <cellStyle name="Normal 8 2 11 2" xfId="21735" xr:uid="{C44D0610-4F36-4B6B-810A-26833D6B7B8C}"/>
    <cellStyle name="Normal 8 2 11 3" xfId="13294" xr:uid="{D79BF028-8147-49FE-8F96-C6565ECD0A17}"/>
    <cellStyle name="Normal 8 2 12" xfId="17517" xr:uid="{110954FB-0A64-4A91-A22F-D6ED5E4FAC09}"/>
    <cellStyle name="Normal 8 2 13" xfId="9076" xr:uid="{9D27579B-3FE2-4085-B6FC-EF080C9465E9}"/>
    <cellStyle name="Normal 8 2 14" xfId="25777" xr:uid="{3ACD9A87-6924-4FF5-AEF4-E07FA5D5CF70}"/>
    <cellStyle name="Normal 8 2 2" xfId="480" xr:uid="{00000000-0005-0000-0000-0000F31B0000}"/>
    <cellStyle name="Normal 8 2 2 10" xfId="4845" xr:uid="{00000000-0005-0000-0000-0000F41B0000}"/>
    <cellStyle name="Normal 8 2 2 10 2" xfId="21736" xr:uid="{EFAEAE20-8CA6-477D-8DEA-AB0DA9AC9D8E}"/>
    <cellStyle name="Normal 8 2 2 10 3" xfId="13295" xr:uid="{D1DF9908-1B9E-4E44-AD87-0387B16C82DD}"/>
    <cellStyle name="Normal 8 2 2 11" xfId="17518" xr:uid="{CC2ACE68-326F-46C6-8CB0-F362D0191175}"/>
    <cellStyle name="Normal 8 2 2 12" xfId="9077" xr:uid="{54FF1C9D-7589-4598-A1EB-1ACF312C0597}"/>
    <cellStyle name="Normal 8 2 2 2" xfId="481" xr:uid="{00000000-0005-0000-0000-0000F51B0000}"/>
    <cellStyle name="Normal 8 2 2 2 10" xfId="17519" xr:uid="{0D77D3D9-CD0E-433F-8DFC-D5359170444F}"/>
    <cellStyle name="Normal 8 2 2 2 11" xfId="9078" xr:uid="{935B93D1-30C7-485A-92F4-AD075668320E}"/>
    <cellStyle name="Normal 8 2 2 2 2" xfId="482" xr:uid="{00000000-0005-0000-0000-0000F61B0000}"/>
    <cellStyle name="Normal 8 2 2 2 2 10" xfId="9079" xr:uid="{80C4546A-B1CE-498C-9EBA-9E8D99233F45}"/>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24297" xr:uid="{2A98B76C-F744-430A-90DB-C56ED7DEAA00}"/>
    <cellStyle name="Normal 8 2 2 2 2 2 2 2 2 3" xfId="15856" xr:uid="{203B151A-2A8D-45FF-8762-30DB6A5FE4CD}"/>
    <cellStyle name="Normal 8 2 2 2 2 2 2 2 3" xfId="20079" xr:uid="{AE239C57-5D42-4902-9F04-EEF96C3BA91D}"/>
    <cellStyle name="Normal 8 2 2 2 2 2 2 2 4" xfId="11638" xr:uid="{86E114F2-B39B-4DE3-903B-88F231C26AF0}"/>
    <cellStyle name="Normal 8 2 2 2 2 2 2 3" xfId="5261" xr:uid="{00000000-0005-0000-0000-0000FB1B0000}"/>
    <cellStyle name="Normal 8 2 2 2 2 2 2 3 2" xfId="22152" xr:uid="{817C1E2C-BD0E-4D7E-8705-5B9EC5A03CD7}"/>
    <cellStyle name="Normal 8 2 2 2 2 2 2 3 3" xfId="13711" xr:uid="{2CDD95B4-8AAB-4A5C-AF72-815591AE81AB}"/>
    <cellStyle name="Normal 8 2 2 2 2 2 2 4" xfId="17934" xr:uid="{EEA75156-B674-4F11-B012-87FF87BDD355}"/>
    <cellStyle name="Normal 8 2 2 2 2 2 2 5" xfId="9493" xr:uid="{B00CA944-E3C0-4299-89A1-7EFD6D9B33C2}"/>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24710" xr:uid="{74ADD598-0776-4E26-845A-53BD4E714E58}"/>
    <cellStyle name="Normal 8 2 2 2 2 2 3 2 2 3" xfId="16269" xr:uid="{9C301FC6-3D08-478D-81CF-22242AC19C3D}"/>
    <cellStyle name="Normal 8 2 2 2 2 2 3 2 3" xfId="20492" xr:uid="{12819054-ED4C-4C92-9B8B-4FA8492BDB11}"/>
    <cellStyle name="Normal 8 2 2 2 2 2 3 2 4" xfId="12051" xr:uid="{4E6D9AE1-1FCB-4FD5-A961-DA6335313698}"/>
    <cellStyle name="Normal 8 2 2 2 2 2 3 3" xfId="5674" xr:uid="{00000000-0005-0000-0000-0000FF1B0000}"/>
    <cellStyle name="Normal 8 2 2 2 2 2 3 3 2" xfId="22565" xr:uid="{45BC18CD-804E-44B6-AEB3-FCD9981677C9}"/>
    <cellStyle name="Normal 8 2 2 2 2 2 3 3 3" xfId="14124" xr:uid="{535E3068-C532-4D17-9EA1-FB575631F80D}"/>
    <cellStyle name="Normal 8 2 2 2 2 2 3 4" xfId="18347" xr:uid="{DD31CB36-C069-45E3-9D81-E554B326EEA8}"/>
    <cellStyle name="Normal 8 2 2 2 2 2 3 5" xfId="9906" xr:uid="{8DA2F7D7-502B-48BF-8F56-AC087780DFF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25123" xr:uid="{276491E3-424E-48F8-B629-E4720C688EAB}"/>
    <cellStyle name="Normal 8 2 2 2 2 2 4 2 2 3" xfId="16682" xr:uid="{C209CC3B-38ED-4C58-9B0A-615556F64E7B}"/>
    <cellStyle name="Normal 8 2 2 2 2 2 4 2 3" xfId="20905" xr:uid="{30EBADF0-1A7A-44B9-96E1-63FF36537679}"/>
    <cellStyle name="Normal 8 2 2 2 2 2 4 2 4" xfId="12464" xr:uid="{01D2A189-DC9E-4E84-9BA4-AC34B92B2343}"/>
    <cellStyle name="Normal 8 2 2 2 2 2 4 3" xfId="6087" xr:uid="{00000000-0005-0000-0000-0000031C0000}"/>
    <cellStyle name="Normal 8 2 2 2 2 2 4 3 2" xfId="22978" xr:uid="{1FA0AE37-CCC3-4CC5-9408-1C5A8357BF05}"/>
    <cellStyle name="Normal 8 2 2 2 2 2 4 3 3" xfId="14537" xr:uid="{9F46B4C8-D396-4526-836E-D0DACC023743}"/>
    <cellStyle name="Normal 8 2 2 2 2 2 4 4" xfId="18760" xr:uid="{13A2E08D-2B5F-4FA9-966D-CC6AB48D5DB0}"/>
    <cellStyle name="Normal 8 2 2 2 2 2 4 5" xfId="10319" xr:uid="{7E986B0A-5001-43CC-AC62-573A8F4C0A05}"/>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25536" xr:uid="{AC21F73C-A8C2-48B6-9AC4-95BF51A66A12}"/>
    <cellStyle name="Normal 8 2 2 2 2 2 5 2 2 3" xfId="17095" xr:uid="{93C5B342-1CC9-4234-BB63-89239FFAD3C4}"/>
    <cellStyle name="Normal 8 2 2 2 2 2 5 2 3" xfId="21318" xr:uid="{242ECCFE-894F-4101-8476-90213372A9C0}"/>
    <cellStyle name="Normal 8 2 2 2 2 2 5 2 4" xfId="12877" xr:uid="{91D0A22D-2042-4DB9-90D2-88FEFE5F37A5}"/>
    <cellStyle name="Normal 8 2 2 2 2 2 5 3" xfId="6500" xr:uid="{00000000-0005-0000-0000-0000071C0000}"/>
    <cellStyle name="Normal 8 2 2 2 2 2 5 3 2" xfId="23391" xr:uid="{636DB6C8-77C7-438E-BEDB-281A1D4C7277}"/>
    <cellStyle name="Normal 8 2 2 2 2 2 5 3 3" xfId="14950" xr:uid="{575168B3-A61C-490C-A19E-49CDF5E704C8}"/>
    <cellStyle name="Normal 8 2 2 2 2 2 5 4" xfId="19173" xr:uid="{7A958B72-7B09-4F21-9CDC-61FBE62AD51B}"/>
    <cellStyle name="Normal 8 2 2 2 2 2 5 5" xfId="10732" xr:uid="{C52241D5-F1E4-4D82-99B8-D8D270708C8D}"/>
    <cellStyle name="Normal 8 2 2 2 2 2 6" xfId="2630" xr:uid="{00000000-0005-0000-0000-0000081C0000}"/>
    <cellStyle name="Normal 8 2 2 2 2 2 6 2" xfId="6913" xr:uid="{00000000-0005-0000-0000-0000091C0000}"/>
    <cellStyle name="Normal 8 2 2 2 2 2 6 2 2" xfId="23804" xr:uid="{EE53B03B-66DB-47A5-926D-9F332C394032}"/>
    <cellStyle name="Normal 8 2 2 2 2 2 6 2 3" xfId="15363" xr:uid="{B5A84531-7FC8-436E-9227-30062C3FB917}"/>
    <cellStyle name="Normal 8 2 2 2 2 2 6 3" xfId="19586" xr:uid="{B4604FA8-EC35-4570-8829-F0AD870EE9AA}"/>
    <cellStyle name="Normal 8 2 2 2 2 2 6 4" xfId="11145" xr:uid="{5FF37EA1-325E-427E-9E0C-F92544D7B02B}"/>
    <cellStyle name="Normal 8 2 2 2 2 2 7" xfId="4848" xr:uid="{00000000-0005-0000-0000-00000A1C0000}"/>
    <cellStyle name="Normal 8 2 2 2 2 2 7 2" xfId="21739" xr:uid="{52472293-4DE3-4E1B-BF80-B21F8E25C63E}"/>
    <cellStyle name="Normal 8 2 2 2 2 2 7 3" xfId="13298" xr:uid="{BB208880-428C-40D1-9EB4-5B3B3CD312DA}"/>
    <cellStyle name="Normal 8 2 2 2 2 2 8" xfId="17521" xr:uid="{B75D8313-F4E9-460E-926F-A177A3BD8994}"/>
    <cellStyle name="Normal 8 2 2 2 2 2 9" xfId="9080" xr:uid="{E3F713B8-62E2-42F4-91DC-2AC5E7EDDF59}"/>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24296" xr:uid="{B3311E3B-C382-4EA7-AC90-EA70D435B4E9}"/>
    <cellStyle name="Normal 8 2 2 2 2 3 2 2 3" xfId="15855" xr:uid="{43451CE0-E154-402C-B692-A2096BB00469}"/>
    <cellStyle name="Normal 8 2 2 2 2 3 2 3" xfId="20078" xr:uid="{8D9ABFA6-C608-4BD6-A2CB-D33012C6E338}"/>
    <cellStyle name="Normal 8 2 2 2 2 3 2 4" xfId="11637" xr:uid="{212F580F-E402-4639-82B5-8E1CE4C50D26}"/>
    <cellStyle name="Normal 8 2 2 2 2 3 3" xfId="5260" xr:uid="{00000000-0005-0000-0000-00000E1C0000}"/>
    <cellStyle name="Normal 8 2 2 2 2 3 3 2" xfId="22151" xr:uid="{5469781E-2272-4F19-97CA-5606BA53F81B}"/>
    <cellStyle name="Normal 8 2 2 2 2 3 3 3" xfId="13710" xr:uid="{95D183A6-80C4-481D-BDFD-F1E8565CF064}"/>
    <cellStyle name="Normal 8 2 2 2 2 3 4" xfId="17933" xr:uid="{FAFC96A1-B3C4-43FE-866C-C528B3DF0A91}"/>
    <cellStyle name="Normal 8 2 2 2 2 3 5" xfId="9492" xr:uid="{91DD4CCC-A813-437F-892E-7037E8D06EC1}"/>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24709" xr:uid="{0E209356-0C4C-43F0-9B67-97567867F02C}"/>
    <cellStyle name="Normal 8 2 2 2 2 4 2 2 3" xfId="16268" xr:uid="{D656B0D4-7CCD-434F-A200-BB1E616CFFBC}"/>
    <cellStyle name="Normal 8 2 2 2 2 4 2 3" xfId="20491" xr:uid="{B3D8E56D-3DC8-4BFF-847A-86282E55A4AA}"/>
    <cellStyle name="Normal 8 2 2 2 2 4 2 4" xfId="12050" xr:uid="{91C62BC4-B05F-4C6E-919E-A50FF88B877B}"/>
    <cellStyle name="Normal 8 2 2 2 2 4 3" xfId="5673" xr:uid="{00000000-0005-0000-0000-0000121C0000}"/>
    <cellStyle name="Normal 8 2 2 2 2 4 3 2" xfId="22564" xr:uid="{40632691-B38C-42E7-8F0F-5CE323A4D96E}"/>
    <cellStyle name="Normal 8 2 2 2 2 4 3 3" xfId="14123" xr:uid="{4202861C-4230-4315-96EF-3EDDA971C89E}"/>
    <cellStyle name="Normal 8 2 2 2 2 4 4" xfId="18346" xr:uid="{5AA4CC32-E5D6-4BB7-957B-D3FFB1FFA458}"/>
    <cellStyle name="Normal 8 2 2 2 2 4 5" xfId="9905" xr:uid="{9D2C1E23-988D-4F03-9C42-329A10A8151E}"/>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25122" xr:uid="{4ABADAD7-4E20-4D61-9A48-1FD4E32511C0}"/>
    <cellStyle name="Normal 8 2 2 2 2 5 2 2 3" xfId="16681" xr:uid="{E415E635-F0AC-412F-8B24-C869965145D5}"/>
    <cellStyle name="Normal 8 2 2 2 2 5 2 3" xfId="20904" xr:uid="{CF6F0C56-DCB3-43BD-992F-C65A219214AD}"/>
    <cellStyle name="Normal 8 2 2 2 2 5 2 4" xfId="12463" xr:uid="{E619FAAD-9C2A-43A0-A17C-3E0303558E34}"/>
    <cellStyle name="Normal 8 2 2 2 2 5 3" xfId="6086" xr:uid="{00000000-0005-0000-0000-0000161C0000}"/>
    <cellStyle name="Normal 8 2 2 2 2 5 3 2" xfId="22977" xr:uid="{0D441E19-91DE-4A32-ABDB-4409F71AAD25}"/>
    <cellStyle name="Normal 8 2 2 2 2 5 3 3" xfId="14536" xr:uid="{0EF73DE4-8246-4CB8-8D4F-9EA21D2390E7}"/>
    <cellStyle name="Normal 8 2 2 2 2 5 4" xfId="18759" xr:uid="{8BF053AF-DCFE-4CA9-A84C-73F109552ED0}"/>
    <cellStyle name="Normal 8 2 2 2 2 5 5" xfId="10318" xr:uid="{26A359BE-1A9F-4BA1-8E7B-577028CCDE03}"/>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25535" xr:uid="{83740C71-803A-4ADA-851D-8F7F404CE5AD}"/>
    <cellStyle name="Normal 8 2 2 2 2 6 2 2 3" xfId="17094" xr:uid="{345A19C6-3CEB-487B-B768-BB6E37B82D47}"/>
    <cellStyle name="Normal 8 2 2 2 2 6 2 3" xfId="21317" xr:uid="{65C58F36-52EC-433C-A803-4EED99AC529B}"/>
    <cellStyle name="Normal 8 2 2 2 2 6 2 4" xfId="12876" xr:uid="{0178816A-D218-4178-BA14-E7433B140C5D}"/>
    <cellStyle name="Normal 8 2 2 2 2 6 3" xfId="6499" xr:uid="{00000000-0005-0000-0000-00001A1C0000}"/>
    <cellStyle name="Normal 8 2 2 2 2 6 3 2" xfId="23390" xr:uid="{411701B3-04A6-4294-A03C-37EBA8153AFF}"/>
    <cellStyle name="Normal 8 2 2 2 2 6 3 3" xfId="14949" xr:uid="{03463C7F-7000-44F6-B7DF-87C08747E294}"/>
    <cellStyle name="Normal 8 2 2 2 2 6 4" xfId="19172" xr:uid="{DAF49881-16C2-40B0-9F10-874DACBE025B}"/>
    <cellStyle name="Normal 8 2 2 2 2 6 5" xfId="10731" xr:uid="{C84FE438-3926-4D38-8D9A-BC4764C82E28}"/>
    <cellStyle name="Normal 8 2 2 2 2 7" xfId="2629" xr:uid="{00000000-0005-0000-0000-00001B1C0000}"/>
    <cellStyle name="Normal 8 2 2 2 2 7 2" xfId="6912" xr:uid="{00000000-0005-0000-0000-00001C1C0000}"/>
    <cellStyle name="Normal 8 2 2 2 2 7 2 2" xfId="23803" xr:uid="{58EA9037-ABF0-4260-AC03-05F71B223809}"/>
    <cellStyle name="Normal 8 2 2 2 2 7 2 3" xfId="15362" xr:uid="{9DDF2921-7ABA-40B6-80A4-BBB44B6FAE8C}"/>
    <cellStyle name="Normal 8 2 2 2 2 7 3" xfId="19585" xr:uid="{60FD4C67-750F-4476-AE4A-404B189E3D75}"/>
    <cellStyle name="Normal 8 2 2 2 2 7 4" xfId="11144" xr:uid="{D25937AA-B678-4371-9C35-02D0CC687295}"/>
    <cellStyle name="Normal 8 2 2 2 2 8" xfId="4847" xr:uid="{00000000-0005-0000-0000-00001D1C0000}"/>
    <cellStyle name="Normal 8 2 2 2 2 8 2" xfId="21738" xr:uid="{BE1CF63E-1A1E-4A02-B782-8E54A2CE2730}"/>
    <cellStyle name="Normal 8 2 2 2 2 8 3" xfId="13297" xr:uid="{6D7A8E3A-FA17-4072-ACBF-9C9440BF608D}"/>
    <cellStyle name="Normal 8 2 2 2 2 9" xfId="17520" xr:uid="{348BEC8A-DDEE-45B1-898C-7CAA94A8AB8F}"/>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24298" xr:uid="{F98E8E3A-D70E-48D1-B479-B4155E6BD95F}"/>
    <cellStyle name="Normal 8 2 2 2 3 2 2 2 3" xfId="15857" xr:uid="{F413049A-23A3-44DF-919C-3A4F8F2D0951}"/>
    <cellStyle name="Normal 8 2 2 2 3 2 2 3" xfId="20080" xr:uid="{D109D0BE-44B5-44E7-8587-2A54FF0138E8}"/>
    <cellStyle name="Normal 8 2 2 2 3 2 2 4" xfId="11639" xr:uid="{BDC0BC91-2D9F-4107-AA9F-17891D5754EF}"/>
    <cellStyle name="Normal 8 2 2 2 3 2 3" xfId="5262" xr:uid="{00000000-0005-0000-0000-0000221C0000}"/>
    <cellStyle name="Normal 8 2 2 2 3 2 3 2" xfId="22153" xr:uid="{6F1D93B2-DE11-439F-8F3B-3037D02085A6}"/>
    <cellStyle name="Normal 8 2 2 2 3 2 3 3" xfId="13712" xr:uid="{E80D8746-3BEB-41A8-AFC3-20D148CF4B39}"/>
    <cellStyle name="Normal 8 2 2 2 3 2 4" xfId="17935" xr:uid="{5B192397-C6F9-4990-A677-705063CEDD01}"/>
    <cellStyle name="Normal 8 2 2 2 3 2 5" xfId="9494" xr:uid="{33F8E794-BA1F-40C2-9B35-0698CB3F9445}"/>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24711" xr:uid="{DE2402A1-0851-45FB-B6DB-4E62BEC3ECE0}"/>
    <cellStyle name="Normal 8 2 2 2 3 3 2 2 3" xfId="16270" xr:uid="{8485E771-4BCE-4086-8E56-9BCC1A7A20A4}"/>
    <cellStyle name="Normal 8 2 2 2 3 3 2 3" xfId="20493" xr:uid="{DE207E41-27CC-485B-AFA1-72000E7D685D}"/>
    <cellStyle name="Normal 8 2 2 2 3 3 2 4" xfId="12052" xr:uid="{AA298A44-AAB4-401F-B59C-8AB480E3F560}"/>
    <cellStyle name="Normal 8 2 2 2 3 3 3" xfId="5675" xr:uid="{00000000-0005-0000-0000-0000261C0000}"/>
    <cellStyle name="Normal 8 2 2 2 3 3 3 2" xfId="22566" xr:uid="{8473360A-6A79-4A5A-AD44-3DCBE5E7EDD7}"/>
    <cellStyle name="Normal 8 2 2 2 3 3 3 3" xfId="14125" xr:uid="{9205EE26-6B4E-4B76-9CA6-2AE854FD884B}"/>
    <cellStyle name="Normal 8 2 2 2 3 3 4" xfId="18348" xr:uid="{E65B1E2B-3B29-4EAF-BDE4-4C39C2D7E973}"/>
    <cellStyle name="Normal 8 2 2 2 3 3 5" xfId="9907" xr:uid="{E6D69FA7-1213-41C2-88BF-8AE292FF4124}"/>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25124" xr:uid="{12BD94C5-A5F1-434E-BA6A-1562C257EA1D}"/>
    <cellStyle name="Normal 8 2 2 2 3 4 2 2 3" xfId="16683" xr:uid="{02AF15E8-78B1-4709-89A6-CE04873FADA0}"/>
    <cellStyle name="Normal 8 2 2 2 3 4 2 3" xfId="20906" xr:uid="{F94F375E-DE7D-4281-A6FD-26C9271E9BDF}"/>
    <cellStyle name="Normal 8 2 2 2 3 4 2 4" xfId="12465" xr:uid="{E1522A2E-E3B7-4027-903B-6A8EAED3D56F}"/>
    <cellStyle name="Normal 8 2 2 2 3 4 3" xfId="6088" xr:uid="{00000000-0005-0000-0000-00002A1C0000}"/>
    <cellStyle name="Normal 8 2 2 2 3 4 3 2" xfId="22979" xr:uid="{8EBDB341-066F-4CF5-9457-8588BF360392}"/>
    <cellStyle name="Normal 8 2 2 2 3 4 3 3" xfId="14538" xr:uid="{2E687B5E-817A-4FB3-9D13-37895B2BB530}"/>
    <cellStyle name="Normal 8 2 2 2 3 4 4" xfId="18761" xr:uid="{4829C344-4938-46D6-A2C8-53041EE59591}"/>
    <cellStyle name="Normal 8 2 2 2 3 4 5" xfId="10320" xr:uid="{1D195DCB-11B9-4F6A-9595-0804F2C2A2B3}"/>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25537" xr:uid="{42C71BBB-CD34-4F04-AF1A-0ADCAC8AF7E6}"/>
    <cellStyle name="Normal 8 2 2 2 3 5 2 2 3" xfId="17096" xr:uid="{31B90352-545B-459B-8BF3-45D954DAB7BD}"/>
    <cellStyle name="Normal 8 2 2 2 3 5 2 3" xfId="21319" xr:uid="{FC335AFD-AAA6-45A3-8985-E402621105B4}"/>
    <cellStyle name="Normal 8 2 2 2 3 5 2 4" xfId="12878" xr:uid="{9A7CF21C-63A7-4FBC-AC48-F3888FFB9DDB}"/>
    <cellStyle name="Normal 8 2 2 2 3 5 3" xfId="6501" xr:uid="{00000000-0005-0000-0000-00002E1C0000}"/>
    <cellStyle name="Normal 8 2 2 2 3 5 3 2" xfId="23392" xr:uid="{7CE1CE4A-D11C-49D1-B358-FB5271380959}"/>
    <cellStyle name="Normal 8 2 2 2 3 5 3 3" xfId="14951" xr:uid="{04F940C0-018F-41D4-A41B-3E47F8C8DBBF}"/>
    <cellStyle name="Normal 8 2 2 2 3 5 4" xfId="19174" xr:uid="{F6B1FE1D-ECF3-4E98-B8B5-FEDDAEF7B610}"/>
    <cellStyle name="Normal 8 2 2 2 3 5 5" xfId="10733" xr:uid="{F03D09CE-6640-4CB5-9DDA-617D6E7DAFA8}"/>
    <cellStyle name="Normal 8 2 2 2 3 6" xfId="2631" xr:uid="{00000000-0005-0000-0000-00002F1C0000}"/>
    <cellStyle name="Normal 8 2 2 2 3 6 2" xfId="6914" xr:uid="{00000000-0005-0000-0000-0000301C0000}"/>
    <cellStyle name="Normal 8 2 2 2 3 6 2 2" xfId="23805" xr:uid="{DA3E9DA9-5370-4347-98E3-B2A59A315F31}"/>
    <cellStyle name="Normal 8 2 2 2 3 6 2 3" xfId="15364" xr:uid="{2A3C6B6D-8883-4EF9-AF2A-781D7E0F839D}"/>
    <cellStyle name="Normal 8 2 2 2 3 6 3" xfId="19587" xr:uid="{C883BC3B-5D65-4F67-AB94-4AD1BFD2FB9D}"/>
    <cellStyle name="Normal 8 2 2 2 3 6 4" xfId="11146" xr:uid="{3E9BBE31-CA23-43B6-948D-540DBCFD3D4E}"/>
    <cellStyle name="Normal 8 2 2 2 3 7" xfId="4849" xr:uid="{00000000-0005-0000-0000-0000311C0000}"/>
    <cellStyle name="Normal 8 2 2 2 3 7 2" xfId="21740" xr:uid="{3DBE42C8-FF85-4983-8582-7E0235B9B276}"/>
    <cellStyle name="Normal 8 2 2 2 3 7 3" xfId="13299" xr:uid="{DA5917B8-D42F-4344-8270-ECAB8616912F}"/>
    <cellStyle name="Normal 8 2 2 2 3 8" xfId="17522" xr:uid="{A41A4FFF-C30A-4AD0-9D13-44E78BF69E61}"/>
    <cellStyle name="Normal 8 2 2 2 3 9" xfId="9081" xr:uid="{35A4F3EC-F7A7-4F5F-9023-4533B401891D}"/>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24295" xr:uid="{6CF96E51-D948-4B82-99F4-45DD92FCA66E}"/>
    <cellStyle name="Normal 8 2 2 2 4 2 2 3" xfId="15854" xr:uid="{464A8411-B9F5-4420-B47B-D8FD30D54974}"/>
    <cellStyle name="Normal 8 2 2 2 4 2 3" xfId="20077" xr:uid="{A8755B88-AB5D-4216-8CD8-27E1601AF80C}"/>
    <cellStyle name="Normal 8 2 2 2 4 2 4" xfId="11636" xr:uid="{65BA8ACC-D1DA-4C94-B42D-D44FFE3925B5}"/>
    <cellStyle name="Normal 8 2 2 2 4 3" xfId="5259" xr:uid="{00000000-0005-0000-0000-0000351C0000}"/>
    <cellStyle name="Normal 8 2 2 2 4 3 2" xfId="22150" xr:uid="{76123E40-03CE-48CB-AE21-1BA88BF2855D}"/>
    <cellStyle name="Normal 8 2 2 2 4 3 3" xfId="13709" xr:uid="{55084812-9066-44D1-8A4B-0118A7D0954D}"/>
    <cellStyle name="Normal 8 2 2 2 4 4" xfId="17932" xr:uid="{CD11EEA6-D952-4A94-B8A5-2B7CA7DAFA0D}"/>
    <cellStyle name="Normal 8 2 2 2 4 5" xfId="9491" xr:uid="{6AE8216B-3BAF-4167-AB60-762EDD45D02C}"/>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24708" xr:uid="{7475A148-F358-4AD4-B003-5BAC7CC829C7}"/>
    <cellStyle name="Normal 8 2 2 2 5 2 2 3" xfId="16267" xr:uid="{8D0CB223-B0A8-40CF-A91A-1A9FA0B058A9}"/>
    <cellStyle name="Normal 8 2 2 2 5 2 3" xfId="20490" xr:uid="{8ECB2DAF-45AB-4983-8CEF-AEB212FFAC17}"/>
    <cellStyle name="Normal 8 2 2 2 5 2 4" xfId="12049" xr:uid="{A7862DB1-BE92-46A1-B837-2D001A8D0298}"/>
    <cellStyle name="Normal 8 2 2 2 5 3" xfId="5672" xr:uid="{00000000-0005-0000-0000-0000391C0000}"/>
    <cellStyle name="Normal 8 2 2 2 5 3 2" xfId="22563" xr:uid="{B1CF01C4-EAAE-4E68-B5FB-75DB390A24FB}"/>
    <cellStyle name="Normal 8 2 2 2 5 3 3" xfId="14122" xr:uid="{90C2F766-3C53-4A14-8B21-2E45547A422F}"/>
    <cellStyle name="Normal 8 2 2 2 5 4" xfId="18345" xr:uid="{3B54F551-6B11-465A-96EC-80AD6E6C3F20}"/>
    <cellStyle name="Normal 8 2 2 2 5 5" xfId="9904" xr:uid="{ADC0FE91-D68B-4D09-B32F-7418AE912C01}"/>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25121" xr:uid="{4BDA070B-02F4-424C-A2F6-80F41E48CB95}"/>
    <cellStyle name="Normal 8 2 2 2 6 2 2 3" xfId="16680" xr:uid="{2AB1F8E0-5DB7-49B0-AC1D-E3A42585AF17}"/>
    <cellStyle name="Normal 8 2 2 2 6 2 3" xfId="20903" xr:uid="{576BE0B2-C806-4695-91E8-04775E89EAEA}"/>
    <cellStyle name="Normal 8 2 2 2 6 2 4" xfId="12462" xr:uid="{DBCD4384-0B65-4255-A85B-41F4081566E0}"/>
    <cellStyle name="Normal 8 2 2 2 6 3" xfId="6085" xr:uid="{00000000-0005-0000-0000-00003D1C0000}"/>
    <cellStyle name="Normal 8 2 2 2 6 3 2" xfId="22976" xr:uid="{641EEB51-E2F0-4C4A-8BEB-4055340D81CC}"/>
    <cellStyle name="Normal 8 2 2 2 6 3 3" xfId="14535" xr:uid="{DC504AC5-3216-4648-97CC-DD54297836EF}"/>
    <cellStyle name="Normal 8 2 2 2 6 4" xfId="18758" xr:uid="{D2BC5702-1C73-4601-919B-D27E0C6368E5}"/>
    <cellStyle name="Normal 8 2 2 2 6 5" xfId="10317" xr:uid="{0C155F57-FAA0-4416-A979-614C71291544}"/>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25534" xr:uid="{C0658AE3-7378-4C54-AD0B-FE2BEBC74F4B}"/>
    <cellStyle name="Normal 8 2 2 2 7 2 2 3" xfId="17093" xr:uid="{1B0ABBE2-0C00-4134-B2A3-D072AB6F3A08}"/>
    <cellStyle name="Normal 8 2 2 2 7 2 3" xfId="21316" xr:uid="{E25DC8C4-7990-4808-A6DD-F52A24DF6202}"/>
    <cellStyle name="Normal 8 2 2 2 7 2 4" xfId="12875" xr:uid="{614202AE-F5E8-42BF-87B1-47E99724A5D6}"/>
    <cellStyle name="Normal 8 2 2 2 7 3" xfId="6498" xr:uid="{00000000-0005-0000-0000-0000411C0000}"/>
    <cellStyle name="Normal 8 2 2 2 7 3 2" xfId="23389" xr:uid="{CA4BDB17-E076-4624-838A-D5A29C66D59F}"/>
    <cellStyle name="Normal 8 2 2 2 7 3 3" xfId="14948" xr:uid="{F269CED2-874A-4BF9-B8EB-604CC23DFBAC}"/>
    <cellStyle name="Normal 8 2 2 2 7 4" xfId="19171" xr:uid="{D85FAAEE-F4F9-4C62-B802-2A9E2C028F9D}"/>
    <cellStyle name="Normal 8 2 2 2 7 5" xfId="10730" xr:uid="{3F7E2DEE-8BF8-458F-9E7E-49F703DA2DC8}"/>
    <cellStyle name="Normal 8 2 2 2 8" xfId="2628" xr:uid="{00000000-0005-0000-0000-0000421C0000}"/>
    <cellStyle name="Normal 8 2 2 2 8 2" xfId="6911" xr:uid="{00000000-0005-0000-0000-0000431C0000}"/>
    <cellStyle name="Normal 8 2 2 2 8 2 2" xfId="23802" xr:uid="{6E2CCB7B-41AC-4FB9-A120-5CAA300FB40D}"/>
    <cellStyle name="Normal 8 2 2 2 8 2 3" xfId="15361" xr:uid="{76547364-2DDB-4689-89A6-0EF7647FC7F0}"/>
    <cellStyle name="Normal 8 2 2 2 8 3" xfId="19584" xr:uid="{B45436C3-5A77-41F6-AF17-0C39702F6406}"/>
    <cellStyle name="Normal 8 2 2 2 8 4" xfId="11143" xr:uid="{0C9FD4FB-B31C-4691-A8C3-E189D03A0F19}"/>
    <cellStyle name="Normal 8 2 2 2 9" xfId="4846" xr:uid="{00000000-0005-0000-0000-0000441C0000}"/>
    <cellStyle name="Normal 8 2 2 2 9 2" xfId="21737" xr:uid="{298F3F4E-9DB0-4A70-9AC8-E8B68C6B8034}"/>
    <cellStyle name="Normal 8 2 2 2 9 3" xfId="13296" xr:uid="{86BB3CFF-FD2C-41EB-82E6-907B05F07318}"/>
    <cellStyle name="Normal 8 2 2 3" xfId="485" xr:uid="{00000000-0005-0000-0000-0000451C0000}"/>
    <cellStyle name="Normal 8 2 2 3 10" xfId="9082" xr:uid="{549EB875-980F-4433-A0DD-1772D06CF0BA}"/>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24300" xr:uid="{226C5FF6-31E7-45F7-8372-50DFF244605A}"/>
    <cellStyle name="Normal 8 2 2 3 2 2 2 2 3" xfId="15859" xr:uid="{AA7CC4FC-180E-4125-983C-BC3875F2CAD9}"/>
    <cellStyle name="Normal 8 2 2 3 2 2 2 3" xfId="20082" xr:uid="{0BDD66EF-85AE-4AC3-9D15-1CE74F736D1C}"/>
    <cellStyle name="Normal 8 2 2 3 2 2 2 4" xfId="11641" xr:uid="{D81770EF-6F76-4A84-BF2B-0763A184A313}"/>
    <cellStyle name="Normal 8 2 2 3 2 2 3" xfId="5264" xr:uid="{00000000-0005-0000-0000-00004A1C0000}"/>
    <cellStyle name="Normal 8 2 2 3 2 2 3 2" xfId="22155" xr:uid="{175D8A51-45A9-4348-B31B-717FD407C6B2}"/>
    <cellStyle name="Normal 8 2 2 3 2 2 3 3" xfId="13714" xr:uid="{B1ED57C7-B669-4018-9CA5-A976783EB3AB}"/>
    <cellStyle name="Normal 8 2 2 3 2 2 4" xfId="17937" xr:uid="{C49674BF-8D9A-46A3-87E5-42623376DCC0}"/>
    <cellStyle name="Normal 8 2 2 3 2 2 5" xfId="9496" xr:uid="{9E1D25DA-4AC3-4FFD-AA11-F91930F2FEF7}"/>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24713" xr:uid="{0A40D958-34D3-46B5-98A3-C50CCFC5438E}"/>
    <cellStyle name="Normal 8 2 2 3 2 3 2 2 3" xfId="16272" xr:uid="{AC018362-F387-4D81-91AD-F91CC1288754}"/>
    <cellStyle name="Normal 8 2 2 3 2 3 2 3" xfId="20495" xr:uid="{F80C77E2-FAB3-4499-B23F-B72487833C46}"/>
    <cellStyle name="Normal 8 2 2 3 2 3 2 4" xfId="12054" xr:uid="{98CD20DB-EEDC-4C77-89ED-7C0FFC5895E7}"/>
    <cellStyle name="Normal 8 2 2 3 2 3 3" xfId="5677" xr:uid="{00000000-0005-0000-0000-00004E1C0000}"/>
    <cellStyle name="Normal 8 2 2 3 2 3 3 2" xfId="22568" xr:uid="{6A499E28-96A0-4E2C-BC96-04CAB9BCEE64}"/>
    <cellStyle name="Normal 8 2 2 3 2 3 3 3" xfId="14127" xr:uid="{1F39CAC2-6F20-4C94-A775-727F9AD102A4}"/>
    <cellStyle name="Normal 8 2 2 3 2 3 4" xfId="18350" xr:uid="{84A1EDD9-211A-4A96-BF5A-8A96E1C37D2B}"/>
    <cellStyle name="Normal 8 2 2 3 2 3 5" xfId="9909" xr:uid="{40747924-BE2C-4975-89F1-DE95CD5776B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25126" xr:uid="{77186B2C-D085-4404-A36F-DCA551D6D3E4}"/>
    <cellStyle name="Normal 8 2 2 3 2 4 2 2 3" xfId="16685" xr:uid="{C627EC5A-CEA5-4578-8638-BD998AFE46ED}"/>
    <cellStyle name="Normal 8 2 2 3 2 4 2 3" xfId="20908" xr:uid="{56F1A06B-69D0-409C-8F2D-9255DC9DD806}"/>
    <cellStyle name="Normal 8 2 2 3 2 4 2 4" xfId="12467" xr:uid="{A9204E8F-F31F-4C9E-83E9-D8FF59CD71FD}"/>
    <cellStyle name="Normal 8 2 2 3 2 4 3" xfId="6090" xr:uid="{00000000-0005-0000-0000-0000521C0000}"/>
    <cellStyle name="Normal 8 2 2 3 2 4 3 2" xfId="22981" xr:uid="{160BC09B-9889-4A3B-A7A6-6753262D6BB0}"/>
    <cellStyle name="Normal 8 2 2 3 2 4 3 3" xfId="14540" xr:uid="{92AB557E-C495-4D14-83D9-4FB4D3675ACA}"/>
    <cellStyle name="Normal 8 2 2 3 2 4 4" xfId="18763" xr:uid="{5DE8AC66-C0A4-40B4-8366-61323759D8BB}"/>
    <cellStyle name="Normal 8 2 2 3 2 4 5" xfId="10322" xr:uid="{20F6CED8-BAC0-4F56-87BF-0EFECE0222F1}"/>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25539" xr:uid="{4F24290F-C89C-4080-ADCA-5B3B36925EBA}"/>
    <cellStyle name="Normal 8 2 2 3 2 5 2 2 3" xfId="17098" xr:uid="{2EED4EE8-EC13-49AC-9EA7-F9F92758E220}"/>
    <cellStyle name="Normal 8 2 2 3 2 5 2 3" xfId="21321" xr:uid="{51CA15AC-9878-4503-8768-9F1DACF81D6E}"/>
    <cellStyle name="Normal 8 2 2 3 2 5 2 4" xfId="12880" xr:uid="{C3CEDA6D-8077-4534-AED5-AAF412ACF5BC}"/>
    <cellStyle name="Normal 8 2 2 3 2 5 3" xfId="6503" xr:uid="{00000000-0005-0000-0000-0000561C0000}"/>
    <cellStyle name="Normal 8 2 2 3 2 5 3 2" xfId="23394" xr:uid="{90C034F0-368B-41EF-AB0B-F5099E469D8C}"/>
    <cellStyle name="Normal 8 2 2 3 2 5 3 3" xfId="14953" xr:uid="{FE7A1097-6236-46D9-9F82-294C5BAD1C77}"/>
    <cellStyle name="Normal 8 2 2 3 2 5 4" xfId="19176" xr:uid="{B81AB40A-A01F-4BB7-90B5-866309FCBD3E}"/>
    <cellStyle name="Normal 8 2 2 3 2 5 5" xfId="10735" xr:uid="{1ED78EDA-DBE0-454F-882E-F9FD4F358D4B}"/>
    <cellStyle name="Normal 8 2 2 3 2 6" xfId="2633" xr:uid="{00000000-0005-0000-0000-0000571C0000}"/>
    <cellStyle name="Normal 8 2 2 3 2 6 2" xfId="6916" xr:uid="{00000000-0005-0000-0000-0000581C0000}"/>
    <cellStyle name="Normal 8 2 2 3 2 6 2 2" xfId="23807" xr:uid="{77EC7AF9-F7A4-425F-BCB7-37278127C66D}"/>
    <cellStyle name="Normal 8 2 2 3 2 6 2 3" xfId="15366" xr:uid="{B05CC403-7317-4006-A4A0-256964752FAE}"/>
    <cellStyle name="Normal 8 2 2 3 2 6 3" xfId="19589" xr:uid="{387B8005-2073-4C2A-8EB2-BB714B1B9215}"/>
    <cellStyle name="Normal 8 2 2 3 2 6 4" xfId="11148" xr:uid="{E81039D6-57B5-4590-967C-30018AA2BE04}"/>
    <cellStyle name="Normal 8 2 2 3 2 7" xfId="4851" xr:uid="{00000000-0005-0000-0000-0000591C0000}"/>
    <cellStyle name="Normal 8 2 2 3 2 7 2" xfId="21742" xr:uid="{C58DD6DE-85BD-462E-A1AC-BFEF36999E66}"/>
    <cellStyle name="Normal 8 2 2 3 2 7 3" xfId="13301" xr:uid="{0C7AB377-BE1B-4E36-8355-1285F609EC69}"/>
    <cellStyle name="Normal 8 2 2 3 2 8" xfId="17524" xr:uid="{1A94204E-719F-4A57-AB69-298DA4C7B68D}"/>
    <cellStyle name="Normal 8 2 2 3 2 9" xfId="9083" xr:uid="{FD40E29C-CC96-462C-88BE-3D1A451274DB}"/>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24299" xr:uid="{769CA4B9-5494-401F-BE94-E5F0205B174B}"/>
    <cellStyle name="Normal 8 2 2 3 3 2 2 3" xfId="15858" xr:uid="{B9EDF705-91CF-4B25-A66A-D0CC0FEFFA58}"/>
    <cellStyle name="Normal 8 2 2 3 3 2 3" xfId="20081" xr:uid="{70A9F8AE-DCF6-456D-B393-E7069CB7FB88}"/>
    <cellStyle name="Normal 8 2 2 3 3 2 4" xfId="11640" xr:uid="{3F9CDB1C-768C-4372-B8AA-7C9AD864C85C}"/>
    <cellStyle name="Normal 8 2 2 3 3 3" xfId="5263" xr:uid="{00000000-0005-0000-0000-00005D1C0000}"/>
    <cellStyle name="Normal 8 2 2 3 3 3 2" xfId="22154" xr:uid="{CA3F3B6B-B25E-47AE-B80F-DBA3438E53E3}"/>
    <cellStyle name="Normal 8 2 2 3 3 3 3" xfId="13713" xr:uid="{D872E4B3-D754-47A4-90A6-039BA9668792}"/>
    <cellStyle name="Normal 8 2 2 3 3 4" xfId="17936" xr:uid="{37748319-C689-4FB4-8C10-5E40F00A2DFB}"/>
    <cellStyle name="Normal 8 2 2 3 3 5" xfId="9495" xr:uid="{DFF707F4-8A40-4DF6-8C3B-9345D2FA6D7B}"/>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24712" xr:uid="{65E8B053-54ED-48DD-A663-76E39B36E8BA}"/>
    <cellStyle name="Normal 8 2 2 3 4 2 2 3" xfId="16271" xr:uid="{13A95326-5D90-47C6-8499-5AD93108762C}"/>
    <cellStyle name="Normal 8 2 2 3 4 2 3" xfId="20494" xr:uid="{6D36EB35-56FA-4F43-8FF9-AE237AEA65EA}"/>
    <cellStyle name="Normal 8 2 2 3 4 2 4" xfId="12053" xr:uid="{BAAFEF33-6131-4384-A853-BCC24096E9B1}"/>
    <cellStyle name="Normal 8 2 2 3 4 3" xfId="5676" xr:uid="{00000000-0005-0000-0000-0000611C0000}"/>
    <cellStyle name="Normal 8 2 2 3 4 3 2" xfId="22567" xr:uid="{C441D833-A33D-4847-9BBD-2FCF83013577}"/>
    <cellStyle name="Normal 8 2 2 3 4 3 3" xfId="14126" xr:uid="{F9C1A9E6-58EF-4BAF-94E4-4F0F968AFD3D}"/>
    <cellStyle name="Normal 8 2 2 3 4 4" xfId="18349" xr:uid="{DC698880-8A7A-48ED-B01C-14778FC77361}"/>
    <cellStyle name="Normal 8 2 2 3 4 5" xfId="9908" xr:uid="{90662FB5-0AB3-4C8B-823A-3F5D021EABF4}"/>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25125" xr:uid="{F2602104-2CCB-4080-BA8B-C57C1E52598A}"/>
    <cellStyle name="Normal 8 2 2 3 5 2 2 3" xfId="16684" xr:uid="{8BABF318-5FDE-4DDD-8AF2-63AE3EA004E7}"/>
    <cellStyle name="Normal 8 2 2 3 5 2 3" xfId="20907" xr:uid="{A2B486D7-8B0D-465B-9894-329677C98DD7}"/>
    <cellStyle name="Normal 8 2 2 3 5 2 4" xfId="12466" xr:uid="{28E35F29-B87F-4CC3-B5B5-70420E082BE4}"/>
    <cellStyle name="Normal 8 2 2 3 5 3" xfId="6089" xr:uid="{00000000-0005-0000-0000-0000651C0000}"/>
    <cellStyle name="Normal 8 2 2 3 5 3 2" xfId="22980" xr:uid="{EB68AAF3-5276-4BD1-B580-D4F5F39F487C}"/>
    <cellStyle name="Normal 8 2 2 3 5 3 3" xfId="14539" xr:uid="{22835C4A-6937-40F7-8D7E-314270B2F560}"/>
    <cellStyle name="Normal 8 2 2 3 5 4" xfId="18762" xr:uid="{685FD361-4980-43D2-A5B8-9C333FEDEBFE}"/>
    <cellStyle name="Normal 8 2 2 3 5 5" xfId="10321" xr:uid="{53D5F0C4-7569-43CC-9F23-AC1A83350180}"/>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25538" xr:uid="{D2EA6E86-4640-4D0E-BC6A-406D4850FE68}"/>
    <cellStyle name="Normal 8 2 2 3 6 2 2 3" xfId="17097" xr:uid="{8D4354CF-421E-43B5-B16A-C73B9647FF7A}"/>
    <cellStyle name="Normal 8 2 2 3 6 2 3" xfId="21320" xr:uid="{053ECA87-022E-4A76-B423-E187E6DFC62C}"/>
    <cellStyle name="Normal 8 2 2 3 6 2 4" xfId="12879" xr:uid="{6641A6F2-52B1-4ED8-9E75-7C8109689B9E}"/>
    <cellStyle name="Normal 8 2 2 3 6 3" xfId="6502" xr:uid="{00000000-0005-0000-0000-0000691C0000}"/>
    <cellStyle name="Normal 8 2 2 3 6 3 2" xfId="23393" xr:uid="{FCA5FA7E-9580-4E9B-B27A-35D90065D5B7}"/>
    <cellStyle name="Normal 8 2 2 3 6 3 3" xfId="14952" xr:uid="{0C571B22-5B06-4CD3-AA4D-14F093D4475B}"/>
    <cellStyle name="Normal 8 2 2 3 6 4" xfId="19175" xr:uid="{56D825D9-1FEC-471A-B7D7-93DFFCAEB761}"/>
    <cellStyle name="Normal 8 2 2 3 6 5" xfId="10734" xr:uid="{9336792F-6F67-4FFC-99D9-338D0A6DF9BA}"/>
    <cellStyle name="Normal 8 2 2 3 7" xfId="2632" xr:uid="{00000000-0005-0000-0000-00006A1C0000}"/>
    <cellStyle name="Normal 8 2 2 3 7 2" xfId="6915" xr:uid="{00000000-0005-0000-0000-00006B1C0000}"/>
    <cellStyle name="Normal 8 2 2 3 7 2 2" xfId="23806" xr:uid="{E5FB215F-38B1-4B37-AA5A-9941F9A4DC0C}"/>
    <cellStyle name="Normal 8 2 2 3 7 2 3" xfId="15365" xr:uid="{42090E7B-9344-45E6-8F80-460F8D55DF62}"/>
    <cellStyle name="Normal 8 2 2 3 7 3" xfId="19588" xr:uid="{2B378AFC-2F3F-417E-9F48-ECFAD13B1A3D}"/>
    <cellStyle name="Normal 8 2 2 3 7 4" xfId="11147" xr:uid="{4FEE26F9-C3D2-4B6F-AF1F-D1D7B4C08740}"/>
    <cellStyle name="Normal 8 2 2 3 8" xfId="4850" xr:uid="{00000000-0005-0000-0000-00006C1C0000}"/>
    <cellStyle name="Normal 8 2 2 3 8 2" xfId="21741" xr:uid="{673EFE6C-CAD4-4F85-ABBE-189DCFBC2ECC}"/>
    <cellStyle name="Normal 8 2 2 3 8 3" xfId="13300" xr:uid="{90AB8B4F-EB92-4446-A6E2-CE666F4D1ECF}"/>
    <cellStyle name="Normal 8 2 2 3 9" xfId="17523" xr:uid="{FFF1C952-AE25-406B-B0EF-F029141091B4}"/>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24301" xr:uid="{B2E4A1A0-7A88-4585-BAF9-0C866CE49557}"/>
    <cellStyle name="Normal 8 2 2 4 2 2 2 3" xfId="15860" xr:uid="{A2A544CF-0785-4B7A-A892-E9CFD282C9D0}"/>
    <cellStyle name="Normal 8 2 2 4 2 2 3" xfId="20083" xr:uid="{5FB3AFCF-5B90-4EBC-A258-4F863B1544B0}"/>
    <cellStyle name="Normal 8 2 2 4 2 2 4" xfId="11642" xr:uid="{161BBEE0-B052-439F-95DD-469B1E75F85C}"/>
    <cellStyle name="Normal 8 2 2 4 2 3" xfId="5265" xr:uid="{00000000-0005-0000-0000-0000711C0000}"/>
    <cellStyle name="Normal 8 2 2 4 2 3 2" xfId="22156" xr:uid="{066316BB-B25C-4256-9649-C4843EC7C6A2}"/>
    <cellStyle name="Normal 8 2 2 4 2 3 3" xfId="13715" xr:uid="{89115BB0-C98F-4731-BA4B-D684E6688A39}"/>
    <cellStyle name="Normal 8 2 2 4 2 4" xfId="17938" xr:uid="{D0FCF1AE-BF9D-4E5E-8F12-B18AC57AA637}"/>
    <cellStyle name="Normal 8 2 2 4 2 5" xfId="9497" xr:uid="{9F9C82CA-D92D-47F5-9EB9-5187C79E4F06}"/>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24714" xr:uid="{815B211D-3A71-41D9-AD06-51C0C235E3D5}"/>
    <cellStyle name="Normal 8 2 2 4 3 2 2 3" xfId="16273" xr:uid="{E2645D5F-C1E5-4D55-989E-E38D9557F380}"/>
    <cellStyle name="Normal 8 2 2 4 3 2 3" xfId="20496" xr:uid="{F1BD63D7-188C-415F-9D38-EE6353B18783}"/>
    <cellStyle name="Normal 8 2 2 4 3 2 4" xfId="12055" xr:uid="{D308B714-92D5-4EA2-A920-2045606A769E}"/>
    <cellStyle name="Normal 8 2 2 4 3 3" xfId="5678" xr:uid="{00000000-0005-0000-0000-0000751C0000}"/>
    <cellStyle name="Normal 8 2 2 4 3 3 2" xfId="22569" xr:uid="{D3D6A453-45A8-48A0-8DA6-3F6CBCDD3346}"/>
    <cellStyle name="Normal 8 2 2 4 3 3 3" xfId="14128" xr:uid="{9920744D-B727-47D4-829B-9D9C90B07504}"/>
    <cellStyle name="Normal 8 2 2 4 3 4" xfId="18351" xr:uid="{632F1E33-6B71-42C5-A2C2-3B9C26BCF4E3}"/>
    <cellStyle name="Normal 8 2 2 4 3 5" xfId="9910" xr:uid="{3D7CB18D-DEB7-49F4-ABA9-5FBDD8F187AC}"/>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25127" xr:uid="{A62BF4F3-E134-4258-B30B-9AA119B1483B}"/>
    <cellStyle name="Normal 8 2 2 4 4 2 2 3" xfId="16686" xr:uid="{0E48F4DF-DDEF-4387-A5B6-F0EFE724E60F}"/>
    <cellStyle name="Normal 8 2 2 4 4 2 3" xfId="20909" xr:uid="{6AD3F727-4F8B-4095-B800-8C84DB4C1005}"/>
    <cellStyle name="Normal 8 2 2 4 4 2 4" xfId="12468" xr:uid="{B00B0AD7-A786-4AF2-88E2-97D805D80480}"/>
    <cellStyle name="Normal 8 2 2 4 4 3" xfId="6091" xr:uid="{00000000-0005-0000-0000-0000791C0000}"/>
    <cellStyle name="Normal 8 2 2 4 4 3 2" xfId="22982" xr:uid="{7F8D2B96-A41F-4A2B-987E-C5E6E1A54E45}"/>
    <cellStyle name="Normal 8 2 2 4 4 3 3" xfId="14541" xr:uid="{63C50C0C-B0D3-4CF8-B589-12D33A9839F7}"/>
    <cellStyle name="Normal 8 2 2 4 4 4" xfId="18764" xr:uid="{A3CEC424-46AD-4562-867D-03A1AEC23EF8}"/>
    <cellStyle name="Normal 8 2 2 4 4 5" xfId="10323" xr:uid="{15BA96DB-4207-4268-A553-BF57F4CF4ACB}"/>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25540" xr:uid="{0D5384D2-8C04-40DD-ABE5-C1278797253C}"/>
    <cellStyle name="Normal 8 2 2 4 5 2 2 3" xfId="17099" xr:uid="{8A25DFE0-7B3A-4EDB-A7C0-7DA63168C0B7}"/>
    <cellStyle name="Normal 8 2 2 4 5 2 3" xfId="21322" xr:uid="{AF770115-AC76-4C92-8003-B6EFAB1F32E4}"/>
    <cellStyle name="Normal 8 2 2 4 5 2 4" xfId="12881" xr:uid="{753B5FA8-E1DE-4C9E-9465-F0AC36885FF0}"/>
    <cellStyle name="Normal 8 2 2 4 5 3" xfId="6504" xr:uid="{00000000-0005-0000-0000-00007D1C0000}"/>
    <cellStyle name="Normal 8 2 2 4 5 3 2" xfId="23395" xr:uid="{E70E6210-EB93-4735-8973-A12EC235AAB7}"/>
    <cellStyle name="Normal 8 2 2 4 5 3 3" xfId="14954" xr:uid="{95F23E65-2576-44C4-B9DF-026ED5CC9CB9}"/>
    <cellStyle name="Normal 8 2 2 4 5 4" xfId="19177" xr:uid="{CF48FB7C-377B-434D-A380-790D9FDB411D}"/>
    <cellStyle name="Normal 8 2 2 4 5 5" xfId="10736" xr:uid="{4A431465-83E3-4D63-990E-F7FAD7491FE6}"/>
    <cellStyle name="Normal 8 2 2 4 6" xfId="2634" xr:uid="{00000000-0005-0000-0000-00007E1C0000}"/>
    <cellStyle name="Normal 8 2 2 4 6 2" xfId="6917" xr:uid="{00000000-0005-0000-0000-00007F1C0000}"/>
    <cellStyle name="Normal 8 2 2 4 6 2 2" xfId="23808" xr:uid="{6D958690-F7E3-4514-BCBB-95EA2652C20F}"/>
    <cellStyle name="Normal 8 2 2 4 6 2 3" xfId="15367" xr:uid="{02401CDC-86CF-408C-AA48-36222C8EC5AD}"/>
    <cellStyle name="Normal 8 2 2 4 6 3" xfId="19590" xr:uid="{837787EA-CB85-459B-B10E-AB44828ABCA5}"/>
    <cellStyle name="Normal 8 2 2 4 6 4" xfId="11149" xr:uid="{5D83183F-7AE8-4193-8D2E-61C5A36C56E1}"/>
    <cellStyle name="Normal 8 2 2 4 7" xfId="4852" xr:uid="{00000000-0005-0000-0000-0000801C0000}"/>
    <cellStyle name="Normal 8 2 2 4 7 2" xfId="21743" xr:uid="{5ADF6936-34C9-4C84-8E31-45A62395F8E6}"/>
    <cellStyle name="Normal 8 2 2 4 7 3" xfId="13302" xr:uid="{6E0DDC19-0382-4F3C-9400-04A9D8F6929C}"/>
    <cellStyle name="Normal 8 2 2 4 8" xfId="17525" xr:uid="{F4A7ADCE-8454-41E0-9F43-4128514A7496}"/>
    <cellStyle name="Normal 8 2 2 4 9" xfId="9084" xr:uid="{610176FB-D23F-4F02-946F-475EC547B29E}"/>
    <cellStyle name="Normal 8 2 2 5" xfId="947" xr:uid="{00000000-0005-0000-0000-0000811C0000}"/>
    <cellStyle name="Normal 8 2 2 5 2" xfId="3181" xr:uid="{00000000-0005-0000-0000-0000821C0000}"/>
    <cellStyle name="Normal 8 2 2 5 2 2" xfId="7403" xr:uid="{00000000-0005-0000-0000-0000831C0000}"/>
    <cellStyle name="Normal 8 2 2 5 2 2 2" xfId="24294" xr:uid="{05785AA8-B0F8-478D-BAFE-F032B54950EA}"/>
    <cellStyle name="Normal 8 2 2 5 2 2 3" xfId="15853" xr:uid="{EB392083-35F5-4975-B5CD-D7F4DB8819BD}"/>
    <cellStyle name="Normal 8 2 2 5 2 3" xfId="20076" xr:uid="{3F5789B5-B46E-4049-B869-3AC9534FBA3A}"/>
    <cellStyle name="Normal 8 2 2 5 2 4" xfId="11635" xr:uid="{8358606D-CBA6-4EB0-93FD-9CB55839F3E2}"/>
    <cellStyle name="Normal 8 2 2 5 3" xfId="5258" xr:uid="{00000000-0005-0000-0000-0000841C0000}"/>
    <cellStyle name="Normal 8 2 2 5 3 2" xfId="22149" xr:uid="{918774BF-1A49-49C1-ADB2-6AD7A52ACDB3}"/>
    <cellStyle name="Normal 8 2 2 5 3 3" xfId="13708" xr:uid="{C02AF996-D085-4CEA-8F57-536D128FE2E5}"/>
    <cellStyle name="Normal 8 2 2 5 4" xfId="17931" xr:uid="{059EE32C-BA94-47A2-BA3D-67DB4DA8A644}"/>
    <cellStyle name="Normal 8 2 2 5 5" xfId="9490" xr:uid="{7A2B87E5-3420-433D-AB07-B6E1E5A661A3}"/>
    <cellStyle name="Normal 8 2 2 6" xfId="1364" xr:uid="{00000000-0005-0000-0000-0000851C0000}"/>
    <cellStyle name="Normal 8 2 2 6 2" xfId="3594" xr:uid="{00000000-0005-0000-0000-0000861C0000}"/>
    <cellStyle name="Normal 8 2 2 6 2 2" xfId="7816" xr:uid="{00000000-0005-0000-0000-0000871C0000}"/>
    <cellStyle name="Normal 8 2 2 6 2 2 2" xfId="24707" xr:uid="{2F56FEE4-65F9-48EF-BF8D-17C0AE231FE2}"/>
    <cellStyle name="Normal 8 2 2 6 2 2 3" xfId="16266" xr:uid="{B6958A04-9D2A-4E78-B1C1-399659C6B375}"/>
    <cellStyle name="Normal 8 2 2 6 2 3" xfId="20489" xr:uid="{0FA8D433-4C75-4A6E-82FE-47AFB7B1FB7B}"/>
    <cellStyle name="Normal 8 2 2 6 2 4" xfId="12048" xr:uid="{EC9392BA-E5E6-4132-9B2D-7E40B6CD5164}"/>
    <cellStyle name="Normal 8 2 2 6 3" xfId="5671" xr:uid="{00000000-0005-0000-0000-0000881C0000}"/>
    <cellStyle name="Normal 8 2 2 6 3 2" xfId="22562" xr:uid="{78350431-F5E8-4412-B6C3-01A322BB8521}"/>
    <cellStyle name="Normal 8 2 2 6 3 3" xfId="14121" xr:uid="{5119CED6-7A22-4364-86FD-525C1425F2AA}"/>
    <cellStyle name="Normal 8 2 2 6 4" xfId="18344" xr:uid="{C0E6A128-C852-4ADA-A539-8DE27AE7393F}"/>
    <cellStyle name="Normal 8 2 2 6 5" xfId="9903" xr:uid="{C8D2AE50-5CC4-4829-9AD8-B2D3ED99D4E9}"/>
    <cellStyle name="Normal 8 2 2 7" xfId="1777" xr:uid="{00000000-0005-0000-0000-0000891C0000}"/>
    <cellStyle name="Normal 8 2 2 7 2" xfId="4007" xr:uid="{00000000-0005-0000-0000-00008A1C0000}"/>
    <cellStyle name="Normal 8 2 2 7 2 2" xfId="8229" xr:uid="{00000000-0005-0000-0000-00008B1C0000}"/>
    <cellStyle name="Normal 8 2 2 7 2 2 2" xfId="25120" xr:uid="{C39BEC25-AC9A-449A-BF30-20126F08B5B6}"/>
    <cellStyle name="Normal 8 2 2 7 2 2 3" xfId="16679" xr:uid="{8F04E9ED-54F9-4180-82E5-88136286AFA6}"/>
    <cellStyle name="Normal 8 2 2 7 2 3" xfId="20902" xr:uid="{9F837AFC-8410-4F9B-B3C4-65D9A90573A8}"/>
    <cellStyle name="Normal 8 2 2 7 2 4" xfId="12461" xr:uid="{A222270E-EA19-4B26-99A9-3C7271EB6412}"/>
    <cellStyle name="Normal 8 2 2 7 3" xfId="6084" xr:uid="{00000000-0005-0000-0000-00008C1C0000}"/>
    <cellStyle name="Normal 8 2 2 7 3 2" xfId="22975" xr:uid="{F223D87D-119C-4456-A5A7-937F6E811D4A}"/>
    <cellStyle name="Normal 8 2 2 7 3 3" xfId="14534" xr:uid="{F4F0AEC5-C605-4ABC-A7C7-CE2C4A6D26BB}"/>
    <cellStyle name="Normal 8 2 2 7 4" xfId="18757" xr:uid="{4624B823-9CD6-4705-8DD5-F1513A681A3B}"/>
    <cellStyle name="Normal 8 2 2 7 5" xfId="10316" xr:uid="{816B33F8-DDF8-4374-9AE6-4E14FE237251}"/>
    <cellStyle name="Normal 8 2 2 8" xfId="2191" xr:uid="{00000000-0005-0000-0000-00008D1C0000}"/>
    <cellStyle name="Normal 8 2 2 8 2" xfId="4420" xr:uid="{00000000-0005-0000-0000-00008E1C0000}"/>
    <cellStyle name="Normal 8 2 2 8 2 2" xfId="8642" xr:uid="{00000000-0005-0000-0000-00008F1C0000}"/>
    <cellStyle name="Normal 8 2 2 8 2 2 2" xfId="25533" xr:uid="{04D950E6-959E-47D2-A54B-8F2691FFD6A5}"/>
    <cellStyle name="Normal 8 2 2 8 2 2 3" xfId="17092" xr:uid="{79C1246B-EF29-48D4-AD59-1EC0EDE95E94}"/>
    <cellStyle name="Normal 8 2 2 8 2 3" xfId="21315" xr:uid="{1C10F9EE-062A-4B96-8510-F1F22DD2AEA5}"/>
    <cellStyle name="Normal 8 2 2 8 2 4" xfId="12874" xr:uid="{D95F9433-3383-45F4-B5DF-8DC183D20A36}"/>
    <cellStyle name="Normal 8 2 2 8 3" xfId="6497" xr:uid="{00000000-0005-0000-0000-0000901C0000}"/>
    <cellStyle name="Normal 8 2 2 8 3 2" xfId="23388" xr:uid="{2A603542-3998-46BD-97FF-6D5125154B57}"/>
    <cellStyle name="Normal 8 2 2 8 3 3" xfId="14947" xr:uid="{DF277E76-9987-4A43-A47E-2B5AF4145931}"/>
    <cellStyle name="Normal 8 2 2 8 4" xfId="19170" xr:uid="{572F2760-B0B3-4EF1-B02A-9B1E7BCE235D}"/>
    <cellStyle name="Normal 8 2 2 8 5" xfId="10729" xr:uid="{5D02EB7A-9722-42FF-A885-AA9D6586D7B2}"/>
    <cellStyle name="Normal 8 2 2 9" xfId="2627" xr:uid="{00000000-0005-0000-0000-0000911C0000}"/>
    <cellStyle name="Normal 8 2 2 9 2" xfId="6910" xr:uid="{00000000-0005-0000-0000-0000921C0000}"/>
    <cellStyle name="Normal 8 2 2 9 2 2" xfId="23801" xr:uid="{C50A655F-40D7-4132-8931-900616FF1CB0}"/>
    <cellStyle name="Normal 8 2 2 9 2 3" xfId="15360" xr:uid="{1AD684A6-B90D-4FB8-BCD9-1CF272642E12}"/>
    <cellStyle name="Normal 8 2 2 9 3" xfId="19583" xr:uid="{BEC5BD72-B9C7-4BC2-AA6A-ED23EE545554}"/>
    <cellStyle name="Normal 8 2 2 9 4" xfId="11142" xr:uid="{2BE55AEB-827C-47DF-9471-0C67A0F7CF43}"/>
    <cellStyle name="Normal 8 2 3" xfId="488" xr:uid="{00000000-0005-0000-0000-0000931C0000}"/>
    <cellStyle name="Normal 8 2 3 10" xfId="17526" xr:uid="{AA87BC99-4FCF-48D0-B0CF-B85B647190F3}"/>
    <cellStyle name="Normal 8 2 3 11" xfId="9085" xr:uid="{CF7EAF13-719C-4D90-B34D-85D27DF28CF7}"/>
    <cellStyle name="Normal 8 2 3 2" xfId="489" xr:uid="{00000000-0005-0000-0000-0000941C0000}"/>
    <cellStyle name="Normal 8 2 3 2 10" xfId="9086" xr:uid="{2A2F86FC-4C52-47EA-83F2-ACC9D018299F}"/>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24304" xr:uid="{97FAC3E0-5069-4870-BBD8-B7886E0152AC}"/>
    <cellStyle name="Normal 8 2 3 2 2 2 2 2 3" xfId="15863" xr:uid="{E5662AB6-9573-40BF-ABFA-920CC5935C79}"/>
    <cellStyle name="Normal 8 2 3 2 2 2 2 3" xfId="20086" xr:uid="{E7C47011-11EE-4157-9FE0-5C9A66E2F9EE}"/>
    <cellStyle name="Normal 8 2 3 2 2 2 2 4" xfId="11645" xr:uid="{BCEB9C09-8E42-40EE-8A5B-1A819ED4EF4C}"/>
    <cellStyle name="Normal 8 2 3 2 2 2 3" xfId="5268" xr:uid="{00000000-0005-0000-0000-0000991C0000}"/>
    <cellStyle name="Normal 8 2 3 2 2 2 3 2" xfId="22159" xr:uid="{31AA815F-D12D-41F5-95A9-D7CF054DEDF7}"/>
    <cellStyle name="Normal 8 2 3 2 2 2 3 3" xfId="13718" xr:uid="{A5C2EDCE-1432-4984-BEC2-81D474487532}"/>
    <cellStyle name="Normal 8 2 3 2 2 2 4" xfId="17941" xr:uid="{66ACC593-E32C-44E5-BB0E-EBF0D289ECB5}"/>
    <cellStyle name="Normal 8 2 3 2 2 2 5" xfId="9500" xr:uid="{9EE8C65F-4260-4626-9494-0750E65438A8}"/>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24717" xr:uid="{8EE267EF-C191-451C-9D32-D8EAEAD3B83D}"/>
    <cellStyle name="Normal 8 2 3 2 2 3 2 2 3" xfId="16276" xr:uid="{96691CD1-85A9-4E7E-863C-27B4A5416B7D}"/>
    <cellStyle name="Normal 8 2 3 2 2 3 2 3" xfId="20499" xr:uid="{E8259483-C245-4A7E-AB5A-2C394FB43B72}"/>
    <cellStyle name="Normal 8 2 3 2 2 3 2 4" xfId="12058" xr:uid="{394A90FB-D452-44DA-B2CC-94F804141FDA}"/>
    <cellStyle name="Normal 8 2 3 2 2 3 3" xfId="5681" xr:uid="{00000000-0005-0000-0000-00009D1C0000}"/>
    <cellStyle name="Normal 8 2 3 2 2 3 3 2" xfId="22572" xr:uid="{E0C2FD5C-DFE5-4251-B415-0F5EF601DC2F}"/>
    <cellStyle name="Normal 8 2 3 2 2 3 3 3" xfId="14131" xr:uid="{0FAF9FB9-525E-4BE2-9A50-3A673B597CB7}"/>
    <cellStyle name="Normal 8 2 3 2 2 3 4" xfId="18354" xr:uid="{DAFCB6AE-6A20-409D-90D3-929A7E2E69F0}"/>
    <cellStyle name="Normal 8 2 3 2 2 3 5" xfId="9913" xr:uid="{5C519725-C131-4D32-9009-9D6EBD894B27}"/>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25130" xr:uid="{3C8ACF1C-F898-48D3-AB0A-365F0B02AF45}"/>
    <cellStyle name="Normal 8 2 3 2 2 4 2 2 3" xfId="16689" xr:uid="{284C1A31-B0EA-4ABC-A86D-739FAF41833C}"/>
    <cellStyle name="Normal 8 2 3 2 2 4 2 3" xfId="20912" xr:uid="{1F9E907A-FF07-4A25-B42C-FF6BBC6EB394}"/>
    <cellStyle name="Normal 8 2 3 2 2 4 2 4" xfId="12471" xr:uid="{9B08D18D-AF5D-4891-8B33-1D269037983F}"/>
    <cellStyle name="Normal 8 2 3 2 2 4 3" xfId="6094" xr:uid="{00000000-0005-0000-0000-0000A11C0000}"/>
    <cellStyle name="Normal 8 2 3 2 2 4 3 2" xfId="22985" xr:uid="{931976CB-7CD2-478E-872E-6A78EEF75CD4}"/>
    <cellStyle name="Normal 8 2 3 2 2 4 3 3" xfId="14544" xr:uid="{40C1C5A2-F205-41AE-A746-6B6E1B72BC52}"/>
    <cellStyle name="Normal 8 2 3 2 2 4 4" xfId="18767" xr:uid="{0FDE0F97-7FD7-473E-86E8-8168C06C4486}"/>
    <cellStyle name="Normal 8 2 3 2 2 4 5" xfId="10326" xr:uid="{19D5B167-2D96-47DC-A481-3459CEDD70CE}"/>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25543" xr:uid="{1C535EB0-B274-437B-92DE-9336D10B8426}"/>
    <cellStyle name="Normal 8 2 3 2 2 5 2 2 3" xfId="17102" xr:uid="{3627F42E-E5ED-46AE-A605-453B4BE3777C}"/>
    <cellStyle name="Normal 8 2 3 2 2 5 2 3" xfId="21325" xr:uid="{FD25C32F-35F5-474C-83C0-EBC522AA6AD4}"/>
    <cellStyle name="Normal 8 2 3 2 2 5 2 4" xfId="12884" xr:uid="{8B980665-74B0-4DF6-8F2D-FACC5EBEA927}"/>
    <cellStyle name="Normal 8 2 3 2 2 5 3" xfId="6507" xr:uid="{00000000-0005-0000-0000-0000A51C0000}"/>
    <cellStyle name="Normal 8 2 3 2 2 5 3 2" xfId="23398" xr:uid="{8F0C8077-6F0F-4BB2-8704-C3C8DE1EFA6E}"/>
    <cellStyle name="Normal 8 2 3 2 2 5 3 3" xfId="14957" xr:uid="{0D44FCBA-A1B2-438D-839E-3AA7E0B52DAB}"/>
    <cellStyle name="Normal 8 2 3 2 2 5 4" xfId="19180" xr:uid="{44D4D900-CA37-4408-A64D-B692DC43C6AF}"/>
    <cellStyle name="Normal 8 2 3 2 2 5 5" xfId="10739" xr:uid="{8A593940-11B6-4283-9022-5FED89C0A4E7}"/>
    <cellStyle name="Normal 8 2 3 2 2 6" xfId="2637" xr:uid="{00000000-0005-0000-0000-0000A61C0000}"/>
    <cellStyle name="Normal 8 2 3 2 2 6 2" xfId="6920" xr:uid="{00000000-0005-0000-0000-0000A71C0000}"/>
    <cellStyle name="Normal 8 2 3 2 2 6 2 2" xfId="23811" xr:uid="{8D508697-313C-4454-99F2-66391050C4BF}"/>
    <cellStyle name="Normal 8 2 3 2 2 6 2 3" xfId="15370" xr:uid="{9A04CFCB-AA55-4FAC-8670-F28594032DC1}"/>
    <cellStyle name="Normal 8 2 3 2 2 6 3" xfId="19593" xr:uid="{56095CB2-BE43-47E5-A694-6F63E700A187}"/>
    <cellStyle name="Normal 8 2 3 2 2 6 4" xfId="11152" xr:uid="{478AB9AF-116F-4392-88C2-837128EF2BB5}"/>
    <cellStyle name="Normal 8 2 3 2 2 7" xfId="4855" xr:uid="{00000000-0005-0000-0000-0000A81C0000}"/>
    <cellStyle name="Normal 8 2 3 2 2 7 2" xfId="21746" xr:uid="{509296B0-4032-43D1-9F7C-969864A524AB}"/>
    <cellStyle name="Normal 8 2 3 2 2 7 3" xfId="13305" xr:uid="{FEDDF018-1526-4A54-964B-5ACE4C463030}"/>
    <cellStyle name="Normal 8 2 3 2 2 8" xfId="17528" xr:uid="{9EF49AB4-5F03-4146-9D6D-A4E774159668}"/>
    <cellStyle name="Normal 8 2 3 2 2 9" xfId="9087" xr:uid="{C264ACA9-6F7F-4645-9D44-1928E3E25874}"/>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24303" xr:uid="{ADB8DDA0-7F94-403C-8F81-FC3EA364C482}"/>
    <cellStyle name="Normal 8 2 3 2 3 2 2 3" xfId="15862" xr:uid="{7DDB62B0-D3B5-41E7-B851-3BF344EB00ED}"/>
    <cellStyle name="Normal 8 2 3 2 3 2 3" xfId="20085" xr:uid="{C6D54916-73F4-44B9-BE74-06DE86525E5E}"/>
    <cellStyle name="Normal 8 2 3 2 3 2 4" xfId="11644" xr:uid="{4C794E7B-D431-48E4-825C-D89A9BED973E}"/>
    <cellStyle name="Normal 8 2 3 2 3 3" xfId="5267" xr:uid="{00000000-0005-0000-0000-0000AC1C0000}"/>
    <cellStyle name="Normal 8 2 3 2 3 3 2" xfId="22158" xr:uid="{18D3E319-AC06-49D2-B267-90792ADC20A2}"/>
    <cellStyle name="Normal 8 2 3 2 3 3 3" xfId="13717" xr:uid="{3F6510D0-DABA-4310-A6C0-EC81220A6597}"/>
    <cellStyle name="Normal 8 2 3 2 3 4" xfId="17940" xr:uid="{F04BFDDF-6C76-4790-BAC5-80FE9BFC2BD6}"/>
    <cellStyle name="Normal 8 2 3 2 3 5" xfId="9499" xr:uid="{FAD6C63A-B751-45A3-B0F9-5F0EE0B081C9}"/>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24716" xr:uid="{3EE358F1-E49E-427F-B592-23D3AA7CE8F3}"/>
    <cellStyle name="Normal 8 2 3 2 4 2 2 3" xfId="16275" xr:uid="{86E6ADB9-E659-42A1-8AB2-68878839F08C}"/>
    <cellStyle name="Normal 8 2 3 2 4 2 3" xfId="20498" xr:uid="{98EBFFCE-EC3A-47FD-BD7E-79511718AB25}"/>
    <cellStyle name="Normal 8 2 3 2 4 2 4" xfId="12057" xr:uid="{399EEA2C-7E52-44EE-9C9F-347E77D75236}"/>
    <cellStyle name="Normal 8 2 3 2 4 3" xfId="5680" xr:uid="{00000000-0005-0000-0000-0000B01C0000}"/>
    <cellStyle name="Normal 8 2 3 2 4 3 2" xfId="22571" xr:uid="{80EF066C-A889-4E41-9842-9275A9762787}"/>
    <cellStyle name="Normal 8 2 3 2 4 3 3" xfId="14130" xr:uid="{FAC04CE7-A523-47A1-822C-F60245972ABE}"/>
    <cellStyle name="Normal 8 2 3 2 4 4" xfId="18353" xr:uid="{62A7E183-8937-49A3-957C-ABBCCB159029}"/>
    <cellStyle name="Normal 8 2 3 2 4 5" xfId="9912" xr:uid="{99C1A281-B676-487D-B3D3-18852393294F}"/>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25129" xr:uid="{2728D921-07C8-4CA0-91C6-DF0D5FFCAFA6}"/>
    <cellStyle name="Normal 8 2 3 2 5 2 2 3" xfId="16688" xr:uid="{FEE04796-02D8-4CD0-A290-8DFDDCE2B904}"/>
    <cellStyle name="Normal 8 2 3 2 5 2 3" xfId="20911" xr:uid="{FEE222C9-52FA-451B-AC22-9E9A5F7C0634}"/>
    <cellStyle name="Normal 8 2 3 2 5 2 4" xfId="12470" xr:uid="{4B335191-6AB7-4C78-9BE7-5E412063F74A}"/>
    <cellStyle name="Normal 8 2 3 2 5 3" xfId="6093" xr:uid="{00000000-0005-0000-0000-0000B41C0000}"/>
    <cellStyle name="Normal 8 2 3 2 5 3 2" xfId="22984" xr:uid="{49D3F736-D2B4-4ED6-BF65-5575BE81E974}"/>
    <cellStyle name="Normal 8 2 3 2 5 3 3" xfId="14543" xr:uid="{828AA49B-4143-45C3-BE68-772904EBBC59}"/>
    <cellStyle name="Normal 8 2 3 2 5 4" xfId="18766" xr:uid="{2210B833-39D8-4BC5-B3AE-F4258362E03E}"/>
    <cellStyle name="Normal 8 2 3 2 5 5" xfId="10325" xr:uid="{41314032-4E24-4A8B-A137-5E518E0384CA}"/>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25542" xr:uid="{82329F7A-FB83-49EE-B7D0-257E86E83F34}"/>
    <cellStyle name="Normal 8 2 3 2 6 2 2 3" xfId="17101" xr:uid="{CFEAC56D-CDE3-4A0A-9DB8-CDB01E24C1F0}"/>
    <cellStyle name="Normal 8 2 3 2 6 2 3" xfId="21324" xr:uid="{95D6D69D-7391-4849-82BB-6781715CD41B}"/>
    <cellStyle name="Normal 8 2 3 2 6 2 4" xfId="12883" xr:uid="{370D62FE-393F-47E6-8D4C-51DE084F2E90}"/>
    <cellStyle name="Normal 8 2 3 2 6 3" xfId="6506" xr:uid="{00000000-0005-0000-0000-0000B81C0000}"/>
    <cellStyle name="Normal 8 2 3 2 6 3 2" xfId="23397" xr:uid="{8F9ADCB5-2B2E-4123-ADE9-4469A8470A4A}"/>
    <cellStyle name="Normal 8 2 3 2 6 3 3" xfId="14956" xr:uid="{7F2996D7-BC58-4D81-B412-2D947622A7C0}"/>
    <cellStyle name="Normal 8 2 3 2 6 4" xfId="19179" xr:uid="{8527F0F0-2DE4-4DC3-A442-97B679515149}"/>
    <cellStyle name="Normal 8 2 3 2 6 5" xfId="10738" xr:uid="{52162600-C1A5-45FC-99B7-9CA49993ADF4}"/>
    <cellStyle name="Normal 8 2 3 2 7" xfId="2636" xr:uid="{00000000-0005-0000-0000-0000B91C0000}"/>
    <cellStyle name="Normal 8 2 3 2 7 2" xfId="6919" xr:uid="{00000000-0005-0000-0000-0000BA1C0000}"/>
    <cellStyle name="Normal 8 2 3 2 7 2 2" xfId="23810" xr:uid="{A14D9ED8-821B-4B36-A43C-056BA6F3351D}"/>
    <cellStyle name="Normal 8 2 3 2 7 2 3" xfId="15369" xr:uid="{F4D8D2EC-962F-4A50-8D74-8CDDC0752129}"/>
    <cellStyle name="Normal 8 2 3 2 7 3" xfId="19592" xr:uid="{E2E48DE8-6F06-4EBB-BBA6-43D429C58E41}"/>
    <cellStyle name="Normal 8 2 3 2 7 4" xfId="11151" xr:uid="{E910019B-805A-44FA-95C3-09E938C45247}"/>
    <cellStyle name="Normal 8 2 3 2 8" xfId="4854" xr:uid="{00000000-0005-0000-0000-0000BB1C0000}"/>
    <cellStyle name="Normal 8 2 3 2 8 2" xfId="21745" xr:uid="{874BB348-4C2E-45DE-A7B5-0EC064E4BE8A}"/>
    <cellStyle name="Normal 8 2 3 2 8 3" xfId="13304" xr:uid="{EC9BE1CD-D6C1-4E27-99E2-030A8F7548DF}"/>
    <cellStyle name="Normal 8 2 3 2 9" xfId="17527" xr:uid="{991962C7-B0EC-426A-BBAA-89D31A4B832D}"/>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24305" xr:uid="{4C229D2D-271E-4A25-9A69-5B65674FB0DC}"/>
    <cellStyle name="Normal 8 2 3 3 2 2 2 3" xfId="15864" xr:uid="{C02734FF-A263-4DD9-BF64-AFEB9331F98F}"/>
    <cellStyle name="Normal 8 2 3 3 2 2 3" xfId="20087" xr:uid="{25EB994A-E2C7-48EA-B170-FC0894CBD107}"/>
    <cellStyle name="Normal 8 2 3 3 2 2 4" xfId="11646" xr:uid="{90644BB2-A178-404F-A2AF-C1B54A4BD770}"/>
    <cellStyle name="Normal 8 2 3 3 2 3" xfId="5269" xr:uid="{00000000-0005-0000-0000-0000C01C0000}"/>
    <cellStyle name="Normal 8 2 3 3 2 3 2" xfId="22160" xr:uid="{32757115-6E60-49C6-BBF5-3B68794280F1}"/>
    <cellStyle name="Normal 8 2 3 3 2 3 3" xfId="13719" xr:uid="{16E3B131-D54E-4E8B-91A8-E56169594A89}"/>
    <cellStyle name="Normal 8 2 3 3 2 4" xfId="17942" xr:uid="{FE4726D5-B444-4716-9D7E-1F1469081849}"/>
    <cellStyle name="Normal 8 2 3 3 2 5" xfId="9501" xr:uid="{E4DBC653-CA41-4632-99D7-A8476501F506}"/>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24718" xr:uid="{D892FDB7-2D87-4B2B-939A-2FE37D896B02}"/>
    <cellStyle name="Normal 8 2 3 3 3 2 2 3" xfId="16277" xr:uid="{45CCFC7C-A493-4E29-9A05-E2F15AA1DCA1}"/>
    <cellStyle name="Normal 8 2 3 3 3 2 3" xfId="20500" xr:uid="{17728CF1-3AF4-45A7-BF03-6A1A6AE6F6BF}"/>
    <cellStyle name="Normal 8 2 3 3 3 2 4" xfId="12059" xr:uid="{B5C20D58-49C0-4BFB-A40A-BEF77F0CEE9F}"/>
    <cellStyle name="Normal 8 2 3 3 3 3" xfId="5682" xr:uid="{00000000-0005-0000-0000-0000C41C0000}"/>
    <cellStyle name="Normal 8 2 3 3 3 3 2" xfId="22573" xr:uid="{8E667B25-037B-4231-B6C7-44A86ECCC99B}"/>
    <cellStyle name="Normal 8 2 3 3 3 3 3" xfId="14132" xr:uid="{5B324DA7-895A-4036-B16E-5DC9C3E83DE2}"/>
    <cellStyle name="Normal 8 2 3 3 3 4" xfId="18355" xr:uid="{CD02FB9F-F3F1-4490-81B1-E861EFE3C78A}"/>
    <cellStyle name="Normal 8 2 3 3 3 5" xfId="9914" xr:uid="{3ECE5BC4-128D-4BEA-A581-2F5052EFF1DB}"/>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25131" xr:uid="{BADC39B9-DBA0-4322-A2F5-780C1F27AC10}"/>
    <cellStyle name="Normal 8 2 3 3 4 2 2 3" xfId="16690" xr:uid="{16A24E5A-60B7-4E85-8BB6-7F27ECE74CDE}"/>
    <cellStyle name="Normal 8 2 3 3 4 2 3" xfId="20913" xr:uid="{C4EC8BD8-F670-4575-ADA8-FC26AE3D8A48}"/>
    <cellStyle name="Normal 8 2 3 3 4 2 4" xfId="12472" xr:uid="{BD4FE22E-65B5-4CF0-B496-23D2331A29DC}"/>
    <cellStyle name="Normal 8 2 3 3 4 3" xfId="6095" xr:uid="{00000000-0005-0000-0000-0000C81C0000}"/>
    <cellStyle name="Normal 8 2 3 3 4 3 2" xfId="22986" xr:uid="{B0B39BD0-BB0D-48C2-AA43-54343F8B3FD2}"/>
    <cellStyle name="Normal 8 2 3 3 4 3 3" xfId="14545" xr:uid="{918D1329-6B4A-48A0-B9B0-6579A99190E7}"/>
    <cellStyle name="Normal 8 2 3 3 4 4" xfId="18768" xr:uid="{AE935964-D39C-4714-A6EA-19C10F13C0F1}"/>
    <cellStyle name="Normal 8 2 3 3 4 5" xfId="10327" xr:uid="{AF3AD810-C444-43C3-AFC6-41196299AB23}"/>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25544" xr:uid="{D37BDF5A-8DAC-41E5-B07B-BF0C596FDA5B}"/>
    <cellStyle name="Normal 8 2 3 3 5 2 2 3" xfId="17103" xr:uid="{D49154E9-6150-4F8A-86F1-A6996C0874A6}"/>
    <cellStyle name="Normal 8 2 3 3 5 2 3" xfId="21326" xr:uid="{31F28C9A-8268-4366-A5FE-841939837446}"/>
    <cellStyle name="Normal 8 2 3 3 5 2 4" xfId="12885" xr:uid="{21B8D68B-0390-45D0-8E78-57A0EE0D8D78}"/>
    <cellStyle name="Normal 8 2 3 3 5 3" xfId="6508" xr:uid="{00000000-0005-0000-0000-0000CC1C0000}"/>
    <cellStyle name="Normal 8 2 3 3 5 3 2" xfId="23399" xr:uid="{3BD5787F-F2A4-43B9-B31D-F43226C783D1}"/>
    <cellStyle name="Normal 8 2 3 3 5 3 3" xfId="14958" xr:uid="{9675AC9D-73F8-4012-9B91-B6A59AE28B2B}"/>
    <cellStyle name="Normal 8 2 3 3 5 4" xfId="19181" xr:uid="{DA681E2A-1806-4F47-ACE8-19549FBAD00B}"/>
    <cellStyle name="Normal 8 2 3 3 5 5" xfId="10740" xr:uid="{81E3CB74-80BA-42D3-A47F-9439F8AA9711}"/>
    <cellStyle name="Normal 8 2 3 3 6" xfId="2638" xr:uid="{00000000-0005-0000-0000-0000CD1C0000}"/>
    <cellStyle name="Normal 8 2 3 3 6 2" xfId="6921" xr:uid="{00000000-0005-0000-0000-0000CE1C0000}"/>
    <cellStyle name="Normal 8 2 3 3 6 2 2" xfId="23812" xr:uid="{D4F8BA45-F699-4BD8-B3FB-9BCDEBEC86CB}"/>
    <cellStyle name="Normal 8 2 3 3 6 2 3" xfId="15371" xr:uid="{EBDE2632-BA2A-47AA-BAB2-B782745D1389}"/>
    <cellStyle name="Normal 8 2 3 3 6 3" xfId="19594" xr:uid="{6CA792BF-1A05-4C78-8E8C-951F508F6FAC}"/>
    <cellStyle name="Normal 8 2 3 3 6 4" xfId="11153" xr:uid="{9CD62D49-82B6-4083-AFBF-353D102C7A0E}"/>
    <cellStyle name="Normal 8 2 3 3 7" xfId="4856" xr:uid="{00000000-0005-0000-0000-0000CF1C0000}"/>
    <cellStyle name="Normal 8 2 3 3 7 2" xfId="21747" xr:uid="{83EEE085-5840-469E-93BA-540E17D671F5}"/>
    <cellStyle name="Normal 8 2 3 3 7 3" xfId="13306" xr:uid="{8B8BCA56-8307-4ECF-8983-8F798380C5BA}"/>
    <cellStyle name="Normal 8 2 3 3 8" xfId="17529" xr:uid="{62B50892-E35F-4B9C-917F-3797AF9DE784}"/>
    <cellStyle name="Normal 8 2 3 3 9" xfId="9088" xr:uid="{C5B089A2-0F9E-488F-A568-76505601348F}"/>
    <cellStyle name="Normal 8 2 3 4" xfId="955" xr:uid="{00000000-0005-0000-0000-0000D01C0000}"/>
    <cellStyle name="Normal 8 2 3 4 2" xfId="3189" xr:uid="{00000000-0005-0000-0000-0000D11C0000}"/>
    <cellStyle name="Normal 8 2 3 4 2 2" xfId="7411" xr:uid="{00000000-0005-0000-0000-0000D21C0000}"/>
    <cellStyle name="Normal 8 2 3 4 2 2 2" xfId="24302" xr:uid="{C5DE7709-E72F-4380-BA3B-71212E2B2766}"/>
    <cellStyle name="Normal 8 2 3 4 2 2 3" xfId="15861" xr:uid="{F685161A-58D7-4A1D-9E93-CBE1956522B8}"/>
    <cellStyle name="Normal 8 2 3 4 2 3" xfId="20084" xr:uid="{3AC12629-D375-4304-B3AB-F2AEA022585B}"/>
    <cellStyle name="Normal 8 2 3 4 2 4" xfId="11643" xr:uid="{BCC4266D-CD14-4E8D-BB52-5C0331C64C63}"/>
    <cellStyle name="Normal 8 2 3 4 3" xfId="5266" xr:uid="{00000000-0005-0000-0000-0000D31C0000}"/>
    <cellStyle name="Normal 8 2 3 4 3 2" xfId="22157" xr:uid="{851E8622-DD44-469A-8F7F-08369DA87D78}"/>
    <cellStyle name="Normal 8 2 3 4 3 3" xfId="13716" xr:uid="{CE5B116B-1D26-46E3-B1F4-747C2311CFF7}"/>
    <cellStyle name="Normal 8 2 3 4 4" xfId="17939" xr:uid="{EE5F6B1E-A717-4C63-8B3B-4D682F42F22A}"/>
    <cellStyle name="Normal 8 2 3 4 5" xfId="9498" xr:uid="{5CAA51CA-3232-4C8D-A829-46E5579C1EA8}"/>
    <cellStyle name="Normal 8 2 3 5" xfId="1372" xr:uid="{00000000-0005-0000-0000-0000D41C0000}"/>
    <cellStyle name="Normal 8 2 3 5 2" xfId="3602" xr:uid="{00000000-0005-0000-0000-0000D51C0000}"/>
    <cellStyle name="Normal 8 2 3 5 2 2" xfId="7824" xr:uid="{00000000-0005-0000-0000-0000D61C0000}"/>
    <cellStyle name="Normal 8 2 3 5 2 2 2" xfId="24715" xr:uid="{FFEE3800-65DA-4BC8-8620-2A20CD9B0B31}"/>
    <cellStyle name="Normal 8 2 3 5 2 2 3" xfId="16274" xr:uid="{F0455B57-4B3C-4C50-8122-282FD05FED05}"/>
    <cellStyle name="Normal 8 2 3 5 2 3" xfId="20497" xr:uid="{5FB3F32E-B652-4976-AA5C-6B00F16F9BDF}"/>
    <cellStyle name="Normal 8 2 3 5 2 4" xfId="12056" xr:uid="{25940818-4FDC-4326-9B1E-267ECCD450F7}"/>
    <cellStyle name="Normal 8 2 3 5 3" xfId="5679" xr:uid="{00000000-0005-0000-0000-0000D71C0000}"/>
    <cellStyle name="Normal 8 2 3 5 3 2" xfId="22570" xr:uid="{E4EC4A00-C532-4155-9E52-2447C7953810}"/>
    <cellStyle name="Normal 8 2 3 5 3 3" xfId="14129" xr:uid="{F29E9647-1818-45DF-9FCB-6136AEDDD064}"/>
    <cellStyle name="Normal 8 2 3 5 4" xfId="18352" xr:uid="{F7443CE9-5432-42CF-9B4A-6796AB91B18E}"/>
    <cellStyle name="Normal 8 2 3 5 5" xfId="9911" xr:uid="{C1E29B0B-6D17-4667-8BCB-3F7EB7A09DFC}"/>
    <cellStyle name="Normal 8 2 3 6" xfId="1785" xr:uid="{00000000-0005-0000-0000-0000D81C0000}"/>
    <cellStyle name="Normal 8 2 3 6 2" xfId="4015" xr:uid="{00000000-0005-0000-0000-0000D91C0000}"/>
    <cellStyle name="Normal 8 2 3 6 2 2" xfId="8237" xr:uid="{00000000-0005-0000-0000-0000DA1C0000}"/>
    <cellStyle name="Normal 8 2 3 6 2 2 2" xfId="25128" xr:uid="{B375D5C8-C3E4-450F-B6AD-61D1EB3094A6}"/>
    <cellStyle name="Normal 8 2 3 6 2 2 3" xfId="16687" xr:uid="{FB454636-273B-4FB4-AF0F-9AA57469C9E3}"/>
    <cellStyle name="Normal 8 2 3 6 2 3" xfId="20910" xr:uid="{947D66FF-0C19-499E-BF36-6CD8DD91A927}"/>
    <cellStyle name="Normal 8 2 3 6 2 4" xfId="12469" xr:uid="{5E888BB4-3906-489F-89EC-7ECC752F2F70}"/>
    <cellStyle name="Normal 8 2 3 6 3" xfId="6092" xr:uid="{00000000-0005-0000-0000-0000DB1C0000}"/>
    <cellStyle name="Normal 8 2 3 6 3 2" xfId="22983" xr:uid="{3891B609-6929-4FDF-8712-317BC1E4E8BE}"/>
    <cellStyle name="Normal 8 2 3 6 3 3" xfId="14542" xr:uid="{EE6F80C2-6688-49C5-B05F-521ABCD69CB5}"/>
    <cellStyle name="Normal 8 2 3 6 4" xfId="18765" xr:uid="{5DB14D60-2BF3-43DA-A36F-C0971281DCEF}"/>
    <cellStyle name="Normal 8 2 3 6 5" xfId="10324" xr:uid="{67F5A0F7-2A15-4E64-85C1-56221F784416}"/>
    <cellStyle name="Normal 8 2 3 7" xfId="2199" xr:uid="{00000000-0005-0000-0000-0000DC1C0000}"/>
    <cellStyle name="Normal 8 2 3 7 2" xfId="4428" xr:uid="{00000000-0005-0000-0000-0000DD1C0000}"/>
    <cellStyle name="Normal 8 2 3 7 2 2" xfId="8650" xr:uid="{00000000-0005-0000-0000-0000DE1C0000}"/>
    <cellStyle name="Normal 8 2 3 7 2 2 2" xfId="25541" xr:uid="{BF48FFA6-60DE-4C52-BB51-656FDC2CFF5E}"/>
    <cellStyle name="Normal 8 2 3 7 2 2 3" xfId="17100" xr:uid="{4E10894E-D188-4EEF-8292-A483702469B6}"/>
    <cellStyle name="Normal 8 2 3 7 2 3" xfId="21323" xr:uid="{021EEBA7-B223-4D8E-87AE-8EACB900388D}"/>
    <cellStyle name="Normal 8 2 3 7 2 4" xfId="12882" xr:uid="{ED9D19BE-E032-4CC6-B3A7-2EB85771D7B5}"/>
    <cellStyle name="Normal 8 2 3 7 3" xfId="6505" xr:uid="{00000000-0005-0000-0000-0000DF1C0000}"/>
    <cellStyle name="Normal 8 2 3 7 3 2" xfId="23396" xr:uid="{38E62D68-9EFD-4934-A626-3B1AB879293D}"/>
    <cellStyle name="Normal 8 2 3 7 3 3" xfId="14955" xr:uid="{BE69B794-BD5C-4267-B36E-A70490C9827B}"/>
    <cellStyle name="Normal 8 2 3 7 4" xfId="19178" xr:uid="{3CB53399-C8C6-4AC2-9969-C635436637B2}"/>
    <cellStyle name="Normal 8 2 3 7 5" xfId="10737" xr:uid="{65509FF0-0CAF-4648-9047-1C5DCB878BB3}"/>
    <cellStyle name="Normal 8 2 3 8" xfId="2635" xr:uid="{00000000-0005-0000-0000-0000E01C0000}"/>
    <cellStyle name="Normal 8 2 3 8 2" xfId="6918" xr:uid="{00000000-0005-0000-0000-0000E11C0000}"/>
    <cellStyle name="Normal 8 2 3 8 2 2" xfId="23809" xr:uid="{E51D0A16-C7BF-4CAB-AC9B-C06F62CBBBE3}"/>
    <cellStyle name="Normal 8 2 3 8 2 3" xfId="15368" xr:uid="{40AC9C32-F03C-4E82-B7DB-4D145890B79B}"/>
    <cellStyle name="Normal 8 2 3 8 3" xfId="19591" xr:uid="{BFC3327B-EED4-4692-9BBF-BF91A1871CD6}"/>
    <cellStyle name="Normal 8 2 3 8 4" xfId="11150" xr:uid="{B9D5723E-B13B-434B-BB28-B115E0C6C91F}"/>
    <cellStyle name="Normal 8 2 3 9" xfId="4853" xr:uid="{00000000-0005-0000-0000-0000E21C0000}"/>
    <cellStyle name="Normal 8 2 3 9 2" xfId="21744" xr:uid="{D31BD1E5-3FF0-438D-A69A-ADA2C41C6A52}"/>
    <cellStyle name="Normal 8 2 3 9 3" xfId="13303" xr:uid="{1DB364BF-4A2D-453C-8880-8D68A2654F29}"/>
    <cellStyle name="Normal 8 2 4" xfId="492" xr:uid="{00000000-0005-0000-0000-0000E31C0000}"/>
    <cellStyle name="Normal 8 2 4 10" xfId="9089" xr:uid="{B8DCF03E-7F9E-447B-96A3-441EB1F555BA}"/>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24307" xr:uid="{88A86A2E-8FB0-49B3-BE32-FE91D929CD70}"/>
    <cellStyle name="Normal 8 2 4 2 2 2 2 3" xfId="15866" xr:uid="{CCE674D5-0361-4946-9E14-616DEF1BA4A6}"/>
    <cellStyle name="Normal 8 2 4 2 2 2 3" xfId="20089" xr:uid="{2AE0664F-23A2-402B-9835-2CC519F83E14}"/>
    <cellStyle name="Normal 8 2 4 2 2 2 4" xfId="11648" xr:uid="{C678E5EC-2D3B-4AAF-9D92-1CAAAD756116}"/>
    <cellStyle name="Normal 8 2 4 2 2 3" xfId="5271" xr:uid="{00000000-0005-0000-0000-0000E81C0000}"/>
    <cellStyle name="Normal 8 2 4 2 2 3 2" xfId="22162" xr:uid="{F39B1DEF-7EA9-45B0-A3BF-6BDCF129F825}"/>
    <cellStyle name="Normal 8 2 4 2 2 3 3" xfId="13721" xr:uid="{20590F8F-A49A-46C9-8AA5-0EA9744FE180}"/>
    <cellStyle name="Normal 8 2 4 2 2 4" xfId="17944" xr:uid="{103725C4-7115-4F31-A069-2388280B997E}"/>
    <cellStyle name="Normal 8 2 4 2 2 5" xfId="9503" xr:uid="{E473EC01-E196-432C-A2B8-CE4437C9E6D2}"/>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24720" xr:uid="{7E2A5E9F-17D7-46A1-AAF5-41B8B90C5A3C}"/>
    <cellStyle name="Normal 8 2 4 2 3 2 2 3" xfId="16279" xr:uid="{0514439D-6B65-4DD9-B751-B1645622797E}"/>
    <cellStyle name="Normal 8 2 4 2 3 2 3" xfId="20502" xr:uid="{A2CA4D68-03EC-465B-AEC4-29415A70E177}"/>
    <cellStyle name="Normal 8 2 4 2 3 2 4" xfId="12061" xr:uid="{FE1FA233-5683-4346-AD3D-1D257A01526F}"/>
    <cellStyle name="Normal 8 2 4 2 3 3" xfId="5684" xr:uid="{00000000-0005-0000-0000-0000EC1C0000}"/>
    <cellStyle name="Normal 8 2 4 2 3 3 2" xfId="22575" xr:uid="{6E6B82FC-AA54-4966-B744-AAB004B33ED9}"/>
    <cellStyle name="Normal 8 2 4 2 3 3 3" xfId="14134" xr:uid="{F42E89AB-34A5-4C33-9935-2E3F613E8BEA}"/>
    <cellStyle name="Normal 8 2 4 2 3 4" xfId="18357" xr:uid="{CBE2B531-C418-4A82-B0C8-64A82F41879A}"/>
    <cellStyle name="Normal 8 2 4 2 3 5" xfId="9916" xr:uid="{7A300E04-573F-4E37-B263-89BA9CB7B894}"/>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25133" xr:uid="{4230146A-D67D-4AE4-92CB-B1A8115D0273}"/>
    <cellStyle name="Normal 8 2 4 2 4 2 2 3" xfId="16692" xr:uid="{7F044B23-5593-4C68-B488-799C3900A395}"/>
    <cellStyle name="Normal 8 2 4 2 4 2 3" xfId="20915" xr:uid="{4CD1DE3B-6B5F-4B6D-A112-4F87587737DD}"/>
    <cellStyle name="Normal 8 2 4 2 4 2 4" xfId="12474" xr:uid="{B27C2E97-AED4-4C88-9440-955E8743F9C8}"/>
    <cellStyle name="Normal 8 2 4 2 4 3" xfId="6097" xr:uid="{00000000-0005-0000-0000-0000F01C0000}"/>
    <cellStyle name="Normal 8 2 4 2 4 3 2" xfId="22988" xr:uid="{710949CE-5618-489D-BA84-9B70EAE4A637}"/>
    <cellStyle name="Normal 8 2 4 2 4 3 3" xfId="14547" xr:uid="{CACE94DE-F157-480A-BB69-D9590B5E58B6}"/>
    <cellStyle name="Normal 8 2 4 2 4 4" xfId="18770" xr:uid="{BCF491E5-57AC-435F-972C-1674E93C2726}"/>
    <cellStyle name="Normal 8 2 4 2 4 5" xfId="10329" xr:uid="{CA301F79-6AD9-4C12-9B92-768543E8D6E9}"/>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25546" xr:uid="{9909F47D-1145-4328-94E2-3C87ADE805B8}"/>
    <cellStyle name="Normal 8 2 4 2 5 2 2 3" xfId="17105" xr:uid="{7C1FDCAF-DF33-4AC0-B0D9-F7AA3364C3AE}"/>
    <cellStyle name="Normal 8 2 4 2 5 2 3" xfId="21328" xr:uid="{91E2D115-310B-4BE2-9121-CF2797CB7A8A}"/>
    <cellStyle name="Normal 8 2 4 2 5 2 4" xfId="12887" xr:uid="{FCCD4704-1999-4983-90BA-2C269DEC3E87}"/>
    <cellStyle name="Normal 8 2 4 2 5 3" xfId="6510" xr:uid="{00000000-0005-0000-0000-0000F41C0000}"/>
    <cellStyle name="Normal 8 2 4 2 5 3 2" xfId="23401" xr:uid="{1170CC0D-E912-40DD-938A-9708ADE9B19E}"/>
    <cellStyle name="Normal 8 2 4 2 5 3 3" xfId="14960" xr:uid="{B24A180A-F596-4D70-B273-3675264AF8F7}"/>
    <cellStyle name="Normal 8 2 4 2 5 4" xfId="19183" xr:uid="{38969D6E-A40A-482B-860F-68AEBA95F27A}"/>
    <cellStyle name="Normal 8 2 4 2 5 5" xfId="10742" xr:uid="{8076D606-9AA1-49B3-A343-16750F81C9EE}"/>
    <cellStyle name="Normal 8 2 4 2 6" xfId="2640" xr:uid="{00000000-0005-0000-0000-0000F51C0000}"/>
    <cellStyle name="Normal 8 2 4 2 6 2" xfId="6923" xr:uid="{00000000-0005-0000-0000-0000F61C0000}"/>
    <cellStyle name="Normal 8 2 4 2 6 2 2" xfId="23814" xr:uid="{85B368A7-5942-4584-A718-C9F8C360E3C8}"/>
    <cellStyle name="Normal 8 2 4 2 6 2 3" xfId="15373" xr:uid="{E8F4E8BC-C944-468F-8FDA-484F7B690C9C}"/>
    <cellStyle name="Normal 8 2 4 2 6 3" xfId="19596" xr:uid="{6E606CBC-F5E3-4172-BD75-557E4B8A2374}"/>
    <cellStyle name="Normal 8 2 4 2 6 4" xfId="11155" xr:uid="{D158C9D4-F57A-4EA7-9C7A-A09B9EA5C213}"/>
    <cellStyle name="Normal 8 2 4 2 7" xfId="4858" xr:uid="{00000000-0005-0000-0000-0000F71C0000}"/>
    <cellStyle name="Normal 8 2 4 2 7 2" xfId="21749" xr:uid="{8BF114AD-7BFB-4484-80CE-27E3904213A6}"/>
    <cellStyle name="Normal 8 2 4 2 7 3" xfId="13308" xr:uid="{B37EF614-A0F7-45AF-A553-FFD1D7A4FE4A}"/>
    <cellStyle name="Normal 8 2 4 2 8" xfId="17531" xr:uid="{8035E9D4-B6EE-43B8-8247-32CC1C22D8B8}"/>
    <cellStyle name="Normal 8 2 4 2 9" xfId="9090" xr:uid="{ECDD20DE-94EA-4F90-84E7-88CF068BF115}"/>
    <cellStyle name="Normal 8 2 4 3" xfId="959" xr:uid="{00000000-0005-0000-0000-0000F81C0000}"/>
    <cellStyle name="Normal 8 2 4 3 2" xfId="3193" xr:uid="{00000000-0005-0000-0000-0000F91C0000}"/>
    <cellStyle name="Normal 8 2 4 3 2 2" xfId="7415" xr:uid="{00000000-0005-0000-0000-0000FA1C0000}"/>
    <cellStyle name="Normal 8 2 4 3 2 2 2" xfId="24306" xr:uid="{CA89F37C-7BB6-4A63-B8DA-62BA192F0A58}"/>
    <cellStyle name="Normal 8 2 4 3 2 2 3" xfId="15865" xr:uid="{CAA29A7D-7F13-430A-889B-A27D0C88B5ED}"/>
    <cellStyle name="Normal 8 2 4 3 2 3" xfId="20088" xr:uid="{DE26233A-88A1-4BF7-A9AC-3341C03E7939}"/>
    <cellStyle name="Normal 8 2 4 3 2 4" xfId="11647" xr:uid="{13066EEE-DA92-4CB9-ABF8-E94A1E8F2AE5}"/>
    <cellStyle name="Normal 8 2 4 3 3" xfId="5270" xr:uid="{00000000-0005-0000-0000-0000FB1C0000}"/>
    <cellStyle name="Normal 8 2 4 3 3 2" xfId="22161" xr:uid="{62287A37-5BE6-473D-96E6-E76564CDB2E6}"/>
    <cellStyle name="Normal 8 2 4 3 3 3" xfId="13720" xr:uid="{717588D7-009A-46EE-90D6-3857E57D34BD}"/>
    <cellStyle name="Normal 8 2 4 3 4" xfId="17943" xr:uid="{BC9BCD72-64C8-4CF1-BD41-94F8EDAB50D3}"/>
    <cellStyle name="Normal 8 2 4 3 5" xfId="9502" xr:uid="{7E55E27D-4260-4429-927C-9F60100DA318}"/>
    <cellStyle name="Normal 8 2 4 4" xfId="1376" xr:uid="{00000000-0005-0000-0000-0000FC1C0000}"/>
    <cellStyle name="Normal 8 2 4 4 2" xfId="3606" xr:uid="{00000000-0005-0000-0000-0000FD1C0000}"/>
    <cellStyle name="Normal 8 2 4 4 2 2" xfId="7828" xr:uid="{00000000-0005-0000-0000-0000FE1C0000}"/>
    <cellStyle name="Normal 8 2 4 4 2 2 2" xfId="24719" xr:uid="{EF1FDA26-D866-46D8-9DAC-BB81C64D3337}"/>
    <cellStyle name="Normal 8 2 4 4 2 2 3" xfId="16278" xr:uid="{CA838B5A-B329-424E-B6C0-FBD49CEF6AD3}"/>
    <cellStyle name="Normal 8 2 4 4 2 3" xfId="20501" xr:uid="{9052A56A-FF1A-45D7-AD62-954B54207FAA}"/>
    <cellStyle name="Normal 8 2 4 4 2 4" xfId="12060" xr:uid="{FC43EB72-2CED-496B-A14B-C86739B62798}"/>
    <cellStyle name="Normal 8 2 4 4 3" xfId="5683" xr:uid="{00000000-0005-0000-0000-0000FF1C0000}"/>
    <cellStyle name="Normal 8 2 4 4 3 2" xfId="22574" xr:uid="{2E6E1FCE-F10C-469E-9C38-3C8DE6514DEC}"/>
    <cellStyle name="Normal 8 2 4 4 3 3" xfId="14133" xr:uid="{BEF5DBFA-DEC1-4540-9D3F-1461D265D070}"/>
    <cellStyle name="Normal 8 2 4 4 4" xfId="18356" xr:uid="{BCAECFB1-6D2A-45E8-B1A5-7E9C7A9F546F}"/>
    <cellStyle name="Normal 8 2 4 4 5" xfId="9915" xr:uid="{9AF40691-2EF9-4AB1-84A8-0280C10DF130}"/>
    <cellStyle name="Normal 8 2 4 5" xfId="1789" xr:uid="{00000000-0005-0000-0000-0000001D0000}"/>
    <cellStyle name="Normal 8 2 4 5 2" xfId="4019" xr:uid="{00000000-0005-0000-0000-0000011D0000}"/>
    <cellStyle name="Normal 8 2 4 5 2 2" xfId="8241" xr:uid="{00000000-0005-0000-0000-0000021D0000}"/>
    <cellStyle name="Normal 8 2 4 5 2 2 2" xfId="25132" xr:uid="{64AEFCCC-3BF8-4952-BA85-BC297783EAA5}"/>
    <cellStyle name="Normal 8 2 4 5 2 2 3" xfId="16691" xr:uid="{101C41A7-7BBE-48FD-A1B2-3EA367A53058}"/>
    <cellStyle name="Normal 8 2 4 5 2 3" xfId="20914" xr:uid="{7768159B-98EC-4D74-8703-970F1AE4AFAE}"/>
    <cellStyle name="Normal 8 2 4 5 2 4" xfId="12473" xr:uid="{76B85072-72CA-4789-BDAC-75390DC2DCC2}"/>
    <cellStyle name="Normal 8 2 4 5 3" xfId="6096" xr:uid="{00000000-0005-0000-0000-0000031D0000}"/>
    <cellStyle name="Normal 8 2 4 5 3 2" xfId="22987" xr:uid="{AD31F99A-377A-4A8A-9102-C7DE4FEDBBC3}"/>
    <cellStyle name="Normal 8 2 4 5 3 3" xfId="14546" xr:uid="{A38A8EB5-91FD-4F36-B09A-FABDB3B53BC3}"/>
    <cellStyle name="Normal 8 2 4 5 4" xfId="18769" xr:uid="{E41489D1-0EDE-4AEA-9546-5123A922DC7F}"/>
    <cellStyle name="Normal 8 2 4 5 5" xfId="10328" xr:uid="{A362C545-C32B-42DB-9C19-F638776C910D}"/>
    <cellStyle name="Normal 8 2 4 6" xfId="2203" xr:uid="{00000000-0005-0000-0000-0000041D0000}"/>
    <cellStyle name="Normal 8 2 4 6 2" xfId="4432" xr:uid="{00000000-0005-0000-0000-0000051D0000}"/>
    <cellStyle name="Normal 8 2 4 6 2 2" xfId="8654" xr:uid="{00000000-0005-0000-0000-0000061D0000}"/>
    <cellStyle name="Normal 8 2 4 6 2 2 2" xfId="25545" xr:uid="{FFAA1660-16AC-4841-B766-09E917DD3AB7}"/>
    <cellStyle name="Normal 8 2 4 6 2 2 3" xfId="17104" xr:uid="{2CA3E76B-D691-4B11-9E46-A888F8362F0C}"/>
    <cellStyle name="Normal 8 2 4 6 2 3" xfId="21327" xr:uid="{083C4F68-76E4-454A-AE8D-6627647B59C4}"/>
    <cellStyle name="Normal 8 2 4 6 2 4" xfId="12886" xr:uid="{FCDF05D5-AD10-48A3-9F91-D6E3A1B92565}"/>
    <cellStyle name="Normal 8 2 4 6 3" xfId="6509" xr:uid="{00000000-0005-0000-0000-0000071D0000}"/>
    <cellStyle name="Normal 8 2 4 6 3 2" xfId="23400" xr:uid="{43B44CCD-CFCE-4798-A023-09C6C1E0C816}"/>
    <cellStyle name="Normal 8 2 4 6 3 3" xfId="14959" xr:uid="{17016351-F8B9-4D47-ACE8-0880D423F6C6}"/>
    <cellStyle name="Normal 8 2 4 6 4" xfId="19182" xr:uid="{115E57C6-B84C-4BFC-BE65-525A38D2DF74}"/>
    <cellStyle name="Normal 8 2 4 6 5" xfId="10741" xr:uid="{AE8C6CF3-D1C3-4073-8E16-4D522ADFD469}"/>
    <cellStyle name="Normal 8 2 4 7" xfId="2639" xr:uid="{00000000-0005-0000-0000-0000081D0000}"/>
    <cellStyle name="Normal 8 2 4 7 2" xfId="6922" xr:uid="{00000000-0005-0000-0000-0000091D0000}"/>
    <cellStyle name="Normal 8 2 4 7 2 2" xfId="23813" xr:uid="{238D7D9D-827F-4BEF-9A08-0D836AD844F0}"/>
    <cellStyle name="Normal 8 2 4 7 2 3" xfId="15372" xr:uid="{EC067E5D-D63A-420F-BA61-AB7F52EBE9C3}"/>
    <cellStyle name="Normal 8 2 4 7 3" xfId="19595" xr:uid="{66468D95-1F9C-4E24-9C59-C2B1AB8FB7B6}"/>
    <cellStyle name="Normal 8 2 4 7 4" xfId="11154" xr:uid="{31427BEB-8D46-4B73-A2CE-4612A1ED58A9}"/>
    <cellStyle name="Normal 8 2 4 8" xfId="4857" xr:uid="{00000000-0005-0000-0000-00000A1D0000}"/>
    <cellStyle name="Normal 8 2 4 8 2" xfId="21748" xr:uid="{42EB2C64-FD4A-4E5B-BE6B-6F1FE228F44E}"/>
    <cellStyle name="Normal 8 2 4 8 3" xfId="13307" xr:uid="{81A66C9C-0E0E-49F7-A63C-2986E0FF5595}"/>
    <cellStyle name="Normal 8 2 4 9" xfId="17530" xr:uid="{8AF0FA87-D900-4B03-99C6-82006C03AD4A}"/>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2 2 2" xfId="24308" xr:uid="{71857E5F-E576-43CF-9068-95123457DEF2}"/>
    <cellStyle name="Normal 8 2 5 2 2 2 3" xfId="15867" xr:uid="{A0CD4AB0-AC6A-4E36-A38D-5D5196AB10FD}"/>
    <cellStyle name="Normal 8 2 5 2 2 3" xfId="20090" xr:uid="{43096EE5-332C-43C5-A2DF-86DBE92FC693}"/>
    <cellStyle name="Normal 8 2 5 2 2 4" xfId="11649" xr:uid="{46DF68FE-A006-4D4E-B1CF-590BF5E639B7}"/>
    <cellStyle name="Normal 8 2 5 2 3" xfId="5272" xr:uid="{00000000-0005-0000-0000-00000F1D0000}"/>
    <cellStyle name="Normal 8 2 5 2 3 2" xfId="22163" xr:uid="{A163A562-98B5-4EF8-9C09-BAAD2E0796DA}"/>
    <cellStyle name="Normal 8 2 5 2 3 3" xfId="13722" xr:uid="{F07FF546-FF8A-494B-8D3C-A2DB13C410EF}"/>
    <cellStyle name="Normal 8 2 5 2 4" xfId="17945" xr:uid="{ADC1A3D6-D35F-4B0C-9414-B6D491639CE0}"/>
    <cellStyle name="Normal 8 2 5 2 5" xfId="9504" xr:uid="{B31DAE67-770C-408A-BA91-136E8716CF70}"/>
    <cellStyle name="Normal 8 2 5 3" xfId="1378" xr:uid="{00000000-0005-0000-0000-0000101D0000}"/>
    <cellStyle name="Normal 8 2 5 3 2" xfId="3608" xr:uid="{00000000-0005-0000-0000-0000111D0000}"/>
    <cellStyle name="Normal 8 2 5 3 2 2" xfId="7830" xr:uid="{00000000-0005-0000-0000-0000121D0000}"/>
    <cellStyle name="Normal 8 2 5 3 2 2 2" xfId="24721" xr:uid="{8B0B3889-1DCF-4B1C-A08C-1692547441BF}"/>
    <cellStyle name="Normal 8 2 5 3 2 2 3" xfId="16280" xr:uid="{950FB0AD-6D92-4E80-BD9D-7C846AAF1BBF}"/>
    <cellStyle name="Normal 8 2 5 3 2 3" xfId="20503" xr:uid="{2EC858E1-0180-4CA9-8536-79766EAF9CC7}"/>
    <cellStyle name="Normal 8 2 5 3 2 4" xfId="12062" xr:uid="{D30F4F91-9EB3-40C4-8223-2AE137B5EE21}"/>
    <cellStyle name="Normal 8 2 5 3 3" xfId="5685" xr:uid="{00000000-0005-0000-0000-0000131D0000}"/>
    <cellStyle name="Normal 8 2 5 3 3 2" xfId="22576" xr:uid="{F679E14B-1449-49C0-8C8C-21A9CAB23019}"/>
    <cellStyle name="Normal 8 2 5 3 3 3" xfId="14135" xr:uid="{FF811079-6E2A-4365-AB9C-A7604DC4466C}"/>
    <cellStyle name="Normal 8 2 5 3 4" xfId="18358" xr:uid="{1BB1E066-C09C-4A88-9401-F84CBAB238C1}"/>
    <cellStyle name="Normal 8 2 5 3 5" xfId="9917" xr:uid="{3BFDF852-E534-4097-A165-CC74ED46B734}"/>
    <cellStyle name="Normal 8 2 5 4" xfId="1791" xr:uid="{00000000-0005-0000-0000-0000141D0000}"/>
    <cellStyle name="Normal 8 2 5 4 2" xfId="4021" xr:uid="{00000000-0005-0000-0000-0000151D0000}"/>
    <cellStyle name="Normal 8 2 5 4 2 2" xfId="8243" xr:uid="{00000000-0005-0000-0000-0000161D0000}"/>
    <cellStyle name="Normal 8 2 5 4 2 2 2" xfId="25134" xr:uid="{98DCB32B-6940-45B3-AE57-575553E43F00}"/>
    <cellStyle name="Normal 8 2 5 4 2 2 3" xfId="16693" xr:uid="{986304A5-722C-46C4-9414-14AAE99BE7F8}"/>
    <cellStyle name="Normal 8 2 5 4 2 3" xfId="20916" xr:uid="{85334537-0C0B-4445-AFB4-45CE1202CA7D}"/>
    <cellStyle name="Normal 8 2 5 4 2 4" xfId="12475" xr:uid="{C3F645F6-6368-4D6E-A4F6-945B772D8255}"/>
    <cellStyle name="Normal 8 2 5 4 3" xfId="6098" xr:uid="{00000000-0005-0000-0000-0000171D0000}"/>
    <cellStyle name="Normal 8 2 5 4 3 2" xfId="22989" xr:uid="{91ADC1AC-1D09-42EF-B514-078DFD40FEAC}"/>
    <cellStyle name="Normal 8 2 5 4 3 3" xfId="14548" xr:uid="{E3727663-3CBB-4DDA-8458-37F84AAD1DD6}"/>
    <cellStyle name="Normal 8 2 5 4 4" xfId="18771" xr:uid="{39CB7476-A080-4290-A4A2-C9A877494A7B}"/>
    <cellStyle name="Normal 8 2 5 4 5" xfId="10330" xr:uid="{5038AC11-0E2C-4A27-B67D-FB631013AAFE}"/>
    <cellStyle name="Normal 8 2 5 5" xfId="2205" xr:uid="{00000000-0005-0000-0000-0000181D0000}"/>
    <cellStyle name="Normal 8 2 5 5 2" xfId="4434" xr:uid="{00000000-0005-0000-0000-0000191D0000}"/>
    <cellStyle name="Normal 8 2 5 5 2 2" xfId="8656" xr:uid="{00000000-0005-0000-0000-00001A1D0000}"/>
    <cellStyle name="Normal 8 2 5 5 2 2 2" xfId="25547" xr:uid="{24793239-A4AB-4CC8-9C3B-4410315FA3EE}"/>
    <cellStyle name="Normal 8 2 5 5 2 2 3" xfId="17106" xr:uid="{D9B2867E-6D37-48E1-B57C-7E9982286E66}"/>
    <cellStyle name="Normal 8 2 5 5 2 3" xfId="21329" xr:uid="{6277C9F5-743B-47E4-9033-ACF490AB6238}"/>
    <cellStyle name="Normal 8 2 5 5 2 4" xfId="12888" xr:uid="{673E91A4-6C8E-4A5F-BFB1-1EF1090A6851}"/>
    <cellStyle name="Normal 8 2 5 5 3" xfId="6511" xr:uid="{00000000-0005-0000-0000-00001B1D0000}"/>
    <cellStyle name="Normal 8 2 5 5 3 2" xfId="23402" xr:uid="{EE4F8502-FE06-44E9-80A7-3BA3A4420DB9}"/>
    <cellStyle name="Normal 8 2 5 5 3 3" xfId="14961" xr:uid="{51068B53-AB40-4483-8453-F23AA70A988C}"/>
    <cellStyle name="Normal 8 2 5 5 4" xfId="19184" xr:uid="{72375F53-20F0-4DD2-BE86-D54CEB59D9BB}"/>
    <cellStyle name="Normal 8 2 5 5 5" xfId="10743" xr:uid="{611B4E64-E012-4CD5-8CAC-9552CD236593}"/>
    <cellStyle name="Normal 8 2 5 6" xfId="2641" xr:uid="{00000000-0005-0000-0000-00001C1D0000}"/>
    <cellStyle name="Normal 8 2 5 6 2" xfId="6924" xr:uid="{00000000-0005-0000-0000-00001D1D0000}"/>
    <cellStyle name="Normal 8 2 5 6 2 2" xfId="23815" xr:uid="{8A4AC959-907C-404A-B6CB-6B26D859C32C}"/>
    <cellStyle name="Normal 8 2 5 6 2 3" xfId="15374" xr:uid="{0C82A52F-EE01-4FFB-A20D-56CA1315CDA0}"/>
    <cellStyle name="Normal 8 2 5 6 3" xfId="19597" xr:uid="{7F4F9166-01B6-4B67-BEC5-C0CD8254607C}"/>
    <cellStyle name="Normal 8 2 5 6 4" xfId="11156" xr:uid="{FE874AB8-9336-4866-B0F3-C6DB928A3ECE}"/>
    <cellStyle name="Normal 8 2 5 7" xfId="4859" xr:uid="{00000000-0005-0000-0000-00001E1D0000}"/>
    <cellStyle name="Normal 8 2 5 7 2" xfId="21750" xr:uid="{8841BC4D-9B4D-4C53-9BDA-FDA6CA1A39E4}"/>
    <cellStyle name="Normal 8 2 5 7 3" xfId="13309" xr:uid="{C36AB877-4BAD-46EF-8F98-F79DEA9D9151}"/>
    <cellStyle name="Normal 8 2 5 8" xfId="17532" xr:uid="{8D150C49-D267-4371-BB11-C528B80778D3}"/>
    <cellStyle name="Normal 8 2 5 9" xfId="9091" xr:uid="{9B9B197D-FC55-49B3-B8B0-0D12BB6F08F6}"/>
    <cellStyle name="Normal 8 2 6" xfId="946" xr:uid="{00000000-0005-0000-0000-00001F1D0000}"/>
    <cellStyle name="Normal 8 2 6 2" xfId="3180" xr:uid="{00000000-0005-0000-0000-0000201D0000}"/>
    <cellStyle name="Normal 8 2 6 2 2" xfId="7402" xr:uid="{00000000-0005-0000-0000-0000211D0000}"/>
    <cellStyle name="Normal 8 2 6 2 2 2" xfId="24293" xr:uid="{CF83E784-2826-4A3E-840C-82952F06548C}"/>
    <cellStyle name="Normal 8 2 6 2 2 3" xfId="15852" xr:uid="{462B77CE-6D20-433F-AAAD-31DDC25650AD}"/>
    <cellStyle name="Normal 8 2 6 2 3" xfId="20075" xr:uid="{676580BB-3BF4-4864-9E5B-A8012E2ED2DB}"/>
    <cellStyle name="Normal 8 2 6 2 4" xfId="11634" xr:uid="{1B682E89-BCEA-454B-962D-418969D19F04}"/>
    <cellStyle name="Normal 8 2 6 3" xfId="5257" xr:uid="{00000000-0005-0000-0000-0000221D0000}"/>
    <cellStyle name="Normal 8 2 6 3 2" xfId="22148" xr:uid="{6AFF8398-6A67-48FD-B979-A06C9E4B0DA1}"/>
    <cellStyle name="Normal 8 2 6 3 3" xfId="13707" xr:uid="{A440B0B2-798A-457B-B0CC-04AB24A856BE}"/>
    <cellStyle name="Normal 8 2 6 4" xfId="17930" xr:uid="{8EA527F5-CCBB-4B89-8253-B4B23EC1C3D8}"/>
    <cellStyle name="Normal 8 2 6 5" xfId="9489" xr:uid="{AD4733DC-2C0C-4BCD-8BE2-1D9F76C60F00}"/>
    <cellStyle name="Normal 8 2 7" xfId="1363" xr:uid="{00000000-0005-0000-0000-0000231D0000}"/>
    <cellStyle name="Normal 8 2 7 2" xfId="3593" xr:uid="{00000000-0005-0000-0000-0000241D0000}"/>
    <cellStyle name="Normal 8 2 7 2 2" xfId="7815" xr:uid="{00000000-0005-0000-0000-0000251D0000}"/>
    <cellStyle name="Normal 8 2 7 2 2 2" xfId="24706" xr:uid="{AF441642-0EA7-4D84-9B23-EB48CDFA52F0}"/>
    <cellStyle name="Normal 8 2 7 2 2 3" xfId="16265" xr:uid="{B50F3508-082E-4621-B9C6-8A527D82EE55}"/>
    <cellStyle name="Normal 8 2 7 2 3" xfId="20488" xr:uid="{0D40B0A2-FA58-4AE1-9EB2-FA80EF0269E6}"/>
    <cellStyle name="Normal 8 2 7 2 4" xfId="12047" xr:uid="{2A1088DF-7877-4955-8C1D-D10063402AE1}"/>
    <cellStyle name="Normal 8 2 7 3" xfId="5670" xr:uid="{00000000-0005-0000-0000-0000261D0000}"/>
    <cellStyle name="Normal 8 2 7 3 2" xfId="22561" xr:uid="{3B96E65D-77A6-47A5-A80D-24F73BC43DBF}"/>
    <cellStyle name="Normal 8 2 7 3 3" xfId="14120" xr:uid="{C35CDCD9-F7A2-4821-AAFB-4680E66D5E29}"/>
    <cellStyle name="Normal 8 2 7 4" xfId="18343" xr:uid="{1CD29A68-6127-4D01-B6DC-62EA53E95799}"/>
    <cellStyle name="Normal 8 2 7 5" xfId="9902" xr:uid="{2262BE1F-917C-44D6-8345-218DA526EE02}"/>
    <cellStyle name="Normal 8 2 8" xfId="1776" xr:uid="{00000000-0005-0000-0000-0000271D0000}"/>
    <cellStyle name="Normal 8 2 8 2" xfId="4006" xr:uid="{00000000-0005-0000-0000-0000281D0000}"/>
    <cellStyle name="Normal 8 2 8 2 2" xfId="8228" xr:uid="{00000000-0005-0000-0000-0000291D0000}"/>
    <cellStyle name="Normal 8 2 8 2 2 2" xfId="25119" xr:uid="{FDC84BF4-6CFE-4B59-8BEB-5A5EC9377278}"/>
    <cellStyle name="Normal 8 2 8 2 2 3" xfId="16678" xr:uid="{4C0F7A41-4583-4E51-ACEA-57FE356D3D90}"/>
    <cellStyle name="Normal 8 2 8 2 3" xfId="20901" xr:uid="{FAAAC388-0FC5-4669-8FE3-4ED68C963804}"/>
    <cellStyle name="Normal 8 2 8 2 4" xfId="12460" xr:uid="{719CA07B-D3F9-4E1E-AA6F-54904165C0E9}"/>
    <cellStyle name="Normal 8 2 8 3" xfId="6083" xr:uid="{00000000-0005-0000-0000-00002A1D0000}"/>
    <cellStyle name="Normal 8 2 8 3 2" xfId="22974" xr:uid="{77FA6F39-882C-49D4-AC1D-2C2E781459F5}"/>
    <cellStyle name="Normal 8 2 8 3 3" xfId="14533" xr:uid="{CC22EDC8-21FF-4BCE-96EE-1B419404ED79}"/>
    <cellStyle name="Normal 8 2 8 4" xfId="18756" xr:uid="{57FEAA7B-7AB6-4F78-90AD-788B7A77C797}"/>
    <cellStyle name="Normal 8 2 8 5" xfId="10315" xr:uid="{C3A2D4C8-E8DC-40BA-A615-0EDA490366AE}"/>
    <cellStyle name="Normal 8 2 9" xfId="2190" xr:uid="{00000000-0005-0000-0000-00002B1D0000}"/>
    <cellStyle name="Normal 8 2 9 2" xfId="4419" xr:uid="{00000000-0005-0000-0000-00002C1D0000}"/>
    <cellStyle name="Normal 8 2 9 2 2" xfId="8641" xr:uid="{00000000-0005-0000-0000-00002D1D0000}"/>
    <cellStyle name="Normal 8 2 9 2 2 2" xfId="25532" xr:uid="{F1329721-EA26-4CAB-A1A1-1BE44CFCFF11}"/>
    <cellStyle name="Normal 8 2 9 2 2 3" xfId="17091" xr:uid="{E28D1A5A-FEC0-4EEC-B5A4-B77D914DA7B1}"/>
    <cellStyle name="Normal 8 2 9 2 3" xfId="21314" xr:uid="{16CECFB0-6142-4373-AE71-01BB5C257D8F}"/>
    <cellStyle name="Normal 8 2 9 2 4" xfId="12873" xr:uid="{25C655CF-153E-4852-9DD7-2890A3B0C7B2}"/>
    <cellStyle name="Normal 8 2 9 3" xfId="6496" xr:uid="{00000000-0005-0000-0000-00002E1D0000}"/>
    <cellStyle name="Normal 8 2 9 3 2" xfId="23387" xr:uid="{6F2164F6-BBBF-414C-86D8-91B962484609}"/>
    <cellStyle name="Normal 8 2 9 3 3" xfId="14946" xr:uid="{77A7F802-BD37-47B5-81CC-BCF5688FE419}"/>
    <cellStyle name="Normal 8 2 9 4" xfId="19169" xr:uid="{B8F4B394-EF45-459E-A4E2-124715B2E511}"/>
    <cellStyle name="Normal 8 2 9 5" xfId="10728" xr:uid="{8D1AC56E-710C-42FB-9B1A-1BC260E5947F}"/>
    <cellStyle name="Normal 8 3" xfId="495" xr:uid="{00000000-0005-0000-0000-00002F1D0000}"/>
    <cellStyle name="Normal 8 3 10" xfId="4860" xr:uid="{00000000-0005-0000-0000-0000301D0000}"/>
    <cellStyle name="Normal 8 3 10 2" xfId="21751" xr:uid="{94429531-FEC1-4F9C-8DAD-205D0629D6C6}"/>
    <cellStyle name="Normal 8 3 10 3" xfId="13310" xr:uid="{1657EB3E-718C-4866-8EE3-283207594BF1}"/>
    <cellStyle name="Normal 8 3 11" xfId="17533" xr:uid="{3AF02C90-EC9D-4C98-B37B-9B2EFAF01564}"/>
    <cellStyle name="Normal 8 3 12" xfId="9092" xr:uid="{AD68B436-039D-4587-B9C6-8BD7253F6E24}"/>
    <cellStyle name="Normal 8 3 13" xfId="25778" xr:uid="{69ACC049-F2D0-4550-93A7-7BA2ED786B73}"/>
    <cellStyle name="Normal 8 3 2" xfId="496" xr:uid="{00000000-0005-0000-0000-0000311D0000}"/>
    <cellStyle name="Normal 8 3 2 10" xfId="17534" xr:uid="{D496A1BF-CF53-470B-9CF9-B7DFB1187D7A}"/>
    <cellStyle name="Normal 8 3 2 11" xfId="9093" xr:uid="{8BAFE885-2EE4-43F7-A321-E691EA724C8E}"/>
    <cellStyle name="Normal 8 3 2 2" xfId="497" xr:uid="{00000000-0005-0000-0000-0000321D0000}"/>
    <cellStyle name="Normal 8 3 2 2 10" xfId="9094" xr:uid="{7F124664-A9FD-44FC-943D-6FEB5557820D}"/>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24312" xr:uid="{7FB7C838-081D-4092-9168-529640BDC485}"/>
    <cellStyle name="Normal 8 3 2 2 2 2 2 2 3" xfId="15871" xr:uid="{49928B23-368B-4C1F-A90B-313FD0A185F0}"/>
    <cellStyle name="Normal 8 3 2 2 2 2 2 3" xfId="20094" xr:uid="{D2D500A8-28E8-41D5-A3C8-FE74AD76727D}"/>
    <cellStyle name="Normal 8 3 2 2 2 2 2 4" xfId="11653" xr:uid="{B5BFA51E-46EB-42E4-B134-66C05E8C72F5}"/>
    <cellStyle name="Normal 8 3 2 2 2 2 3" xfId="5276" xr:uid="{00000000-0005-0000-0000-0000371D0000}"/>
    <cellStyle name="Normal 8 3 2 2 2 2 3 2" xfId="22167" xr:uid="{3DA6CC29-2BF9-4867-9985-E2930DC7CD12}"/>
    <cellStyle name="Normal 8 3 2 2 2 2 3 3" xfId="13726" xr:uid="{FAC1843C-710F-479C-A7A5-F83C21903819}"/>
    <cellStyle name="Normal 8 3 2 2 2 2 4" xfId="17949" xr:uid="{A91D721C-4FD6-43F4-8A1F-3DFC6A22DDA8}"/>
    <cellStyle name="Normal 8 3 2 2 2 2 5" xfId="9508" xr:uid="{2916231E-A9ED-4484-A5B9-4140A0EA2D5F}"/>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24725" xr:uid="{49AFEF24-073D-4C23-A65A-018EFB06E4EE}"/>
    <cellStyle name="Normal 8 3 2 2 2 3 2 2 3" xfId="16284" xr:uid="{48F6712C-4807-45FF-911F-99C08BC29139}"/>
    <cellStyle name="Normal 8 3 2 2 2 3 2 3" xfId="20507" xr:uid="{5B685892-00C1-40C9-9682-611DE497E616}"/>
    <cellStyle name="Normal 8 3 2 2 2 3 2 4" xfId="12066" xr:uid="{8015593F-B393-4CDE-85DC-BC154999B700}"/>
    <cellStyle name="Normal 8 3 2 2 2 3 3" xfId="5689" xr:uid="{00000000-0005-0000-0000-00003B1D0000}"/>
    <cellStyle name="Normal 8 3 2 2 2 3 3 2" xfId="22580" xr:uid="{9C914FCD-0B0B-4D0D-97CF-433EF7C36F2F}"/>
    <cellStyle name="Normal 8 3 2 2 2 3 3 3" xfId="14139" xr:uid="{94C55D25-7866-4784-AFB4-E25CA37FC252}"/>
    <cellStyle name="Normal 8 3 2 2 2 3 4" xfId="18362" xr:uid="{2BA2E716-558A-4C1C-8C35-F616B9B68F63}"/>
    <cellStyle name="Normal 8 3 2 2 2 3 5" xfId="9921" xr:uid="{CD07C72F-2683-4F77-BEA2-2BB03D5011E2}"/>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25138" xr:uid="{6F779289-9E36-40E4-8DB1-9864D6830647}"/>
    <cellStyle name="Normal 8 3 2 2 2 4 2 2 3" xfId="16697" xr:uid="{65CA0B21-3A3D-48EE-B56E-FD52083724AD}"/>
    <cellStyle name="Normal 8 3 2 2 2 4 2 3" xfId="20920" xr:uid="{3FC012AE-F5A7-4C9D-AC73-198534FFAAE5}"/>
    <cellStyle name="Normal 8 3 2 2 2 4 2 4" xfId="12479" xr:uid="{7DE29A75-962A-4F51-96DC-6BE7B20566EB}"/>
    <cellStyle name="Normal 8 3 2 2 2 4 3" xfId="6102" xr:uid="{00000000-0005-0000-0000-00003F1D0000}"/>
    <cellStyle name="Normal 8 3 2 2 2 4 3 2" xfId="22993" xr:uid="{AECDE993-5158-449B-B0A5-AD59FBE1D8A8}"/>
    <cellStyle name="Normal 8 3 2 2 2 4 3 3" xfId="14552" xr:uid="{A93F7992-6412-44C2-ABFE-A79B1D81B9E1}"/>
    <cellStyle name="Normal 8 3 2 2 2 4 4" xfId="18775" xr:uid="{C2E7430A-6D7B-4701-B6DE-8484396F59FA}"/>
    <cellStyle name="Normal 8 3 2 2 2 4 5" xfId="10334" xr:uid="{F72AC3D2-89E6-4D43-87A1-680EDDE2333A}"/>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25551" xr:uid="{2F17ED7B-A9F9-4C5F-8E89-08700F745F99}"/>
    <cellStyle name="Normal 8 3 2 2 2 5 2 2 3" xfId="17110" xr:uid="{9E59B000-777F-47E9-B64A-ED21140CDDB4}"/>
    <cellStyle name="Normal 8 3 2 2 2 5 2 3" xfId="21333" xr:uid="{357B929E-B287-4ED8-BDE1-8031174F144C}"/>
    <cellStyle name="Normal 8 3 2 2 2 5 2 4" xfId="12892" xr:uid="{DBAC475E-8873-405A-99CB-FD333C203214}"/>
    <cellStyle name="Normal 8 3 2 2 2 5 3" xfId="6515" xr:uid="{00000000-0005-0000-0000-0000431D0000}"/>
    <cellStyle name="Normal 8 3 2 2 2 5 3 2" xfId="23406" xr:uid="{E26B1B94-800C-469F-BF17-C4D0FB5DDBB6}"/>
    <cellStyle name="Normal 8 3 2 2 2 5 3 3" xfId="14965" xr:uid="{630B81AD-EDBE-4EBC-80FE-0030D8DE851C}"/>
    <cellStyle name="Normal 8 3 2 2 2 5 4" xfId="19188" xr:uid="{9CDEECE0-DCDD-49FF-9E1C-792B9506C787}"/>
    <cellStyle name="Normal 8 3 2 2 2 5 5" xfId="10747" xr:uid="{A6185E0A-58D4-43F9-9654-94FEDC57E92E}"/>
    <cellStyle name="Normal 8 3 2 2 2 6" xfId="2645" xr:uid="{00000000-0005-0000-0000-0000441D0000}"/>
    <cellStyle name="Normal 8 3 2 2 2 6 2" xfId="6928" xr:uid="{00000000-0005-0000-0000-0000451D0000}"/>
    <cellStyle name="Normal 8 3 2 2 2 6 2 2" xfId="23819" xr:uid="{DC3CEF29-11A0-4252-A890-63E19DB6B695}"/>
    <cellStyle name="Normal 8 3 2 2 2 6 2 3" xfId="15378" xr:uid="{B9EAC9F5-49DD-4304-96F0-BD4A961D4180}"/>
    <cellStyle name="Normal 8 3 2 2 2 6 3" xfId="19601" xr:uid="{61A2575E-1EDA-4A72-B2AC-9A898B947597}"/>
    <cellStyle name="Normal 8 3 2 2 2 6 4" xfId="11160" xr:uid="{5CF1E5A2-A097-47DB-9134-C483DCB3D779}"/>
    <cellStyle name="Normal 8 3 2 2 2 7" xfId="4863" xr:uid="{00000000-0005-0000-0000-0000461D0000}"/>
    <cellStyle name="Normal 8 3 2 2 2 7 2" xfId="21754" xr:uid="{1F7F6A88-3797-41FC-8FE3-72EDEDE5DEBD}"/>
    <cellStyle name="Normal 8 3 2 2 2 7 3" xfId="13313" xr:uid="{00BC295D-8C3A-415A-93D8-B8C18C2C0E1F}"/>
    <cellStyle name="Normal 8 3 2 2 2 8" xfId="17536" xr:uid="{B14B0168-E863-4E07-A2DB-DCF46F3F2159}"/>
    <cellStyle name="Normal 8 3 2 2 2 9" xfId="9095" xr:uid="{BF079E3C-92EC-44CE-9269-4851C5AE7AE7}"/>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24311" xr:uid="{EB598DD3-A806-4B99-8D21-6D2023602A6B}"/>
    <cellStyle name="Normal 8 3 2 2 3 2 2 3" xfId="15870" xr:uid="{48FC0893-74E9-4446-B67D-406D5B65D443}"/>
    <cellStyle name="Normal 8 3 2 2 3 2 3" xfId="20093" xr:uid="{F0E3E1A0-8B73-40BC-A389-62BD8E9F6917}"/>
    <cellStyle name="Normal 8 3 2 2 3 2 4" xfId="11652" xr:uid="{35E329EC-823C-45D8-B65D-2366BF8F6551}"/>
    <cellStyle name="Normal 8 3 2 2 3 3" xfId="5275" xr:uid="{00000000-0005-0000-0000-00004A1D0000}"/>
    <cellStyle name="Normal 8 3 2 2 3 3 2" xfId="22166" xr:uid="{1695A805-998E-4230-A7E2-83521E176034}"/>
    <cellStyle name="Normal 8 3 2 2 3 3 3" xfId="13725" xr:uid="{B4C3C925-BD54-4AD9-A0D0-EF9EBDD48C73}"/>
    <cellStyle name="Normal 8 3 2 2 3 4" xfId="17948" xr:uid="{9308BF2C-08FB-4F69-9E95-5B98D51A9429}"/>
    <cellStyle name="Normal 8 3 2 2 3 5" xfId="9507" xr:uid="{BFDA1112-0453-49DB-950C-823E8F6D07BF}"/>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24724" xr:uid="{05A75D31-0875-4046-B423-F2883BB001E0}"/>
    <cellStyle name="Normal 8 3 2 2 4 2 2 3" xfId="16283" xr:uid="{D36068B2-2D2A-4DBF-BB7A-C703C41C7954}"/>
    <cellStyle name="Normal 8 3 2 2 4 2 3" xfId="20506" xr:uid="{2F1DA449-8D4D-42DE-A86C-2F27351C614B}"/>
    <cellStyle name="Normal 8 3 2 2 4 2 4" xfId="12065" xr:uid="{34EBE829-B921-4F45-BCCE-B4087AB599A2}"/>
    <cellStyle name="Normal 8 3 2 2 4 3" xfId="5688" xr:uid="{00000000-0005-0000-0000-00004E1D0000}"/>
    <cellStyle name="Normal 8 3 2 2 4 3 2" xfId="22579" xr:uid="{D664B182-9168-4FF7-A338-2CCF9B1E575E}"/>
    <cellStyle name="Normal 8 3 2 2 4 3 3" xfId="14138" xr:uid="{EFD0EEFA-11F8-467A-A96C-7EA95B602B18}"/>
    <cellStyle name="Normal 8 3 2 2 4 4" xfId="18361" xr:uid="{B27F0A57-FAC1-4916-B61C-E7C9C2B8B6E2}"/>
    <cellStyle name="Normal 8 3 2 2 4 5" xfId="9920" xr:uid="{5A83FAAE-2AF6-48D6-B0E2-0882C499A2A8}"/>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25137" xr:uid="{E29CBBD6-4918-4CF4-87DE-79AB361B2B9D}"/>
    <cellStyle name="Normal 8 3 2 2 5 2 2 3" xfId="16696" xr:uid="{09570938-9C93-4526-8403-1AC502314F81}"/>
    <cellStyle name="Normal 8 3 2 2 5 2 3" xfId="20919" xr:uid="{75A5AA84-9DD1-4054-8B1D-241682540780}"/>
    <cellStyle name="Normal 8 3 2 2 5 2 4" xfId="12478" xr:uid="{68C8521A-030A-407B-AC1A-8FF4B038DB13}"/>
    <cellStyle name="Normal 8 3 2 2 5 3" xfId="6101" xr:uid="{00000000-0005-0000-0000-0000521D0000}"/>
    <cellStyle name="Normal 8 3 2 2 5 3 2" xfId="22992" xr:uid="{A62F7922-E901-434B-9B2A-320B4ED66F42}"/>
    <cellStyle name="Normal 8 3 2 2 5 3 3" xfId="14551" xr:uid="{D6A9BB4B-AD02-4DDD-B438-C415047F3AC8}"/>
    <cellStyle name="Normal 8 3 2 2 5 4" xfId="18774" xr:uid="{FEABAB17-83AE-4DA9-B7C3-A996D76ED40C}"/>
    <cellStyle name="Normal 8 3 2 2 5 5" xfId="10333" xr:uid="{0A1E71A9-7DDF-4D59-89E7-9390330B1FA9}"/>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25550" xr:uid="{3196D973-5C5D-4FCD-9F95-1202AD24B679}"/>
    <cellStyle name="Normal 8 3 2 2 6 2 2 3" xfId="17109" xr:uid="{97A51B8D-9967-4BCE-BCED-BC9B1D4DCC17}"/>
    <cellStyle name="Normal 8 3 2 2 6 2 3" xfId="21332" xr:uid="{8BBA6414-9C08-47A1-9413-06DD52CA9A75}"/>
    <cellStyle name="Normal 8 3 2 2 6 2 4" xfId="12891" xr:uid="{C43653CF-591A-4BD3-8E78-14E062BE1416}"/>
    <cellStyle name="Normal 8 3 2 2 6 3" xfId="6514" xr:uid="{00000000-0005-0000-0000-0000561D0000}"/>
    <cellStyle name="Normal 8 3 2 2 6 3 2" xfId="23405" xr:uid="{A5DB879C-C332-4B86-BF56-180E52859C92}"/>
    <cellStyle name="Normal 8 3 2 2 6 3 3" xfId="14964" xr:uid="{EA7361AC-252C-4571-933D-7091C689E363}"/>
    <cellStyle name="Normal 8 3 2 2 6 4" xfId="19187" xr:uid="{BB8BA8F6-0E0C-4561-86A0-CCA79BAAAEBB}"/>
    <cellStyle name="Normal 8 3 2 2 6 5" xfId="10746" xr:uid="{429658AA-461E-4E28-9A14-4431E03AC987}"/>
    <cellStyle name="Normal 8 3 2 2 7" xfId="2644" xr:uid="{00000000-0005-0000-0000-0000571D0000}"/>
    <cellStyle name="Normal 8 3 2 2 7 2" xfId="6927" xr:uid="{00000000-0005-0000-0000-0000581D0000}"/>
    <cellStyle name="Normal 8 3 2 2 7 2 2" xfId="23818" xr:uid="{EC25EC71-D86F-48F7-A031-E03390F3A1EB}"/>
    <cellStyle name="Normal 8 3 2 2 7 2 3" xfId="15377" xr:uid="{C03E83C7-5AB1-4BDF-A4EE-63311809EA86}"/>
    <cellStyle name="Normal 8 3 2 2 7 3" xfId="19600" xr:uid="{8DD9A2C4-135C-4085-919C-447591D59DC9}"/>
    <cellStyle name="Normal 8 3 2 2 7 4" xfId="11159" xr:uid="{E78BEB71-6A61-4DF6-8381-D06BD891523C}"/>
    <cellStyle name="Normal 8 3 2 2 8" xfId="4862" xr:uid="{00000000-0005-0000-0000-0000591D0000}"/>
    <cellStyle name="Normal 8 3 2 2 8 2" xfId="21753" xr:uid="{889478EB-9FB3-4F84-8E7A-DEEF49F180B9}"/>
    <cellStyle name="Normal 8 3 2 2 8 3" xfId="13312" xr:uid="{65370FF9-6255-421B-A693-94539C06FE40}"/>
    <cellStyle name="Normal 8 3 2 2 9" xfId="17535" xr:uid="{700CFB08-D5D5-406B-B271-732065D0655C}"/>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24313" xr:uid="{5316638B-8391-4118-8A1A-0FAD29BAFE7E}"/>
    <cellStyle name="Normal 8 3 2 3 2 2 2 3" xfId="15872" xr:uid="{9C7F5C5E-DE1D-4152-816F-116FA584081B}"/>
    <cellStyle name="Normal 8 3 2 3 2 2 3" xfId="20095" xr:uid="{36CFDC17-EF78-4971-97DD-9F268A72F637}"/>
    <cellStyle name="Normal 8 3 2 3 2 2 4" xfId="11654" xr:uid="{79139348-0CA3-488D-8F03-668DC5516F5A}"/>
    <cellStyle name="Normal 8 3 2 3 2 3" xfId="5277" xr:uid="{00000000-0005-0000-0000-00005E1D0000}"/>
    <cellStyle name="Normal 8 3 2 3 2 3 2" xfId="22168" xr:uid="{3C731A63-692A-4762-900F-4C63C7E4FDCF}"/>
    <cellStyle name="Normal 8 3 2 3 2 3 3" xfId="13727" xr:uid="{0332D2B5-8653-4361-99AF-7FA2274AD166}"/>
    <cellStyle name="Normal 8 3 2 3 2 4" xfId="17950" xr:uid="{09833CF8-9B6B-4186-B815-5EA42A1FFC80}"/>
    <cellStyle name="Normal 8 3 2 3 2 5" xfId="9509" xr:uid="{55313790-A008-4EB0-9021-762EF2874A1A}"/>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24726" xr:uid="{B58BF93E-3750-4170-A1F0-B200055E5B56}"/>
    <cellStyle name="Normal 8 3 2 3 3 2 2 3" xfId="16285" xr:uid="{1F4849C8-1D43-480D-9D64-7A243160F929}"/>
    <cellStyle name="Normal 8 3 2 3 3 2 3" xfId="20508" xr:uid="{9FF1C26D-130A-4C8A-9E8D-D8DEA2852393}"/>
    <cellStyle name="Normal 8 3 2 3 3 2 4" xfId="12067" xr:uid="{B1F3F19E-D984-46A1-8A50-60EC4A55AC38}"/>
    <cellStyle name="Normal 8 3 2 3 3 3" xfId="5690" xr:uid="{00000000-0005-0000-0000-0000621D0000}"/>
    <cellStyle name="Normal 8 3 2 3 3 3 2" xfId="22581" xr:uid="{927FC5E7-CDF5-45B8-8F34-DFC5A1A29674}"/>
    <cellStyle name="Normal 8 3 2 3 3 3 3" xfId="14140" xr:uid="{0CD9FAE9-3DDE-4974-95A2-2612A6D7E7E4}"/>
    <cellStyle name="Normal 8 3 2 3 3 4" xfId="18363" xr:uid="{EBB1217E-5AAA-4B74-BFD9-119FFFC851EF}"/>
    <cellStyle name="Normal 8 3 2 3 3 5" xfId="9922" xr:uid="{40339FE2-077B-4AE8-905E-3AE906DDE5A7}"/>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25139" xr:uid="{99BA0511-2079-411D-B5F1-E1CDB05DD6D0}"/>
    <cellStyle name="Normal 8 3 2 3 4 2 2 3" xfId="16698" xr:uid="{2D6A4DD3-635A-48B7-9CA4-990A5BF1486E}"/>
    <cellStyle name="Normal 8 3 2 3 4 2 3" xfId="20921" xr:uid="{115D81C6-0208-4301-90F3-74D9FA032A63}"/>
    <cellStyle name="Normal 8 3 2 3 4 2 4" xfId="12480" xr:uid="{64AE8312-21B4-4E76-A317-C9ED42625EE9}"/>
    <cellStyle name="Normal 8 3 2 3 4 3" xfId="6103" xr:uid="{00000000-0005-0000-0000-0000661D0000}"/>
    <cellStyle name="Normal 8 3 2 3 4 3 2" xfId="22994" xr:uid="{C9DD1E10-074E-4451-A41A-F42E9005FEFC}"/>
    <cellStyle name="Normal 8 3 2 3 4 3 3" xfId="14553" xr:uid="{91DF1E1F-51CA-431D-BF97-C7826CEEC485}"/>
    <cellStyle name="Normal 8 3 2 3 4 4" xfId="18776" xr:uid="{60273A1E-6072-41A3-9808-155DFBE30B9E}"/>
    <cellStyle name="Normal 8 3 2 3 4 5" xfId="10335" xr:uid="{7F259E79-34C3-4AEB-B247-D5DF960CCB75}"/>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25552" xr:uid="{4B8CF1BB-BD0B-449F-8EFD-F86141387E18}"/>
    <cellStyle name="Normal 8 3 2 3 5 2 2 3" xfId="17111" xr:uid="{87E9C98C-1AAC-4696-926B-87EDECA1D3EB}"/>
    <cellStyle name="Normal 8 3 2 3 5 2 3" xfId="21334" xr:uid="{4FFD7C93-7568-47F6-9FC2-D778355B3CB0}"/>
    <cellStyle name="Normal 8 3 2 3 5 2 4" xfId="12893" xr:uid="{35447282-0625-4932-B8E9-8ECFA1652D41}"/>
    <cellStyle name="Normal 8 3 2 3 5 3" xfId="6516" xr:uid="{00000000-0005-0000-0000-00006A1D0000}"/>
    <cellStyle name="Normal 8 3 2 3 5 3 2" xfId="23407" xr:uid="{628E8CCD-0D36-4BE4-945C-807BEBB9C263}"/>
    <cellStyle name="Normal 8 3 2 3 5 3 3" xfId="14966" xr:uid="{E29A941F-D012-4124-B3E3-A0F84CD5E814}"/>
    <cellStyle name="Normal 8 3 2 3 5 4" xfId="19189" xr:uid="{14EFEBF8-3AFB-45DA-8355-F36ADCD7966C}"/>
    <cellStyle name="Normal 8 3 2 3 5 5" xfId="10748" xr:uid="{E6C1768E-9CBD-423F-9D4D-BF0808D2778C}"/>
    <cellStyle name="Normal 8 3 2 3 6" xfId="2646" xr:uid="{00000000-0005-0000-0000-00006B1D0000}"/>
    <cellStyle name="Normal 8 3 2 3 6 2" xfId="6929" xr:uid="{00000000-0005-0000-0000-00006C1D0000}"/>
    <cellStyle name="Normal 8 3 2 3 6 2 2" xfId="23820" xr:uid="{50A01B4F-0B78-4D7D-859B-89ADED0F5D72}"/>
    <cellStyle name="Normal 8 3 2 3 6 2 3" xfId="15379" xr:uid="{AC916D24-C7FE-4395-85C8-F50A5454C2AE}"/>
    <cellStyle name="Normal 8 3 2 3 6 3" xfId="19602" xr:uid="{F1DF0827-A801-47A1-A82E-FADDB97859B3}"/>
    <cellStyle name="Normal 8 3 2 3 6 4" xfId="11161" xr:uid="{33C783A6-501F-4095-A05E-3B217AE8D54C}"/>
    <cellStyle name="Normal 8 3 2 3 7" xfId="4864" xr:uid="{00000000-0005-0000-0000-00006D1D0000}"/>
    <cellStyle name="Normal 8 3 2 3 7 2" xfId="21755" xr:uid="{2E5530AE-3196-40D8-BE65-AD0CE4C27CBA}"/>
    <cellStyle name="Normal 8 3 2 3 7 3" xfId="13314" xr:uid="{39613543-9C93-4D17-A76D-4F8B8AB7888B}"/>
    <cellStyle name="Normal 8 3 2 3 8" xfId="17537" xr:uid="{CCD35033-854A-4649-8FB5-7D3ABAF77C19}"/>
    <cellStyle name="Normal 8 3 2 3 9" xfId="9096" xr:uid="{53875AE8-D179-478F-A6D6-CC6F3E060E6F}"/>
    <cellStyle name="Normal 8 3 2 4" xfId="963" xr:uid="{00000000-0005-0000-0000-00006E1D0000}"/>
    <cellStyle name="Normal 8 3 2 4 2" xfId="3197" xr:uid="{00000000-0005-0000-0000-00006F1D0000}"/>
    <cellStyle name="Normal 8 3 2 4 2 2" xfId="7419" xr:uid="{00000000-0005-0000-0000-0000701D0000}"/>
    <cellStyle name="Normal 8 3 2 4 2 2 2" xfId="24310" xr:uid="{E0AA2ACB-35D2-4182-8D61-06D9DD3182A0}"/>
    <cellStyle name="Normal 8 3 2 4 2 2 3" xfId="15869" xr:uid="{58B5129E-C8AC-4F7A-BFE7-CA6A7EF96C26}"/>
    <cellStyle name="Normal 8 3 2 4 2 3" xfId="20092" xr:uid="{23325FF5-0052-4703-89B8-ED613D7383E4}"/>
    <cellStyle name="Normal 8 3 2 4 2 4" xfId="11651" xr:uid="{337881F2-2D74-4885-B0D9-48797F97AB23}"/>
    <cellStyle name="Normal 8 3 2 4 3" xfId="5274" xr:uid="{00000000-0005-0000-0000-0000711D0000}"/>
    <cellStyle name="Normal 8 3 2 4 3 2" xfId="22165" xr:uid="{A933C436-9A67-48AF-BB4A-5AB467163BCE}"/>
    <cellStyle name="Normal 8 3 2 4 3 3" xfId="13724" xr:uid="{51637E3D-9ED2-4124-8A63-E39E734B4487}"/>
    <cellStyle name="Normal 8 3 2 4 4" xfId="17947" xr:uid="{09C7A0A4-38E6-4214-AA0D-F0B017407574}"/>
    <cellStyle name="Normal 8 3 2 4 5" xfId="9506" xr:uid="{1DDBCEB1-7CBC-4CF1-BD9F-039A526F5022}"/>
    <cellStyle name="Normal 8 3 2 5" xfId="1380" xr:uid="{00000000-0005-0000-0000-0000721D0000}"/>
    <cellStyle name="Normal 8 3 2 5 2" xfId="3610" xr:uid="{00000000-0005-0000-0000-0000731D0000}"/>
    <cellStyle name="Normal 8 3 2 5 2 2" xfId="7832" xr:uid="{00000000-0005-0000-0000-0000741D0000}"/>
    <cellStyle name="Normal 8 3 2 5 2 2 2" xfId="24723" xr:uid="{D3D76EC7-394C-4F15-8CDA-3542A3A846A7}"/>
    <cellStyle name="Normal 8 3 2 5 2 2 3" xfId="16282" xr:uid="{E5A941E6-3FF0-4C1B-8459-63BDEE7D46B9}"/>
    <cellStyle name="Normal 8 3 2 5 2 3" xfId="20505" xr:uid="{0BCB15D8-172D-4F4B-A476-84DA089C617C}"/>
    <cellStyle name="Normal 8 3 2 5 2 4" xfId="12064" xr:uid="{8088844B-3F41-4B02-A7C6-BF09F1AA5AB8}"/>
    <cellStyle name="Normal 8 3 2 5 3" xfId="5687" xr:uid="{00000000-0005-0000-0000-0000751D0000}"/>
    <cellStyle name="Normal 8 3 2 5 3 2" xfId="22578" xr:uid="{9481B155-8F4E-44DF-B0E7-E1D3ED22E929}"/>
    <cellStyle name="Normal 8 3 2 5 3 3" xfId="14137" xr:uid="{6CF22D32-42F2-4D42-AC89-63817CFEC46D}"/>
    <cellStyle name="Normal 8 3 2 5 4" xfId="18360" xr:uid="{EEB34663-3051-44FE-8879-DA18D014880D}"/>
    <cellStyle name="Normal 8 3 2 5 5" xfId="9919" xr:uid="{CCBF2D6B-BB1D-44D1-9396-6F7E0CB2BBA6}"/>
    <cellStyle name="Normal 8 3 2 6" xfId="1793" xr:uid="{00000000-0005-0000-0000-0000761D0000}"/>
    <cellStyle name="Normal 8 3 2 6 2" xfId="4023" xr:uid="{00000000-0005-0000-0000-0000771D0000}"/>
    <cellStyle name="Normal 8 3 2 6 2 2" xfId="8245" xr:uid="{00000000-0005-0000-0000-0000781D0000}"/>
    <cellStyle name="Normal 8 3 2 6 2 2 2" xfId="25136" xr:uid="{016F1A40-5CED-48B4-94A5-1F4DEAC752EF}"/>
    <cellStyle name="Normal 8 3 2 6 2 2 3" xfId="16695" xr:uid="{EAEB9D0A-2104-4372-82AF-59CC6BA4D1D7}"/>
    <cellStyle name="Normal 8 3 2 6 2 3" xfId="20918" xr:uid="{5BDDE218-D8A2-489A-8AF3-7A79F6BE5EF1}"/>
    <cellStyle name="Normal 8 3 2 6 2 4" xfId="12477" xr:uid="{7C37127C-D592-4908-8F8F-B0606E680619}"/>
    <cellStyle name="Normal 8 3 2 6 3" xfId="6100" xr:uid="{00000000-0005-0000-0000-0000791D0000}"/>
    <cellStyle name="Normal 8 3 2 6 3 2" xfId="22991" xr:uid="{CF9C599C-B1F9-4A29-A399-2A4893588CE4}"/>
    <cellStyle name="Normal 8 3 2 6 3 3" xfId="14550" xr:uid="{6022187D-FB1D-498E-9E5D-8A6ADF5B6062}"/>
    <cellStyle name="Normal 8 3 2 6 4" xfId="18773" xr:uid="{8B79F8CA-64A3-4F42-B15E-5719533DF581}"/>
    <cellStyle name="Normal 8 3 2 6 5" xfId="10332" xr:uid="{68325DF6-B2B8-4D5A-BDF8-03A7B69619A2}"/>
    <cellStyle name="Normal 8 3 2 7" xfId="2207" xr:uid="{00000000-0005-0000-0000-00007A1D0000}"/>
    <cellStyle name="Normal 8 3 2 7 2" xfId="4436" xr:uid="{00000000-0005-0000-0000-00007B1D0000}"/>
    <cellStyle name="Normal 8 3 2 7 2 2" xfId="8658" xr:uid="{00000000-0005-0000-0000-00007C1D0000}"/>
    <cellStyle name="Normal 8 3 2 7 2 2 2" xfId="25549" xr:uid="{1CB51DEC-43E7-4297-B6C5-4FAA210B5260}"/>
    <cellStyle name="Normal 8 3 2 7 2 2 3" xfId="17108" xr:uid="{8DF60936-036D-4550-9475-5793055D2E26}"/>
    <cellStyle name="Normal 8 3 2 7 2 3" xfId="21331" xr:uid="{BAC99143-836E-4EA0-9520-4BB8CEA85B99}"/>
    <cellStyle name="Normal 8 3 2 7 2 4" xfId="12890" xr:uid="{4D731DF5-5352-483C-B7B9-ACF8A7E3BE8E}"/>
    <cellStyle name="Normal 8 3 2 7 3" xfId="6513" xr:uid="{00000000-0005-0000-0000-00007D1D0000}"/>
    <cellStyle name="Normal 8 3 2 7 3 2" xfId="23404" xr:uid="{D9C83D7C-8284-44BD-80B2-9BEEAD978C2B}"/>
    <cellStyle name="Normal 8 3 2 7 3 3" xfId="14963" xr:uid="{56627EAB-5E6F-4B7A-A291-5AC4C87E58A4}"/>
    <cellStyle name="Normal 8 3 2 7 4" xfId="19186" xr:uid="{EA6C9561-9F0B-445F-BE0E-C0E2C224E9DB}"/>
    <cellStyle name="Normal 8 3 2 7 5" xfId="10745" xr:uid="{BF5C5D64-3CC8-4BFE-BDE4-E0842210BE05}"/>
    <cellStyle name="Normal 8 3 2 8" xfId="2643" xr:uid="{00000000-0005-0000-0000-00007E1D0000}"/>
    <cellStyle name="Normal 8 3 2 8 2" xfId="6926" xr:uid="{00000000-0005-0000-0000-00007F1D0000}"/>
    <cellStyle name="Normal 8 3 2 8 2 2" xfId="23817" xr:uid="{B06896BD-CB78-4D97-8698-690274893F80}"/>
    <cellStyle name="Normal 8 3 2 8 2 3" xfId="15376" xr:uid="{D20D548B-691D-48AA-89BF-0A54C006EE9B}"/>
    <cellStyle name="Normal 8 3 2 8 3" xfId="19599" xr:uid="{0AC19C76-CE56-4357-8C46-7EDB7744A4BE}"/>
    <cellStyle name="Normal 8 3 2 8 4" xfId="11158" xr:uid="{10E91E9A-9A38-4F31-97DA-9733896ABD0C}"/>
    <cellStyle name="Normal 8 3 2 9" xfId="4861" xr:uid="{00000000-0005-0000-0000-0000801D0000}"/>
    <cellStyle name="Normal 8 3 2 9 2" xfId="21752" xr:uid="{53776236-31CF-495C-BDD6-540B497A6E3F}"/>
    <cellStyle name="Normal 8 3 2 9 3" xfId="13311" xr:uid="{8505CCC5-86F6-4AAB-830C-D32DB086ABCD}"/>
    <cellStyle name="Normal 8 3 3" xfId="500" xr:uid="{00000000-0005-0000-0000-0000811D0000}"/>
    <cellStyle name="Normal 8 3 3 10" xfId="9097" xr:uid="{4563B1DB-5BBE-4092-A5E2-729963215E04}"/>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24315" xr:uid="{4E2909D4-8FCA-4C2C-9575-A76EE29A786F}"/>
    <cellStyle name="Normal 8 3 3 2 2 2 2 3" xfId="15874" xr:uid="{B93E376C-10D2-49DC-A5EC-5F1FAE36AC89}"/>
    <cellStyle name="Normal 8 3 3 2 2 2 3" xfId="20097" xr:uid="{2D26C738-6E3E-4107-8D76-9AF973C2ED56}"/>
    <cellStyle name="Normal 8 3 3 2 2 2 4" xfId="11656" xr:uid="{0DF40527-DEF5-4C4D-9860-290B3F783E6B}"/>
    <cellStyle name="Normal 8 3 3 2 2 3" xfId="5279" xr:uid="{00000000-0005-0000-0000-0000861D0000}"/>
    <cellStyle name="Normal 8 3 3 2 2 3 2" xfId="22170" xr:uid="{1A8B5AD8-223C-48CE-ACA2-6EA80C536201}"/>
    <cellStyle name="Normal 8 3 3 2 2 3 3" xfId="13729" xr:uid="{055A30AD-C788-4E2C-94C3-703C5A46CBD2}"/>
    <cellStyle name="Normal 8 3 3 2 2 4" xfId="17952" xr:uid="{EC7C080A-2E04-4F3D-A00F-B48E59CF82FC}"/>
    <cellStyle name="Normal 8 3 3 2 2 5" xfId="9511" xr:uid="{6F94520E-FE25-4C05-B817-741E1FE404ED}"/>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24728" xr:uid="{E08DD4F2-B4D4-4CB6-A23E-FC651D996B5B}"/>
    <cellStyle name="Normal 8 3 3 2 3 2 2 3" xfId="16287" xr:uid="{1E098500-8114-49BC-A5D2-9F1764392922}"/>
    <cellStyle name="Normal 8 3 3 2 3 2 3" xfId="20510" xr:uid="{39E431B5-2F31-4343-AAD0-B7B5B8EE673C}"/>
    <cellStyle name="Normal 8 3 3 2 3 2 4" xfId="12069" xr:uid="{77AF7015-2F9B-47E6-97FD-08FA5B868B1B}"/>
    <cellStyle name="Normal 8 3 3 2 3 3" xfId="5692" xr:uid="{00000000-0005-0000-0000-00008A1D0000}"/>
    <cellStyle name="Normal 8 3 3 2 3 3 2" xfId="22583" xr:uid="{75382C3B-6C20-428F-9671-A9C001FDED62}"/>
    <cellStyle name="Normal 8 3 3 2 3 3 3" xfId="14142" xr:uid="{0F602D62-E97D-4EDF-951D-5F590DB487B5}"/>
    <cellStyle name="Normal 8 3 3 2 3 4" xfId="18365" xr:uid="{E72620FA-D080-4E63-9DED-CD0D640CD4CA}"/>
    <cellStyle name="Normal 8 3 3 2 3 5" xfId="9924" xr:uid="{08130A8E-DC8D-4FFB-9235-82F91962EDFA}"/>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25141" xr:uid="{E0A04103-2315-47B6-8864-BCCFC1DB06E6}"/>
    <cellStyle name="Normal 8 3 3 2 4 2 2 3" xfId="16700" xr:uid="{08F473CC-586F-4048-A3C8-B2FE95D88CE8}"/>
    <cellStyle name="Normal 8 3 3 2 4 2 3" xfId="20923" xr:uid="{9E7F617E-5CF8-4EB4-B75E-A20623F90DAA}"/>
    <cellStyle name="Normal 8 3 3 2 4 2 4" xfId="12482" xr:uid="{760B3823-654C-481F-9F0A-41AC6DD8F053}"/>
    <cellStyle name="Normal 8 3 3 2 4 3" xfId="6105" xr:uid="{00000000-0005-0000-0000-00008E1D0000}"/>
    <cellStyle name="Normal 8 3 3 2 4 3 2" xfId="22996" xr:uid="{AE07FC1E-03EA-43CC-8F5E-2AD08650DC7D}"/>
    <cellStyle name="Normal 8 3 3 2 4 3 3" xfId="14555" xr:uid="{488F16E5-2A1D-4AB5-ACBE-D66E028AEC3A}"/>
    <cellStyle name="Normal 8 3 3 2 4 4" xfId="18778" xr:uid="{80041681-E2A0-4042-81B1-24270EE549A4}"/>
    <cellStyle name="Normal 8 3 3 2 4 5" xfId="10337" xr:uid="{8A6799CB-5CA8-402A-BA87-51823B0168C5}"/>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25554" xr:uid="{41620FEC-F461-47BF-91CB-C870C89F33D2}"/>
    <cellStyle name="Normal 8 3 3 2 5 2 2 3" xfId="17113" xr:uid="{31F88B89-EC43-4117-8EEA-3293E8DAB488}"/>
    <cellStyle name="Normal 8 3 3 2 5 2 3" xfId="21336" xr:uid="{6BBAFD0B-529F-401B-8B53-9D9666B9BB3B}"/>
    <cellStyle name="Normal 8 3 3 2 5 2 4" xfId="12895" xr:uid="{7FF8B1D9-9F05-490C-936B-DC222298A1F1}"/>
    <cellStyle name="Normal 8 3 3 2 5 3" xfId="6518" xr:uid="{00000000-0005-0000-0000-0000921D0000}"/>
    <cellStyle name="Normal 8 3 3 2 5 3 2" xfId="23409" xr:uid="{9CB592EC-830E-47AF-A913-51AAECEC66B1}"/>
    <cellStyle name="Normal 8 3 3 2 5 3 3" xfId="14968" xr:uid="{8FF9F066-AA9B-4654-A2AE-71B537129866}"/>
    <cellStyle name="Normal 8 3 3 2 5 4" xfId="19191" xr:uid="{889EF4AF-C904-4EA2-96B9-3D96827D1AC9}"/>
    <cellStyle name="Normal 8 3 3 2 5 5" xfId="10750" xr:uid="{9E80788C-1E85-4B2C-BF51-EEEFBD9B437D}"/>
    <cellStyle name="Normal 8 3 3 2 6" xfId="2648" xr:uid="{00000000-0005-0000-0000-0000931D0000}"/>
    <cellStyle name="Normal 8 3 3 2 6 2" xfId="6931" xr:uid="{00000000-0005-0000-0000-0000941D0000}"/>
    <cellStyle name="Normal 8 3 3 2 6 2 2" xfId="23822" xr:uid="{5871D520-07D9-4CEC-A317-431827D6B3A2}"/>
    <cellStyle name="Normal 8 3 3 2 6 2 3" xfId="15381" xr:uid="{5AA29FAE-D190-4457-B313-8115F87930C1}"/>
    <cellStyle name="Normal 8 3 3 2 6 3" xfId="19604" xr:uid="{87F3213C-3829-4871-8051-5EAA59A8205C}"/>
    <cellStyle name="Normal 8 3 3 2 6 4" xfId="11163" xr:uid="{8E059573-C06C-45B8-AFEA-6BA1BCF8C6A0}"/>
    <cellStyle name="Normal 8 3 3 2 7" xfId="4866" xr:uid="{00000000-0005-0000-0000-0000951D0000}"/>
    <cellStyle name="Normal 8 3 3 2 7 2" xfId="21757" xr:uid="{F2E5FCCF-19AF-4CEE-90BB-FE307958FC88}"/>
    <cellStyle name="Normal 8 3 3 2 7 3" xfId="13316" xr:uid="{0E2E7399-31F6-46B8-86F9-F5DEAAF2B52A}"/>
    <cellStyle name="Normal 8 3 3 2 8" xfId="17539" xr:uid="{5167CFA4-665F-4648-994A-9D117D610390}"/>
    <cellStyle name="Normal 8 3 3 2 9" xfId="9098" xr:uid="{54505843-0560-4DA1-9E28-AD8F866B206D}"/>
    <cellStyle name="Normal 8 3 3 3" xfId="967" xr:uid="{00000000-0005-0000-0000-0000961D0000}"/>
    <cellStyle name="Normal 8 3 3 3 2" xfId="3201" xr:uid="{00000000-0005-0000-0000-0000971D0000}"/>
    <cellStyle name="Normal 8 3 3 3 2 2" xfId="7423" xr:uid="{00000000-0005-0000-0000-0000981D0000}"/>
    <cellStyle name="Normal 8 3 3 3 2 2 2" xfId="24314" xr:uid="{5C549B34-4F41-48F2-A38E-84BBB695A7BB}"/>
    <cellStyle name="Normal 8 3 3 3 2 2 3" xfId="15873" xr:uid="{AA728720-35B6-435B-A43E-F001770B3EBF}"/>
    <cellStyle name="Normal 8 3 3 3 2 3" xfId="20096" xr:uid="{4998990F-9EBE-42F9-9DB0-215EC4544AB8}"/>
    <cellStyle name="Normal 8 3 3 3 2 4" xfId="11655" xr:uid="{244C2907-1DC1-4E0C-A54B-65082A61961B}"/>
    <cellStyle name="Normal 8 3 3 3 3" xfId="5278" xr:uid="{00000000-0005-0000-0000-0000991D0000}"/>
    <cellStyle name="Normal 8 3 3 3 3 2" xfId="22169" xr:uid="{B8B2F316-63B8-4774-85D0-308D2A1C98F5}"/>
    <cellStyle name="Normal 8 3 3 3 3 3" xfId="13728" xr:uid="{67E6460F-59E0-41AE-BBB0-C9FB83E22B34}"/>
    <cellStyle name="Normal 8 3 3 3 4" xfId="17951" xr:uid="{DA88641E-34B8-4D5C-86AF-B511DC6D33CF}"/>
    <cellStyle name="Normal 8 3 3 3 5" xfId="9510" xr:uid="{4D36B64A-4214-4A68-AA3A-CE4360AEAD28}"/>
    <cellStyle name="Normal 8 3 3 4" xfId="1384" xr:uid="{00000000-0005-0000-0000-00009A1D0000}"/>
    <cellStyle name="Normal 8 3 3 4 2" xfId="3614" xr:uid="{00000000-0005-0000-0000-00009B1D0000}"/>
    <cellStyle name="Normal 8 3 3 4 2 2" xfId="7836" xr:uid="{00000000-0005-0000-0000-00009C1D0000}"/>
    <cellStyle name="Normal 8 3 3 4 2 2 2" xfId="24727" xr:uid="{2B11AE40-5459-4F96-9ED6-4E1F9C04E609}"/>
    <cellStyle name="Normal 8 3 3 4 2 2 3" xfId="16286" xr:uid="{3A5A19D9-E510-485F-88D7-8438CCB6A5AB}"/>
    <cellStyle name="Normal 8 3 3 4 2 3" xfId="20509" xr:uid="{7008DF6B-60AB-44A7-8B88-95F1D82EC17E}"/>
    <cellStyle name="Normal 8 3 3 4 2 4" xfId="12068" xr:uid="{63F668C0-7247-44F6-9BD1-58212B3652C7}"/>
    <cellStyle name="Normal 8 3 3 4 3" xfId="5691" xr:uid="{00000000-0005-0000-0000-00009D1D0000}"/>
    <cellStyle name="Normal 8 3 3 4 3 2" xfId="22582" xr:uid="{7F9029DB-5094-485C-A442-50667C63BE8C}"/>
    <cellStyle name="Normal 8 3 3 4 3 3" xfId="14141" xr:uid="{36929697-4FC7-4902-9B8E-B8A0CF180C85}"/>
    <cellStyle name="Normal 8 3 3 4 4" xfId="18364" xr:uid="{E35330B9-8FA0-4803-886A-2D69479BE4A0}"/>
    <cellStyle name="Normal 8 3 3 4 5" xfId="9923" xr:uid="{B6C03276-C6BF-4A97-A4B0-091D46AEEA70}"/>
    <cellStyle name="Normal 8 3 3 5" xfId="1797" xr:uid="{00000000-0005-0000-0000-00009E1D0000}"/>
    <cellStyle name="Normal 8 3 3 5 2" xfId="4027" xr:uid="{00000000-0005-0000-0000-00009F1D0000}"/>
    <cellStyle name="Normal 8 3 3 5 2 2" xfId="8249" xr:uid="{00000000-0005-0000-0000-0000A01D0000}"/>
    <cellStyle name="Normal 8 3 3 5 2 2 2" xfId="25140" xr:uid="{35904DB9-FEFB-4E52-97C3-F150D7404912}"/>
    <cellStyle name="Normal 8 3 3 5 2 2 3" xfId="16699" xr:uid="{9665F2E3-CD0E-478F-A4C2-C16445B7228C}"/>
    <cellStyle name="Normal 8 3 3 5 2 3" xfId="20922" xr:uid="{F410BE21-0C28-4E58-B62C-0F077893C365}"/>
    <cellStyle name="Normal 8 3 3 5 2 4" xfId="12481" xr:uid="{0170F499-97AA-4DF0-B8FF-06DB5CBBC73A}"/>
    <cellStyle name="Normal 8 3 3 5 3" xfId="6104" xr:uid="{00000000-0005-0000-0000-0000A11D0000}"/>
    <cellStyle name="Normal 8 3 3 5 3 2" xfId="22995" xr:uid="{94193F13-B5F3-4D8A-B01E-210ABB807F4B}"/>
    <cellStyle name="Normal 8 3 3 5 3 3" xfId="14554" xr:uid="{FEDFD386-6499-4218-A021-6D3E3D915F74}"/>
    <cellStyle name="Normal 8 3 3 5 4" xfId="18777" xr:uid="{10CC1B93-0E8D-4490-8529-86A5C6AD9F92}"/>
    <cellStyle name="Normal 8 3 3 5 5" xfId="10336" xr:uid="{409E0F72-DDF1-44B3-84A1-132D723ED176}"/>
    <cellStyle name="Normal 8 3 3 6" xfId="2211" xr:uid="{00000000-0005-0000-0000-0000A21D0000}"/>
    <cellStyle name="Normal 8 3 3 6 2" xfId="4440" xr:uid="{00000000-0005-0000-0000-0000A31D0000}"/>
    <cellStyle name="Normal 8 3 3 6 2 2" xfId="8662" xr:uid="{00000000-0005-0000-0000-0000A41D0000}"/>
    <cellStyle name="Normal 8 3 3 6 2 2 2" xfId="25553" xr:uid="{3BA3FB83-B56B-405A-8432-EAE1CABD7F27}"/>
    <cellStyle name="Normal 8 3 3 6 2 2 3" xfId="17112" xr:uid="{D0CB5DD1-0D11-4C16-BC18-8BB8AD7A6166}"/>
    <cellStyle name="Normal 8 3 3 6 2 3" xfId="21335" xr:uid="{BCF36B0D-C779-4EC8-86A4-FCDF31F536A1}"/>
    <cellStyle name="Normal 8 3 3 6 2 4" xfId="12894" xr:uid="{AB63AB49-C177-4A36-A367-8B482D89F8E0}"/>
    <cellStyle name="Normal 8 3 3 6 3" xfId="6517" xr:uid="{00000000-0005-0000-0000-0000A51D0000}"/>
    <cellStyle name="Normal 8 3 3 6 3 2" xfId="23408" xr:uid="{54D10256-E036-4BCA-9096-2D99460FD42F}"/>
    <cellStyle name="Normal 8 3 3 6 3 3" xfId="14967" xr:uid="{99877D3B-A64E-4BA3-A75D-64E7A448C9D3}"/>
    <cellStyle name="Normal 8 3 3 6 4" xfId="19190" xr:uid="{39B7D842-D677-4811-9FCC-C08BDCCFF211}"/>
    <cellStyle name="Normal 8 3 3 6 5" xfId="10749" xr:uid="{F9C624A1-D1BD-4E1F-8190-ADC2A513CDA7}"/>
    <cellStyle name="Normal 8 3 3 7" xfId="2647" xr:uid="{00000000-0005-0000-0000-0000A61D0000}"/>
    <cellStyle name="Normal 8 3 3 7 2" xfId="6930" xr:uid="{00000000-0005-0000-0000-0000A71D0000}"/>
    <cellStyle name="Normal 8 3 3 7 2 2" xfId="23821" xr:uid="{3AB346F2-2E93-404B-903D-6A1B88CB44CC}"/>
    <cellStyle name="Normal 8 3 3 7 2 3" xfId="15380" xr:uid="{A67B5A74-68AD-4C90-904B-201C1003E5A6}"/>
    <cellStyle name="Normal 8 3 3 7 3" xfId="19603" xr:uid="{70A7C3D2-2344-4295-8124-94EE5CF031CE}"/>
    <cellStyle name="Normal 8 3 3 7 4" xfId="11162" xr:uid="{20650C2A-054E-4D72-8DC1-1DFB5DABE0B9}"/>
    <cellStyle name="Normal 8 3 3 8" xfId="4865" xr:uid="{00000000-0005-0000-0000-0000A81D0000}"/>
    <cellStyle name="Normal 8 3 3 8 2" xfId="21756" xr:uid="{E960F34B-3136-4A18-977E-7662B07BF6AC}"/>
    <cellStyle name="Normal 8 3 3 8 3" xfId="13315" xr:uid="{D4947F7E-4D5A-4990-8AB4-828C391680A0}"/>
    <cellStyle name="Normal 8 3 3 9" xfId="17538" xr:uid="{EDE09DE6-D572-4771-8291-6B105043E081}"/>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2 2 2" xfId="24316" xr:uid="{0DC6975B-EEBC-4622-9B7A-8B2954E66B5E}"/>
    <cellStyle name="Normal 8 3 4 2 2 2 3" xfId="15875" xr:uid="{996333D4-EBF5-4B0E-BC2C-76EC19981B17}"/>
    <cellStyle name="Normal 8 3 4 2 2 3" xfId="20098" xr:uid="{4364875B-C576-44A9-8E57-4E7DAD49CF3D}"/>
    <cellStyle name="Normal 8 3 4 2 2 4" xfId="11657" xr:uid="{5A01C4CB-766B-4DF3-B0FA-1DFAD824143F}"/>
    <cellStyle name="Normal 8 3 4 2 3" xfId="5280" xr:uid="{00000000-0005-0000-0000-0000AD1D0000}"/>
    <cellStyle name="Normal 8 3 4 2 3 2" xfId="22171" xr:uid="{DA1AC656-3AB3-4885-A62F-0974EDF2013D}"/>
    <cellStyle name="Normal 8 3 4 2 3 3" xfId="13730" xr:uid="{521C681B-152A-4C45-91FD-17D54D893209}"/>
    <cellStyle name="Normal 8 3 4 2 4" xfId="17953" xr:uid="{B30977A5-94F5-417E-BB0F-C3E8EF9329B0}"/>
    <cellStyle name="Normal 8 3 4 2 5" xfId="9512" xr:uid="{3F49B0D5-7C12-47FB-A7D3-E44E0A7718D7}"/>
    <cellStyle name="Normal 8 3 4 3" xfId="1386" xr:uid="{00000000-0005-0000-0000-0000AE1D0000}"/>
    <cellStyle name="Normal 8 3 4 3 2" xfId="3616" xr:uid="{00000000-0005-0000-0000-0000AF1D0000}"/>
    <cellStyle name="Normal 8 3 4 3 2 2" xfId="7838" xr:uid="{00000000-0005-0000-0000-0000B01D0000}"/>
    <cellStyle name="Normal 8 3 4 3 2 2 2" xfId="24729" xr:uid="{144EA17B-7132-4AAF-849D-A6328FB30747}"/>
    <cellStyle name="Normal 8 3 4 3 2 2 3" xfId="16288" xr:uid="{4AFE9D0C-362A-4DE1-9237-38D9487948C8}"/>
    <cellStyle name="Normal 8 3 4 3 2 3" xfId="20511" xr:uid="{C8879FDA-EBD3-4A0A-91F4-55770176AD11}"/>
    <cellStyle name="Normal 8 3 4 3 2 4" xfId="12070" xr:uid="{BF43BC7F-C49E-428C-A722-159FCDF2835B}"/>
    <cellStyle name="Normal 8 3 4 3 3" xfId="5693" xr:uid="{00000000-0005-0000-0000-0000B11D0000}"/>
    <cellStyle name="Normal 8 3 4 3 3 2" xfId="22584" xr:uid="{74B2B385-210D-4628-9CF6-D650853606F9}"/>
    <cellStyle name="Normal 8 3 4 3 3 3" xfId="14143" xr:uid="{4C5F69CB-2D2C-4C0F-9E84-47D4C8605F90}"/>
    <cellStyle name="Normal 8 3 4 3 4" xfId="18366" xr:uid="{94819B10-32FF-4FCD-94B5-6B32FCFD374B}"/>
    <cellStyle name="Normal 8 3 4 3 5" xfId="9925" xr:uid="{4B449571-1D96-45C6-A271-F96624833282}"/>
    <cellStyle name="Normal 8 3 4 4" xfId="1799" xr:uid="{00000000-0005-0000-0000-0000B21D0000}"/>
    <cellStyle name="Normal 8 3 4 4 2" xfId="4029" xr:uid="{00000000-0005-0000-0000-0000B31D0000}"/>
    <cellStyle name="Normal 8 3 4 4 2 2" xfId="8251" xr:uid="{00000000-0005-0000-0000-0000B41D0000}"/>
    <cellStyle name="Normal 8 3 4 4 2 2 2" xfId="25142" xr:uid="{B95A8F95-F7FB-4A45-8C1B-ACA475E4CA11}"/>
    <cellStyle name="Normal 8 3 4 4 2 2 3" xfId="16701" xr:uid="{CA28AEB7-5B97-4DDA-B316-75314A4AE442}"/>
    <cellStyle name="Normal 8 3 4 4 2 3" xfId="20924" xr:uid="{1C1E7838-3A45-4213-9ABA-43D3CAA62009}"/>
    <cellStyle name="Normal 8 3 4 4 2 4" xfId="12483" xr:uid="{4F07B708-81DF-4F82-9502-A6BA34592317}"/>
    <cellStyle name="Normal 8 3 4 4 3" xfId="6106" xr:uid="{00000000-0005-0000-0000-0000B51D0000}"/>
    <cellStyle name="Normal 8 3 4 4 3 2" xfId="22997" xr:uid="{04598997-6395-4FE2-9425-5C77CBB9CD07}"/>
    <cellStyle name="Normal 8 3 4 4 3 3" xfId="14556" xr:uid="{DDAD6307-6CF7-416A-99BF-19DB5BC93C6D}"/>
    <cellStyle name="Normal 8 3 4 4 4" xfId="18779" xr:uid="{246CE058-266C-4F26-B299-56C8A2145B50}"/>
    <cellStyle name="Normal 8 3 4 4 5" xfId="10338" xr:uid="{8FFE4B1A-7579-4478-91CE-E26EE4276A10}"/>
    <cellStyle name="Normal 8 3 4 5" xfId="2213" xr:uid="{00000000-0005-0000-0000-0000B61D0000}"/>
    <cellStyle name="Normal 8 3 4 5 2" xfId="4442" xr:uid="{00000000-0005-0000-0000-0000B71D0000}"/>
    <cellStyle name="Normal 8 3 4 5 2 2" xfId="8664" xr:uid="{00000000-0005-0000-0000-0000B81D0000}"/>
    <cellStyle name="Normal 8 3 4 5 2 2 2" xfId="25555" xr:uid="{16B5144E-BAD6-4247-954D-8D354B966166}"/>
    <cellStyle name="Normal 8 3 4 5 2 2 3" xfId="17114" xr:uid="{04D63EB0-228F-4EC8-B57C-85FD03C5D1E7}"/>
    <cellStyle name="Normal 8 3 4 5 2 3" xfId="21337" xr:uid="{8616E554-E75B-42C4-BA83-98681E2A72C7}"/>
    <cellStyle name="Normal 8 3 4 5 2 4" xfId="12896" xr:uid="{182EBE97-3FF0-42F6-B671-A84E59D296B1}"/>
    <cellStyle name="Normal 8 3 4 5 3" xfId="6519" xr:uid="{00000000-0005-0000-0000-0000B91D0000}"/>
    <cellStyle name="Normal 8 3 4 5 3 2" xfId="23410" xr:uid="{69F4211A-844E-40C6-B2C6-AD6C5A806CF8}"/>
    <cellStyle name="Normal 8 3 4 5 3 3" xfId="14969" xr:uid="{583A727D-6C3D-4376-8AAB-2C24621EF11C}"/>
    <cellStyle name="Normal 8 3 4 5 4" xfId="19192" xr:uid="{63AAB2B0-297C-4C25-9E61-3C7B8C48EE62}"/>
    <cellStyle name="Normal 8 3 4 5 5" xfId="10751" xr:uid="{9CA467BA-6755-47B3-A58C-25C9586CAEE3}"/>
    <cellStyle name="Normal 8 3 4 6" xfId="2649" xr:uid="{00000000-0005-0000-0000-0000BA1D0000}"/>
    <cellStyle name="Normal 8 3 4 6 2" xfId="6932" xr:uid="{00000000-0005-0000-0000-0000BB1D0000}"/>
    <cellStyle name="Normal 8 3 4 6 2 2" xfId="23823" xr:uid="{7551DFB5-B23B-4A3E-A855-A2378C2C2CE8}"/>
    <cellStyle name="Normal 8 3 4 6 2 3" xfId="15382" xr:uid="{CAAACD8D-39E9-4249-B757-22277841EB75}"/>
    <cellStyle name="Normal 8 3 4 6 3" xfId="19605" xr:uid="{E7BF06C0-178B-4738-A4A9-FEB6B34BC573}"/>
    <cellStyle name="Normal 8 3 4 6 4" xfId="11164" xr:uid="{C4BAEE0C-FD7D-460F-982E-B1FF3C748518}"/>
    <cellStyle name="Normal 8 3 4 7" xfId="4867" xr:uid="{00000000-0005-0000-0000-0000BC1D0000}"/>
    <cellStyle name="Normal 8 3 4 7 2" xfId="21758" xr:uid="{D3DB16C5-CA1D-4D8D-BF82-3229FFEC99A7}"/>
    <cellStyle name="Normal 8 3 4 7 3" xfId="13317" xr:uid="{70804ECC-5804-4708-9159-64F4C312EE53}"/>
    <cellStyle name="Normal 8 3 4 8" xfId="17540" xr:uid="{2003D5BA-32FF-40F4-8CCC-9B27E8DE660F}"/>
    <cellStyle name="Normal 8 3 4 9" xfId="9099" xr:uid="{ACCBB79F-9660-4CEF-945C-9FB17BF7D830}"/>
    <cellStyle name="Normal 8 3 5" xfId="962" xr:uid="{00000000-0005-0000-0000-0000BD1D0000}"/>
    <cellStyle name="Normal 8 3 5 2" xfId="3196" xr:uid="{00000000-0005-0000-0000-0000BE1D0000}"/>
    <cellStyle name="Normal 8 3 5 2 2" xfId="7418" xr:uid="{00000000-0005-0000-0000-0000BF1D0000}"/>
    <cellStyle name="Normal 8 3 5 2 2 2" xfId="24309" xr:uid="{DC2C1BB3-82E2-4E99-8FC3-75F3C44757A8}"/>
    <cellStyle name="Normal 8 3 5 2 2 3" xfId="15868" xr:uid="{10CEC8CF-6354-4912-825A-9A4D6A53FD7A}"/>
    <cellStyle name="Normal 8 3 5 2 3" xfId="20091" xr:uid="{3EEA1819-7957-4BA9-AC27-F397E684D53C}"/>
    <cellStyle name="Normal 8 3 5 2 4" xfId="11650" xr:uid="{615AEBEF-82B5-4342-9AC3-5882F0C23C74}"/>
    <cellStyle name="Normal 8 3 5 3" xfId="5273" xr:uid="{00000000-0005-0000-0000-0000C01D0000}"/>
    <cellStyle name="Normal 8 3 5 3 2" xfId="22164" xr:uid="{A21795CF-F03D-4730-AFCF-8F19598E3599}"/>
    <cellStyle name="Normal 8 3 5 3 3" xfId="13723" xr:uid="{3040F9D4-CA4E-4B25-B920-CAC64F48CFAC}"/>
    <cellStyle name="Normal 8 3 5 4" xfId="17946" xr:uid="{3ABA9946-B7E2-426D-B955-5643FC685481}"/>
    <cellStyle name="Normal 8 3 5 5" xfId="9505" xr:uid="{5E950A85-AE88-4AB1-B854-94B9ECB4EFA5}"/>
    <cellStyle name="Normal 8 3 6" xfId="1379" xr:uid="{00000000-0005-0000-0000-0000C11D0000}"/>
    <cellStyle name="Normal 8 3 6 2" xfId="3609" xr:uid="{00000000-0005-0000-0000-0000C21D0000}"/>
    <cellStyle name="Normal 8 3 6 2 2" xfId="7831" xr:uid="{00000000-0005-0000-0000-0000C31D0000}"/>
    <cellStyle name="Normal 8 3 6 2 2 2" xfId="24722" xr:uid="{7869911D-CFF4-4F30-8032-0610BEC201A3}"/>
    <cellStyle name="Normal 8 3 6 2 2 3" xfId="16281" xr:uid="{93EF9192-FB05-4582-A05B-2D0BCBB23693}"/>
    <cellStyle name="Normal 8 3 6 2 3" xfId="20504" xr:uid="{1423BF34-F26E-449D-8A0F-553619CEDF5D}"/>
    <cellStyle name="Normal 8 3 6 2 4" xfId="12063" xr:uid="{D8C1EE33-F190-4412-927B-87B49C3535EC}"/>
    <cellStyle name="Normal 8 3 6 3" xfId="5686" xr:uid="{00000000-0005-0000-0000-0000C41D0000}"/>
    <cellStyle name="Normal 8 3 6 3 2" xfId="22577" xr:uid="{5FA0EFC2-D05A-471F-9A52-023A58D1BB3E}"/>
    <cellStyle name="Normal 8 3 6 3 3" xfId="14136" xr:uid="{1225A31E-5C30-4E74-A3B6-6918C9D7E586}"/>
    <cellStyle name="Normal 8 3 6 4" xfId="18359" xr:uid="{8B5C8BDC-49A3-428D-9EC1-93C2E05E3A64}"/>
    <cellStyle name="Normal 8 3 6 5" xfId="9918" xr:uid="{5EEF0A1A-71AF-43C3-9036-574790070F06}"/>
    <cellStyle name="Normal 8 3 7" xfId="1792" xr:uid="{00000000-0005-0000-0000-0000C51D0000}"/>
    <cellStyle name="Normal 8 3 7 2" xfId="4022" xr:uid="{00000000-0005-0000-0000-0000C61D0000}"/>
    <cellStyle name="Normal 8 3 7 2 2" xfId="8244" xr:uid="{00000000-0005-0000-0000-0000C71D0000}"/>
    <cellStyle name="Normal 8 3 7 2 2 2" xfId="25135" xr:uid="{C59B9D7A-4D64-44AF-B495-8FF0F79C2A99}"/>
    <cellStyle name="Normal 8 3 7 2 2 3" xfId="16694" xr:uid="{7B25B1E6-D959-4AE7-8510-299FBAE0FD4C}"/>
    <cellStyle name="Normal 8 3 7 2 3" xfId="20917" xr:uid="{CCAEFEE1-7184-4124-95D7-94CF7D84A368}"/>
    <cellStyle name="Normal 8 3 7 2 4" xfId="12476" xr:uid="{0553C874-78C9-46DB-8E05-339762CF50FE}"/>
    <cellStyle name="Normal 8 3 7 3" xfId="6099" xr:uid="{00000000-0005-0000-0000-0000C81D0000}"/>
    <cellStyle name="Normal 8 3 7 3 2" xfId="22990" xr:uid="{DA3ACB96-5EB3-4668-BF24-982EA6903817}"/>
    <cellStyle name="Normal 8 3 7 3 3" xfId="14549" xr:uid="{5B813FB4-B363-4357-8F6B-ACC4960E6C49}"/>
    <cellStyle name="Normal 8 3 7 4" xfId="18772" xr:uid="{996DA826-886F-48D7-A37D-BC1E04015EE1}"/>
    <cellStyle name="Normal 8 3 7 5" xfId="10331" xr:uid="{DF6C084B-0BBF-41BD-824F-908796731853}"/>
    <cellStyle name="Normal 8 3 8" xfId="2206" xr:uid="{00000000-0005-0000-0000-0000C91D0000}"/>
    <cellStyle name="Normal 8 3 8 2" xfId="4435" xr:uid="{00000000-0005-0000-0000-0000CA1D0000}"/>
    <cellStyle name="Normal 8 3 8 2 2" xfId="8657" xr:uid="{00000000-0005-0000-0000-0000CB1D0000}"/>
    <cellStyle name="Normal 8 3 8 2 2 2" xfId="25548" xr:uid="{3522F7D2-F6D2-4B2C-9037-E069FF068145}"/>
    <cellStyle name="Normal 8 3 8 2 2 3" xfId="17107" xr:uid="{36ADB51C-3FD9-40DD-92D0-812B89341D04}"/>
    <cellStyle name="Normal 8 3 8 2 3" xfId="21330" xr:uid="{0B5002B7-3D85-42FD-8A42-A709D591FC6A}"/>
    <cellStyle name="Normal 8 3 8 2 4" xfId="12889" xr:uid="{C5D6CCAB-8356-4F2A-A6B5-F3125224780B}"/>
    <cellStyle name="Normal 8 3 8 3" xfId="6512" xr:uid="{00000000-0005-0000-0000-0000CC1D0000}"/>
    <cellStyle name="Normal 8 3 8 3 2" xfId="23403" xr:uid="{BED91A2D-B60A-408F-859A-B26C1BAC09FA}"/>
    <cellStyle name="Normal 8 3 8 3 3" xfId="14962" xr:uid="{B664337D-5620-4545-BAC5-8275D8DE6A46}"/>
    <cellStyle name="Normal 8 3 8 4" xfId="19185" xr:uid="{F3CE0BD3-3871-4F6E-BC93-EC8C796CF6D5}"/>
    <cellStyle name="Normal 8 3 8 5" xfId="10744" xr:uid="{35DB4BA0-DD7B-4FC5-8CAD-D9D1FE385ACA}"/>
    <cellStyle name="Normal 8 3 9" xfId="2642" xr:uid="{00000000-0005-0000-0000-0000CD1D0000}"/>
    <cellStyle name="Normal 8 3 9 2" xfId="6925" xr:uid="{00000000-0005-0000-0000-0000CE1D0000}"/>
    <cellStyle name="Normal 8 3 9 2 2" xfId="23816" xr:uid="{FD731154-0310-400F-B6AE-3259524FC96D}"/>
    <cellStyle name="Normal 8 3 9 2 3" xfId="15375" xr:uid="{F5D56801-EEC7-4752-8851-1BA22A7BB1E5}"/>
    <cellStyle name="Normal 8 3 9 3" xfId="19598" xr:uid="{9FDD3F6A-94C8-4256-9130-A8B3D60358FE}"/>
    <cellStyle name="Normal 8 3 9 4" xfId="11157" xr:uid="{48767972-5536-457F-AC3D-DB61B655C069}"/>
    <cellStyle name="Normal 8 4" xfId="503" xr:uid="{00000000-0005-0000-0000-0000CF1D0000}"/>
    <cellStyle name="Normal 8 4 10" xfId="17541" xr:uid="{88D0A052-84D1-48C0-A9A1-BD4CFD81C543}"/>
    <cellStyle name="Normal 8 4 11" xfId="9100" xr:uid="{61768AFD-FFAF-4EFC-9182-49636138B8CA}"/>
    <cellStyle name="Normal 8 4 12" xfId="25781" xr:uid="{385FF270-8ABD-491F-9E10-DAF744C53604}"/>
    <cellStyle name="Normal 8 4 2" xfId="504" xr:uid="{00000000-0005-0000-0000-0000D01D0000}"/>
    <cellStyle name="Normal 8 4 2 10" xfId="9101" xr:uid="{BC626862-F169-46FC-8875-FA9777CF61D1}"/>
    <cellStyle name="Normal 8 4 2 11" xfId="25868" xr:uid="{B136CACC-795F-48A1-8896-CBADC344FC3A}"/>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24319" xr:uid="{F9B8F918-6244-49FC-944B-A4F3D908E05B}"/>
    <cellStyle name="Normal 8 4 2 2 2 2 2 3" xfId="15878" xr:uid="{EB274084-C259-4C12-9E73-5A766874E230}"/>
    <cellStyle name="Normal 8 4 2 2 2 2 3" xfId="20101" xr:uid="{52A25D62-EABE-41B8-95FB-50F0EDBB8411}"/>
    <cellStyle name="Normal 8 4 2 2 2 2 4" xfId="11660" xr:uid="{AC53A84D-D1DE-430A-AF37-4D39A39BECE5}"/>
    <cellStyle name="Normal 8 4 2 2 2 3" xfId="5283" xr:uid="{00000000-0005-0000-0000-0000D51D0000}"/>
    <cellStyle name="Normal 8 4 2 2 2 3 2" xfId="22174" xr:uid="{FD79A9EF-5B54-47D6-AFA1-0FC8265969A3}"/>
    <cellStyle name="Normal 8 4 2 2 2 3 3" xfId="13733" xr:uid="{80A85854-FA78-4D75-A258-CD393BE2AB1D}"/>
    <cellStyle name="Normal 8 4 2 2 2 4" xfId="17956" xr:uid="{71DD93AF-3908-4F40-8BC2-DFFA99F72350}"/>
    <cellStyle name="Normal 8 4 2 2 2 5" xfId="9515" xr:uid="{0290590C-F05D-4AC7-B8E8-C60A4A01DD90}"/>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24732" xr:uid="{AC96A5C1-A444-49D4-81E1-576A0080924F}"/>
    <cellStyle name="Normal 8 4 2 2 3 2 2 3" xfId="16291" xr:uid="{F508D4D4-9E4F-40AC-9311-FE56CFA27FC0}"/>
    <cellStyle name="Normal 8 4 2 2 3 2 3" xfId="20514" xr:uid="{F49B3CA6-40FE-41A5-A04E-8FB22FFF5530}"/>
    <cellStyle name="Normal 8 4 2 2 3 2 4" xfId="12073" xr:uid="{F5B853DD-6AB0-4829-AA2A-A7D0AA3787A7}"/>
    <cellStyle name="Normal 8 4 2 2 3 3" xfId="5696" xr:uid="{00000000-0005-0000-0000-0000D91D0000}"/>
    <cellStyle name="Normal 8 4 2 2 3 3 2" xfId="22587" xr:uid="{2853F0BF-511A-4B39-A765-D843F51F3465}"/>
    <cellStyle name="Normal 8 4 2 2 3 3 3" xfId="14146" xr:uid="{7DDFECD5-8324-4098-91EF-8A800BAD00D8}"/>
    <cellStyle name="Normal 8 4 2 2 3 4" xfId="18369" xr:uid="{5DD73587-D69E-4231-9D6D-3025EA8BC670}"/>
    <cellStyle name="Normal 8 4 2 2 3 5" xfId="9928" xr:uid="{A72BB3BD-BFDF-48DB-8C26-81F738DE1BCC}"/>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25145" xr:uid="{86E14C4A-498E-4BDE-8B80-1D948C2F5396}"/>
    <cellStyle name="Normal 8 4 2 2 4 2 2 3" xfId="16704" xr:uid="{CCEE13C5-4BCE-47D7-B015-78DFBDDABCD3}"/>
    <cellStyle name="Normal 8 4 2 2 4 2 3" xfId="20927" xr:uid="{AC6B3840-46C8-442D-9B3D-E6C6687F8444}"/>
    <cellStyle name="Normal 8 4 2 2 4 2 4" xfId="12486" xr:uid="{61A0911D-92B8-4B22-A7D2-F9472905A4A7}"/>
    <cellStyle name="Normal 8 4 2 2 4 3" xfId="6109" xr:uid="{00000000-0005-0000-0000-0000DD1D0000}"/>
    <cellStyle name="Normal 8 4 2 2 4 3 2" xfId="23000" xr:uid="{F081FBD1-8DBF-401E-BD48-8CFB8AE846F4}"/>
    <cellStyle name="Normal 8 4 2 2 4 3 3" xfId="14559" xr:uid="{FBCDA20F-51F8-4DCB-A27B-6BD6F8354DFF}"/>
    <cellStyle name="Normal 8 4 2 2 4 4" xfId="18782" xr:uid="{75586DEF-586E-4AF9-822D-8D7F1319400D}"/>
    <cellStyle name="Normal 8 4 2 2 4 5" xfId="10341" xr:uid="{5C654377-CAA4-4052-B679-0C70B02E219B}"/>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25558" xr:uid="{1B6147DA-B5BB-4419-AA80-13A9D119343C}"/>
    <cellStyle name="Normal 8 4 2 2 5 2 2 3" xfId="17117" xr:uid="{B5EBBD24-2829-484F-AC7F-0599B60C51D1}"/>
    <cellStyle name="Normal 8 4 2 2 5 2 3" xfId="21340" xr:uid="{CC9BE333-DB1D-4665-B1ED-9C41856CECE7}"/>
    <cellStyle name="Normal 8 4 2 2 5 2 4" xfId="12899" xr:uid="{426559C2-0816-4C8C-8350-972B821CE8C3}"/>
    <cellStyle name="Normal 8 4 2 2 5 3" xfId="6522" xr:uid="{00000000-0005-0000-0000-0000E11D0000}"/>
    <cellStyle name="Normal 8 4 2 2 5 3 2" xfId="23413" xr:uid="{4EBD4F6A-ACE9-4C26-BC4D-9F19021EC88B}"/>
    <cellStyle name="Normal 8 4 2 2 5 3 3" xfId="14972" xr:uid="{D65BC6E8-265A-44F1-B3D9-14F622B0BF16}"/>
    <cellStyle name="Normal 8 4 2 2 5 4" xfId="19195" xr:uid="{70B3568A-E04C-4952-A4C2-A1D0D7AA3727}"/>
    <cellStyle name="Normal 8 4 2 2 5 5" xfId="10754" xr:uid="{2274880D-4EA8-422C-9996-8590874DD97D}"/>
    <cellStyle name="Normal 8 4 2 2 6" xfId="2652" xr:uid="{00000000-0005-0000-0000-0000E21D0000}"/>
    <cellStyle name="Normal 8 4 2 2 6 2" xfId="6935" xr:uid="{00000000-0005-0000-0000-0000E31D0000}"/>
    <cellStyle name="Normal 8 4 2 2 6 2 2" xfId="23826" xr:uid="{75EB607C-DA6F-4140-87FA-D87794615C4A}"/>
    <cellStyle name="Normal 8 4 2 2 6 2 3" xfId="15385" xr:uid="{266EF88A-AA3A-41FC-9F52-2FB467848513}"/>
    <cellStyle name="Normal 8 4 2 2 6 3" xfId="19608" xr:uid="{10AAC3AC-B5E0-4D33-BCD7-D734F362533C}"/>
    <cellStyle name="Normal 8 4 2 2 6 4" xfId="11167" xr:uid="{C7040EA7-3B70-4D46-9FE3-E965C8E93BA3}"/>
    <cellStyle name="Normal 8 4 2 2 7" xfId="4870" xr:uid="{00000000-0005-0000-0000-0000E41D0000}"/>
    <cellStyle name="Normal 8 4 2 2 7 2" xfId="21761" xr:uid="{2C14390C-64CC-42C2-ACE0-892C159BF70A}"/>
    <cellStyle name="Normal 8 4 2 2 7 3" xfId="13320" xr:uid="{B1D66C21-05B8-493D-A1D8-9ABD9B9586CF}"/>
    <cellStyle name="Normal 8 4 2 2 8" xfId="17543" xr:uid="{8ABD93B9-64C3-44F1-8290-1365EBD51D1B}"/>
    <cellStyle name="Normal 8 4 2 2 9" xfId="9102" xr:uid="{D111098C-9BD3-4B9B-AC98-B82B727AF1AC}"/>
    <cellStyle name="Normal 8 4 2 3" xfId="971" xr:uid="{00000000-0005-0000-0000-0000E51D0000}"/>
    <cellStyle name="Normal 8 4 2 3 2" xfId="3205" xr:uid="{00000000-0005-0000-0000-0000E61D0000}"/>
    <cellStyle name="Normal 8 4 2 3 2 2" xfId="7427" xr:uid="{00000000-0005-0000-0000-0000E71D0000}"/>
    <cellStyle name="Normal 8 4 2 3 2 2 2" xfId="24318" xr:uid="{0E66DCF2-213C-4CA3-92BD-0E24C2618FAE}"/>
    <cellStyle name="Normal 8 4 2 3 2 2 3" xfId="15877" xr:uid="{54D4F6D0-647B-47AA-8EF4-69BA6144D735}"/>
    <cellStyle name="Normal 8 4 2 3 2 3" xfId="20100" xr:uid="{DC8BC02D-1BC1-4144-87DE-9BC83FA16B7B}"/>
    <cellStyle name="Normal 8 4 2 3 2 4" xfId="11659" xr:uid="{246C209A-9DA7-47C6-A786-E48D74024064}"/>
    <cellStyle name="Normal 8 4 2 3 3" xfId="5282" xr:uid="{00000000-0005-0000-0000-0000E81D0000}"/>
    <cellStyle name="Normal 8 4 2 3 3 2" xfId="22173" xr:uid="{385916AC-86A3-42FE-A283-08857225F9E4}"/>
    <cellStyle name="Normal 8 4 2 3 3 3" xfId="13732" xr:uid="{2B4D1283-D7D5-4E22-83AD-013EE8ACE4E3}"/>
    <cellStyle name="Normal 8 4 2 3 4" xfId="17955" xr:uid="{4AF306E5-29DE-4928-B51F-7ABE3A360EC0}"/>
    <cellStyle name="Normal 8 4 2 3 5" xfId="9514" xr:uid="{013B13B7-C5AF-4AFC-B8BF-ADA54CE08521}"/>
    <cellStyle name="Normal 8 4 2 4" xfId="1388" xr:uid="{00000000-0005-0000-0000-0000E91D0000}"/>
    <cellStyle name="Normal 8 4 2 4 2" xfId="3618" xr:uid="{00000000-0005-0000-0000-0000EA1D0000}"/>
    <cellStyle name="Normal 8 4 2 4 2 2" xfId="7840" xr:uid="{00000000-0005-0000-0000-0000EB1D0000}"/>
    <cellStyle name="Normal 8 4 2 4 2 2 2" xfId="24731" xr:uid="{B38C277F-D57D-4960-9DC8-70ABFE562FF4}"/>
    <cellStyle name="Normal 8 4 2 4 2 2 3" xfId="16290" xr:uid="{845E864A-5ED9-4AFB-900A-E9B477B7E215}"/>
    <cellStyle name="Normal 8 4 2 4 2 3" xfId="20513" xr:uid="{3B608A4C-AC16-48F1-B74A-DE2ACE32FE2F}"/>
    <cellStyle name="Normal 8 4 2 4 2 4" xfId="12072" xr:uid="{FFBD5477-8406-4B1A-A7DE-11963714880A}"/>
    <cellStyle name="Normal 8 4 2 4 3" xfId="5695" xr:uid="{00000000-0005-0000-0000-0000EC1D0000}"/>
    <cellStyle name="Normal 8 4 2 4 3 2" xfId="22586" xr:uid="{BF59C675-17FE-4F73-AF85-64A6DC4A429C}"/>
    <cellStyle name="Normal 8 4 2 4 3 3" xfId="14145" xr:uid="{03B5DA66-5364-4074-8EB7-FD15451FAC7B}"/>
    <cellStyle name="Normal 8 4 2 4 4" xfId="18368" xr:uid="{AF72CFB2-002E-4F34-B4BC-9133D7A15C31}"/>
    <cellStyle name="Normal 8 4 2 4 5" xfId="9927" xr:uid="{E07E4C9F-F2DE-4257-B54B-6A3047D92097}"/>
    <cellStyle name="Normal 8 4 2 5" xfId="1801" xr:uid="{00000000-0005-0000-0000-0000ED1D0000}"/>
    <cellStyle name="Normal 8 4 2 5 2" xfId="4031" xr:uid="{00000000-0005-0000-0000-0000EE1D0000}"/>
    <cellStyle name="Normal 8 4 2 5 2 2" xfId="8253" xr:uid="{00000000-0005-0000-0000-0000EF1D0000}"/>
    <cellStyle name="Normal 8 4 2 5 2 2 2" xfId="25144" xr:uid="{428688A1-2E21-4F48-B158-AB7026E6E2A2}"/>
    <cellStyle name="Normal 8 4 2 5 2 2 3" xfId="16703" xr:uid="{0CEA5602-77BD-47F0-A47F-D238ED082480}"/>
    <cellStyle name="Normal 8 4 2 5 2 3" xfId="20926" xr:uid="{80BD6C69-A7AC-4A1A-B653-EBF4C6E30E02}"/>
    <cellStyle name="Normal 8 4 2 5 2 4" xfId="12485" xr:uid="{C3B1E29F-0E91-49FA-A4A1-03FF6E31CADE}"/>
    <cellStyle name="Normal 8 4 2 5 3" xfId="6108" xr:uid="{00000000-0005-0000-0000-0000F01D0000}"/>
    <cellStyle name="Normal 8 4 2 5 3 2" xfId="22999" xr:uid="{6F9A3636-B7F4-4A78-8A0A-B017F0AEEB91}"/>
    <cellStyle name="Normal 8 4 2 5 3 3" xfId="14558" xr:uid="{92043931-8D22-4DB1-AA50-4E4755E27753}"/>
    <cellStyle name="Normal 8 4 2 5 4" xfId="18781" xr:uid="{B403EC4C-CF33-4722-B050-E41E3B46E493}"/>
    <cellStyle name="Normal 8 4 2 5 5" xfId="10340" xr:uid="{54B802D7-3A8E-4DA7-AC85-32E6CCF8F045}"/>
    <cellStyle name="Normal 8 4 2 6" xfId="2215" xr:uid="{00000000-0005-0000-0000-0000F11D0000}"/>
    <cellStyle name="Normal 8 4 2 6 2" xfId="4444" xr:uid="{00000000-0005-0000-0000-0000F21D0000}"/>
    <cellStyle name="Normal 8 4 2 6 2 2" xfId="8666" xr:uid="{00000000-0005-0000-0000-0000F31D0000}"/>
    <cellStyle name="Normal 8 4 2 6 2 2 2" xfId="25557" xr:uid="{105612BB-956F-4F12-8DAF-6F4FE0CA54CC}"/>
    <cellStyle name="Normal 8 4 2 6 2 2 3" xfId="17116" xr:uid="{5098193E-9B81-4B48-9936-92CA2BD764EB}"/>
    <cellStyle name="Normal 8 4 2 6 2 3" xfId="21339" xr:uid="{CB488240-B085-4A69-9115-BE9CB44B5F12}"/>
    <cellStyle name="Normal 8 4 2 6 2 4" xfId="12898" xr:uid="{4257DD1B-1C85-439F-ACF8-EA7E88EEB6B9}"/>
    <cellStyle name="Normal 8 4 2 6 3" xfId="6521" xr:uid="{00000000-0005-0000-0000-0000F41D0000}"/>
    <cellStyle name="Normal 8 4 2 6 3 2" xfId="23412" xr:uid="{1BDE268A-E456-44E7-8911-258E8642A9AF}"/>
    <cellStyle name="Normal 8 4 2 6 3 3" xfId="14971" xr:uid="{C3D46019-9ACA-4605-8F9F-AD1483A3A5EF}"/>
    <cellStyle name="Normal 8 4 2 6 4" xfId="19194" xr:uid="{110867F6-DE47-4983-9AC5-E65E68F205D8}"/>
    <cellStyle name="Normal 8 4 2 6 5" xfId="10753" xr:uid="{AF89B89C-F0CE-45B7-865C-B7987A4B0CD5}"/>
    <cellStyle name="Normal 8 4 2 7" xfId="2651" xr:uid="{00000000-0005-0000-0000-0000F51D0000}"/>
    <cellStyle name="Normal 8 4 2 7 2" xfId="6934" xr:uid="{00000000-0005-0000-0000-0000F61D0000}"/>
    <cellStyle name="Normal 8 4 2 7 2 2" xfId="23825" xr:uid="{EB0A451E-2D13-4AED-918B-515916767E2C}"/>
    <cellStyle name="Normal 8 4 2 7 2 3" xfId="15384" xr:uid="{3D1C20D4-CCFB-4876-92EC-CFFFFF9B0E60}"/>
    <cellStyle name="Normal 8 4 2 7 3" xfId="19607" xr:uid="{E8984277-58B2-418F-B82D-D202904DEE87}"/>
    <cellStyle name="Normal 8 4 2 7 4" xfId="11166" xr:uid="{944E84AB-B19D-4801-87D0-5DA1780F2E44}"/>
    <cellStyle name="Normal 8 4 2 8" xfId="4869" xr:uid="{00000000-0005-0000-0000-0000F71D0000}"/>
    <cellStyle name="Normal 8 4 2 8 2" xfId="21760" xr:uid="{E4B3FB4F-66DF-4907-AA0E-A0EDEBED2ACF}"/>
    <cellStyle name="Normal 8 4 2 8 3" xfId="13319" xr:uid="{C67A3288-E68C-4BD4-975A-C78661DEB116}"/>
    <cellStyle name="Normal 8 4 2 9" xfId="17542" xr:uid="{61E73A4C-8C3E-4961-97DD-435C3B32782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2 2 2" xfId="24320" xr:uid="{E53BCD51-D297-41CD-B191-0C648CA4CF24}"/>
    <cellStyle name="Normal 8 4 3 2 2 2 3" xfId="15879" xr:uid="{83F4D9B9-662F-439A-A930-BC969494EA02}"/>
    <cellStyle name="Normal 8 4 3 2 2 3" xfId="20102" xr:uid="{8EAEA7E9-B617-4819-B9F6-3F752EEE1C42}"/>
    <cellStyle name="Normal 8 4 3 2 2 4" xfId="11661" xr:uid="{D77515E2-295C-46C1-B2A1-BAE815990DCA}"/>
    <cellStyle name="Normal 8 4 3 2 3" xfId="5284" xr:uid="{00000000-0005-0000-0000-0000FC1D0000}"/>
    <cellStyle name="Normal 8 4 3 2 3 2" xfId="22175" xr:uid="{1EB6053D-0895-466A-9B2E-61D612711571}"/>
    <cellStyle name="Normal 8 4 3 2 3 3" xfId="13734" xr:uid="{EEF565D5-686E-46A1-B3C9-8FC4BD46F399}"/>
    <cellStyle name="Normal 8 4 3 2 4" xfId="17957" xr:uid="{DE616B9F-F073-4145-B265-9E59200DBD59}"/>
    <cellStyle name="Normal 8 4 3 2 5" xfId="9516" xr:uid="{80FFC2E6-03B4-403D-B65C-89C49344DAEF}"/>
    <cellStyle name="Normal 8 4 3 3" xfId="1390" xr:uid="{00000000-0005-0000-0000-0000FD1D0000}"/>
    <cellStyle name="Normal 8 4 3 3 2" xfId="3620" xr:uid="{00000000-0005-0000-0000-0000FE1D0000}"/>
    <cellStyle name="Normal 8 4 3 3 2 2" xfId="7842" xr:uid="{00000000-0005-0000-0000-0000FF1D0000}"/>
    <cellStyle name="Normal 8 4 3 3 2 2 2" xfId="24733" xr:uid="{33908803-D8A1-40A4-B5BE-F3D51AA16984}"/>
    <cellStyle name="Normal 8 4 3 3 2 2 3" xfId="16292" xr:uid="{B9C5A88D-AC49-42E4-915A-79472521F69F}"/>
    <cellStyle name="Normal 8 4 3 3 2 3" xfId="20515" xr:uid="{A12A8AEE-BA90-46E8-897C-A05733FC4D70}"/>
    <cellStyle name="Normal 8 4 3 3 2 4" xfId="12074" xr:uid="{60A4A6C2-EAA5-49C7-B091-5B9E016C30FC}"/>
    <cellStyle name="Normal 8 4 3 3 3" xfId="5697" xr:uid="{00000000-0005-0000-0000-0000001E0000}"/>
    <cellStyle name="Normal 8 4 3 3 3 2" xfId="22588" xr:uid="{C9E045E5-2CD5-43B3-8570-64E25783FD37}"/>
    <cellStyle name="Normal 8 4 3 3 3 3" xfId="14147" xr:uid="{85E6A8B8-45B3-4BA7-8337-4C33822CD971}"/>
    <cellStyle name="Normal 8 4 3 3 4" xfId="18370" xr:uid="{4F13509D-9ACF-43E0-934D-41004C3758CF}"/>
    <cellStyle name="Normal 8 4 3 3 5" xfId="9929" xr:uid="{A62FAEA6-694D-46BB-B469-F60626ECCC42}"/>
    <cellStyle name="Normal 8 4 3 4" xfId="1803" xr:uid="{00000000-0005-0000-0000-0000011E0000}"/>
    <cellStyle name="Normal 8 4 3 4 2" xfId="4033" xr:uid="{00000000-0005-0000-0000-0000021E0000}"/>
    <cellStyle name="Normal 8 4 3 4 2 2" xfId="8255" xr:uid="{00000000-0005-0000-0000-0000031E0000}"/>
    <cellStyle name="Normal 8 4 3 4 2 2 2" xfId="25146" xr:uid="{B7166852-0055-4E70-8FFE-CF8078A23045}"/>
    <cellStyle name="Normal 8 4 3 4 2 2 3" xfId="16705" xr:uid="{EAC2741B-E2C6-43E4-80FB-43C558457DDC}"/>
    <cellStyle name="Normal 8 4 3 4 2 3" xfId="20928" xr:uid="{9072CAE1-F306-4027-93D1-B9136DC8B997}"/>
    <cellStyle name="Normal 8 4 3 4 2 4" xfId="12487" xr:uid="{5B1D114E-3BF1-482D-A4A2-6612A52DA55E}"/>
    <cellStyle name="Normal 8 4 3 4 3" xfId="6110" xr:uid="{00000000-0005-0000-0000-0000041E0000}"/>
    <cellStyle name="Normal 8 4 3 4 3 2" xfId="23001" xr:uid="{FFBFF5F7-12EA-4D8F-B07D-443105AE8AAA}"/>
    <cellStyle name="Normal 8 4 3 4 3 3" xfId="14560" xr:uid="{207E7FD6-DD41-4E7C-82FC-ACBF8A657380}"/>
    <cellStyle name="Normal 8 4 3 4 4" xfId="18783" xr:uid="{44311D4B-57DC-4034-893D-D4C5B677151F}"/>
    <cellStyle name="Normal 8 4 3 4 5" xfId="10342" xr:uid="{5CDB1F11-A623-4A53-B407-FABD3E00E860}"/>
    <cellStyle name="Normal 8 4 3 5" xfId="2217" xr:uid="{00000000-0005-0000-0000-0000051E0000}"/>
    <cellStyle name="Normal 8 4 3 5 2" xfId="4446" xr:uid="{00000000-0005-0000-0000-0000061E0000}"/>
    <cellStyle name="Normal 8 4 3 5 2 2" xfId="8668" xr:uid="{00000000-0005-0000-0000-0000071E0000}"/>
    <cellStyle name="Normal 8 4 3 5 2 2 2" xfId="25559" xr:uid="{C91E29F0-29A3-4FDB-AAA2-AAF63F3D8FF6}"/>
    <cellStyle name="Normal 8 4 3 5 2 2 3" xfId="17118" xr:uid="{6089A50B-5F98-44C6-B77C-FF2C32DE9C0F}"/>
    <cellStyle name="Normal 8 4 3 5 2 3" xfId="21341" xr:uid="{87C43875-7564-4A19-8D07-74436949B5E1}"/>
    <cellStyle name="Normal 8 4 3 5 2 4" xfId="12900" xr:uid="{CAFDE206-3001-4D59-ABE9-B60FB55FC6ED}"/>
    <cellStyle name="Normal 8 4 3 5 3" xfId="6523" xr:uid="{00000000-0005-0000-0000-0000081E0000}"/>
    <cellStyle name="Normal 8 4 3 5 3 2" xfId="23414" xr:uid="{A09E8257-53BF-4C20-A0C9-B40DF264F97C}"/>
    <cellStyle name="Normal 8 4 3 5 3 3" xfId="14973" xr:uid="{6C7BB09C-0A9E-40CE-96A6-F493167FD63A}"/>
    <cellStyle name="Normal 8 4 3 5 4" xfId="19196" xr:uid="{0C860A22-2323-4E91-959D-8D46EA634F85}"/>
    <cellStyle name="Normal 8 4 3 5 5" xfId="10755" xr:uid="{16806E3A-0B70-4F58-BB61-3F8DE9ED3842}"/>
    <cellStyle name="Normal 8 4 3 6" xfId="2653" xr:uid="{00000000-0005-0000-0000-0000091E0000}"/>
    <cellStyle name="Normal 8 4 3 6 2" xfId="6936" xr:uid="{00000000-0005-0000-0000-00000A1E0000}"/>
    <cellStyle name="Normal 8 4 3 6 2 2" xfId="23827" xr:uid="{42FCC569-AC9A-4F3B-BF61-36C07D241AD0}"/>
    <cellStyle name="Normal 8 4 3 6 2 3" xfId="15386" xr:uid="{DD3CE220-9CBA-4B39-B0E7-361E1F1D5E11}"/>
    <cellStyle name="Normal 8 4 3 6 3" xfId="19609" xr:uid="{DE4DC930-6CCF-477A-A22F-29CB087646D9}"/>
    <cellStyle name="Normal 8 4 3 6 4" xfId="11168" xr:uid="{B388143F-7980-4322-BD17-8C7382919913}"/>
    <cellStyle name="Normal 8 4 3 7" xfId="4871" xr:uid="{00000000-0005-0000-0000-00000B1E0000}"/>
    <cellStyle name="Normal 8 4 3 7 2" xfId="21762" xr:uid="{840D2644-B8E9-42F3-B3E9-3E2E85AA13D2}"/>
    <cellStyle name="Normal 8 4 3 7 3" xfId="13321" xr:uid="{DE827F15-CA47-4219-A4CC-05761578BF1C}"/>
    <cellStyle name="Normal 8 4 3 8" xfId="17544" xr:uid="{0E351E3A-2AF6-4F7C-9F23-CC819A9FA7B3}"/>
    <cellStyle name="Normal 8 4 3 9" xfId="9103" xr:uid="{830BF304-C953-4091-9908-5814D85BCC9E}"/>
    <cellStyle name="Normal 8 4 4" xfId="970" xr:uid="{00000000-0005-0000-0000-00000C1E0000}"/>
    <cellStyle name="Normal 8 4 4 2" xfId="3204" xr:uid="{00000000-0005-0000-0000-00000D1E0000}"/>
    <cellStyle name="Normal 8 4 4 2 2" xfId="7426" xr:uid="{00000000-0005-0000-0000-00000E1E0000}"/>
    <cellStyle name="Normal 8 4 4 2 2 2" xfId="24317" xr:uid="{D3A9EEF6-1158-4255-9B4B-39FFD1FB03A0}"/>
    <cellStyle name="Normal 8 4 4 2 2 3" xfId="15876" xr:uid="{1649A758-5DBA-43C5-A764-C6E00BC213DF}"/>
    <cellStyle name="Normal 8 4 4 2 3" xfId="20099" xr:uid="{0C783B88-2DF6-4CD5-B945-803F57B2A777}"/>
    <cellStyle name="Normal 8 4 4 2 4" xfId="11658" xr:uid="{665A9BD3-D51E-44F7-BC08-DFD2855B65AE}"/>
    <cellStyle name="Normal 8 4 4 3" xfId="5281" xr:uid="{00000000-0005-0000-0000-00000F1E0000}"/>
    <cellStyle name="Normal 8 4 4 3 2" xfId="22172" xr:uid="{7D93051C-0AB3-4394-8F0D-BA10E470D936}"/>
    <cellStyle name="Normal 8 4 4 3 3" xfId="13731" xr:uid="{483BCA68-7A60-4112-A9B1-D2EBFCE1C4F8}"/>
    <cellStyle name="Normal 8 4 4 4" xfId="17954" xr:uid="{9DFF62BA-4377-4683-B354-C8BAD4AE2378}"/>
    <cellStyle name="Normal 8 4 4 5" xfId="9513" xr:uid="{9C90AAEA-66A0-4FBE-85D5-15C44BFB79B0}"/>
    <cellStyle name="Normal 8 4 5" xfId="1387" xr:uid="{00000000-0005-0000-0000-0000101E0000}"/>
    <cellStyle name="Normal 8 4 5 2" xfId="3617" xr:uid="{00000000-0005-0000-0000-0000111E0000}"/>
    <cellStyle name="Normal 8 4 5 2 2" xfId="7839" xr:uid="{00000000-0005-0000-0000-0000121E0000}"/>
    <cellStyle name="Normal 8 4 5 2 2 2" xfId="24730" xr:uid="{6BDDC923-110D-425D-915A-F6FBBC95B02E}"/>
    <cellStyle name="Normal 8 4 5 2 2 3" xfId="16289" xr:uid="{A2CF7D43-E55E-4357-8946-02C1C685C6B5}"/>
    <cellStyle name="Normal 8 4 5 2 3" xfId="20512" xr:uid="{204F12B7-C9F2-4D74-87FC-A4E8D8E10405}"/>
    <cellStyle name="Normal 8 4 5 2 4" xfId="12071" xr:uid="{1426A7E2-D4DC-4C32-BE87-F82BC499128E}"/>
    <cellStyle name="Normal 8 4 5 3" xfId="5694" xr:uid="{00000000-0005-0000-0000-0000131E0000}"/>
    <cellStyle name="Normal 8 4 5 3 2" xfId="22585" xr:uid="{6C279FD2-A929-4CC9-A510-B925D8F6ADE9}"/>
    <cellStyle name="Normal 8 4 5 3 3" xfId="14144" xr:uid="{6D30FAFC-E465-4041-8625-9E7B292389D1}"/>
    <cellStyle name="Normal 8 4 5 4" xfId="18367" xr:uid="{A50A74B0-38E3-4E7A-90C0-1C9FE8BCA23A}"/>
    <cellStyle name="Normal 8 4 5 5" xfId="9926" xr:uid="{FFA3C7A8-7895-49E1-905A-898BAEE17A69}"/>
    <cellStyle name="Normal 8 4 6" xfId="1800" xr:uid="{00000000-0005-0000-0000-0000141E0000}"/>
    <cellStyle name="Normal 8 4 6 2" xfId="4030" xr:uid="{00000000-0005-0000-0000-0000151E0000}"/>
    <cellStyle name="Normal 8 4 6 2 2" xfId="8252" xr:uid="{00000000-0005-0000-0000-0000161E0000}"/>
    <cellStyle name="Normal 8 4 6 2 2 2" xfId="25143" xr:uid="{7D187690-AF35-489D-9B29-36A654503962}"/>
    <cellStyle name="Normal 8 4 6 2 2 3" xfId="16702" xr:uid="{3268AA9D-057F-41BC-8035-1FD64F09C5E3}"/>
    <cellStyle name="Normal 8 4 6 2 3" xfId="20925" xr:uid="{34FF3CAA-4C36-4FCA-9EBA-6AEC02D55A9B}"/>
    <cellStyle name="Normal 8 4 6 2 4" xfId="12484" xr:uid="{E24C435C-B9A3-4CDA-8A58-9A5C413B1CD3}"/>
    <cellStyle name="Normal 8 4 6 3" xfId="6107" xr:uid="{00000000-0005-0000-0000-0000171E0000}"/>
    <cellStyle name="Normal 8 4 6 3 2" xfId="22998" xr:uid="{927FBDC1-465E-433C-AF24-F7BDE3585DE5}"/>
    <cellStyle name="Normal 8 4 6 3 3" xfId="14557" xr:uid="{B397B6AD-D1B6-40D7-B913-3802E5899905}"/>
    <cellStyle name="Normal 8 4 6 4" xfId="18780" xr:uid="{7F2089E0-9E73-49C6-A330-5D46323830E9}"/>
    <cellStyle name="Normal 8 4 6 5" xfId="10339" xr:uid="{F7A27DBE-443C-4DD5-B53E-F196B42A29EC}"/>
    <cellStyle name="Normal 8 4 7" xfId="2214" xr:uid="{00000000-0005-0000-0000-0000181E0000}"/>
    <cellStyle name="Normal 8 4 7 2" xfId="4443" xr:uid="{00000000-0005-0000-0000-0000191E0000}"/>
    <cellStyle name="Normal 8 4 7 2 2" xfId="8665" xr:uid="{00000000-0005-0000-0000-00001A1E0000}"/>
    <cellStyle name="Normal 8 4 7 2 2 2" xfId="25556" xr:uid="{8FA55A89-FB00-4F45-AC3F-E42A4011B755}"/>
    <cellStyle name="Normal 8 4 7 2 2 3" xfId="17115" xr:uid="{2E05D616-6D10-4B93-8674-7F0F948FBF5C}"/>
    <cellStyle name="Normal 8 4 7 2 3" xfId="21338" xr:uid="{8BD8E99C-BB77-431A-8BFD-C2AFDBA4E051}"/>
    <cellStyle name="Normal 8 4 7 2 4" xfId="12897" xr:uid="{8FDCB130-28A0-403D-A92C-F941E77C8461}"/>
    <cellStyle name="Normal 8 4 7 3" xfId="6520" xr:uid="{00000000-0005-0000-0000-00001B1E0000}"/>
    <cellStyle name="Normal 8 4 7 3 2" xfId="23411" xr:uid="{E9ADEC60-B14F-4B6C-83DA-405FAB47BCF6}"/>
    <cellStyle name="Normal 8 4 7 3 3" xfId="14970" xr:uid="{35E4B9E2-7CBF-4FAF-B25C-E9E28EFFEE38}"/>
    <cellStyle name="Normal 8 4 7 4" xfId="19193" xr:uid="{19E9A8A1-A2A8-4A50-B8EF-DD5E2D597B83}"/>
    <cellStyle name="Normal 8 4 7 5" xfId="10752" xr:uid="{1856219C-6980-4EF6-B7EF-68304CC83450}"/>
    <cellStyle name="Normal 8 4 8" xfId="2650" xr:uid="{00000000-0005-0000-0000-00001C1E0000}"/>
    <cellStyle name="Normal 8 4 8 2" xfId="6933" xr:uid="{00000000-0005-0000-0000-00001D1E0000}"/>
    <cellStyle name="Normal 8 4 8 2 2" xfId="23824" xr:uid="{E679AFC4-89C6-43FF-A8E1-1BEC7CFBAD3F}"/>
    <cellStyle name="Normal 8 4 8 2 3" xfId="15383" xr:uid="{EE0FC2B8-4E44-44C8-9E0E-E5AD9122AFCA}"/>
    <cellStyle name="Normal 8 4 8 3" xfId="19606" xr:uid="{DD4455FB-D4BE-4BC7-BC1E-CC3397FD0111}"/>
    <cellStyle name="Normal 8 4 8 4" xfId="11165" xr:uid="{368A7C3B-41EC-4282-9E7F-BF94672CCD1D}"/>
    <cellStyle name="Normal 8 4 9" xfId="4868" xr:uid="{00000000-0005-0000-0000-00001E1E0000}"/>
    <cellStyle name="Normal 8 4 9 2" xfId="21759" xr:uid="{C314C144-2309-4E0B-91BC-32FBBB946C15}"/>
    <cellStyle name="Normal 8 4 9 3" xfId="13318" xr:uid="{73AB7CB7-B100-4BFC-90DC-4605D8981739}"/>
    <cellStyle name="Normal 8 5" xfId="507" xr:uid="{00000000-0005-0000-0000-00001F1E0000}"/>
    <cellStyle name="Normal 8 5 10" xfId="9104" xr:uid="{07CC6244-8E03-42EA-9370-566267FC0AAD}"/>
    <cellStyle name="Normal 8 5 11" xfId="25818" xr:uid="{CD1EABEC-BA5C-4CD8-BECB-275E49D7B656}"/>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2 2 2" xfId="24322" xr:uid="{A98CE173-B427-4895-A36B-B9089E845DCE}"/>
    <cellStyle name="Normal 8 5 2 2 2 2 3" xfId="15881" xr:uid="{5A854A45-45C5-4784-910C-1ECBC727FF0A}"/>
    <cellStyle name="Normal 8 5 2 2 2 3" xfId="20104" xr:uid="{8D21970A-ED0D-4CCC-8A83-19A68A8069B4}"/>
    <cellStyle name="Normal 8 5 2 2 2 4" xfId="11663" xr:uid="{77B857A9-1A2D-4918-853B-C6295A81C0AD}"/>
    <cellStyle name="Normal 8 5 2 2 3" xfId="5286" xr:uid="{00000000-0005-0000-0000-0000241E0000}"/>
    <cellStyle name="Normal 8 5 2 2 3 2" xfId="22177" xr:uid="{522BCC97-33AB-467E-9B20-EAF0485C7633}"/>
    <cellStyle name="Normal 8 5 2 2 3 3" xfId="13736" xr:uid="{CFE64416-EE9F-4610-BAE9-1C81F306003A}"/>
    <cellStyle name="Normal 8 5 2 2 4" xfId="17959" xr:uid="{A23E4A3F-1654-47F8-BBC7-8EBC1363C123}"/>
    <cellStyle name="Normal 8 5 2 2 5" xfId="9518" xr:uid="{29DC9EB2-B80B-4E7F-95AA-FF76550C2079}"/>
    <cellStyle name="Normal 8 5 2 3" xfId="1392" xr:uid="{00000000-0005-0000-0000-0000251E0000}"/>
    <cellStyle name="Normal 8 5 2 3 2" xfId="3622" xr:uid="{00000000-0005-0000-0000-0000261E0000}"/>
    <cellStyle name="Normal 8 5 2 3 2 2" xfId="7844" xr:uid="{00000000-0005-0000-0000-0000271E0000}"/>
    <cellStyle name="Normal 8 5 2 3 2 2 2" xfId="24735" xr:uid="{C91B9614-F290-47E4-9249-54C65131CDD0}"/>
    <cellStyle name="Normal 8 5 2 3 2 2 3" xfId="16294" xr:uid="{DAC4EF3F-8216-44D9-8A9C-9BA09DA5A79D}"/>
    <cellStyle name="Normal 8 5 2 3 2 3" xfId="20517" xr:uid="{D8ABE280-9462-4FDD-88EE-617052A26497}"/>
    <cellStyle name="Normal 8 5 2 3 2 4" xfId="12076" xr:uid="{E2786D11-9682-4D48-BA9B-BEBC6EA1A5A8}"/>
    <cellStyle name="Normal 8 5 2 3 3" xfId="5699" xr:uid="{00000000-0005-0000-0000-0000281E0000}"/>
    <cellStyle name="Normal 8 5 2 3 3 2" xfId="22590" xr:uid="{8BA8C484-138D-4E08-B0EC-0C409C858AF4}"/>
    <cellStyle name="Normal 8 5 2 3 3 3" xfId="14149" xr:uid="{6DFEE3EC-DB38-40A5-BDA2-E54EE8FDA971}"/>
    <cellStyle name="Normal 8 5 2 3 4" xfId="18372" xr:uid="{8BA602A6-22BF-4D3C-A02C-72756657D0D6}"/>
    <cellStyle name="Normal 8 5 2 3 5" xfId="9931" xr:uid="{7527C942-6C89-4DD8-AE7E-6E7053D16095}"/>
    <cellStyle name="Normal 8 5 2 4" xfId="1805" xr:uid="{00000000-0005-0000-0000-0000291E0000}"/>
    <cellStyle name="Normal 8 5 2 4 2" xfId="4035" xr:uid="{00000000-0005-0000-0000-00002A1E0000}"/>
    <cellStyle name="Normal 8 5 2 4 2 2" xfId="8257" xr:uid="{00000000-0005-0000-0000-00002B1E0000}"/>
    <cellStyle name="Normal 8 5 2 4 2 2 2" xfId="25148" xr:uid="{E3F07F19-46C0-4298-889E-5D87D48DB293}"/>
    <cellStyle name="Normal 8 5 2 4 2 2 3" xfId="16707" xr:uid="{3F4A4B0A-066D-4956-9374-25DC87C6A783}"/>
    <cellStyle name="Normal 8 5 2 4 2 3" xfId="20930" xr:uid="{4A10DD8A-C025-4A1A-B36F-57309BFBBF79}"/>
    <cellStyle name="Normal 8 5 2 4 2 4" xfId="12489" xr:uid="{1053A0A1-C256-4D48-991B-6D6244FA9B2C}"/>
    <cellStyle name="Normal 8 5 2 4 3" xfId="6112" xr:uid="{00000000-0005-0000-0000-00002C1E0000}"/>
    <cellStyle name="Normal 8 5 2 4 3 2" xfId="23003" xr:uid="{09289C71-2D1D-47AD-A079-9CE9D6D1CB92}"/>
    <cellStyle name="Normal 8 5 2 4 3 3" xfId="14562" xr:uid="{1661E2DE-A6AB-438C-90EE-7BCCE4543ACA}"/>
    <cellStyle name="Normal 8 5 2 4 4" xfId="18785" xr:uid="{ED43EF37-6B0E-4701-8D14-6A89AC1B5CD6}"/>
    <cellStyle name="Normal 8 5 2 4 5" xfId="10344" xr:uid="{DCA023DE-F0DD-4487-A13B-9A6390C199A1}"/>
    <cellStyle name="Normal 8 5 2 5" xfId="2219" xr:uid="{00000000-0005-0000-0000-00002D1E0000}"/>
    <cellStyle name="Normal 8 5 2 5 2" xfId="4448" xr:uid="{00000000-0005-0000-0000-00002E1E0000}"/>
    <cellStyle name="Normal 8 5 2 5 2 2" xfId="8670" xr:uid="{00000000-0005-0000-0000-00002F1E0000}"/>
    <cellStyle name="Normal 8 5 2 5 2 2 2" xfId="25561" xr:uid="{45BA188A-1BCA-4C6F-ABAF-3DE8E72D6C59}"/>
    <cellStyle name="Normal 8 5 2 5 2 2 3" xfId="17120" xr:uid="{A53181E6-9A6B-434C-96DC-1458C6BC43E9}"/>
    <cellStyle name="Normal 8 5 2 5 2 3" xfId="21343" xr:uid="{CEB26A6F-2771-4089-895E-612FDDC252C5}"/>
    <cellStyle name="Normal 8 5 2 5 2 4" xfId="12902" xr:uid="{41349094-265D-472F-848B-29625CA6CD75}"/>
    <cellStyle name="Normal 8 5 2 5 3" xfId="6525" xr:uid="{00000000-0005-0000-0000-0000301E0000}"/>
    <cellStyle name="Normal 8 5 2 5 3 2" xfId="23416" xr:uid="{44D9B629-05D5-45CE-AAB5-087923F1412E}"/>
    <cellStyle name="Normal 8 5 2 5 3 3" xfId="14975" xr:uid="{5374691F-248B-4DCE-AAC2-B75C102DBE61}"/>
    <cellStyle name="Normal 8 5 2 5 4" xfId="19198" xr:uid="{ED24EE51-84DA-4B9F-AD47-8811C992E49B}"/>
    <cellStyle name="Normal 8 5 2 5 5" xfId="10757" xr:uid="{DC478BB8-F8BD-44CA-9824-A914BD2F4E63}"/>
    <cellStyle name="Normal 8 5 2 6" xfId="2655" xr:uid="{00000000-0005-0000-0000-0000311E0000}"/>
    <cellStyle name="Normal 8 5 2 6 2" xfId="6938" xr:uid="{00000000-0005-0000-0000-0000321E0000}"/>
    <cellStyle name="Normal 8 5 2 6 2 2" xfId="23829" xr:uid="{2228B15A-8C34-481F-87BF-997D720F8AC1}"/>
    <cellStyle name="Normal 8 5 2 6 2 3" xfId="15388" xr:uid="{23C9E469-1D39-4877-8DB7-1FC084724DE9}"/>
    <cellStyle name="Normal 8 5 2 6 3" xfId="19611" xr:uid="{6878DD0A-4728-47C7-B3DF-2DB3929D2F3B}"/>
    <cellStyle name="Normal 8 5 2 6 4" xfId="11170" xr:uid="{22EF3241-EC6B-4C0C-8026-0AF7B8C899F3}"/>
    <cellStyle name="Normal 8 5 2 7" xfId="4873" xr:uid="{00000000-0005-0000-0000-0000331E0000}"/>
    <cellStyle name="Normal 8 5 2 7 2" xfId="21764" xr:uid="{76A4E5A8-9CF2-401C-B380-0691067313C4}"/>
    <cellStyle name="Normal 8 5 2 7 3" xfId="13323" xr:uid="{97FB428C-8D53-4DCD-A3F4-285864794DCB}"/>
    <cellStyle name="Normal 8 5 2 8" xfId="17546" xr:uid="{72D59044-FBC8-42DB-8677-A21E295A2002}"/>
    <cellStyle name="Normal 8 5 2 9" xfId="9105" xr:uid="{71C3D8FC-0374-4796-892C-976BA93E9F63}"/>
    <cellStyle name="Normal 8 5 3" xfId="974" xr:uid="{00000000-0005-0000-0000-0000341E0000}"/>
    <cellStyle name="Normal 8 5 3 2" xfId="3208" xr:uid="{00000000-0005-0000-0000-0000351E0000}"/>
    <cellStyle name="Normal 8 5 3 2 2" xfId="7430" xr:uid="{00000000-0005-0000-0000-0000361E0000}"/>
    <cellStyle name="Normal 8 5 3 2 2 2" xfId="24321" xr:uid="{1DA40CA1-04DC-4E9D-A9EF-A8147C84ABB0}"/>
    <cellStyle name="Normal 8 5 3 2 2 3" xfId="15880" xr:uid="{51EA6770-8750-4226-9DB0-D47F2CBB6F66}"/>
    <cellStyle name="Normal 8 5 3 2 3" xfId="20103" xr:uid="{76DECA73-133F-43D7-9F98-22E94A34F218}"/>
    <cellStyle name="Normal 8 5 3 2 4" xfId="11662" xr:uid="{DB3E97C2-10CB-402F-81D2-D80089EE7727}"/>
    <cellStyle name="Normal 8 5 3 3" xfId="5285" xr:uid="{00000000-0005-0000-0000-0000371E0000}"/>
    <cellStyle name="Normal 8 5 3 3 2" xfId="22176" xr:uid="{1889D5FA-6A34-49BA-9F08-0C5B724944FD}"/>
    <cellStyle name="Normal 8 5 3 3 3" xfId="13735" xr:uid="{75EE1BD2-CE68-40E0-9319-E87664D589CB}"/>
    <cellStyle name="Normal 8 5 3 4" xfId="17958" xr:uid="{800DEF57-A08A-4F09-9652-E95732757AC2}"/>
    <cellStyle name="Normal 8 5 3 5" xfId="9517" xr:uid="{080CE89A-26F8-492F-A4D3-0458A4646656}"/>
    <cellStyle name="Normal 8 5 4" xfId="1391" xr:uid="{00000000-0005-0000-0000-0000381E0000}"/>
    <cellStyle name="Normal 8 5 4 2" xfId="3621" xr:uid="{00000000-0005-0000-0000-0000391E0000}"/>
    <cellStyle name="Normal 8 5 4 2 2" xfId="7843" xr:uid="{00000000-0005-0000-0000-00003A1E0000}"/>
    <cellStyle name="Normal 8 5 4 2 2 2" xfId="24734" xr:uid="{EA5828E7-64C1-49FA-AA11-B884E88FFCBC}"/>
    <cellStyle name="Normal 8 5 4 2 2 3" xfId="16293" xr:uid="{AAD567A0-3358-472F-897A-3DA37C661221}"/>
    <cellStyle name="Normal 8 5 4 2 3" xfId="20516" xr:uid="{B4945BEC-E6A2-4750-B996-4180CC003107}"/>
    <cellStyle name="Normal 8 5 4 2 4" xfId="12075" xr:uid="{51EE9CBC-3A3D-413A-BB20-B44BCA9E05B5}"/>
    <cellStyle name="Normal 8 5 4 3" xfId="5698" xr:uid="{00000000-0005-0000-0000-00003B1E0000}"/>
    <cellStyle name="Normal 8 5 4 3 2" xfId="22589" xr:uid="{96022C9A-214F-4F29-BE24-5114B0BF28A3}"/>
    <cellStyle name="Normal 8 5 4 3 3" xfId="14148" xr:uid="{87292991-091F-41FA-BB07-4FD72F1B22A2}"/>
    <cellStyle name="Normal 8 5 4 4" xfId="18371" xr:uid="{FA2BB591-97EB-41DF-AFD3-45AA74347734}"/>
    <cellStyle name="Normal 8 5 4 5" xfId="9930" xr:uid="{7E8AF706-ECEB-437A-8D1E-F43D0F98D0D2}"/>
    <cellStyle name="Normal 8 5 5" xfId="1804" xr:uid="{00000000-0005-0000-0000-00003C1E0000}"/>
    <cellStyle name="Normal 8 5 5 2" xfId="4034" xr:uid="{00000000-0005-0000-0000-00003D1E0000}"/>
    <cellStyle name="Normal 8 5 5 2 2" xfId="8256" xr:uid="{00000000-0005-0000-0000-00003E1E0000}"/>
    <cellStyle name="Normal 8 5 5 2 2 2" xfId="25147" xr:uid="{A7636701-428B-437B-A9E1-25393549C0B5}"/>
    <cellStyle name="Normal 8 5 5 2 2 3" xfId="16706" xr:uid="{5FCEA141-4CDD-44DB-8BE7-95AE74F7C47F}"/>
    <cellStyle name="Normal 8 5 5 2 3" xfId="20929" xr:uid="{250A0AAF-5FB6-48E7-9427-508747515572}"/>
    <cellStyle name="Normal 8 5 5 2 4" xfId="12488" xr:uid="{FAE80A9B-F578-4F11-AD95-D7E37F53A55E}"/>
    <cellStyle name="Normal 8 5 5 3" xfId="6111" xr:uid="{00000000-0005-0000-0000-00003F1E0000}"/>
    <cellStyle name="Normal 8 5 5 3 2" xfId="23002" xr:uid="{20841055-E2D0-464C-BE7A-3EE3B81837BD}"/>
    <cellStyle name="Normal 8 5 5 3 3" xfId="14561" xr:uid="{8395740F-A065-4B58-8DBC-EA37FB594491}"/>
    <cellStyle name="Normal 8 5 5 4" xfId="18784" xr:uid="{0BFCB700-3C7F-4B0D-AE5D-384FE5B64FF4}"/>
    <cellStyle name="Normal 8 5 5 5" xfId="10343" xr:uid="{B80810E3-75D6-4E65-A792-81ACE13F08FB}"/>
    <cellStyle name="Normal 8 5 6" xfId="2218" xr:uid="{00000000-0005-0000-0000-0000401E0000}"/>
    <cellStyle name="Normal 8 5 6 2" xfId="4447" xr:uid="{00000000-0005-0000-0000-0000411E0000}"/>
    <cellStyle name="Normal 8 5 6 2 2" xfId="8669" xr:uid="{00000000-0005-0000-0000-0000421E0000}"/>
    <cellStyle name="Normal 8 5 6 2 2 2" xfId="25560" xr:uid="{A2C2D5B6-964E-4179-BD48-A47734965334}"/>
    <cellStyle name="Normal 8 5 6 2 2 3" xfId="17119" xr:uid="{7AAB9A23-35D4-4AFF-8F7D-91647E8033CE}"/>
    <cellStyle name="Normal 8 5 6 2 3" xfId="21342" xr:uid="{563A57EF-D9D0-4C4F-87F7-0B3C0D2030B2}"/>
    <cellStyle name="Normal 8 5 6 2 4" xfId="12901" xr:uid="{05504AC1-384E-4774-8A08-81B9B6A6FCC1}"/>
    <cellStyle name="Normal 8 5 6 3" xfId="6524" xr:uid="{00000000-0005-0000-0000-0000431E0000}"/>
    <cellStyle name="Normal 8 5 6 3 2" xfId="23415" xr:uid="{6759D8DF-4C04-4146-BE8F-0EBED2D560EC}"/>
    <cellStyle name="Normal 8 5 6 3 3" xfId="14974" xr:uid="{5E3658C0-6B93-488C-A0A3-AF562D9FD965}"/>
    <cellStyle name="Normal 8 5 6 4" xfId="19197" xr:uid="{957559DA-69B9-4E9F-BF80-9F8097E87923}"/>
    <cellStyle name="Normal 8 5 6 5" xfId="10756" xr:uid="{A0B65135-91A9-4AF5-96B2-378D17CC157B}"/>
    <cellStyle name="Normal 8 5 7" xfId="2654" xr:uid="{00000000-0005-0000-0000-0000441E0000}"/>
    <cellStyle name="Normal 8 5 7 2" xfId="6937" xr:uid="{00000000-0005-0000-0000-0000451E0000}"/>
    <cellStyle name="Normal 8 5 7 2 2" xfId="23828" xr:uid="{5F08FF5F-E706-491C-8C98-850B9A5E03CB}"/>
    <cellStyle name="Normal 8 5 7 2 3" xfId="15387" xr:uid="{CB5E0DC0-4B7B-4A1A-BEF3-30BED613B1DA}"/>
    <cellStyle name="Normal 8 5 7 3" xfId="19610" xr:uid="{7BCFC17E-4471-4DD4-86D9-834F2E59482C}"/>
    <cellStyle name="Normal 8 5 7 4" xfId="11169" xr:uid="{D3C9A924-F607-400F-BA11-ACE13CA5F5A7}"/>
    <cellStyle name="Normal 8 5 8" xfId="4872" xr:uid="{00000000-0005-0000-0000-0000461E0000}"/>
    <cellStyle name="Normal 8 5 8 2" xfId="21763" xr:uid="{A1F3F0EE-7BBA-4946-8B7E-B703BD635A38}"/>
    <cellStyle name="Normal 8 5 8 3" xfId="13322" xr:uid="{1E845766-4D52-4C24-832A-91AD23773EFA}"/>
    <cellStyle name="Normal 8 5 9" xfId="17545" xr:uid="{2C6C84C3-BE87-4E06-855A-4C6C55C0B3BE}"/>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2 2 2" xfId="24323" xr:uid="{398B50A5-4466-4CC5-8BB8-098550CD5EF8}"/>
    <cellStyle name="Normal 8 6 2 2 2 3" xfId="15882" xr:uid="{04A7B5B1-9ED0-4DD8-96CD-CF809EE453F0}"/>
    <cellStyle name="Normal 8 6 2 2 3" xfId="20105" xr:uid="{51998D87-1031-4D7C-8B7F-7A1D5BD0EF26}"/>
    <cellStyle name="Normal 8 6 2 2 4" xfId="11664" xr:uid="{D6004CF2-52CF-4BF2-A7D9-B3BEA7D289AF}"/>
    <cellStyle name="Normal 8 6 2 3" xfId="5287" xr:uid="{00000000-0005-0000-0000-00004B1E0000}"/>
    <cellStyle name="Normal 8 6 2 3 2" xfId="22178" xr:uid="{9A8086F8-E16B-4CEF-B6D1-D48A72745DA5}"/>
    <cellStyle name="Normal 8 6 2 3 3" xfId="13737" xr:uid="{27E768F5-ED29-481A-AFC2-0BC23D5521C2}"/>
    <cellStyle name="Normal 8 6 2 4" xfId="17960" xr:uid="{2F928DFB-4216-4F6A-AF68-CC2850A54CC9}"/>
    <cellStyle name="Normal 8 6 2 5" xfId="9519" xr:uid="{F704A770-5746-426A-A6C3-5019FDC91865}"/>
    <cellStyle name="Normal 8 6 3" xfId="1393" xr:uid="{00000000-0005-0000-0000-00004C1E0000}"/>
    <cellStyle name="Normal 8 6 3 2" xfId="3623" xr:uid="{00000000-0005-0000-0000-00004D1E0000}"/>
    <cellStyle name="Normal 8 6 3 2 2" xfId="7845" xr:uid="{00000000-0005-0000-0000-00004E1E0000}"/>
    <cellStyle name="Normal 8 6 3 2 2 2" xfId="24736" xr:uid="{0E9F4F29-A713-4F5A-9DB1-8EAF58DD4EBF}"/>
    <cellStyle name="Normal 8 6 3 2 2 3" xfId="16295" xr:uid="{C0248D28-F2EA-4707-AA5A-EF006A43F486}"/>
    <cellStyle name="Normal 8 6 3 2 3" xfId="20518" xr:uid="{49D4589C-9058-4FA5-BC78-6854E7EA9E29}"/>
    <cellStyle name="Normal 8 6 3 2 4" xfId="12077" xr:uid="{368F1BBD-5C47-4826-9956-E7A31B38DE2A}"/>
    <cellStyle name="Normal 8 6 3 3" xfId="5700" xr:uid="{00000000-0005-0000-0000-00004F1E0000}"/>
    <cellStyle name="Normal 8 6 3 3 2" xfId="22591" xr:uid="{04625866-4C1D-45CC-8551-A8B815F85BF3}"/>
    <cellStyle name="Normal 8 6 3 3 3" xfId="14150" xr:uid="{082F3A04-EA37-432F-A091-20CFB234011F}"/>
    <cellStyle name="Normal 8 6 3 4" xfId="18373" xr:uid="{03C0082F-3931-4362-896D-C8697CE615D6}"/>
    <cellStyle name="Normal 8 6 3 5" xfId="9932" xr:uid="{C14B8E39-490D-45B4-B9DA-36960D03BB4D}"/>
    <cellStyle name="Normal 8 6 4" xfId="1806" xr:uid="{00000000-0005-0000-0000-0000501E0000}"/>
    <cellStyle name="Normal 8 6 4 2" xfId="4036" xr:uid="{00000000-0005-0000-0000-0000511E0000}"/>
    <cellStyle name="Normal 8 6 4 2 2" xfId="8258" xr:uid="{00000000-0005-0000-0000-0000521E0000}"/>
    <cellStyle name="Normal 8 6 4 2 2 2" xfId="25149" xr:uid="{DB4E6753-FD48-43D3-A703-203E8F9F848C}"/>
    <cellStyle name="Normal 8 6 4 2 2 3" xfId="16708" xr:uid="{CDA20C15-072C-48FA-B019-9078E65F494D}"/>
    <cellStyle name="Normal 8 6 4 2 3" xfId="20931" xr:uid="{A8EBF0E5-E2AD-4424-B757-042CE798193D}"/>
    <cellStyle name="Normal 8 6 4 2 4" xfId="12490" xr:uid="{1008E135-88DC-40D2-B927-03D651B7016F}"/>
    <cellStyle name="Normal 8 6 4 3" xfId="6113" xr:uid="{00000000-0005-0000-0000-0000531E0000}"/>
    <cellStyle name="Normal 8 6 4 3 2" xfId="23004" xr:uid="{AC7A0A44-908D-400E-8688-4E95AF0E4982}"/>
    <cellStyle name="Normal 8 6 4 3 3" xfId="14563" xr:uid="{3B89388F-55A9-4A42-8B6F-52BBCE531829}"/>
    <cellStyle name="Normal 8 6 4 4" xfId="18786" xr:uid="{35041840-A6DF-4985-9EA5-620F3ADFB5A6}"/>
    <cellStyle name="Normal 8 6 4 5" xfId="10345" xr:uid="{19018330-6197-47B7-B065-A3DCA1F091FA}"/>
    <cellStyle name="Normal 8 6 5" xfId="2220" xr:uid="{00000000-0005-0000-0000-0000541E0000}"/>
    <cellStyle name="Normal 8 6 5 2" xfId="4449" xr:uid="{00000000-0005-0000-0000-0000551E0000}"/>
    <cellStyle name="Normal 8 6 5 2 2" xfId="8671" xr:uid="{00000000-0005-0000-0000-0000561E0000}"/>
    <cellStyle name="Normal 8 6 5 2 2 2" xfId="25562" xr:uid="{25C5CD62-A1E2-4C96-B830-3C4510572A70}"/>
    <cellStyle name="Normal 8 6 5 2 2 3" xfId="17121" xr:uid="{AA6E3A94-35CF-47C6-99CD-F1B42918BAD5}"/>
    <cellStyle name="Normal 8 6 5 2 3" xfId="21344" xr:uid="{55E2E29D-B877-4F80-8FED-D85BBD3CFF52}"/>
    <cellStyle name="Normal 8 6 5 2 4" xfId="12903" xr:uid="{F3FB51EA-C420-4CD4-93A5-ABC933D1C60B}"/>
    <cellStyle name="Normal 8 6 5 3" xfId="6526" xr:uid="{00000000-0005-0000-0000-0000571E0000}"/>
    <cellStyle name="Normal 8 6 5 3 2" xfId="23417" xr:uid="{28D03DEF-1F75-4860-9C16-072E4E6A5421}"/>
    <cellStyle name="Normal 8 6 5 3 3" xfId="14976" xr:uid="{D82A070A-98FC-4297-9EFA-A4BF55DA7CA3}"/>
    <cellStyle name="Normal 8 6 5 4" xfId="19199" xr:uid="{2813541E-3030-470D-A01F-311B511BE9DB}"/>
    <cellStyle name="Normal 8 6 5 5" xfId="10758" xr:uid="{0B03690C-F7DC-4466-A6A2-8C9B139FA630}"/>
    <cellStyle name="Normal 8 6 6" xfId="2656" xr:uid="{00000000-0005-0000-0000-0000581E0000}"/>
    <cellStyle name="Normal 8 6 6 2" xfId="6939" xr:uid="{00000000-0005-0000-0000-0000591E0000}"/>
    <cellStyle name="Normal 8 6 6 2 2" xfId="23830" xr:uid="{7E2F09D0-59F5-47FC-A3E1-B4F60BB70A28}"/>
    <cellStyle name="Normal 8 6 6 2 3" xfId="15389" xr:uid="{66D55B8E-F254-4658-BA3E-6D7DB570908A}"/>
    <cellStyle name="Normal 8 6 6 3" xfId="19612" xr:uid="{AE7E25FF-9380-480E-A007-0FEF543A4F36}"/>
    <cellStyle name="Normal 8 6 6 4" xfId="11171" xr:uid="{9FCE2D97-0D78-47B2-A23A-1AF1A29A9642}"/>
    <cellStyle name="Normal 8 6 7" xfId="4874" xr:uid="{00000000-0005-0000-0000-00005A1E0000}"/>
    <cellStyle name="Normal 8 6 7 2" xfId="21765" xr:uid="{2326651C-9430-433C-9D83-85C2E3E3C602}"/>
    <cellStyle name="Normal 8 6 7 3" xfId="13324" xr:uid="{8168FE38-14AA-4D0B-B3BB-78C41063D787}"/>
    <cellStyle name="Normal 8 6 8" xfId="17547" xr:uid="{B85A5F50-28B5-4D77-AD7A-6F72AF991171}"/>
    <cellStyle name="Normal 8 6 9" xfId="9106" xr:uid="{5A55F6E8-F9F5-402F-B0D8-006ABA9D8627}"/>
    <cellStyle name="Normal 8 7" xfId="945" xr:uid="{00000000-0005-0000-0000-00005B1E0000}"/>
    <cellStyle name="Normal 8 7 2" xfId="3179" xr:uid="{00000000-0005-0000-0000-00005C1E0000}"/>
    <cellStyle name="Normal 8 7 2 2" xfId="7401" xr:uid="{00000000-0005-0000-0000-00005D1E0000}"/>
    <cellStyle name="Normal 8 7 2 2 2" xfId="24292" xr:uid="{C107ED09-786C-400C-B04F-75072A468282}"/>
    <cellStyle name="Normal 8 7 2 2 3" xfId="15851" xr:uid="{B2CDD0CA-9690-40C8-BC1F-A34271BB14BC}"/>
    <cellStyle name="Normal 8 7 2 3" xfId="20074" xr:uid="{32AD1CDC-30F2-4C19-B6AC-096A9052388C}"/>
    <cellStyle name="Normal 8 7 2 4" xfId="11633" xr:uid="{FE07276D-0A0A-4EDA-B5AD-DDBEA5BF11BA}"/>
    <cellStyle name="Normal 8 7 3" xfId="5256" xr:uid="{00000000-0005-0000-0000-00005E1E0000}"/>
    <cellStyle name="Normal 8 7 3 2" xfId="22147" xr:uid="{16FB86B5-007D-47AE-B7CB-984DBC76F2B0}"/>
    <cellStyle name="Normal 8 7 3 3" xfId="13706" xr:uid="{64AC6CC2-4302-472A-B428-ABBB86C629FB}"/>
    <cellStyle name="Normal 8 7 4" xfId="17929" xr:uid="{EE0488F6-9183-40AE-8666-50CF8E97E335}"/>
    <cellStyle name="Normal 8 7 5" xfId="9488" xr:uid="{B9F515D0-305B-440D-96B8-5D27296DC168}"/>
    <cellStyle name="Normal 8 8" xfId="1362" xr:uid="{00000000-0005-0000-0000-00005F1E0000}"/>
    <cellStyle name="Normal 8 8 2" xfId="3592" xr:uid="{00000000-0005-0000-0000-0000601E0000}"/>
    <cellStyle name="Normal 8 8 2 2" xfId="7814" xr:uid="{00000000-0005-0000-0000-0000611E0000}"/>
    <cellStyle name="Normal 8 8 2 2 2" xfId="24705" xr:uid="{8CD15BFB-6AB7-4000-9812-150279E1E8E1}"/>
    <cellStyle name="Normal 8 8 2 2 3" xfId="16264" xr:uid="{02066660-D804-4D3E-A814-7C10616BCE29}"/>
    <cellStyle name="Normal 8 8 2 3" xfId="20487" xr:uid="{3CAD1421-C9B9-4632-B637-9304D15BC81D}"/>
    <cellStyle name="Normal 8 8 2 4" xfId="12046" xr:uid="{8DEED51B-3109-426D-A793-E89EBCBD118C}"/>
    <cellStyle name="Normal 8 8 3" xfId="5669" xr:uid="{00000000-0005-0000-0000-0000621E0000}"/>
    <cellStyle name="Normal 8 8 3 2" xfId="22560" xr:uid="{27E69C24-46F5-447A-9528-63C6F20FD51E}"/>
    <cellStyle name="Normal 8 8 3 3" xfId="14119" xr:uid="{4C71D527-050C-4203-9297-F371B1E80FBB}"/>
    <cellStyle name="Normal 8 8 4" xfId="18342" xr:uid="{D4B4C78F-DD92-480F-B2ED-13AD2D5D9ED9}"/>
    <cellStyle name="Normal 8 8 5" xfId="9901" xr:uid="{D7D46D28-2338-4D40-95BA-89EBFB655E82}"/>
    <cellStyle name="Normal 8 9" xfId="1775" xr:uid="{00000000-0005-0000-0000-0000631E0000}"/>
    <cellStyle name="Normal 8 9 2" xfId="4005" xr:uid="{00000000-0005-0000-0000-0000641E0000}"/>
    <cellStyle name="Normal 8 9 2 2" xfId="8227" xr:uid="{00000000-0005-0000-0000-0000651E0000}"/>
    <cellStyle name="Normal 8 9 2 2 2" xfId="25118" xr:uid="{ABFDAA0D-462F-4B00-B315-119677BAD968}"/>
    <cellStyle name="Normal 8 9 2 2 3" xfId="16677" xr:uid="{9F2928D7-981A-4FEE-870E-F4678A11CB41}"/>
    <cellStyle name="Normal 8 9 2 3" xfId="20900" xr:uid="{D8DE35E2-5DAF-49FE-A27C-3900A40518F8}"/>
    <cellStyle name="Normal 8 9 2 4" xfId="12459" xr:uid="{665F1E8B-6B2F-42C1-9E22-DE266DBC83A0}"/>
    <cellStyle name="Normal 8 9 3" xfId="6082" xr:uid="{00000000-0005-0000-0000-0000661E0000}"/>
    <cellStyle name="Normal 8 9 3 2" xfId="22973" xr:uid="{348710D6-8AD7-4364-AE4D-0931A901F763}"/>
    <cellStyle name="Normal 8 9 3 3" xfId="14532" xr:uid="{E3BA08DD-1754-4541-B44A-E046CD26AC72}"/>
    <cellStyle name="Normal 8 9 4" xfId="18755" xr:uid="{E2B239D8-7327-4E4D-8D5F-2AAC6CE37D78}"/>
    <cellStyle name="Normal 8 9 5" xfId="10314" xr:uid="{A06B7833-F56F-4808-A4D3-0FE86C4F6551}"/>
    <cellStyle name="Normal 8_Dropdowns" xfId="25776" xr:uid="{8AF60D5B-8319-4303-9392-475A4A2501D9}"/>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23831" xr:uid="{48B09086-EF76-4572-8D31-5DC3CA0E9468}"/>
    <cellStyle name="Normal 9 2 10 2 3" xfId="15390" xr:uid="{6E27852C-96A3-4E5C-B414-8217A8460CF9}"/>
    <cellStyle name="Normal 9 2 10 3" xfId="19613" xr:uid="{4F8FDE4A-51C2-467B-A682-F5128ABEF84F}"/>
    <cellStyle name="Normal 9 2 10 4" xfId="11172" xr:uid="{E5E497E1-F214-4C9F-95CA-BE13AD4710F9}"/>
    <cellStyle name="Normal 9 2 11" xfId="4875" xr:uid="{00000000-0005-0000-0000-00006B1E0000}"/>
    <cellStyle name="Normal 9 2 11 2" xfId="21766" xr:uid="{498C4C34-EA68-43F8-9B3E-E57100F5BDF1}"/>
    <cellStyle name="Normal 9 2 11 3" xfId="13325" xr:uid="{EB466694-A725-4CA2-848C-7939DEAEF344}"/>
    <cellStyle name="Normal 9 2 12" xfId="17548" xr:uid="{C442C27D-FC6B-44E4-8B4E-639FE6BEC9CF}"/>
    <cellStyle name="Normal 9 2 13" xfId="9107" xr:uid="{244CD24C-3A78-4A80-B997-3A4D38118AFA}"/>
    <cellStyle name="Normal 9 2 14" xfId="25680" xr:uid="{0640A24E-2FE5-4C6F-A0EF-985885F75DC8}"/>
    <cellStyle name="Normal 9 2 2" xfId="512" xr:uid="{00000000-0005-0000-0000-00006C1E0000}"/>
    <cellStyle name="Normal 9 2 2 10" xfId="4876" xr:uid="{00000000-0005-0000-0000-00006D1E0000}"/>
    <cellStyle name="Normal 9 2 2 10 2" xfId="21767" xr:uid="{C3D1FFE6-A2DD-4387-9687-C72D5851B989}"/>
    <cellStyle name="Normal 9 2 2 10 3" xfId="13326" xr:uid="{958D615F-C2EB-455F-BB6B-DEEDF4A6E4AF}"/>
    <cellStyle name="Normal 9 2 2 11" xfId="17549" xr:uid="{F177B2DD-40FD-4DA0-BBB6-766052D69AF4}"/>
    <cellStyle name="Normal 9 2 2 12" xfId="9108" xr:uid="{A993113A-66B1-443E-BB89-823A4DE39E81}"/>
    <cellStyle name="Normal 9 2 2 13" xfId="25834" xr:uid="{16D7E4A7-EAB4-4F08-B2F5-EA1660C6E995}"/>
    <cellStyle name="Normal 9 2 2 2" xfId="513" xr:uid="{00000000-0005-0000-0000-00006E1E0000}"/>
    <cellStyle name="Normal 9 2 2 2 10" xfId="17550" xr:uid="{86E0A899-4AC7-4570-9464-C9FFB9AD2D3F}"/>
    <cellStyle name="Normal 9 2 2 2 11" xfId="9109" xr:uid="{2FAC189A-3AF0-4F00-8518-7206936A0E69}"/>
    <cellStyle name="Normal 9 2 2 2 2" xfId="514" xr:uid="{00000000-0005-0000-0000-00006F1E0000}"/>
    <cellStyle name="Normal 9 2 2 2 2 10" xfId="9110" xr:uid="{C8D3C22A-03E6-44AC-84F8-670670B254CC}"/>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24328" xr:uid="{7B8B5408-6044-4AEE-99EE-954B75D4633C}"/>
    <cellStyle name="Normal 9 2 2 2 2 2 2 2 2 3" xfId="15887" xr:uid="{9021499D-B4F1-4F5B-AC26-98819C3A3E35}"/>
    <cellStyle name="Normal 9 2 2 2 2 2 2 2 3" xfId="20110" xr:uid="{A6B0D58A-1EF6-47AE-9EE6-5502BEC481BF}"/>
    <cellStyle name="Normal 9 2 2 2 2 2 2 2 4" xfId="11669" xr:uid="{0F2B2585-6FCB-459A-A780-1FC60D5F5DEE}"/>
    <cellStyle name="Normal 9 2 2 2 2 2 2 3" xfId="5292" xr:uid="{00000000-0005-0000-0000-0000741E0000}"/>
    <cellStyle name="Normal 9 2 2 2 2 2 2 3 2" xfId="22183" xr:uid="{9FE2B2AF-5F0D-4002-958A-F7A6DAB512E2}"/>
    <cellStyle name="Normal 9 2 2 2 2 2 2 3 3" xfId="13742" xr:uid="{6FFF2B6F-C1EC-4E8C-9CFC-44BCC35167BC}"/>
    <cellStyle name="Normal 9 2 2 2 2 2 2 4" xfId="17965" xr:uid="{8A07C630-BD21-414B-A9E9-37A20C6BD23B}"/>
    <cellStyle name="Normal 9 2 2 2 2 2 2 5" xfId="9524" xr:uid="{DC9520D5-9390-432D-88D3-ECDA81BEE3EB}"/>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24741" xr:uid="{83F27593-2E5A-43E5-B93F-D5EBECB4BA64}"/>
    <cellStyle name="Normal 9 2 2 2 2 2 3 2 2 3" xfId="16300" xr:uid="{24288C56-CBBA-4F67-B735-33C61FA55AA2}"/>
    <cellStyle name="Normal 9 2 2 2 2 2 3 2 3" xfId="20523" xr:uid="{2904BF6A-71BE-45DB-9C3A-B45F9C1F5852}"/>
    <cellStyle name="Normal 9 2 2 2 2 2 3 2 4" xfId="12082" xr:uid="{FFABEEB7-E7B6-4042-AF6D-BAF00257A6C8}"/>
    <cellStyle name="Normal 9 2 2 2 2 2 3 3" xfId="5705" xr:uid="{00000000-0005-0000-0000-0000781E0000}"/>
    <cellStyle name="Normal 9 2 2 2 2 2 3 3 2" xfId="22596" xr:uid="{E9C03FA7-6791-401E-A8ED-DA9AD0BF8413}"/>
    <cellStyle name="Normal 9 2 2 2 2 2 3 3 3" xfId="14155" xr:uid="{CDC6D656-83FE-460E-A27A-C8C82B38F7C8}"/>
    <cellStyle name="Normal 9 2 2 2 2 2 3 4" xfId="18378" xr:uid="{937639EE-9362-47A0-80E8-99279F463F85}"/>
    <cellStyle name="Normal 9 2 2 2 2 2 3 5" xfId="9937" xr:uid="{809B1202-201A-4A1C-B51F-FE5BD916ED8F}"/>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25154" xr:uid="{3E9A657B-F9D3-4F5C-AC2B-648D3D0A074A}"/>
    <cellStyle name="Normal 9 2 2 2 2 2 4 2 2 3" xfId="16713" xr:uid="{327187AD-44A3-4700-B315-102FC6A0D223}"/>
    <cellStyle name="Normal 9 2 2 2 2 2 4 2 3" xfId="20936" xr:uid="{F04EE011-41BF-464C-A1CF-42146F33D773}"/>
    <cellStyle name="Normal 9 2 2 2 2 2 4 2 4" xfId="12495" xr:uid="{FCCF07E0-4306-4447-AF1A-4FE3F17A92E0}"/>
    <cellStyle name="Normal 9 2 2 2 2 2 4 3" xfId="6118" xr:uid="{00000000-0005-0000-0000-00007C1E0000}"/>
    <cellStyle name="Normal 9 2 2 2 2 2 4 3 2" xfId="23009" xr:uid="{8F420BFD-66D0-4149-ACF0-56D45FA7492B}"/>
    <cellStyle name="Normal 9 2 2 2 2 2 4 3 3" xfId="14568" xr:uid="{398B7A68-8EDA-46A6-9FE2-4E5E4D6699CB}"/>
    <cellStyle name="Normal 9 2 2 2 2 2 4 4" xfId="18791" xr:uid="{FCEBC14D-48F1-489B-B58D-06A8E4AAAA3E}"/>
    <cellStyle name="Normal 9 2 2 2 2 2 4 5" xfId="10350" xr:uid="{0FF659FE-4462-49EF-B9FB-141A07C92DA9}"/>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25567" xr:uid="{D247432E-A6A2-412C-B975-E35FADF65359}"/>
    <cellStyle name="Normal 9 2 2 2 2 2 5 2 2 3" xfId="17126" xr:uid="{A5AA0BA8-6B28-4EF5-99C1-57378C8E5CD1}"/>
    <cellStyle name="Normal 9 2 2 2 2 2 5 2 3" xfId="21349" xr:uid="{7E76F7E6-DC7F-46C2-A9A4-6D336B22F96D}"/>
    <cellStyle name="Normal 9 2 2 2 2 2 5 2 4" xfId="12908" xr:uid="{2257D6BD-0882-4E07-8659-024A002D2059}"/>
    <cellStyle name="Normal 9 2 2 2 2 2 5 3" xfId="6531" xr:uid="{00000000-0005-0000-0000-0000801E0000}"/>
    <cellStyle name="Normal 9 2 2 2 2 2 5 3 2" xfId="23422" xr:uid="{7E0EA3DD-060E-4791-B30C-5DBB5F1DA354}"/>
    <cellStyle name="Normal 9 2 2 2 2 2 5 3 3" xfId="14981" xr:uid="{F792FA1B-19DF-446C-9986-FB2125DF2069}"/>
    <cellStyle name="Normal 9 2 2 2 2 2 5 4" xfId="19204" xr:uid="{D4FE556D-8397-42E0-9926-27960338AB6A}"/>
    <cellStyle name="Normal 9 2 2 2 2 2 5 5" xfId="10763" xr:uid="{A8F76FBA-9649-48D3-8516-EE54B718922B}"/>
    <cellStyle name="Normal 9 2 2 2 2 2 6" xfId="2661" xr:uid="{00000000-0005-0000-0000-0000811E0000}"/>
    <cellStyle name="Normal 9 2 2 2 2 2 6 2" xfId="6944" xr:uid="{00000000-0005-0000-0000-0000821E0000}"/>
    <cellStyle name="Normal 9 2 2 2 2 2 6 2 2" xfId="23835" xr:uid="{19CF9523-2DCB-4BD5-8EA0-68238F01ABD3}"/>
    <cellStyle name="Normal 9 2 2 2 2 2 6 2 3" xfId="15394" xr:uid="{FAD7600A-D401-4F24-ACD5-B7885F19D10D}"/>
    <cellStyle name="Normal 9 2 2 2 2 2 6 3" xfId="19617" xr:uid="{44814F0A-4D8D-441D-854D-E3564E376604}"/>
    <cellStyle name="Normal 9 2 2 2 2 2 6 4" xfId="11176" xr:uid="{18492DA9-BCFF-41F3-BB09-E9F6975E8E98}"/>
    <cellStyle name="Normal 9 2 2 2 2 2 7" xfId="4879" xr:uid="{00000000-0005-0000-0000-0000831E0000}"/>
    <cellStyle name="Normal 9 2 2 2 2 2 7 2" xfId="21770" xr:uid="{83E1F596-EF23-42BD-9787-A721420C2DFD}"/>
    <cellStyle name="Normal 9 2 2 2 2 2 7 3" xfId="13329" xr:uid="{19746B92-F376-487A-92A9-2FD5815C54D6}"/>
    <cellStyle name="Normal 9 2 2 2 2 2 8" xfId="17552" xr:uid="{4E8E6938-D59A-4A75-8F78-0E90F4E93263}"/>
    <cellStyle name="Normal 9 2 2 2 2 2 9" xfId="9111" xr:uid="{9A2804E9-9A63-449A-AAE6-43226FB79928}"/>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24327" xr:uid="{14A2E3F9-8D96-4976-A294-564132D0DF69}"/>
    <cellStyle name="Normal 9 2 2 2 2 3 2 2 3" xfId="15886" xr:uid="{EBBE0978-1E42-4184-BF86-B4FFB0BDD829}"/>
    <cellStyle name="Normal 9 2 2 2 2 3 2 3" xfId="20109" xr:uid="{848F9BF2-5238-439B-9DBE-2712B5189C92}"/>
    <cellStyle name="Normal 9 2 2 2 2 3 2 4" xfId="11668" xr:uid="{50B469FD-7C26-4E8A-92C3-A40CD5FD5192}"/>
    <cellStyle name="Normal 9 2 2 2 2 3 3" xfId="5291" xr:uid="{00000000-0005-0000-0000-0000871E0000}"/>
    <cellStyle name="Normal 9 2 2 2 2 3 3 2" xfId="22182" xr:uid="{CF7933F7-B76C-4BD3-B329-1759CD71D2F4}"/>
    <cellStyle name="Normal 9 2 2 2 2 3 3 3" xfId="13741" xr:uid="{66859544-61C6-48A0-9F04-555A7D1B8684}"/>
    <cellStyle name="Normal 9 2 2 2 2 3 4" xfId="17964" xr:uid="{3FAC23C0-D488-468F-8480-02AA3F9F1472}"/>
    <cellStyle name="Normal 9 2 2 2 2 3 5" xfId="9523" xr:uid="{C178C8A5-866E-4A8C-A7EF-8648431B25E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24740" xr:uid="{1D603E60-64C1-4845-8BA0-F73B2DB6DEA5}"/>
    <cellStyle name="Normal 9 2 2 2 2 4 2 2 3" xfId="16299" xr:uid="{208D0028-FC38-4E52-A323-EE45E6C02258}"/>
    <cellStyle name="Normal 9 2 2 2 2 4 2 3" xfId="20522" xr:uid="{B33B5350-69A7-4CCF-AA12-2C049579EED4}"/>
    <cellStyle name="Normal 9 2 2 2 2 4 2 4" xfId="12081" xr:uid="{6E84B882-57F7-4A18-8211-D17ACC6BE930}"/>
    <cellStyle name="Normal 9 2 2 2 2 4 3" xfId="5704" xr:uid="{00000000-0005-0000-0000-00008B1E0000}"/>
    <cellStyle name="Normal 9 2 2 2 2 4 3 2" xfId="22595" xr:uid="{D4ACB1DA-9B46-41C8-B583-0102D74D2B3F}"/>
    <cellStyle name="Normal 9 2 2 2 2 4 3 3" xfId="14154" xr:uid="{7FC2CA1A-5727-480F-A31B-54AC18890486}"/>
    <cellStyle name="Normal 9 2 2 2 2 4 4" xfId="18377" xr:uid="{92E7B511-1DB9-418B-A2CD-1730E1123043}"/>
    <cellStyle name="Normal 9 2 2 2 2 4 5" xfId="9936" xr:uid="{A6852224-0514-48D8-A255-ED48E4732823}"/>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25153" xr:uid="{C58C3FCF-0F77-437C-9885-EB2D86718673}"/>
    <cellStyle name="Normal 9 2 2 2 2 5 2 2 3" xfId="16712" xr:uid="{15FE0FCC-D0DF-4D25-8018-785702A080FB}"/>
    <cellStyle name="Normal 9 2 2 2 2 5 2 3" xfId="20935" xr:uid="{6B1A7FB1-4CD7-4FE2-BF4B-868AC187D76A}"/>
    <cellStyle name="Normal 9 2 2 2 2 5 2 4" xfId="12494" xr:uid="{385148B5-44C7-4ABC-874B-FCE0B90F89A1}"/>
    <cellStyle name="Normal 9 2 2 2 2 5 3" xfId="6117" xr:uid="{00000000-0005-0000-0000-00008F1E0000}"/>
    <cellStyle name="Normal 9 2 2 2 2 5 3 2" xfId="23008" xr:uid="{72C74581-2861-49D1-B5AD-E00165F82CDF}"/>
    <cellStyle name="Normal 9 2 2 2 2 5 3 3" xfId="14567" xr:uid="{09282EAD-34A0-4704-A8ED-2B56D40BA98D}"/>
    <cellStyle name="Normal 9 2 2 2 2 5 4" xfId="18790" xr:uid="{95C0509E-B948-4DE7-8459-25AD4992E03B}"/>
    <cellStyle name="Normal 9 2 2 2 2 5 5" xfId="10349" xr:uid="{90AAD50E-EE2B-48CD-8BBA-AD311F2A16CC}"/>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25566" xr:uid="{2143AC94-C3F9-42A4-AC38-61B954A8043A}"/>
    <cellStyle name="Normal 9 2 2 2 2 6 2 2 3" xfId="17125" xr:uid="{2C447CE8-9E1A-471E-853E-08B8AE4EC7FA}"/>
    <cellStyle name="Normal 9 2 2 2 2 6 2 3" xfId="21348" xr:uid="{79D6EEDB-8905-458C-9C1A-9E7218E0D049}"/>
    <cellStyle name="Normal 9 2 2 2 2 6 2 4" xfId="12907" xr:uid="{42735E19-18B3-4359-80EE-C970E49B7797}"/>
    <cellStyle name="Normal 9 2 2 2 2 6 3" xfId="6530" xr:uid="{00000000-0005-0000-0000-0000931E0000}"/>
    <cellStyle name="Normal 9 2 2 2 2 6 3 2" xfId="23421" xr:uid="{DB498149-7572-4F02-95C4-D71109543088}"/>
    <cellStyle name="Normal 9 2 2 2 2 6 3 3" xfId="14980" xr:uid="{BEF153DE-CDF3-4E85-A180-7F8483317C40}"/>
    <cellStyle name="Normal 9 2 2 2 2 6 4" xfId="19203" xr:uid="{015FB69E-4C51-4D5E-83BC-07CE6367CA2D}"/>
    <cellStyle name="Normal 9 2 2 2 2 6 5" xfId="10762" xr:uid="{1899F1B4-F755-489F-87F9-3461F50E77EF}"/>
    <cellStyle name="Normal 9 2 2 2 2 7" xfId="2660" xr:uid="{00000000-0005-0000-0000-0000941E0000}"/>
    <cellStyle name="Normal 9 2 2 2 2 7 2" xfId="6943" xr:uid="{00000000-0005-0000-0000-0000951E0000}"/>
    <cellStyle name="Normal 9 2 2 2 2 7 2 2" xfId="23834" xr:uid="{D0DD6F4B-331D-4401-B78E-84E486CF060A}"/>
    <cellStyle name="Normal 9 2 2 2 2 7 2 3" xfId="15393" xr:uid="{A1AEDA9F-459A-4435-9AA3-94EA008D7760}"/>
    <cellStyle name="Normal 9 2 2 2 2 7 3" xfId="19616" xr:uid="{DFF9A556-A371-412F-8EF6-AC006A0C0FA5}"/>
    <cellStyle name="Normal 9 2 2 2 2 7 4" xfId="11175" xr:uid="{0806EF39-4D86-43EA-B57A-29E2B61BBD92}"/>
    <cellStyle name="Normal 9 2 2 2 2 8" xfId="4878" xr:uid="{00000000-0005-0000-0000-0000961E0000}"/>
    <cellStyle name="Normal 9 2 2 2 2 8 2" xfId="21769" xr:uid="{EFA9B80A-B1D4-487A-9EB3-1DA4FFEE149F}"/>
    <cellStyle name="Normal 9 2 2 2 2 8 3" xfId="13328" xr:uid="{7650E8D1-0934-4AA4-8AFB-258E6D93A87F}"/>
    <cellStyle name="Normal 9 2 2 2 2 9" xfId="17551" xr:uid="{C438EDA4-775A-4DD6-9792-7B0F2BCA8BE3}"/>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24329" xr:uid="{8984E309-5F96-4BD9-A701-529BEEFA8A3F}"/>
    <cellStyle name="Normal 9 2 2 2 3 2 2 2 3" xfId="15888" xr:uid="{95660641-0628-4BB1-B4ED-1FCF5D7B6A74}"/>
    <cellStyle name="Normal 9 2 2 2 3 2 2 3" xfId="20111" xr:uid="{3A273F4B-68F5-40D5-BF8E-89A3329AA279}"/>
    <cellStyle name="Normal 9 2 2 2 3 2 2 4" xfId="11670" xr:uid="{A40879A8-2173-4A87-A64B-CFC0D4F76074}"/>
    <cellStyle name="Normal 9 2 2 2 3 2 3" xfId="5293" xr:uid="{00000000-0005-0000-0000-00009B1E0000}"/>
    <cellStyle name="Normal 9 2 2 2 3 2 3 2" xfId="22184" xr:uid="{7051F5C4-2EEC-4ADD-A304-215841EDBF31}"/>
    <cellStyle name="Normal 9 2 2 2 3 2 3 3" xfId="13743" xr:uid="{42FA77DA-404D-42A4-A1B8-A1524DB1B5DA}"/>
    <cellStyle name="Normal 9 2 2 2 3 2 4" xfId="17966" xr:uid="{D5EF0EB9-54F9-4CEC-949C-5DB679065A34}"/>
    <cellStyle name="Normal 9 2 2 2 3 2 5" xfId="9525" xr:uid="{E04849AD-5D3C-4A73-97DA-91E246425551}"/>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24742" xr:uid="{44E1CFF4-5879-4CEE-AC2A-705747E0CA5D}"/>
    <cellStyle name="Normal 9 2 2 2 3 3 2 2 3" xfId="16301" xr:uid="{377482DD-A2CF-4B7B-8360-09F7CAFDF7C1}"/>
    <cellStyle name="Normal 9 2 2 2 3 3 2 3" xfId="20524" xr:uid="{ED881E38-4814-4B8A-810E-C63AF56FF6C4}"/>
    <cellStyle name="Normal 9 2 2 2 3 3 2 4" xfId="12083" xr:uid="{DE31665E-DFEC-497D-BEC9-6F00420C33CB}"/>
    <cellStyle name="Normal 9 2 2 2 3 3 3" xfId="5706" xr:uid="{00000000-0005-0000-0000-00009F1E0000}"/>
    <cellStyle name="Normal 9 2 2 2 3 3 3 2" xfId="22597" xr:uid="{95EB2863-E710-46A9-AA9F-7F7C019A903E}"/>
    <cellStyle name="Normal 9 2 2 2 3 3 3 3" xfId="14156" xr:uid="{6D1BA7B0-925E-45C2-8A90-7AF6E0D0460B}"/>
    <cellStyle name="Normal 9 2 2 2 3 3 4" xfId="18379" xr:uid="{21169391-F080-48E8-9CE0-BC604131E6DF}"/>
    <cellStyle name="Normal 9 2 2 2 3 3 5" xfId="9938" xr:uid="{FE348457-202B-46E0-AB36-47B566A8FCA1}"/>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25155" xr:uid="{0ED40077-7BB3-4053-B6DB-F8A412BC4750}"/>
    <cellStyle name="Normal 9 2 2 2 3 4 2 2 3" xfId="16714" xr:uid="{DE2A8864-84FE-414F-9612-A6D4082C2B24}"/>
    <cellStyle name="Normal 9 2 2 2 3 4 2 3" xfId="20937" xr:uid="{14A686AA-F248-4074-8CAE-E90CE7B2475F}"/>
    <cellStyle name="Normal 9 2 2 2 3 4 2 4" xfId="12496" xr:uid="{66FEBC87-F818-437F-A82E-F1647C340A2E}"/>
    <cellStyle name="Normal 9 2 2 2 3 4 3" xfId="6119" xr:uid="{00000000-0005-0000-0000-0000A31E0000}"/>
    <cellStyle name="Normal 9 2 2 2 3 4 3 2" xfId="23010" xr:uid="{E7404601-D90B-447D-85B4-E6BFF76F6BA4}"/>
    <cellStyle name="Normal 9 2 2 2 3 4 3 3" xfId="14569" xr:uid="{02009FCC-2698-441F-9C2F-D4E1A2094531}"/>
    <cellStyle name="Normal 9 2 2 2 3 4 4" xfId="18792" xr:uid="{B520D057-B759-4EDA-A57F-9FF3781F3220}"/>
    <cellStyle name="Normal 9 2 2 2 3 4 5" xfId="10351" xr:uid="{6B0EC5D7-AD3A-4819-B59E-5066D5FE3461}"/>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25568" xr:uid="{291E3DF7-F96E-4112-8975-68D04A987BD8}"/>
    <cellStyle name="Normal 9 2 2 2 3 5 2 2 3" xfId="17127" xr:uid="{B3C3528F-11E1-407C-AF9F-8FC1C32ADCE8}"/>
    <cellStyle name="Normal 9 2 2 2 3 5 2 3" xfId="21350" xr:uid="{1F46BFE4-0E6A-40A8-B318-6BDA763AD9B6}"/>
    <cellStyle name="Normal 9 2 2 2 3 5 2 4" xfId="12909" xr:uid="{ED53EBAA-6018-47CF-94D4-1206F4866DED}"/>
    <cellStyle name="Normal 9 2 2 2 3 5 3" xfId="6532" xr:uid="{00000000-0005-0000-0000-0000A71E0000}"/>
    <cellStyle name="Normal 9 2 2 2 3 5 3 2" xfId="23423" xr:uid="{5FD1AF5B-B1F5-4CD0-B53B-9A1ACEB97F9A}"/>
    <cellStyle name="Normal 9 2 2 2 3 5 3 3" xfId="14982" xr:uid="{C7F16F16-3D1B-4CA1-8B6B-FE993AB86E10}"/>
    <cellStyle name="Normal 9 2 2 2 3 5 4" xfId="19205" xr:uid="{9EECD368-3E44-4D90-A76E-5888FFBEF026}"/>
    <cellStyle name="Normal 9 2 2 2 3 5 5" xfId="10764" xr:uid="{FBBB5417-99CA-425E-8549-DA48DBD4C17D}"/>
    <cellStyle name="Normal 9 2 2 2 3 6" xfId="2662" xr:uid="{00000000-0005-0000-0000-0000A81E0000}"/>
    <cellStyle name="Normal 9 2 2 2 3 6 2" xfId="6945" xr:uid="{00000000-0005-0000-0000-0000A91E0000}"/>
    <cellStyle name="Normal 9 2 2 2 3 6 2 2" xfId="23836" xr:uid="{4D5BEA77-D074-46EC-BA03-1F649B349E9F}"/>
    <cellStyle name="Normal 9 2 2 2 3 6 2 3" xfId="15395" xr:uid="{66F69EDD-481D-4376-A898-2227961ABB3D}"/>
    <cellStyle name="Normal 9 2 2 2 3 6 3" xfId="19618" xr:uid="{D4192887-9CC7-4AD6-B583-30CD8A8A7294}"/>
    <cellStyle name="Normal 9 2 2 2 3 6 4" xfId="11177" xr:uid="{BB63B79A-33CC-45EC-B73B-9856474C260D}"/>
    <cellStyle name="Normal 9 2 2 2 3 7" xfId="4880" xr:uid="{00000000-0005-0000-0000-0000AA1E0000}"/>
    <cellStyle name="Normal 9 2 2 2 3 7 2" xfId="21771" xr:uid="{1F39C10F-C575-47CA-B9E8-DD5DDBEB73F0}"/>
    <cellStyle name="Normal 9 2 2 2 3 7 3" xfId="13330" xr:uid="{A052A60C-649E-4341-A990-85BF8AE39350}"/>
    <cellStyle name="Normal 9 2 2 2 3 8" xfId="17553" xr:uid="{1E961835-F14A-422C-8399-D6C006A51F5F}"/>
    <cellStyle name="Normal 9 2 2 2 3 9" xfId="9112" xr:uid="{62F314C5-495A-426C-9EF0-F56977AE641E}"/>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24326" xr:uid="{19B11051-5014-4EE1-BC30-9CB47A35733B}"/>
    <cellStyle name="Normal 9 2 2 2 4 2 2 3" xfId="15885" xr:uid="{E850F6CD-EE41-42F6-8F92-0FFE3EEC8477}"/>
    <cellStyle name="Normal 9 2 2 2 4 2 3" xfId="20108" xr:uid="{D5263320-5A38-4B4B-B97F-AA0AAF17091D}"/>
    <cellStyle name="Normal 9 2 2 2 4 2 4" xfId="11667" xr:uid="{A8D87C13-16F7-47BA-A547-958CA60C99A3}"/>
    <cellStyle name="Normal 9 2 2 2 4 3" xfId="5290" xr:uid="{00000000-0005-0000-0000-0000AE1E0000}"/>
    <cellStyle name="Normal 9 2 2 2 4 3 2" xfId="22181" xr:uid="{D11B92C9-7BA0-437F-8CA2-39BD3663DBE5}"/>
    <cellStyle name="Normal 9 2 2 2 4 3 3" xfId="13740" xr:uid="{4D58C54E-4FAA-4EF6-B745-A5A9627C7772}"/>
    <cellStyle name="Normal 9 2 2 2 4 4" xfId="17963" xr:uid="{3E990C48-6A85-4A87-8B78-C209F2F787CA}"/>
    <cellStyle name="Normal 9 2 2 2 4 5" xfId="9522" xr:uid="{EAD34393-1722-447B-B7A0-EF19A15350CA}"/>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24739" xr:uid="{10FD01D1-394E-4D03-BB6C-6ADF5C11F595}"/>
    <cellStyle name="Normal 9 2 2 2 5 2 2 3" xfId="16298" xr:uid="{D3CF9C8A-2356-46DC-902B-773A4D6A6634}"/>
    <cellStyle name="Normal 9 2 2 2 5 2 3" xfId="20521" xr:uid="{DA706CCF-1FD5-4996-B572-3C3AD3103D35}"/>
    <cellStyle name="Normal 9 2 2 2 5 2 4" xfId="12080" xr:uid="{1C6BCC60-AFEB-440D-957F-656B6C7CBC96}"/>
    <cellStyle name="Normal 9 2 2 2 5 3" xfId="5703" xr:uid="{00000000-0005-0000-0000-0000B21E0000}"/>
    <cellStyle name="Normal 9 2 2 2 5 3 2" xfId="22594" xr:uid="{1D661EE4-3D79-4713-AEDF-0E4887B194DD}"/>
    <cellStyle name="Normal 9 2 2 2 5 3 3" xfId="14153" xr:uid="{C14E667A-A554-49C4-A0A4-E63B308205ED}"/>
    <cellStyle name="Normal 9 2 2 2 5 4" xfId="18376" xr:uid="{0022ED5E-55BC-4806-A017-1E673D3C7DE0}"/>
    <cellStyle name="Normal 9 2 2 2 5 5" xfId="9935" xr:uid="{30329C96-96CA-45D4-84BE-85E4C560EC28}"/>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25152" xr:uid="{33320936-54DE-4158-93F3-7D5F4F2C94C1}"/>
    <cellStyle name="Normal 9 2 2 2 6 2 2 3" xfId="16711" xr:uid="{235325E0-4C07-497F-8F9C-4786975168F0}"/>
    <cellStyle name="Normal 9 2 2 2 6 2 3" xfId="20934" xr:uid="{31E96AD8-7599-4E84-B077-11DE3FAF7624}"/>
    <cellStyle name="Normal 9 2 2 2 6 2 4" xfId="12493" xr:uid="{8E9B6766-6824-4FE6-8AEE-E4767FD6CA69}"/>
    <cellStyle name="Normal 9 2 2 2 6 3" xfId="6116" xr:uid="{00000000-0005-0000-0000-0000B61E0000}"/>
    <cellStyle name="Normal 9 2 2 2 6 3 2" xfId="23007" xr:uid="{B60EC803-8037-4AEB-83B6-C9610CD000DC}"/>
    <cellStyle name="Normal 9 2 2 2 6 3 3" xfId="14566" xr:uid="{38A813FC-F07A-43DE-9F91-7FEB729134D0}"/>
    <cellStyle name="Normal 9 2 2 2 6 4" xfId="18789" xr:uid="{4E094140-9B4E-4F0C-A5ED-7A2788B5DD4B}"/>
    <cellStyle name="Normal 9 2 2 2 6 5" xfId="10348" xr:uid="{F61003CF-2FEE-435E-8E3D-2947FFEC7724}"/>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25565" xr:uid="{9C88A7F3-401E-4FA7-A7D8-C6C1C3DDF21D}"/>
    <cellStyle name="Normal 9 2 2 2 7 2 2 3" xfId="17124" xr:uid="{ABB59E7A-062E-4500-A0BD-07A8CE9C558A}"/>
    <cellStyle name="Normal 9 2 2 2 7 2 3" xfId="21347" xr:uid="{7D8769E8-DE55-4332-A840-7217A6F9FD62}"/>
    <cellStyle name="Normal 9 2 2 2 7 2 4" xfId="12906" xr:uid="{8AE8DC82-53BD-45C6-947B-F53D4E930E93}"/>
    <cellStyle name="Normal 9 2 2 2 7 3" xfId="6529" xr:uid="{00000000-0005-0000-0000-0000BA1E0000}"/>
    <cellStyle name="Normal 9 2 2 2 7 3 2" xfId="23420" xr:uid="{0D1B6036-EEFB-423F-BDBB-238E9C778B70}"/>
    <cellStyle name="Normal 9 2 2 2 7 3 3" xfId="14979" xr:uid="{DD593E9A-8D3C-4561-AF84-87AAA667D39D}"/>
    <cellStyle name="Normal 9 2 2 2 7 4" xfId="19202" xr:uid="{A61B1138-A9E5-4F2A-92D4-1E62880F63BE}"/>
    <cellStyle name="Normal 9 2 2 2 7 5" xfId="10761" xr:uid="{FAD8D866-B341-45E8-9687-3D090D1C2F70}"/>
    <cellStyle name="Normal 9 2 2 2 8" xfId="2659" xr:uid="{00000000-0005-0000-0000-0000BB1E0000}"/>
    <cellStyle name="Normal 9 2 2 2 8 2" xfId="6942" xr:uid="{00000000-0005-0000-0000-0000BC1E0000}"/>
    <cellStyle name="Normal 9 2 2 2 8 2 2" xfId="23833" xr:uid="{9C70921D-9A69-4E46-A010-9332A0A6056F}"/>
    <cellStyle name="Normal 9 2 2 2 8 2 3" xfId="15392" xr:uid="{1746A675-65BD-43B3-B892-461A6F979D9A}"/>
    <cellStyle name="Normal 9 2 2 2 8 3" xfId="19615" xr:uid="{A98FC14B-0F3E-4EA9-B8D5-07C55C9F377B}"/>
    <cellStyle name="Normal 9 2 2 2 8 4" xfId="11174" xr:uid="{583CFD6B-D0F0-4508-8BA5-32E46880DEB2}"/>
    <cellStyle name="Normal 9 2 2 2 9" xfId="4877" xr:uid="{00000000-0005-0000-0000-0000BD1E0000}"/>
    <cellStyle name="Normal 9 2 2 2 9 2" xfId="21768" xr:uid="{B9853B82-2C4D-49B1-8FBF-0C5226005781}"/>
    <cellStyle name="Normal 9 2 2 2 9 3" xfId="13327" xr:uid="{3F4E87C3-F98F-4F8A-84B8-2438C9896CE2}"/>
    <cellStyle name="Normal 9 2 2 3" xfId="517" xr:uid="{00000000-0005-0000-0000-0000BE1E0000}"/>
    <cellStyle name="Normal 9 2 2 3 10" xfId="9113" xr:uid="{9E5178DC-848B-4DE9-91E7-858027F5BCB6}"/>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24331" xr:uid="{96213C61-EBAB-42D5-9CE0-464119777982}"/>
    <cellStyle name="Normal 9 2 2 3 2 2 2 2 3" xfId="15890" xr:uid="{CD2EDCDC-1866-4D36-A69E-1623B4094509}"/>
    <cellStyle name="Normal 9 2 2 3 2 2 2 3" xfId="20113" xr:uid="{EA4ABA6C-31B5-44B6-97BE-83A86F85C34A}"/>
    <cellStyle name="Normal 9 2 2 3 2 2 2 4" xfId="11672" xr:uid="{EB0D0AA1-6514-41E9-8339-8BF5BC549612}"/>
    <cellStyle name="Normal 9 2 2 3 2 2 3" xfId="5295" xr:uid="{00000000-0005-0000-0000-0000C31E0000}"/>
    <cellStyle name="Normal 9 2 2 3 2 2 3 2" xfId="22186" xr:uid="{0010E4BD-5427-4DFB-8721-AFDF93E6ED54}"/>
    <cellStyle name="Normal 9 2 2 3 2 2 3 3" xfId="13745" xr:uid="{ECB3C078-E444-43F7-A50D-196A16EE20C8}"/>
    <cellStyle name="Normal 9 2 2 3 2 2 4" xfId="17968" xr:uid="{F0D6F555-0AAD-48F9-B4D7-A968F5E697B6}"/>
    <cellStyle name="Normal 9 2 2 3 2 2 5" xfId="9527" xr:uid="{015D3FE9-8F87-48D8-BBFD-DC3CA3EFE7D1}"/>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24744" xr:uid="{E4DA9191-2C1B-4411-AAD7-5C669E14788E}"/>
    <cellStyle name="Normal 9 2 2 3 2 3 2 2 3" xfId="16303" xr:uid="{C06EF855-79A7-4EDB-B286-A2116D89E37F}"/>
    <cellStyle name="Normal 9 2 2 3 2 3 2 3" xfId="20526" xr:uid="{743C8E2E-4E1B-412E-AABB-9F706B8145F5}"/>
    <cellStyle name="Normal 9 2 2 3 2 3 2 4" xfId="12085" xr:uid="{D9466180-C8A1-452D-BDBD-68B48C9E3CA6}"/>
    <cellStyle name="Normal 9 2 2 3 2 3 3" xfId="5708" xr:uid="{00000000-0005-0000-0000-0000C71E0000}"/>
    <cellStyle name="Normal 9 2 2 3 2 3 3 2" xfId="22599" xr:uid="{F0A5D056-2B73-400A-B54F-489243A84C33}"/>
    <cellStyle name="Normal 9 2 2 3 2 3 3 3" xfId="14158" xr:uid="{ADE18913-401A-4671-913C-487DC35EA046}"/>
    <cellStyle name="Normal 9 2 2 3 2 3 4" xfId="18381" xr:uid="{61CE70F9-0B05-4B9D-821D-0B5EB8B296E4}"/>
    <cellStyle name="Normal 9 2 2 3 2 3 5" xfId="9940" xr:uid="{F8C7E120-76D7-45C0-9853-A2400616A347}"/>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25157" xr:uid="{ED1EF65F-ED4B-4F29-9C1C-4742EFBCF40D}"/>
    <cellStyle name="Normal 9 2 2 3 2 4 2 2 3" xfId="16716" xr:uid="{B74082FB-DEE2-4590-A33C-0EEB459AE15A}"/>
    <cellStyle name="Normal 9 2 2 3 2 4 2 3" xfId="20939" xr:uid="{1ADF7CA7-BAA3-4BB8-897F-DB35366FC65E}"/>
    <cellStyle name="Normal 9 2 2 3 2 4 2 4" xfId="12498" xr:uid="{EEFAD0CC-7467-4B15-902B-711AA77EA55B}"/>
    <cellStyle name="Normal 9 2 2 3 2 4 3" xfId="6121" xr:uid="{00000000-0005-0000-0000-0000CB1E0000}"/>
    <cellStyle name="Normal 9 2 2 3 2 4 3 2" xfId="23012" xr:uid="{3493E1D9-3691-42DE-977A-D2A614598770}"/>
    <cellStyle name="Normal 9 2 2 3 2 4 3 3" xfId="14571" xr:uid="{7424165F-7569-4588-BB50-6E33EFC64E8E}"/>
    <cellStyle name="Normal 9 2 2 3 2 4 4" xfId="18794" xr:uid="{47A18D43-3CBC-4074-B0AF-0DB629C91340}"/>
    <cellStyle name="Normal 9 2 2 3 2 4 5" xfId="10353" xr:uid="{80E4EB8C-32D8-45F4-A323-51C2E4D33FDA}"/>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25570" xr:uid="{AC5673A9-65B7-48FA-9978-127536EC2D0E}"/>
    <cellStyle name="Normal 9 2 2 3 2 5 2 2 3" xfId="17129" xr:uid="{02A9C989-074E-4B1E-9986-57441ABFB312}"/>
    <cellStyle name="Normal 9 2 2 3 2 5 2 3" xfId="21352" xr:uid="{C9151BC5-8473-4BC9-B980-99AB63CE415A}"/>
    <cellStyle name="Normal 9 2 2 3 2 5 2 4" xfId="12911" xr:uid="{03480B5B-1F55-417D-A7F4-36ACC0DDDBB7}"/>
    <cellStyle name="Normal 9 2 2 3 2 5 3" xfId="6534" xr:uid="{00000000-0005-0000-0000-0000CF1E0000}"/>
    <cellStyle name="Normal 9 2 2 3 2 5 3 2" xfId="23425" xr:uid="{1D3D23C9-C50C-46C4-B8FD-E968460AFFA9}"/>
    <cellStyle name="Normal 9 2 2 3 2 5 3 3" xfId="14984" xr:uid="{9BDD2700-A5FE-4A13-9CE5-B2AAC2CB59F5}"/>
    <cellStyle name="Normal 9 2 2 3 2 5 4" xfId="19207" xr:uid="{FA004A0C-EC91-42F8-955C-A64E7213AE0E}"/>
    <cellStyle name="Normal 9 2 2 3 2 5 5" xfId="10766" xr:uid="{D5E20DEF-F3A1-4C2C-AEF6-E4769883EC95}"/>
    <cellStyle name="Normal 9 2 2 3 2 6" xfId="2664" xr:uid="{00000000-0005-0000-0000-0000D01E0000}"/>
    <cellStyle name="Normal 9 2 2 3 2 6 2" xfId="6947" xr:uid="{00000000-0005-0000-0000-0000D11E0000}"/>
    <cellStyle name="Normal 9 2 2 3 2 6 2 2" xfId="23838" xr:uid="{5D679CE2-AE00-4CB1-BF03-D68858308E27}"/>
    <cellStyle name="Normal 9 2 2 3 2 6 2 3" xfId="15397" xr:uid="{C9041636-B0EB-4C9F-B84C-262A2C2641E2}"/>
    <cellStyle name="Normal 9 2 2 3 2 6 3" xfId="19620" xr:uid="{11E98348-DDCB-4BCB-8AF2-74E09A01EB14}"/>
    <cellStyle name="Normal 9 2 2 3 2 6 4" xfId="11179" xr:uid="{A12F9596-C437-453B-95F5-270709413F92}"/>
    <cellStyle name="Normal 9 2 2 3 2 7" xfId="4882" xr:uid="{00000000-0005-0000-0000-0000D21E0000}"/>
    <cellStyle name="Normal 9 2 2 3 2 7 2" xfId="21773" xr:uid="{E0C3BF9F-0784-46C4-9EF3-B1609FCE180D}"/>
    <cellStyle name="Normal 9 2 2 3 2 7 3" xfId="13332" xr:uid="{89FDB38D-6677-4550-9241-BE4E6878587A}"/>
    <cellStyle name="Normal 9 2 2 3 2 8" xfId="17555" xr:uid="{B9734E74-77E7-41C5-B74D-B39AB20BF450}"/>
    <cellStyle name="Normal 9 2 2 3 2 9" xfId="9114" xr:uid="{64D25D44-2D4B-4F02-B991-CF22E15E7C4D}"/>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24330" xr:uid="{89979210-AA24-4A2B-BCB3-4FC73ABE4C03}"/>
    <cellStyle name="Normal 9 2 2 3 3 2 2 3" xfId="15889" xr:uid="{6A94888A-4A5C-4ED5-9F85-B9BB7ACD3DEE}"/>
    <cellStyle name="Normal 9 2 2 3 3 2 3" xfId="20112" xr:uid="{336C1379-BACA-49AB-AC70-AC3DFA74CD54}"/>
    <cellStyle name="Normal 9 2 2 3 3 2 4" xfId="11671" xr:uid="{C0419098-8933-47D9-9809-43B50BDA1649}"/>
    <cellStyle name="Normal 9 2 2 3 3 3" xfId="5294" xr:uid="{00000000-0005-0000-0000-0000D61E0000}"/>
    <cellStyle name="Normal 9 2 2 3 3 3 2" xfId="22185" xr:uid="{0855E7E3-1BC6-4766-B18A-C30F5A1AD15E}"/>
    <cellStyle name="Normal 9 2 2 3 3 3 3" xfId="13744" xr:uid="{7A97454A-6A12-4AF4-B111-EB1DC19E7E26}"/>
    <cellStyle name="Normal 9 2 2 3 3 4" xfId="17967" xr:uid="{E9A39966-2E1B-4D54-A525-5F9F3D8EB287}"/>
    <cellStyle name="Normal 9 2 2 3 3 5" xfId="9526" xr:uid="{EA0A7BE6-EA4A-4D00-BB18-C983F5A9990C}"/>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24743" xr:uid="{109D9926-463B-46DB-8208-B3A91AB3A642}"/>
    <cellStyle name="Normal 9 2 2 3 4 2 2 3" xfId="16302" xr:uid="{1FD4030C-AC20-4408-8001-28F1BCCFF29C}"/>
    <cellStyle name="Normal 9 2 2 3 4 2 3" xfId="20525" xr:uid="{63B81415-354C-48C6-BB53-E7FD50454C9A}"/>
    <cellStyle name="Normal 9 2 2 3 4 2 4" xfId="12084" xr:uid="{56FF6259-C799-4CF7-8320-7834ED49358B}"/>
    <cellStyle name="Normal 9 2 2 3 4 3" xfId="5707" xr:uid="{00000000-0005-0000-0000-0000DA1E0000}"/>
    <cellStyle name="Normal 9 2 2 3 4 3 2" xfId="22598" xr:uid="{04234156-9E5D-423F-9A23-00C070CEB0B8}"/>
    <cellStyle name="Normal 9 2 2 3 4 3 3" xfId="14157" xr:uid="{CB4A1F47-ACE7-4D4C-A4ED-1DD2C66FE133}"/>
    <cellStyle name="Normal 9 2 2 3 4 4" xfId="18380" xr:uid="{46D4250A-57CF-4283-BEAD-A6DFCD575A74}"/>
    <cellStyle name="Normal 9 2 2 3 4 5" xfId="9939" xr:uid="{4BEB498D-C3A8-48D8-92A9-7C3200E417FE}"/>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25156" xr:uid="{F1895943-CDF9-4290-9B03-15F2DA181DD5}"/>
    <cellStyle name="Normal 9 2 2 3 5 2 2 3" xfId="16715" xr:uid="{7D0566E2-2E09-452D-985A-12325D8250CE}"/>
    <cellStyle name="Normal 9 2 2 3 5 2 3" xfId="20938" xr:uid="{AD87613E-390E-44A1-81B4-A93D827F325A}"/>
    <cellStyle name="Normal 9 2 2 3 5 2 4" xfId="12497" xr:uid="{D524223C-D1EB-4FB6-ACEC-149A6A72BAC7}"/>
    <cellStyle name="Normal 9 2 2 3 5 3" xfId="6120" xr:uid="{00000000-0005-0000-0000-0000DE1E0000}"/>
    <cellStyle name="Normal 9 2 2 3 5 3 2" xfId="23011" xr:uid="{2EC42FA8-99E0-4366-BDEB-518AF4F78913}"/>
    <cellStyle name="Normal 9 2 2 3 5 3 3" xfId="14570" xr:uid="{02B3E5C8-E0FD-4583-97A5-E10D86A1DC5C}"/>
    <cellStyle name="Normal 9 2 2 3 5 4" xfId="18793" xr:uid="{5456825E-D363-40BF-A64D-A3F3DE886173}"/>
    <cellStyle name="Normal 9 2 2 3 5 5" xfId="10352" xr:uid="{DF3909E3-BF53-4783-A3DC-D23FB4CF0CF1}"/>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25569" xr:uid="{5118A92C-0218-4D38-9157-25EB32B30D24}"/>
    <cellStyle name="Normal 9 2 2 3 6 2 2 3" xfId="17128" xr:uid="{DDC3E7E6-5FAE-46EA-8E2D-22F379DE088F}"/>
    <cellStyle name="Normal 9 2 2 3 6 2 3" xfId="21351" xr:uid="{0EF67058-C555-4743-84F4-5DF2A6469386}"/>
    <cellStyle name="Normal 9 2 2 3 6 2 4" xfId="12910" xr:uid="{EC428EA1-C97D-48C0-9C15-CCF91E56AC93}"/>
    <cellStyle name="Normal 9 2 2 3 6 3" xfId="6533" xr:uid="{00000000-0005-0000-0000-0000E21E0000}"/>
    <cellStyle name="Normal 9 2 2 3 6 3 2" xfId="23424" xr:uid="{578D407D-898E-47DD-987C-0BADFD19CB5D}"/>
    <cellStyle name="Normal 9 2 2 3 6 3 3" xfId="14983" xr:uid="{747A2D29-D72F-405C-B319-2F9A864EF27B}"/>
    <cellStyle name="Normal 9 2 2 3 6 4" xfId="19206" xr:uid="{1310E832-3DF6-47D0-BDDA-531BA112727C}"/>
    <cellStyle name="Normal 9 2 2 3 6 5" xfId="10765" xr:uid="{89FB7463-D74B-44F4-B2FF-E3EE58BC799B}"/>
    <cellStyle name="Normal 9 2 2 3 7" xfId="2663" xr:uid="{00000000-0005-0000-0000-0000E31E0000}"/>
    <cellStyle name="Normal 9 2 2 3 7 2" xfId="6946" xr:uid="{00000000-0005-0000-0000-0000E41E0000}"/>
    <cellStyle name="Normal 9 2 2 3 7 2 2" xfId="23837" xr:uid="{7F7A8A80-39B0-4B58-9D2B-A0435411D1E0}"/>
    <cellStyle name="Normal 9 2 2 3 7 2 3" xfId="15396" xr:uid="{83919D15-1DA8-457A-BAE1-DD6C25E6C73D}"/>
    <cellStyle name="Normal 9 2 2 3 7 3" xfId="19619" xr:uid="{034464F8-E1C7-4244-A86B-1AE009483A68}"/>
    <cellStyle name="Normal 9 2 2 3 7 4" xfId="11178" xr:uid="{8EA85B3E-0F70-4E71-B18F-A5ECDDC7DCE7}"/>
    <cellStyle name="Normal 9 2 2 3 8" xfId="4881" xr:uid="{00000000-0005-0000-0000-0000E51E0000}"/>
    <cellStyle name="Normal 9 2 2 3 8 2" xfId="21772" xr:uid="{BAE142BD-526D-4727-B353-46A1CC52B6D5}"/>
    <cellStyle name="Normal 9 2 2 3 8 3" xfId="13331" xr:uid="{968BE483-913C-4E74-AC0C-E985269CB9A9}"/>
    <cellStyle name="Normal 9 2 2 3 9" xfId="17554" xr:uid="{F7DC57E2-299C-4FF1-815A-EC989EC15A7B}"/>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24332" xr:uid="{4720ECF5-73FF-40D2-B98A-1B40FE560A29}"/>
    <cellStyle name="Normal 9 2 2 4 2 2 2 3" xfId="15891" xr:uid="{08F4DE87-0E26-4E8B-BD2F-D029A0F3BD97}"/>
    <cellStyle name="Normal 9 2 2 4 2 2 3" xfId="20114" xr:uid="{D3359524-F217-4F0D-9583-AB693E5DC042}"/>
    <cellStyle name="Normal 9 2 2 4 2 2 4" xfId="11673" xr:uid="{9A8D92C6-3D2C-4899-B146-A3E62D4D8F13}"/>
    <cellStyle name="Normal 9 2 2 4 2 3" xfId="5296" xr:uid="{00000000-0005-0000-0000-0000EA1E0000}"/>
    <cellStyle name="Normal 9 2 2 4 2 3 2" xfId="22187" xr:uid="{AEED5DAE-83B1-4FAD-91C6-38B2BCE24C9B}"/>
    <cellStyle name="Normal 9 2 2 4 2 3 3" xfId="13746" xr:uid="{DC17C20A-6402-4853-86EE-BE4509F53A3D}"/>
    <cellStyle name="Normal 9 2 2 4 2 4" xfId="17969" xr:uid="{62960E20-D74E-4E77-A024-193391F350D4}"/>
    <cellStyle name="Normal 9 2 2 4 2 5" xfId="9528" xr:uid="{8B19BB4D-6EE9-416E-9951-E3BA3111D415}"/>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24745" xr:uid="{89D593BF-8570-4730-B218-E8A45CD1F005}"/>
    <cellStyle name="Normal 9 2 2 4 3 2 2 3" xfId="16304" xr:uid="{D21331A0-BAD5-4A2A-A44B-E147F8243581}"/>
    <cellStyle name="Normal 9 2 2 4 3 2 3" xfId="20527" xr:uid="{7CCB4931-C23B-442A-A4DE-11DB526F6D47}"/>
    <cellStyle name="Normal 9 2 2 4 3 2 4" xfId="12086" xr:uid="{CCCE1B2D-A74B-4991-80D3-A07B775277F8}"/>
    <cellStyle name="Normal 9 2 2 4 3 3" xfId="5709" xr:uid="{00000000-0005-0000-0000-0000EE1E0000}"/>
    <cellStyle name="Normal 9 2 2 4 3 3 2" xfId="22600" xr:uid="{45E5DCAE-97EC-4342-B7E2-4FAF01F96C67}"/>
    <cellStyle name="Normal 9 2 2 4 3 3 3" xfId="14159" xr:uid="{FC21950B-175A-48D8-9B0D-F30EB7EEE034}"/>
    <cellStyle name="Normal 9 2 2 4 3 4" xfId="18382" xr:uid="{03F3F246-24A2-41BC-8BD8-226BBD44DEB5}"/>
    <cellStyle name="Normal 9 2 2 4 3 5" xfId="9941" xr:uid="{D2A36100-168D-4C36-A84A-7151B35C90BB}"/>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25158" xr:uid="{448C7911-BD05-4CBE-BDCD-669314527529}"/>
    <cellStyle name="Normal 9 2 2 4 4 2 2 3" xfId="16717" xr:uid="{6090E316-52F3-4C19-893C-0F56138DAE00}"/>
    <cellStyle name="Normal 9 2 2 4 4 2 3" xfId="20940" xr:uid="{A36F4461-A2A1-440B-8836-F9461E7D48AF}"/>
    <cellStyle name="Normal 9 2 2 4 4 2 4" xfId="12499" xr:uid="{99D1023E-5143-4A95-BC32-DE8328790166}"/>
    <cellStyle name="Normal 9 2 2 4 4 3" xfId="6122" xr:uid="{00000000-0005-0000-0000-0000F21E0000}"/>
    <cellStyle name="Normal 9 2 2 4 4 3 2" xfId="23013" xr:uid="{B100278A-A315-4C7F-9E7F-6A2CBC793540}"/>
    <cellStyle name="Normal 9 2 2 4 4 3 3" xfId="14572" xr:uid="{E5BDC89A-FD36-4593-907D-48C9BC812AD9}"/>
    <cellStyle name="Normal 9 2 2 4 4 4" xfId="18795" xr:uid="{1B98362A-77EC-46D1-851E-6B3FD448F7D0}"/>
    <cellStyle name="Normal 9 2 2 4 4 5" xfId="10354" xr:uid="{D003D16E-3EFB-466C-8228-3C0AF615BCB8}"/>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25571" xr:uid="{A14375F1-D5C5-448A-829A-62286FE47CD5}"/>
    <cellStyle name="Normal 9 2 2 4 5 2 2 3" xfId="17130" xr:uid="{EAA68591-D676-4EE7-8A66-76C7C72CCA54}"/>
    <cellStyle name="Normal 9 2 2 4 5 2 3" xfId="21353" xr:uid="{7FC6EB1C-E50D-40FF-BD22-1C9782326182}"/>
    <cellStyle name="Normal 9 2 2 4 5 2 4" xfId="12912" xr:uid="{ED94AD70-7457-4E9A-8F10-0817405A568D}"/>
    <cellStyle name="Normal 9 2 2 4 5 3" xfId="6535" xr:uid="{00000000-0005-0000-0000-0000F61E0000}"/>
    <cellStyle name="Normal 9 2 2 4 5 3 2" xfId="23426" xr:uid="{84D0D26A-C5D4-4B8D-B462-AB230DD0784C}"/>
    <cellStyle name="Normal 9 2 2 4 5 3 3" xfId="14985" xr:uid="{00246381-869C-4DBE-A91A-4813ABBC5B98}"/>
    <cellStyle name="Normal 9 2 2 4 5 4" xfId="19208" xr:uid="{11E9626A-D5A0-4A88-9C2C-F9F82366ED20}"/>
    <cellStyle name="Normal 9 2 2 4 5 5" xfId="10767" xr:uid="{9F0E9699-0A14-4195-8255-79A968C50DBE}"/>
    <cellStyle name="Normal 9 2 2 4 6" xfId="2665" xr:uid="{00000000-0005-0000-0000-0000F71E0000}"/>
    <cellStyle name="Normal 9 2 2 4 6 2" xfId="6948" xr:uid="{00000000-0005-0000-0000-0000F81E0000}"/>
    <cellStyle name="Normal 9 2 2 4 6 2 2" xfId="23839" xr:uid="{AE263F56-87D8-4D2A-ABBC-5B7FC733F967}"/>
    <cellStyle name="Normal 9 2 2 4 6 2 3" xfId="15398" xr:uid="{E488EDA5-79A4-4F14-8D8F-CA82827C7DB0}"/>
    <cellStyle name="Normal 9 2 2 4 6 3" xfId="19621" xr:uid="{A0789BA2-25D4-45D6-BE6D-52C6B93EC598}"/>
    <cellStyle name="Normal 9 2 2 4 6 4" xfId="11180" xr:uid="{DC0B8DC7-AD71-4D26-9E4F-699AA2E8B3DF}"/>
    <cellStyle name="Normal 9 2 2 4 7" xfId="4883" xr:uid="{00000000-0005-0000-0000-0000F91E0000}"/>
    <cellStyle name="Normal 9 2 2 4 7 2" xfId="21774" xr:uid="{1FD7EE7D-5C31-4594-8A79-8FB355909C30}"/>
    <cellStyle name="Normal 9 2 2 4 7 3" xfId="13333" xr:uid="{209B12E7-3114-468E-8D74-73FA96AC594C}"/>
    <cellStyle name="Normal 9 2 2 4 8" xfId="17556" xr:uid="{76C6384E-A7FD-4E7A-B1D3-09220837A20B}"/>
    <cellStyle name="Normal 9 2 2 4 9" xfId="9115" xr:uid="{05977BE4-0353-4DE0-B0D1-C8B87A13B72D}"/>
    <cellStyle name="Normal 9 2 2 5" xfId="979" xr:uid="{00000000-0005-0000-0000-0000FA1E0000}"/>
    <cellStyle name="Normal 9 2 2 5 2" xfId="3212" xr:uid="{00000000-0005-0000-0000-0000FB1E0000}"/>
    <cellStyle name="Normal 9 2 2 5 2 2" xfId="7434" xr:uid="{00000000-0005-0000-0000-0000FC1E0000}"/>
    <cellStyle name="Normal 9 2 2 5 2 2 2" xfId="24325" xr:uid="{49012FB8-8E0C-4474-97AC-FBC06D934BC2}"/>
    <cellStyle name="Normal 9 2 2 5 2 2 3" xfId="15884" xr:uid="{4971142F-2F29-4057-A7BB-7EDBB5698933}"/>
    <cellStyle name="Normal 9 2 2 5 2 3" xfId="20107" xr:uid="{C9680A25-AC07-44A0-88EA-FCA4C6A8FCA1}"/>
    <cellStyle name="Normal 9 2 2 5 2 4" xfId="11666" xr:uid="{D1FAEEB9-8032-47FA-A89A-6FCA77A40D74}"/>
    <cellStyle name="Normal 9 2 2 5 3" xfId="5289" xr:uid="{00000000-0005-0000-0000-0000FD1E0000}"/>
    <cellStyle name="Normal 9 2 2 5 3 2" xfId="22180" xr:uid="{6F8B903C-ACDC-43D3-9BC6-8C9224F41417}"/>
    <cellStyle name="Normal 9 2 2 5 3 3" xfId="13739" xr:uid="{E00B9948-9715-453C-9BD3-7302CE87B26A}"/>
    <cellStyle name="Normal 9 2 2 5 4" xfId="17962" xr:uid="{E7BF0CD7-ABCD-48C6-B5CB-652D762C1063}"/>
    <cellStyle name="Normal 9 2 2 5 5" xfId="9521" xr:uid="{021E8649-648A-421C-B04E-5C72007DB6A3}"/>
    <cellStyle name="Normal 9 2 2 6" xfId="1395" xr:uid="{00000000-0005-0000-0000-0000FE1E0000}"/>
    <cellStyle name="Normal 9 2 2 6 2" xfId="3625" xr:uid="{00000000-0005-0000-0000-0000FF1E0000}"/>
    <cellStyle name="Normal 9 2 2 6 2 2" xfId="7847" xr:uid="{00000000-0005-0000-0000-0000001F0000}"/>
    <cellStyle name="Normal 9 2 2 6 2 2 2" xfId="24738" xr:uid="{52B2E7F5-6229-4396-BD0F-7B35CB54C165}"/>
    <cellStyle name="Normal 9 2 2 6 2 2 3" xfId="16297" xr:uid="{04429676-2256-4734-8A90-1D8F5DA4CB11}"/>
    <cellStyle name="Normal 9 2 2 6 2 3" xfId="20520" xr:uid="{29510D1F-6B34-405A-ADEF-1FD61DFC3503}"/>
    <cellStyle name="Normal 9 2 2 6 2 4" xfId="12079" xr:uid="{59936CD6-0CBD-420C-AD23-2A90F8A3B0B5}"/>
    <cellStyle name="Normal 9 2 2 6 3" xfId="5702" xr:uid="{00000000-0005-0000-0000-0000011F0000}"/>
    <cellStyle name="Normal 9 2 2 6 3 2" xfId="22593" xr:uid="{2F4A65E5-A444-43A9-B472-F41E79CBADF8}"/>
    <cellStyle name="Normal 9 2 2 6 3 3" xfId="14152" xr:uid="{0C000108-FC76-4D74-95CB-7D54901328B6}"/>
    <cellStyle name="Normal 9 2 2 6 4" xfId="18375" xr:uid="{F4A74070-897D-4456-85A5-D596709ADF96}"/>
    <cellStyle name="Normal 9 2 2 6 5" xfId="9934" xr:uid="{F414C90E-4C2C-4292-A9A2-A5DDB6B4EE0C}"/>
    <cellStyle name="Normal 9 2 2 7" xfId="1808" xr:uid="{00000000-0005-0000-0000-0000021F0000}"/>
    <cellStyle name="Normal 9 2 2 7 2" xfId="4038" xr:uid="{00000000-0005-0000-0000-0000031F0000}"/>
    <cellStyle name="Normal 9 2 2 7 2 2" xfId="8260" xr:uid="{00000000-0005-0000-0000-0000041F0000}"/>
    <cellStyle name="Normal 9 2 2 7 2 2 2" xfId="25151" xr:uid="{E6614D34-336F-45F5-B1D1-4B1216E7D2A7}"/>
    <cellStyle name="Normal 9 2 2 7 2 2 3" xfId="16710" xr:uid="{390BB926-C9BE-4D65-8286-ABCFA48C6FFB}"/>
    <cellStyle name="Normal 9 2 2 7 2 3" xfId="20933" xr:uid="{677427BB-529C-48C2-8FF0-D53A1C02DD26}"/>
    <cellStyle name="Normal 9 2 2 7 2 4" xfId="12492" xr:uid="{7D72E14B-3624-4F40-A646-48F743E4AC8C}"/>
    <cellStyle name="Normal 9 2 2 7 3" xfId="6115" xr:uid="{00000000-0005-0000-0000-0000051F0000}"/>
    <cellStyle name="Normal 9 2 2 7 3 2" xfId="23006" xr:uid="{09178320-4EF5-45CE-A640-F1F36C135FC7}"/>
    <cellStyle name="Normal 9 2 2 7 3 3" xfId="14565" xr:uid="{E81E6F6E-F1C4-4539-95DF-4166D9C136F1}"/>
    <cellStyle name="Normal 9 2 2 7 4" xfId="18788" xr:uid="{41476433-7E1B-4A62-AAC5-72DF2F989CFC}"/>
    <cellStyle name="Normal 9 2 2 7 5" xfId="10347" xr:uid="{71E020D3-0237-4AF9-A097-93D1A12A5F81}"/>
    <cellStyle name="Normal 9 2 2 8" xfId="2222" xr:uid="{00000000-0005-0000-0000-0000061F0000}"/>
    <cellStyle name="Normal 9 2 2 8 2" xfId="4451" xr:uid="{00000000-0005-0000-0000-0000071F0000}"/>
    <cellStyle name="Normal 9 2 2 8 2 2" xfId="8673" xr:uid="{00000000-0005-0000-0000-0000081F0000}"/>
    <cellStyle name="Normal 9 2 2 8 2 2 2" xfId="25564" xr:uid="{4788EE2A-B20A-4377-9CF8-A22609CBEC80}"/>
    <cellStyle name="Normal 9 2 2 8 2 2 3" xfId="17123" xr:uid="{95CA2E6D-BE88-439E-A480-F9EE2C69A354}"/>
    <cellStyle name="Normal 9 2 2 8 2 3" xfId="21346" xr:uid="{35B9B994-EC32-474B-8C13-C263A6547DBD}"/>
    <cellStyle name="Normal 9 2 2 8 2 4" xfId="12905" xr:uid="{6C06810B-D18F-43EF-83AE-57BCE04ED605}"/>
    <cellStyle name="Normal 9 2 2 8 3" xfId="6528" xr:uid="{00000000-0005-0000-0000-0000091F0000}"/>
    <cellStyle name="Normal 9 2 2 8 3 2" xfId="23419" xr:uid="{225CCB11-DE8A-4908-B222-77964D17172F}"/>
    <cellStyle name="Normal 9 2 2 8 3 3" xfId="14978" xr:uid="{73E8AD33-0C89-4986-91A4-EEBC231B2476}"/>
    <cellStyle name="Normal 9 2 2 8 4" xfId="19201" xr:uid="{70427454-51F6-4AA6-B26C-C2EADBAEA6DD}"/>
    <cellStyle name="Normal 9 2 2 8 5" xfId="10760" xr:uid="{E74A5284-23E5-42BB-B33B-0E200AD4CAA3}"/>
    <cellStyle name="Normal 9 2 2 9" xfId="2658" xr:uid="{00000000-0005-0000-0000-00000A1F0000}"/>
    <cellStyle name="Normal 9 2 2 9 2" xfId="6941" xr:uid="{00000000-0005-0000-0000-00000B1F0000}"/>
    <cellStyle name="Normal 9 2 2 9 2 2" xfId="23832" xr:uid="{FE8F2FA7-0735-4553-80B0-33C8755845FF}"/>
    <cellStyle name="Normal 9 2 2 9 2 3" xfId="15391" xr:uid="{87BDBCF2-9107-46E3-BA90-1F16F4CB8A16}"/>
    <cellStyle name="Normal 9 2 2 9 3" xfId="19614" xr:uid="{275CC7E4-6DA6-4A49-BE26-D040CAC7B0E5}"/>
    <cellStyle name="Normal 9 2 2 9 4" xfId="11173" xr:uid="{350FCAA6-4BF3-46BF-86C7-9B594E987BC6}"/>
    <cellStyle name="Normal 9 2 3" xfId="520" xr:uid="{00000000-0005-0000-0000-00000C1F0000}"/>
    <cellStyle name="Normal 9 2 3 10" xfId="17557" xr:uid="{66824A9C-A4D1-4183-91BD-10991DDD2F0F}"/>
    <cellStyle name="Normal 9 2 3 11" xfId="9116" xr:uid="{E576ECB9-01BB-4E2F-8852-EEA25440A11A}"/>
    <cellStyle name="Normal 9 2 3 2" xfId="521" xr:uid="{00000000-0005-0000-0000-00000D1F0000}"/>
    <cellStyle name="Normal 9 2 3 2 10" xfId="9117" xr:uid="{3EC2869B-1DD8-4CBB-AE03-2919F1600385}"/>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24335" xr:uid="{D10D29D4-4AA7-4FDD-9A88-6D374CA2D0AE}"/>
    <cellStyle name="Normal 9 2 3 2 2 2 2 2 3" xfId="15894" xr:uid="{3A04E2FF-AF5B-4608-8888-9752C38EC3DD}"/>
    <cellStyle name="Normal 9 2 3 2 2 2 2 3" xfId="20117" xr:uid="{6B199364-A704-4DF0-83D8-6C0D6343DB9A}"/>
    <cellStyle name="Normal 9 2 3 2 2 2 2 4" xfId="11676" xr:uid="{3142CD74-45DD-4C60-AE89-9119EB8853F0}"/>
    <cellStyle name="Normal 9 2 3 2 2 2 3" xfId="5299" xr:uid="{00000000-0005-0000-0000-0000121F0000}"/>
    <cellStyle name="Normal 9 2 3 2 2 2 3 2" xfId="22190" xr:uid="{26EFE998-C0EF-46F9-8E5D-73EDA7DF3784}"/>
    <cellStyle name="Normal 9 2 3 2 2 2 3 3" xfId="13749" xr:uid="{9652F798-A239-41F8-BA31-13C3A1561E6E}"/>
    <cellStyle name="Normal 9 2 3 2 2 2 4" xfId="17972" xr:uid="{4EA6DD96-6A1F-4E49-86B3-231896B7F887}"/>
    <cellStyle name="Normal 9 2 3 2 2 2 5" xfId="9531" xr:uid="{A12095B5-D4EF-4E12-8BCA-C00868C5E251}"/>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24748" xr:uid="{0400C519-E854-474D-B561-B1B8EA75D18E}"/>
    <cellStyle name="Normal 9 2 3 2 2 3 2 2 3" xfId="16307" xr:uid="{2EA756E7-FC79-491D-AB31-E1FDB9FA22BD}"/>
    <cellStyle name="Normal 9 2 3 2 2 3 2 3" xfId="20530" xr:uid="{AF0AE47B-E85E-48B6-A35C-7A25CB88B3CE}"/>
    <cellStyle name="Normal 9 2 3 2 2 3 2 4" xfId="12089" xr:uid="{87845239-314F-4F8E-8A49-8CA0BC4CE7F5}"/>
    <cellStyle name="Normal 9 2 3 2 2 3 3" xfId="5712" xr:uid="{00000000-0005-0000-0000-0000161F0000}"/>
    <cellStyle name="Normal 9 2 3 2 2 3 3 2" xfId="22603" xr:uid="{65D31ED6-6899-4D63-9C78-587F38592558}"/>
    <cellStyle name="Normal 9 2 3 2 2 3 3 3" xfId="14162" xr:uid="{855C0785-C8F5-4777-8AC3-D3424DDA1F27}"/>
    <cellStyle name="Normal 9 2 3 2 2 3 4" xfId="18385" xr:uid="{86893B09-E7C9-4580-9E01-BE5579B73652}"/>
    <cellStyle name="Normal 9 2 3 2 2 3 5" xfId="9944" xr:uid="{D8625065-7F52-447F-96B0-C42BA7227AB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25161" xr:uid="{D249B670-9C47-4ABD-BEA8-E95806937941}"/>
    <cellStyle name="Normal 9 2 3 2 2 4 2 2 3" xfId="16720" xr:uid="{665FF616-4721-4181-9B26-0A74E5582311}"/>
    <cellStyle name="Normal 9 2 3 2 2 4 2 3" xfId="20943" xr:uid="{55DDA1A5-D982-4DE6-B29A-8ED91565B7E8}"/>
    <cellStyle name="Normal 9 2 3 2 2 4 2 4" xfId="12502" xr:uid="{FEA4D8C1-4633-478E-8AD0-F053BB5E3C0D}"/>
    <cellStyle name="Normal 9 2 3 2 2 4 3" xfId="6125" xr:uid="{00000000-0005-0000-0000-00001A1F0000}"/>
    <cellStyle name="Normal 9 2 3 2 2 4 3 2" xfId="23016" xr:uid="{38E7106F-3B2E-45E8-BB3D-837C17A4A97C}"/>
    <cellStyle name="Normal 9 2 3 2 2 4 3 3" xfId="14575" xr:uid="{DE727DD2-AC66-4AB0-9694-030E4C3649BE}"/>
    <cellStyle name="Normal 9 2 3 2 2 4 4" xfId="18798" xr:uid="{6DC88E37-21F7-447F-B489-12E86B626E53}"/>
    <cellStyle name="Normal 9 2 3 2 2 4 5" xfId="10357" xr:uid="{3CB7460A-C4AC-477A-8427-82FFC51FE67B}"/>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25574" xr:uid="{1CD116D1-5CBD-45AD-87D3-F2DFFEA76A8A}"/>
    <cellStyle name="Normal 9 2 3 2 2 5 2 2 3" xfId="17133" xr:uid="{84399701-6ED9-4B90-B193-319B0993FC9F}"/>
    <cellStyle name="Normal 9 2 3 2 2 5 2 3" xfId="21356" xr:uid="{1BE3BCBB-DA5F-4B76-B24B-52B68E0C391E}"/>
    <cellStyle name="Normal 9 2 3 2 2 5 2 4" xfId="12915" xr:uid="{BA87A65F-A11F-48EC-9F67-62909306A862}"/>
    <cellStyle name="Normal 9 2 3 2 2 5 3" xfId="6538" xr:uid="{00000000-0005-0000-0000-00001E1F0000}"/>
    <cellStyle name="Normal 9 2 3 2 2 5 3 2" xfId="23429" xr:uid="{E4A04A57-1ACA-4386-AA47-04F08D4B894A}"/>
    <cellStyle name="Normal 9 2 3 2 2 5 3 3" xfId="14988" xr:uid="{E7658245-D1DC-47BE-A32A-36BF7B903DC3}"/>
    <cellStyle name="Normal 9 2 3 2 2 5 4" xfId="19211" xr:uid="{AEBBA71A-2FBB-41CD-B754-D4AD8BF72F27}"/>
    <cellStyle name="Normal 9 2 3 2 2 5 5" xfId="10770" xr:uid="{AA93323C-D810-4E91-A89B-FAD882C9A637}"/>
    <cellStyle name="Normal 9 2 3 2 2 6" xfId="2668" xr:uid="{00000000-0005-0000-0000-00001F1F0000}"/>
    <cellStyle name="Normal 9 2 3 2 2 6 2" xfId="6951" xr:uid="{00000000-0005-0000-0000-0000201F0000}"/>
    <cellStyle name="Normal 9 2 3 2 2 6 2 2" xfId="23842" xr:uid="{C7BA3629-2F3B-4CA9-B531-C23EB79947BC}"/>
    <cellStyle name="Normal 9 2 3 2 2 6 2 3" xfId="15401" xr:uid="{6D72EAE6-3F18-461A-AB22-2CBD76F7DE50}"/>
    <cellStyle name="Normal 9 2 3 2 2 6 3" xfId="19624" xr:uid="{45CFE23F-219B-4906-A351-F7A27FB1E8BB}"/>
    <cellStyle name="Normal 9 2 3 2 2 6 4" xfId="11183" xr:uid="{34A8E746-893D-4502-89D3-8BFF4A239683}"/>
    <cellStyle name="Normal 9 2 3 2 2 7" xfId="4886" xr:uid="{00000000-0005-0000-0000-0000211F0000}"/>
    <cellStyle name="Normal 9 2 3 2 2 7 2" xfId="21777" xr:uid="{0671CB02-6FEC-42EF-9DBC-870C7DF7604C}"/>
    <cellStyle name="Normal 9 2 3 2 2 7 3" xfId="13336" xr:uid="{648D0E02-C821-4059-B32F-0C37BA4D397D}"/>
    <cellStyle name="Normal 9 2 3 2 2 8" xfId="17559" xr:uid="{799699BD-AA4C-48B0-ACD4-8024117A671F}"/>
    <cellStyle name="Normal 9 2 3 2 2 9" xfId="9118" xr:uid="{D2C2A24C-9F2E-4D12-AF98-801C848660E3}"/>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24334" xr:uid="{0123D096-1749-4A0F-A554-97553F9809CF}"/>
    <cellStyle name="Normal 9 2 3 2 3 2 2 3" xfId="15893" xr:uid="{3D10E1D6-C98E-4155-B258-2356AEF944A5}"/>
    <cellStyle name="Normal 9 2 3 2 3 2 3" xfId="20116" xr:uid="{2F8B223C-6605-4A27-810A-49B6AD034283}"/>
    <cellStyle name="Normal 9 2 3 2 3 2 4" xfId="11675" xr:uid="{E5D38A28-0D32-4B45-89FC-74D99F4CC4ED}"/>
    <cellStyle name="Normal 9 2 3 2 3 3" xfId="5298" xr:uid="{00000000-0005-0000-0000-0000251F0000}"/>
    <cellStyle name="Normal 9 2 3 2 3 3 2" xfId="22189" xr:uid="{DA2ED71A-AD25-4196-A4D9-7850FCF3850A}"/>
    <cellStyle name="Normal 9 2 3 2 3 3 3" xfId="13748" xr:uid="{AECC377B-75F9-4C51-B71E-EB17731D6B99}"/>
    <cellStyle name="Normal 9 2 3 2 3 4" xfId="17971" xr:uid="{6769FA83-C600-43C0-9982-C0F947480A98}"/>
    <cellStyle name="Normal 9 2 3 2 3 5" xfId="9530" xr:uid="{7ADF297C-FE9A-47AB-A3D4-1229BE78398C}"/>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24747" xr:uid="{9889386B-085F-49BC-8F22-3A0269D28AD4}"/>
    <cellStyle name="Normal 9 2 3 2 4 2 2 3" xfId="16306" xr:uid="{9D24A421-65FE-478B-8A8C-C1350FC68D62}"/>
    <cellStyle name="Normal 9 2 3 2 4 2 3" xfId="20529" xr:uid="{9385DCA9-B88B-457D-95A0-AA83EDAC5A7C}"/>
    <cellStyle name="Normal 9 2 3 2 4 2 4" xfId="12088" xr:uid="{88921073-9472-467A-BF2E-0B5779D1CD05}"/>
    <cellStyle name="Normal 9 2 3 2 4 3" xfId="5711" xr:uid="{00000000-0005-0000-0000-0000291F0000}"/>
    <cellStyle name="Normal 9 2 3 2 4 3 2" xfId="22602" xr:uid="{282053F7-81D4-45C0-81BE-E2252A372485}"/>
    <cellStyle name="Normal 9 2 3 2 4 3 3" xfId="14161" xr:uid="{B8A76F3B-8478-439C-B5ED-5AD05A7A03E3}"/>
    <cellStyle name="Normal 9 2 3 2 4 4" xfId="18384" xr:uid="{14304809-3B81-421A-9113-44B88195BA0B}"/>
    <cellStyle name="Normal 9 2 3 2 4 5" xfId="9943" xr:uid="{7E27208E-01D6-472F-9D72-31B5C599F748}"/>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25160" xr:uid="{BA5A1C71-136F-480D-897F-A92D6C24B901}"/>
    <cellStyle name="Normal 9 2 3 2 5 2 2 3" xfId="16719" xr:uid="{A5C23EAB-8BCE-403D-BBC0-C0A9D2676E4C}"/>
    <cellStyle name="Normal 9 2 3 2 5 2 3" xfId="20942" xr:uid="{123273D1-E5FD-4F3A-B9F6-88C88B1EED87}"/>
    <cellStyle name="Normal 9 2 3 2 5 2 4" xfId="12501" xr:uid="{8B45EFE5-0E10-4078-9DBB-910696394AAB}"/>
    <cellStyle name="Normal 9 2 3 2 5 3" xfId="6124" xr:uid="{00000000-0005-0000-0000-00002D1F0000}"/>
    <cellStyle name="Normal 9 2 3 2 5 3 2" xfId="23015" xr:uid="{5812AE7C-C961-41F9-AC44-DC8E89022FBA}"/>
    <cellStyle name="Normal 9 2 3 2 5 3 3" xfId="14574" xr:uid="{975EB752-CAD7-4BE6-8BFB-49815181CA16}"/>
    <cellStyle name="Normal 9 2 3 2 5 4" xfId="18797" xr:uid="{CA0B196A-69A6-467F-B54C-15721A6778F7}"/>
    <cellStyle name="Normal 9 2 3 2 5 5" xfId="10356" xr:uid="{DB76E5C4-7A41-419D-A26D-7C159C32BCEE}"/>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25573" xr:uid="{7A2E67BE-7267-45EA-A650-A322968F425B}"/>
    <cellStyle name="Normal 9 2 3 2 6 2 2 3" xfId="17132" xr:uid="{77460193-4E2E-45CD-833E-9729174D6B68}"/>
    <cellStyle name="Normal 9 2 3 2 6 2 3" xfId="21355" xr:uid="{10E7E6B9-E044-4711-BEDE-21ABEBB5D4EB}"/>
    <cellStyle name="Normal 9 2 3 2 6 2 4" xfId="12914" xr:uid="{3A1FFEF8-1AFA-4CCB-86D9-0FA7A25FF7A1}"/>
    <cellStyle name="Normal 9 2 3 2 6 3" xfId="6537" xr:uid="{00000000-0005-0000-0000-0000311F0000}"/>
    <cellStyle name="Normal 9 2 3 2 6 3 2" xfId="23428" xr:uid="{05B4191D-EC90-43C0-A1BF-37097D6F7F6B}"/>
    <cellStyle name="Normal 9 2 3 2 6 3 3" xfId="14987" xr:uid="{65C56C75-F5D0-4C90-9C7B-827DA7FE695C}"/>
    <cellStyle name="Normal 9 2 3 2 6 4" xfId="19210" xr:uid="{E1EB8DDA-D87D-4A30-AFB4-107DCD627CB9}"/>
    <cellStyle name="Normal 9 2 3 2 6 5" xfId="10769" xr:uid="{D247F9CA-7602-4159-9185-CC50255C3355}"/>
    <cellStyle name="Normal 9 2 3 2 7" xfId="2667" xr:uid="{00000000-0005-0000-0000-0000321F0000}"/>
    <cellStyle name="Normal 9 2 3 2 7 2" xfId="6950" xr:uid="{00000000-0005-0000-0000-0000331F0000}"/>
    <cellStyle name="Normal 9 2 3 2 7 2 2" xfId="23841" xr:uid="{4E3E0B37-8B7D-4EC7-AD36-82270EE3A8E6}"/>
    <cellStyle name="Normal 9 2 3 2 7 2 3" xfId="15400" xr:uid="{CDC84BFD-3AFF-4C61-993E-2F61168BE648}"/>
    <cellStyle name="Normal 9 2 3 2 7 3" xfId="19623" xr:uid="{C1A1B5E6-F301-4A7A-AE1D-81E8F3086BB6}"/>
    <cellStyle name="Normal 9 2 3 2 7 4" xfId="11182" xr:uid="{16F24E06-08FA-41BF-AF91-FDF88E4B53A7}"/>
    <cellStyle name="Normal 9 2 3 2 8" xfId="4885" xr:uid="{00000000-0005-0000-0000-0000341F0000}"/>
    <cellStyle name="Normal 9 2 3 2 8 2" xfId="21776" xr:uid="{6D36CDF8-B501-4AFC-8420-BBC979ACEF99}"/>
    <cellStyle name="Normal 9 2 3 2 8 3" xfId="13335" xr:uid="{B78941DE-753F-400C-B738-01972D931731}"/>
    <cellStyle name="Normal 9 2 3 2 9" xfId="17558" xr:uid="{A9547A52-41C2-4FBB-99A4-CDFBF89794B4}"/>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24336" xr:uid="{30AD6C10-EF3E-44DC-BC35-6C48E53B3925}"/>
    <cellStyle name="Normal 9 2 3 3 2 2 2 3" xfId="15895" xr:uid="{DF9250EA-B033-4B46-9C72-05BC9D109ED5}"/>
    <cellStyle name="Normal 9 2 3 3 2 2 3" xfId="20118" xr:uid="{10E06E07-E2CD-42E0-ADDF-98B64A6A2955}"/>
    <cellStyle name="Normal 9 2 3 3 2 2 4" xfId="11677" xr:uid="{CCD16739-EECA-46C9-8CF1-BF5C665B326E}"/>
    <cellStyle name="Normal 9 2 3 3 2 3" xfId="5300" xr:uid="{00000000-0005-0000-0000-0000391F0000}"/>
    <cellStyle name="Normal 9 2 3 3 2 3 2" xfId="22191" xr:uid="{4F66FD46-3B2A-4223-BD3F-7C21523D1C01}"/>
    <cellStyle name="Normal 9 2 3 3 2 3 3" xfId="13750" xr:uid="{CFA04DA6-9B59-405C-BB47-148D67B02E37}"/>
    <cellStyle name="Normal 9 2 3 3 2 4" xfId="17973" xr:uid="{A9E11FD1-A3B4-414D-A7C9-8980E933AFD3}"/>
    <cellStyle name="Normal 9 2 3 3 2 5" xfId="9532" xr:uid="{C3DF7459-F72C-4461-8F5B-E42C7CFFA593}"/>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24749" xr:uid="{8F5A4769-C944-41F5-9855-C4DF9A5205B3}"/>
    <cellStyle name="Normal 9 2 3 3 3 2 2 3" xfId="16308" xr:uid="{4E8B350F-6BC5-4AEC-AF8B-0C637FF62270}"/>
    <cellStyle name="Normal 9 2 3 3 3 2 3" xfId="20531" xr:uid="{11FCA7FE-864D-4399-BE82-970EE62FFD79}"/>
    <cellStyle name="Normal 9 2 3 3 3 2 4" xfId="12090" xr:uid="{B8169C38-FA70-4324-ABD6-7336F7F00AFC}"/>
    <cellStyle name="Normal 9 2 3 3 3 3" xfId="5713" xr:uid="{00000000-0005-0000-0000-00003D1F0000}"/>
    <cellStyle name="Normal 9 2 3 3 3 3 2" xfId="22604" xr:uid="{D3E8FC75-D028-48A7-9291-4E7B9E5F3C68}"/>
    <cellStyle name="Normal 9 2 3 3 3 3 3" xfId="14163" xr:uid="{38CE2635-3DC8-40E0-A509-A0B13C05605F}"/>
    <cellStyle name="Normal 9 2 3 3 3 4" xfId="18386" xr:uid="{D99ED0C6-0E0F-42ED-A221-3F7E865AFD65}"/>
    <cellStyle name="Normal 9 2 3 3 3 5" xfId="9945" xr:uid="{C5054507-38A6-4A0E-83AD-A245D3B3E20D}"/>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25162" xr:uid="{82B304E0-0627-4822-98D8-72347CB261F8}"/>
    <cellStyle name="Normal 9 2 3 3 4 2 2 3" xfId="16721" xr:uid="{CD0590AB-7815-4521-9AAC-B432F69A747F}"/>
    <cellStyle name="Normal 9 2 3 3 4 2 3" xfId="20944" xr:uid="{91D7338E-8A6E-403A-908A-E0A5EF624E82}"/>
    <cellStyle name="Normal 9 2 3 3 4 2 4" xfId="12503" xr:uid="{EE8DBDBC-2A8D-45D1-8BFF-DCF9EF44071D}"/>
    <cellStyle name="Normal 9 2 3 3 4 3" xfId="6126" xr:uid="{00000000-0005-0000-0000-0000411F0000}"/>
    <cellStyle name="Normal 9 2 3 3 4 3 2" xfId="23017" xr:uid="{BB63F1A7-6BAD-4C90-83B6-856EDB230EEF}"/>
    <cellStyle name="Normal 9 2 3 3 4 3 3" xfId="14576" xr:uid="{5E153EF8-B324-4ED5-9377-DB6FF6B02E98}"/>
    <cellStyle name="Normal 9 2 3 3 4 4" xfId="18799" xr:uid="{CF7787B4-F36F-4467-B4A4-32B02AC7A630}"/>
    <cellStyle name="Normal 9 2 3 3 4 5" xfId="10358" xr:uid="{DB781EC3-A982-40D1-9093-E193AA63142E}"/>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25575" xr:uid="{04B30442-4C21-4FAF-B6D8-CB1BE9FF97D9}"/>
    <cellStyle name="Normal 9 2 3 3 5 2 2 3" xfId="17134" xr:uid="{D41B06AD-0F37-4565-B8D8-716269890316}"/>
    <cellStyle name="Normal 9 2 3 3 5 2 3" xfId="21357" xr:uid="{5127FBA2-985F-4D29-BBC4-7B3E2C0D43B7}"/>
    <cellStyle name="Normal 9 2 3 3 5 2 4" xfId="12916" xr:uid="{A1470340-C491-4F66-B528-5EA7F1B1D166}"/>
    <cellStyle name="Normal 9 2 3 3 5 3" xfId="6539" xr:uid="{00000000-0005-0000-0000-0000451F0000}"/>
    <cellStyle name="Normal 9 2 3 3 5 3 2" xfId="23430" xr:uid="{F73619DC-B25D-43C2-9705-D545E2D88E54}"/>
    <cellStyle name="Normal 9 2 3 3 5 3 3" xfId="14989" xr:uid="{82334E16-8D3E-430E-815A-C1E9C88636AF}"/>
    <cellStyle name="Normal 9 2 3 3 5 4" xfId="19212" xr:uid="{0D71CDFD-4B7A-4A48-A16C-F01479AECDCE}"/>
    <cellStyle name="Normal 9 2 3 3 5 5" xfId="10771" xr:uid="{F4F2B886-259C-48FC-92C6-4036B8DD5906}"/>
    <cellStyle name="Normal 9 2 3 3 6" xfId="2669" xr:uid="{00000000-0005-0000-0000-0000461F0000}"/>
    <cellStyle name="Normal 9 2 3 3 6 2" xfId="6952" xr:uid="{00000000-0005-0000-0000-0000471F0000}"/>
    <cellStyle name="Normal 9 2 3 3 6 2 2" xfId="23843" xr:uid="{A5A701F2-A2FE-425D-9B83-AB1814B0343E}"/>
    <cellStyle name="Normal 9 2 3 3 6 2 3" xfId="15402" xr:uid="{4878FEB2-669E-4DE5-AAC7-7AF697CC6371}"/>
    <cellStyle name="Normal 9 2 3 3 6 3" xfId="19625" xr:uid="{F1ACF810-DF10-484C-84D0-640B4424677E}"/>
    <cellStyle name="Normal 9 2 3 3 6 4" xfId="11184" xr:uid="{239620E8-4895-4191-82E9-67D9CDEFD263}"/>
    <cellStyle name="Normal 9 2 3 3 7" xfId="4887" xr:uid="{00000000-0005-0000-0000-0000481F0000}"/>
    <cellStyle name="Normal 9 2 3 3 7 2" xfId="21778" xr:uid="{93016977-2EAD-46EE-A6C9-7963FC32DD7A}"/>
    <cellStyle name="Normal 9 2 3 3 7 3" xfId="13337" xr:uid="{AAEFB743-B132-48BF-BEAC-D1CA58121600}"/>
    <cellStyle name="Normal 9 2 3 3 8" xfId="17560" xr:uid="{8F2F0986-F35D-4CB9-BCE6-F68732C657B4}"/>
    <cellStyle name="Normal 9 2 3 3 9" xfId="9119" xr:uid="{76710874-37B0-4CFF-8D7D-012F9FCA2476}"/>
    <cellStyle name="Normal 9 2 3 4" xfId="987" xr:uid="{00000000-0005-0000-0000-0000491F0000}"/>
    <cellStyle name="Normal 9 2 3 4 2" xfId="3220" xr:uid="{00000000-0005-0000-0000-00004A1F0000}"/>
    <cellStyle name="Normal 9 2 3 4 2 2" xfId="7442" xr:uid="{00000000-0005-0000-0000-00004B1F0000}"/>
    <cellStyle name="Normal 9 2 3 4 2 2 2" xfId="24333" xr:uid="{9ABC7EC0-896E-42CD-8A48-F69D627997D6}"/>
    <cellStyle name="Normal 9 2 3 4 2 2 3" xfId="15892" xr:uid="{D4ED4418-5672-4B49-856E-64ED49CBEBD9}"/>
    <cellStyle name="Normal 9 2 3 4 2 3" xfId="20115" xr:uid="{1422291A-E7B3-4D8B-9B05-44D19844877C}"/>
    <cellStyle name="Normal 9 2 3 4 2 4" xfId="11674" xr:uid="{57338FCF-6075-4C98-BB0B-330459C67413}"/>
    <cellStyle name="Normal 9 2 3 4 3" xfId="5297" xr:uid="{00000000-0005-0000-0000-00004C1F0000}"/>
    <cellStyle name="Normal 9 2 3 4 3 2" xfId="22188" xr:uid="{D990AD8A-EF67-4FC2-BBFF-C78FE00DA512}"/>
    <cellStyle name="Normal 9 2 3 4 3 3" xfId="13747" xr:uid="{6F442D8E-FA29-406A-ACA6-BD5D8BF06E19}"/>
    <cellStyle name="Normal 9 2 3 4 4" xfId="17970" xr:uid="{C7134174-C2F2-44C1-88A5-8BA5EEC5A18E}"/>
    <cellStyle name="Normal 9 2 3 4 5" xfId="9529" xr:uid="{63CD84E6-95D9-4699-BC03-B1D3AC03FF88}"/>
    <cellStyle name="Normal 9 2 3 5" xfId="1403" xr:uid="{00000000-0005-0000-0000-00004D1F0000}"/>
    <cellStyle name="Normal 9 2 3 5 2" xfId="3633" xr:uid="{00000000-0005-0000-0000-00004E1F0000}"/>
    <cellStyle name="Normal 9 2 3 5 2 2" xfId="7855" xr:uid="{00000000-0005-0000-0000-00004F1F0000}"/>
    <cellStyle name="Normal 9 2 3 5 2 2 2" xfId="24746" xr:uid="{84EA17C7-2EDD-49A9-8323-F3A7DF0120E3}"/>
    <cellStyle name="Normal 9 2 3 5 2 2 3" xfId="16305" xr:uid="{2A2EBAD2-828E-47DE-A060-5B0F02B8F3CC}"/>
    <cellStyle name="Normal 9 2 3 5 2 3" xfId="20528" xr:uid="{803F1C38-165B-4601-B569-053987579F3C}"/>
    <cellStyle name="Normal 9 2 3 5 2 4" xfId="12087" xr:uid="{081F7110-6802-41B5-9315-D5AD0F5C1B85}"/>
    <cellStyle name="Normal 9 2 3 5 3" xfId="5710" xr:uid="{00000000-0005-0000-0000-0000501F0000}"/>
    <cellStyle name="Normal 9 2 3 5 3 2" xfId="22601" xr:uid="{1FBDFD37-295E-4FCE-A302-607C8895A9CF}"/>
    <cellStyle name="Normal 9 2 3 5 3 3" xfId="14160" xr:uid="{8784057F-2515-4218-AB82-62ED97D954EB}"/>
    <cellStyle name="Normal 9 2 3 5 4" xfId="18383" xr:uid="{3D64BD0E-0621-4503-B96A-0C5D07A67057}"/>
    <cellStyle name="Normal 9 2 3 5 5" xfId="9942" xr:uid="{8DF52EDB-8843-46BA-B991-E9817FD15CF9}"/>
    <cellStyle name="Normal 9 2 3 6" xfId="1816" xr:uid="{00000000-0005-0000-0000-0000511F0000}"/>
    <cellStyle name="Normal 9 2 3 6 2" xfId="4046" xr:uid="{00000000-0005-0000-0000-0000521F0000}"/>
    <cellStyle name="Normal 9 2 3 6 2 2" xfId="8268" xr:uid="{00000000-0005-0000-0000-0000531F0000}"/>
    <cellStyle name="Normal 9 2 3 6 2 2 2" xfId="25159" xr:uid="{C4E763FA-C08B-4761-8D91-9E31DC60D6B1}"/>
    <cellStyle name="Normal 9 2 3 6 2 2 3" xfId="16718" xr:uid="{9FB2F17B-80EC-454F-907E-04C81DC09D7A}"/>
    <cellStyle name="Normal 9 2 3 6 2 3" xfId="20941" xr:uid="{09A9DF15-A294-4049-B9E5-F30AB2F0D418}"/>
    <cellStyle name="Normal 9 2 3 6 2 4" xfId="12500" xr:uid="{BC3790DC-6F5E-4A4C-843D-01CF848C123E}"/>
    <cellStyle name="Normal 9 2 3 6 3" xfId="6123" xr:uid="{00000000-0005-0000-0000-0000541F0000}"/>
    <cellStyle name="Normal 9 2 3 6 3 2" xfId="23014" xr:uid="{00E65BBC-D6B7-4972-A1DC-558F0FEF2D06}"/>
    <cellStyle name="Normal 9 2 3 6 3 3" xfId="14573" xr:uid="{557FB482-BC23-4DAC-A6BC-D84399FCFA88}"/>
    <cellStyle name="Normal 9 2 3 6 4" xfId="18796" xr:uid="{6AD1D060-5CAB-48E0-A166-C7054CA2BEDF}"/>
    <cellStyle name="Normal 9 2 3 6 5" xfId="10355" xr:uid="{0B4D4F00-C24D-4118-8DBE-65B3170A2DCF}"/>
    <cellStyle name="Normal 9 2 3 7" xfId="2230" xr:uid="{00000000-0005-0000-0000-0000551F0000}"/>
    <cellStyle name="Normal 9 2 3 7 2" xfId="4459" xr:uid="{00000000-0005-0000-0000-0000561F0000}"/>
    <cellStyle name="Normal 9 2 3 7 2 2" xfId="8681" xr:uid="{00000000-0005-0000-0000-0000571F0000}"/>
    <cellStyle name="Normal 9 2 3 7 2 2 2" xfId="25572" xr:uid="{FF23A4CE-CF61-4CBE-8071-93F8743B9DCD}"/>
    <cellStyle name="Normal 9 2 3 7 2 2 3" xfId="17131" xr:uid="{85BD933B-3D3B-41A1-A10D-4A5A8F3DACCD}"/>
    <cellStyle name="Normal 9 2 3 7 2 3" xfId="21354" xr:uid="{E2D66A50-1877-40A9-BE86-95709AE4DA57}"/>
    <cellStyle name="Normal 9 2 3 7 2 4" xfId="12913" xr:uid="{4790B8AF-7085-4185-8D65-FA266781C42C}"/>
    <cellStyle name="Normal 9 2 3 7 3" xfId="6536" xr:uid="{00000000-0005-0000-0000-0000581F0000}"/>
    <cellStyle name="Normal 9 2 3 7 3 2" xfId="23427" xr:uid="{69B7206C-4DBF-4E11-9131-14655F5FF5ED}"/>
    <cellStyle name="Normal 9 2 3 7 3 3" xfId="14986" xr:uid="{562AA6BF-4AA2-4161-A5B5-9406A8B2BCC0}"/>
    <cellStyle name="Normal 9 2 3 7 4" xfId="19209" xr:uid="{0BC67BB5-4CAD-48FE-ACD0-8C5E3F094E90}"/>
    <cellStyle name="Normal 9 2 3 7 5" xfId="10768" xr:uid="{FE99EE56-8FCB-4E15-BF5F-027BE39BF0B4}"/>
    <cellStyle name="Normal 9 2 3 8" xfId="2666" xr:uid="{00000000-0005-0000-0000-0000591F0000}"/>
    <cellStyle name="Normal 9 2 3 8 2" xfId="6949" xr:uid="{00000000-0005-0000-0000-00005A1F0000}"/>
    <cellStyle name="Normal 9 2 3 8 2 2" xfId="23840" xr:uid="{EE66BFBA-55A8-47F1-9D92-CC21375C5544}"/>
    <cellStyle name="Normal 9 2 3 8 2 3" xfId="15399" xr:uid="{91D32082-5DEF-4295-AC2F-1537464CA45E}"/>
    <cellStyle name="Normal 9 2 3 8 3" xfId="19622" xr:uid="{ECF2CAC4-D2D4-48D2-BD06-549879EB102C}"/>
    <cellStyle name="Normal 9 2 3 8 4" xfId="11181" xr:uid="{5C2362B8-0840-4499-BA8D-4FB43FE060B8}"/>
    <cellStyle name="Normal 9 2 3 9" xfId="4884" xr:uid="{00000000-0005-0000-0000-00005B1F0000}"/>
    <cellStyle name="Normal 9 2 3 9 2" xfId="21775" xr:uid="{26803EC3-971F-40D3-8CAE-FF50AEECBFFF}"/>
    <cellStyle name="Normal 9 2 3 9 3" xfId="13334" xr:uid="{C6940658-59DE-414B-A937-FDFF6A0DB857}"/>
    <cellStyle name="Normal 9 2 4" xfId="524" xr:uid="{00000000-0005-0000-0000-00005C1F0000}"/>
    <cellStyle name="Normal 9 2 4 10" xfId="9120" xr:uid="{DD62180D-F726-4328-8E4A-6F3D09B1652F}"/>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24338" xr:uid="{D4335719-7E22-4889-9A89-29CD99AB179F}"/>
    <cellStyle name="Normal 9 2 4 2 2 2 2 3" xfId="15897" xr:uid="{570C1615-4AB0-4158-88CD-2FA30971AC29}"/>
    <cellStyle name="Normal 9 2 4 2 2 2 3" xfId="20120" xr:uid="{782A5757-4CE3-494C-BB79-2731D46880F5}"/>
    <cellStyle name="Normal 9 2 4 2 2 2 4" xfId="11679" xr:uid="{DCEB39B2-5E5D-470F-98EB-9C7DB7A0DD3A}"/>
    <cellStyle name="Normal 9 2 4 2 2 3" xfId="5302" xr:uid="{00000000-0005-0000-0000-0000611F0000}"/>
    <cellStyle name="Normal 9 2 4 2 2 3 2" xfId="22193" xr:uid="{3AB572FF-DE71-4316-A562-580E3DACF4E3}"/>
    <cellStyle name="Normal 9 2 4 2 2 3 3" xfId="13752" xr:uid="{00F03FF4-F669-4A7A-8C1F-187693B37A2A}"/>
    <cellStyle name="Normal 9 2 4 2 2 4" xfId="17975" xr:uid="{4ED4DA41-57B2-4F78-819C-875AB254790B}"/>
    <cellStyle name="Normal 9 2 4 2 2 5" xfId="9534" xr:uid="{B9536535-1CD1-4360-AADC-DF491E221275}"/>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24751" xr:uid="{9FA6B4F7-C79B-4E8F-AAC6-3F386A641F87}"/>
    <cellStyle name="Normal 9 2 4 2 3 2 2 3" xfId="16310" xr:uid="{1B7249F4-8845-4FEC-94CC-82503AD4821B}"/>
    <cellStyle name="Normal 9 2 4 2 3 2 3" xfId="20533" xr:uid="{192A4F6F-40D5-4604-9F6B-A44B1D72A7B6}"/>
    <cellStyle name="Normal 9 2 4 2 3 2 4" xfId="12092" xr:uid="{94C8CA28-CCF5-4BD3-9A27-B5160B03B9D0}"/>
    <cellStyle name="Normal 9 2 4 2 3 3" xfId="5715" xr:uid="{00000000-0005-0000-0000-0000651F0000}"/>
    <cellStyle name="Normal 9 2 4 2 3 3 2" xfId="22606" xr:uid="{5A7968DB-607F-46D7-93C6-188C7912D7C0}"/>
    <cellStyle name="Normal 9 2 4 2 3 3 3" xfId="14165" xr:uid="{62B7E202-D3E4-4869-8A10-3748167B31F0}"/>
    <cellStyle name="Normal 9 2 4 2 3 4" xfId="18388" xr:uid="{324E1BE6-6EDC-46E5-BFF9-7297F3588FAD}"/>
    <cellStyle name="Normal 9 2 4 2 3 5" xfId="9947" xr:uid="{2E4A02C3-6F4B-456B-9A52-6902EF069278}"/>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25164" xr:uid="{6472EE8C-6DCA-4FAC-8A6E-47AD871487E9}"/>
    <cellStyle name="Normal 9 2 4 2 4 2 2 3" xfId="16723" xr:uid="{E3E3D701-C220-46B2-90D0-764D4DB024DD}"/>
    <cellStyle name="Normal 9 2 4 2 4 2 3" xfId="20946" xr:uid="{343FC7E6-54AA-40AA-9CAB-84AB95EFBFEB}"/>
    <cellStyle name="Normal 9 2 4 2 4 2 4" xfId="12505" xr:uid="{1293B7C7-3147-4999-9E2D-EBB50540BB59}"/>
    <cellStyle name="Normal 9 2 4 2 4 3" xfId="6128" xr:uid="{00000000-0005-0000-0000-0000691F0000}"/>
    <cellStyle name="Normal 9 2 4 2 4 3 2" xfId="23019" xr:uid="{6B696B49-FA48-4D68-9440-0B0E978E846A}"/>
    <cellStyle name="Normal 9 2 4 2 4 3 3" xfId="14578" xr:uid="{D1602C64-1DB2-4A3D-8A4B-5F41A35139F2}"/>
    <cellStyle name="Normal 9 2 4 2 4 4" xfId="18801" xr:uid="{D0A64247-FFB4-4CDD-A760-E7B61B3FF288}"/>
    <cellStyle name="Normal 9 2 4 2 4 5" xfId="10360" xr:uid="{2E695A78-4845-41C4-B648-4851AC94FC3E}"/>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25577" xr:uid="{66387081-A5C9-492A-B72F-2FC6DA1FE5FD}"/>
    <cellStyle name="Normal 9 2 4 2 5 2 2 3" xfId="17136" xr:uid="{C419CE9D-783E-4F32-85F4-17E188CC5A5C}"/>
    <cellStyle name="Normal 9 2 4 2 5 2 3" xfId="21359" xr:uid="{7DD4ADA1-6E99-46B5-8801-1441A602621D}"/>
    <cellStyle name="Normal 9 2 4 2 5 2 4" xfId="12918" xr:uid="{3AB2922E-D8BA-4A69-9CEB-F4675C4BA123}"/>
    <cellStyle name="Normal 9 2 4 2 5 3" xfId="6541" xr:uid="{00000000-0005-0000-0000-00006D1F0000}"/>
    <cellStyle name="Normal 9 2 4 2 5 3 2" xfId="23432" xr:uid="{214D3897-667C-4545-BB36-F15DEFEBBF39}"/>
    <cellStyle name="Normal 9 2 4 2 5 3 3" xfId="14991" xr:uid="{E4580476-B2A5-4530-85BE-133D320E488E}"/>
    <cellStyle name="Normal 9 2 4 2 5 4" xfId="19214" xr:uid="{9C56BB2D-21A8-46D7-8DA1-CBFE024397A9}"/>
    <cellStyle name="Normal 9 2 4 2 5 5" xfId="10773" xr:uid="{749F505E-F6B2-4C65-A3F9-CDD5F297873F}"/>
    <cellStyle name="Normal 9 2 4 2 6" xfId="2671" xr:uid="{00000000-0005-0000-0000-00006E1F0000}"/>
    <cellStyle name="Normal 9 2 4 2 6 2" xfId="6954" xr:uid="{00000000-0005-0000-0000-00006F1F0000}"/>
    <cellStyle name="Normal 9 2 4 2 6 2 2" xfId="23845" xr:uid="{2B643151-EC7C-46B2-93E5-E725FBF40D59}"/>
    <cellStyle name="Normal 9 2 4 2 6 2 3" xfId="15404" xr:uid="{36DC5497-EC3D-4615-A292-F4FAEE07F9A5}"/>
    <cellStyle name="Normal 9 2 4 2 6 3" xfId="19627" xr:uid="{5E0AF8B0-F1D9-454E-949F-D40AAFED34F5}"/>
    <cellStyle name="Normal 9 2 4 2 6 4" xfId="11186" xr:uid="{6FF4EA9E-917E-4D87-8089-70C5CE4E3F72}"/>
    <cellStyle name="Normal 9 2 4 2 7" xfId="4889" xr:uid="{00000000-0005-0000-0000-0000701F0000}"/>
    <cellStyle name="Normal 9 2 4 2 7 2" xfId="21780" xr:uid="{1D81C84D-ED86-420E-996E-74257C2B3F99}"/>
    <cellStyle name="Normal 9 2 4 2 7 3" xfId="13339" xr:uid="{C324877B-4F98-4470-9DEF-6C2AD2E1428B}"/>
    <cellStyle name="Normal 9 2 4 2 8" xfId="17562" xr:uid="{A6CE0F3D-E702-47EA-B749-3EE20B608F3C}"/>
    <cellStyle name="Normal 9 2 4 2 9" xfId="9121" xr:uid="{3768C344-9D6A-4EA1-88A7-2988EB84756B}"/>
    <cellStyle name="Normal 9 2 4 3" xfId="991" xr:uid="{00000000-0005-0000-0000-0000711F0000}"/>
    <cellStyle name="Normal 9 2 4 3 2" xfId="3224" xr:uid="{00000000-0005-0000-0000-0000721F0000}"/>
    <cellStyle name="Normal 9 2 4 3 2 2" xfId="7446" xr:uid="{00000000-0005-0000-0000-0000731F0000}"/>
    <cellStyle name="Normal 9 2 4 3 2 2 2" xfId="24337" xr:uid="{F1842DE5-C603-4B28-9CE7-337F0732CF5F}"/>
    <cellStyle name="Normal 9 2 4 3 2 2 3" xfId="15896" xr:uid="{3A285485-BF42-4F4D-BCC4-D5588624D9C1}"/>
    <cellStyle name="Normal 9 2 4 3 2 3" xfId="20119" xr:uid="{B083E276-BB0E-4BFA-A5B0-97F802F8EE69}"/>
    <cellStyle name="Normal 9 2 4 3 2 4" xfId="11678" xr:uid="{25A64785-8486-4145-9EB1-1859C3B6BAD2}"/>
    <cellStyle name="Normal 9 2 4 3 3" xfId="5301" xr:uid="{00000000-0005-0000-0000-0000741F0000}"/>
    <cellStyle name="Normal 9 2 4 3 3 2" xfId="22192" xr:uid="{01F25AA4-4C57-400E-BECA-6926DDE838E1}"/>
    <cellStyle name="Normal 9 2 4 3 3 3" xfId="13751" xr:uid="{B1F4837C-64BE-47A5-AEEA-AEAE7E253524}"/>
    <cellStyle name="Normal 9 2 4 3 4" xfId="17974" xr:uid="{B04B9949-A00E-4B32-A8D7-08544B1F5E97}"/>
    <cellStyle name="Normal 9 2 4 3 5" xfId="9533" xr:uid="{8D01BD64-642F-4CCC-9DFE-7610656A30D3}"/>
    <cellStyle name="Normal 9 2 4 4" xfId="1407" xr:uid="{00000000-0005-0000-0000-0000751F0000}"/>
    <cellStyle name="Normal 9 2 4 4 2" xfId="3637" xr:uid="{00000000-0005-0000-0000-0000761F0000}"/>
    <cellStyle name="Normal 9 2 4 4 2 2" xfId="7859" xr:uid="{00000000-0005-0000-0000-0000771F0000}"/>
    <cellStyle name="Normal 9 2 4 4 2 2 2" xfId="24750" xr:uid="{8E4C60F5-A614-416F-909C-43AD878A4804}"/>
    <cellStyle name="Normal 9 2 4 4 2 2 3" xfId="16309" xr:uid="{1BC9642E-D72E-4FF2-90F8-1DB382E72496}"/>
    <cellStyle name="Normal 9 2 4 4 2 3" xfId="20532" xr:uid="{E594A08F-8FA4-4FA7-B527-E84D5ADEFBDA}"/>
    <cellStyle name="Normal 9 2 4 4 2 4" xfId="12091" xr:uid="{CA405199-CD70-40E1-AD66-D44B676724C3}"/>
    <cellStyle name="Normal 9 2 4 4 3" xfId="5714" xr:uid="{00000000-0005-0000-0000-0000781F0000}"/>
    <cellStyle name="Normal 9 2 4 4 3 2" xfId="22605" xr:uid="{1494B2AD-F296-4857-82DF-F4356483341D}"/>
    <cellStyle name="Normal 9 2 4 4 3 3" xfId="14164" xr:uid="{13C619C4-5196-4568-8FD7-9C092EB676A5}"/>
    <cellStyle name="Normal 9 2 4 4 4" xfId="18387" xr:uid="{33E03D9A-630F-4D35-82C9-EFE53CC49B2C}"/>
    <cellStyle name="Normal 9 2 4 4 5" xfId="9946" xr:uid="{6381FDF4-CFCE-4E99-943D-2C6B3CA59066}"/>
    <cellStyle name="Normal 9 2 4 5" xfId="1820" xr:uid="{00000000-0005-0000-0000-0000791F0000}"/>
    <cellStyle name="Normal 9 2 4 5 2" xfId="4050" xr:uid="{00000000-0005-0000-0000-00007A1F0000}"/>
    <cellStyle name="Normal 9 2 4 5 2 2" xfId="8272" xr:uid="{00000000-0005-0000-0000-00007B1F0000}"/>
    <cellStyle name="Normal 9 2 4 5 2 2 2" xfId="25163" xr:uid="{9229160E-728E-45E4-80D3-DF44D8219252}"/>
    <cellStyle name="Normal 9 2 4 5 2 2 3" xfId="16722" xr:uid="{9D0CAE19-6FD1-4610-9559-041D6381076F}"/>
    <cellStyle name="Normal 9 2 4 5 2 3" xfId="20945" xr:uid="{3B36021B-D41C-4C46-B3EF-C552451841C0}"/>
    <cellStyle name="Normal 9 2 4 5 2 4" xfId="12504" xr:uid="{CF1C4555-CABE-4933-BDAF-6869EE0B4CAF}"/>
    <cellStyle name="Normal 9 2 4 5 3" xfId="6127" xr:uid="{00000000-0005-0000-0000-00007C1F0000}"/>
    <cellStyle name="Normal 9 2 4 5 3 2" xfId="23018" xr:uid="{B6FD45AD-11A2-42C4-AA2E-D6F1A9215A85}"/>
    <cellStyle name="Normal 9 2 4 5 3 3" xfId="14577" xr:uid="{4370ED8A-C3C5-4F29-B1E7-A1F86D9EC45A}"/>
    <cellStyle name="Normal 9 2 4 5 4" xfId="18800" xr:uid="{5FF91E3B-669F-4847-97BD-FDAEC314B2C2}"/>
    <cellStyle name="Normal 9 2 4 5 5" xfId="10359" xr:uid="{CEA36868-15F7-40BA-A7C2-AB5EB2984D71}"/>
    <cellStyle name="Normal 9 2 4 6" xfId="2234" xr:uid="{00000000-0005-0000-0000-00007D1F0000}"/>
    <cellStyle name="Normal 9 2 4 6 2" xfId="4463" xr:uid="{00000000-0005-0000-0000-00007E1F0000}"/>
    <cellStyle name="Normal 9 2 4 6 2 2" xfId="8685" xr:uid="{00000000-0005-0000-0000-00007F1F0000}"/>
    <cellStyle name="Normal 9 2 4 6 2 2 2" xfId="25576" xr:uid="{3E6D082E-4DEF-4114-874F-6A1C56ED2421}"/>
    <cellStyle name="Normal 9 2 4 6 2 2 3" xfId="17135" xr:uid="{577BB1C1-37F6-4B39-A38A-79D9564A8680}"/>
    <cellStyle name="Normal 9 2 4 6 2 3" xfId="21358" xr:uid="{AE30311B-A3C5-423C-9EFE-9380D3450BB1}"/>
    <cellStyle name="Normal 9 2 4 6 2 4" xfId="12917" xr:uid="{BC6CC35C-BCC0-4FE3-B714-E352E9348E14}"/>
    <cellStyle name="Normal 9 2 4 6 3" xfId="6540" xr:uid="{00000000-0005-0000-0000-0000801F0000}"/>
    <cellStyle name="Normal 9 2 4 6 3 2" xfId="23431" xr:uid="{14040EF8-ED6C-4E07-9BA1-8E2824D18901}"/>
    <cellStyle name="Normal 9 2 4 6 3 3" xfId="14990" xr:uid="{B8D8C584-74F1-4582-8E89-892636810C81}"/>
    <cellStyle name="Normal 9 2 4 6 4" xfId="19213" xr:uid="{295E0579-6987-4AEC-9015-A2B9D0071266}"/>
    <cellStyle name="Normal 9 2 4 6 5" xfId="10772" xr:uid="{EF497761-34B6-4ABC-9BBD-D8337C75AB2E}"/>
    <cellStyle name="Normal 9 2 4 7" xfId="2670" xr:uid="{00000000-0005-0000-0000-0000811F0000}"/>
    <cellStyle name="Normal 9 2 4 7 2" xfId="6953" xr:uid="{00000000-0005-0000-0000-0000821F0000}"/>
    <cellStyle name="Normal 9 2 4 7 2 2" xfId="23844" xr:uid="{B7773D8F-2BCB-43E5-B018-BE668A9412E3}"/>
    <cellStyle name="Normal 9 2 4 7 2 3" xfId="15403" xr:uid="{D4408CE1-8818-4212-9190-3209B1C8486E}"/>
    <cellStyle name="Normal 9 2 4 7 3" xfId="19626" xr:uid="{99BD14B6-7813-43B0-B804-2745A7028209}"/>
    <cellStyle name="Normal 9 2 4 7 4" xfId="11185" xr:uid="{06912236-8F2A-4713-BB10-7426DD8D64E3}"/>
    <cellStyle name="Normal 9 2 4 8" xfId="4888" xr:uid="{00000000-0005-0000-0000-0000831F0000}"/>
    <cellStyle name="Normal 9 2 4 8 2" xfId="21779" xr:uid="{0F7E4EB3-87F0-4860-AE60-18F1FD522E00}"/>
    <cellStyle name="Normal 9 2 4 8 3" xfId="13338" xr:uid="{71DE6320-4128-45C9-8F15-6689DFD682A1}"/>
    <cellStyle name="Normal 9 2 4 9" xfId="17561" xr:uid="{6395191F-9824-47BB-969A-7AC080AE504C}"/>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2 2 2" xfId="24339" xr:uid="{F8C53D9B-E651-4580-A29B-83DADD869DED}"/>
    <cellStyle name="Normal 9 2 5 2 2 2 3" xfId="15898" xr:uid="{6538DAA9-048E-49C8-8162-9D81B612D0F9}"/>
    <cellStyle name="Normal 9 2 5 2 2 3" xfId="20121" xr:uid="{F7F0C12E-76C1-43F2-B16D-8A4B2B25D19D}"/>
    <cellStyle name="Normal 9 2 5 2 2 4" xfId="11680" xr:uid="{7D9400A7-23E0-4230-A6AF-12C758F30C27}"/>
    <cellStyle name="Normal 9 2 5 2 3" xfId="5303" xr:uid="{00000000-0005-0000-0000-0000881F0000}"/>
    <cellStyle name="Normal 9 2 5 2 3 2" xfId="22194" xr:uid="{7777F4F1-420A-4750-BA39-2115E141B349}"/>
    <cellStyle name="Normal 9 2 5 2 3 3" xfId="13753" xr:uid="{39A84DAD-4B7E-47FE-826A-98D3BC15CAC6}"/>
    <cellStyle name="Normal 9 2 5 2 4" xfId="17976" xr:uid="{3CA08F98-F8D2-4C96-AE7E-6CB43F647603}"/>
    <cellStyle name="Normal 9 2 5 2 5" xfId="9535" xr:uid="{B0022845-3EA3-48FB-BE55-6B4D0F3B6AA8}"/>
    <cellStyle name="Normal 9 2 5 3" xfId="1409" xr:uid="{00000000-0005-0000-0000-0000891F0000}"/>
    <cellStyle name="Normal 9 2 5 3 2" xfId="3639" xr:uid="{00000000-0005-0000-0000-00008A1F0000}"/>
    <cellStyle name="Normal 9 2 5 3 2 2" xfId="7861" xr:uid="{00000000-0005-0000-0000-00008B1F0000}"/>
    <cellStyle name="Normal 9 2 5 3 2 2 2" xfId="24752" xr:uid="{8F0235EA-6B85-4A93-8CFF-C70106CB1BD6}"/>
    <cellStyle name="Normal 9 2 5 3 2 2 3" xfId="16311" xr:uid="{6BFFA5EC-5442-4F40-A3B4-919100937A58}"/>
    <cellStyle name="Normal 9 2 5 3 2 3" xfId="20534" xr:uid="{52BE5BEA-ECF8-488B-86C4-1FCF3775ECFD}"/>
    <cellStyle name="Normal 9 2 5 3 2 4" xfId="12093" xr:uid="{DDB7D792-A8F7-482D-8AB8-7A4270743814}"/>
    <cellStyle name="Normal 9 2 5 3 3" xfId="5716" xr:uid="{00000000-0005-0000-0000-00008C1F0000}"/>
    <cellStyle name="Normal 9 2 5 3 3 2" xfId="22607" xr:uid="{837EEDC1-AC9B-4222-9471-27AD13D8BB0B}"/>
    <cellStyle name="Normal 9 2 5 3 3 3" xfId="14166" xr:uid="{B8003F4E-BF37-42AC-9D44-9464BC1366A2}"/>
    <cellStyle name="Normal 9 2 5 3 4" xfId="18389" xr:uid="{6B8E0B84-4F98-4B18-88B6-A6CB95B1AFF3}"/>
    <cellStyle name="Normal 9 2 5 3 5" xfId="9948" xr:uid="{DDC449F1-7BE0-4236-9E80-A61E2F261E29}"/>
    <cellStyle name="Normal 9 2 5 4" xfId="1822" xr:uid="{00000000-0005-0000-0000-00008D1F0000}"/>
    <cellStyle name="Normal 9 2 5 4 2" xfId="4052" xr:uid="{00000000-0005-0000-0000-00008E1F0000}"/>
    <cellStyle name="Normal 9 2 5 4 2 2" xfId="8274" xr:uid="{00000000-0005-0000-0000-00008F1F0000}"/>
    <cellStyle name="Normal 9 2 5 4 2 2 2" xfId="25165" xr:uid="{62EE16BE-B199-4CB5-90FD-2B4E0A9864F9}"/>
    <cellStyle name="Normal 9 2 5 4 2 2 3" xfId="16724" xr:uid="{A9CC87A1-9CCD-4A38-9806-12AD297FBE27}"/>
    <cellStyle name="Normal 9 2 5 4 2 3" xfId="20947" xr:uid="{A724D64D-5FD0-4615-A493-B47EC8F00041}"/>
    <cellStyle name="Normal 9 2 5 4 2 4" xfId="12506" xr:uid="{9E1DBE10-2774-4FD8-97CE-E588F896876E}"/>
    <cellStyle name="Normal 9 2 5 4 3" xfId="6129" xr:uid="{00000000-0005-0000-0000-0000901F0000}"/>
    <cellStyle name="Normal 9 2 5 4 3 2" xfId="23020" xr:uid="{7046189F-EE02-44BB-B21E-1099A4CD9623}"/>
    <cellStyle name="Normal 9 2 5 4 3 3" xfId="14579" xr:uid="{7B132BE2-0A43-4A08-AD4C-7FAAB7BF6960}"/>
    <cellStyle name="Normal 9 2 5 4 4" xfId="18802" xr:uid="{45477CC5-F06D-4659-BCFF-ED30BBF221B3}"/>
    <cellStyle name="Normal 9 2 5 4 5" xfId="10361" xr:uid="{A3A82A55-D37E-4CBD-ACFB-47968A23E88A}"/>
    <cellStyle name="Normal 9 2 5 5" xfId="2236" xr:uid="{00000000-0005-0000-0000-0000911F0000}"/>
    <cellStyle name="Normal 9 2 5 5 2" xfId="4465" xr:uid="{00000000-0005-0000-0000-0000921F0000}"/>
    <cellStyle name="Normal 9 2 5 5 2 2" xfId="8687" xr:uid="{00000000-0005-0000-0000-0000931F0000}"/>
    <cellStyle name="Normal 9 2 5 5 2 2 2" xfId="25578" xr:uid="{BC22FD07-DDAC-4BA7-868E-A82A1F97EA34}"/>
    <cellStyle name="Normal 9 2 5 5 2 2 3" xfId="17137" xr:uid="{7CCE2170-4FA0-43DB-B5E6-B8C4CD33F5FC}"/>
    <cellStyle name="Normal 9 2 5 5 2 3" xfId="21360" xr:uid="{6920F2C9-815A-4178-8DA2-1FE6D90EEB63}"/>
    <cellStyle name="Normal 9 2 5 5 2 4" xfId="12919" xr:uid="{E1BBD6CD-A398-47A2-BC02-748A284190DD}"/>
    <cellStyle name="Normal 9 2 5 5 3" xfId="6542" xr:uid="{00000000-0005-0000-0000-0000941F0000}"/>
    <cellStyle name="Normal 9 2 5 5 3 2" xfId="23433" xr:uid="{A90B6ECE-84B2-40F3-8D19-F0DF06F5EFDE}"/>
    <cellStyle name="Normal 9 2 5 5 3 3" xfId="14992" xr:uid="{0313B3FB-40B1-4F49-BD50-BD5345C28884}"/>
    <cellStyle name="Normal 9 2 5 5 4" xfId="19215" xr:uid="{9441B733-5EAA-4D64-948A-8771527E498E}"/>
    <cellStyle name="Normal 9 2 5 5 5" xfId="10774" xr:uid="{DB8EFE89-489C-4992-84D2-A019A3E60EAA}"/>
    <cellStyle name="Normal 9 2 5 6" xfId="2672" xr:uid="{00000000-0005-0000-0000-0000951F0000}"/>
    <cellStyle name="Normal 9 2 5 6 2" xfId="6955" xr:uid="{00000000-0005-0000-0000-0000961F0000}"/>
    <cellStyle name="Normal 9 2 5 6 2 2" xfId="23846" xr:uid="{C947BC2A-5B28-4D63-A4BC-86D90E64FD3C}"/>
    <cellStyle name="Normal 9 2 5 6 2 3" xfId="15405" xr:uid="{19D9618D-240A-4D10-9C0D-5781CFCDF679}"/>
    <cellStyle name="Normal 9 2 5 6 3" xfId="19628" xr:uid="{9AF66C86-008F-4BD1-85BA-20FAD0DF3F57}"/>
    <cellStyle name="Normal 9 2 5 6 4" xfId="11187" xr:uid="{59C538FB-E984-428C-9E8D-CFF551B2D6FE}"/>
    <cellStyle name="Normal 9 2 5 7" xfId="4890" xr:uid="{00000000-0005-0000-0000-0000971F0000}"/>
    <cellStyle name="Normal 9 2 5 7 2" xfId="21781" xr:uid="{A47DD9A3-B9E8-458A-8848-B8F632055BC7}"/>
    <cellStyle name="Normal 9 2 5 7 3" xfId="13340" xr:uid="{D69A01AB-60E6-4C6B-A3BD-2D58A4EA1B3F}"/>
    <cellStyle name="Normal 9 2 5 8" xfId="17563" xr:uid="{D4F8A494-1900-40F8-AA65-3177E682A271}"/>
    <cellStyle name="Normal 9 2 5 9" xfId="9122" xr:uid="{3BB53860-11C5-4867-A329-6183C4AD1CB6}"/>
    <cellStyle name="Normal 9 2 6" xfId="978" xr:uid="{00000000-0005-0000-0000-0000981F0000}"/>
    <cellStyle name="Normal 9 2 6 2" xfId="3211" xr:uid="{00000000-0005-0000-0000-0000991F0000}"/>
    <cellStyle name="Normal 9 2 6 2 2" xfId="7433" xr:uid="{00000000-0005-0000-0000-00009A1F0000}"/>
    <cellStyle name="Normal 9 2 6 2 2 2" xfId="24324" xr:uid="{E5D3653C-9DC1-410A-B691-FF431534D70D}"/>
    <cellStyle name="Normal 9 2 6 2 2 3" xfId="15883" xr:uid="{E3568522-30FA-421E-B422-B788FA5557B5}"/>
    <cellStyle name="Normal 9 2 6 2 3" xfId="20106" xr:uid="{0C98903D-6BA7-42C7-9513-FDF8A8BCB352}"/>
    <cellStyle name="Normal 9 2 6 2 4" xfId="11665" xr:uid="{4CFCAE10-DE60-468B-9DBA-8C236EE1B305}"/>
    <cellStyle name="Normal 9 2 6 3" xfId="5288" xr:uid="{00000000-0005-0000-0000-00009B1F0000}"/>
    <cellStyle name="Normal 9 2 6 3 2" xfId="22179" xr:uid="{A299B449-7AF4-47BA-AD99-692599F479F2}"/>
    <cellStyle name="Normal 9 2 6 3 3" xfId="13738" xr:uid="{0ABCB837-1362-479E-895E-B3E0A5F69B06}"/>
    <cellStyle name="Normal 9 2 6 4" xfId="17961" xr:uid="{4C7B8720-B64E-479D-8319-B83F1B828A0C}"/>
    <cellStyle name="Normal 9 2 6 5" xfId="9520" xr:uid="{3D1CFF19-E29A-40B0-86C3-7CFCF8015207}"/>
    <cellStyle name="Normal 9 2 7" xfId="1394" xr:uid="{00000000-0005-0000-0000-00009C1F0000}"/>
    <cellStyle name="Normal 9 2 7 2" xfId="3624" xr:uid="{00000000-0005-0000-0000-00009D1F0000}"/>
    <cellStyle name="Normal 9 2 7 2 2" xfId="7846" xr:uid="{00000000-0005-0000-0000-00009E1F0000}"/>
    <cellStyle name="Normal 9 2 7 2 2 2" xfId="24737" xr:uid="{DAB94DDC-EE33-42D7-A0A9-30E03B001AF8}"/>
    <cellStyle name="Normal 9 2 7 2 2 3" xfId="16296" xr:uid="{B4BADF16-237F-48B3-8AD2-E16795EB4427}"/>
    <cellStyle name="Normal 9 2 7 2 3" xfId="20519" xr:uid="{49F5F5E4-A0DD-4329-88F2-840EB86B4BE3}"/>
    <cellStyle name="Normal 9 2 7 2 4" xfId="12078" xr:uid="{431C0CE6-0222-49E1-B01F-7949BF862EC4}"/>
    <cellStyle name="Normal 9 2 7 3" xfId="5701" xr:uid="{00000000-0005-0000-0000-00009F1F0000}"/>
    <cellStyle name="Normal 9 2 7 3 2" xfId="22592" xr:uid="{B4036E62-9913-42C5-B9A5-04FB1E79A857}"/>
    <cellStyle name="Normal 9 2 7 3 3" xfId="14151" xr:uid="{E393F678-9B8C-4C76-9904-FF46E2AEC6BF}"/>
    <cellStyle name="Normal 9 2 7 4" xfId="18374" xr:uid="{69DD42E5-2544-4462-95C3-D943484B2DF9}"/>
    <cellStyle name="Normal 9 2 7 5" xfId="9933" xr:uid="{58FD0479-BD10-4788-920C-3C24E37C41FC}"/>
    <cellStyle name="Normal 9 2 8" xfId="1807" xr:uid="{00000000-0005-0000-0000-0000A01F0000}"/>
    <cellStyle name="Normal 9 2 8 2" xfId="4037" xr:uid="{00000000-0005-0000-0000-0000A11F0000}"/>
    <cellStyle name="Normal 9 2 8 2 2" xfId="8259" xr:uid="{00000000-0005-0000-0000-0000A21F0000}"/>
    <cellStyle name="Normal 9 2 8 2 2 2" xfId="25150" xr:uid="{29605647-C48C-4456-957D-096CF972BC7C}"/>
    <cellStyle name="Normal 9 2 8 2 2 3" xfId="16709" xr:uid="{F801BDD8-0566-44E3-834A-2F462697080F}"/>
    <cellStyle name="Normal 9 2 8 2 3" xfId="20932" xr:uid="{1B7041C0-CF30-4785-BDC3-DFE01A40661A}"/>
    <cellStyle name="Normal 9 2 8 2 4" xfId="12491" xr:uid="{C677E9A9-6A87-47F4-B257-08E5369EB84F}"/>
    <cellStyle name="Normal 9 2 8 3" xfId="6114" xr:uid="{00000000-0005-0000-0000-0000A31F0000}"/>
    <cellStyle name="Normal 9 2 8 3 2" xfId="23005" xr:uid="{8BB7DFC4-E9CC-4709-A251-83898919605D}"/>
    <cellStyle name="Normal 9 2 8 3 3" xfId="14564" xr:uid="{7D3B6996-00E5-4F70-9DE1-58729BA75617}"/>
    <cellStyle name="Normal 9 2 8 4" xfId="18787" xr:uid="{F06E234C-7C52-49F3-9E4B-F2AFB29B6F6E}"/>
    <cellStyle name="Normal 9 2 8 5" xfId="10346" xr:uid="{9FE29266-9B14-444C-9EAD-077BD145EC1F}"/>
    <cellStyle name="Normal 9 2 9" xfId="2221" xr:uid="{00000000-0005-0000-0000-0000A41F0000}"/>
    <cellStyle name="Normal 9 2 9 2" xfId="4450" xr:uid="{00000000-0005-0000-0000-0000A51F0000}"/>
    <cellStyle name="Normal 9 2 9 2 2" xfId="8672" xr:uid="{00000000-0005-0000-0000-0000A61F0000}"/>
    <cellStyle name="Normal 9 2 9 2 2 2" xfId="25563" xr:uid="{4289EA53-6C91-4F19-8FA1-5EE4870BB027}"/>
    <cellStyle name="Normal 9 2 9 2 2 3" xfId="17122" xr:uid="{7F911795-ABB4-474B-9621-F5E8424DB394}"/>
    <cellStyle name="Normal 9 2 9 2 3" xfId="21345" xr:uid="{3683BB5E-C6DB-4A69-8302-2CD93F5C6DC4}"/>
    <cellStyle name="Normal 9 2 9 2 4" xfId="12904" xr:uid="{5CFD4E73-F384-4E07-A274-DA690ED6FBA7}"/>
    <cellStyle name="Normal 9 2 9 3" xfId="6527" xr:uid="{00000000-0005-0000-0000-0000A71F0000}"/>
    <cellStyle name="Normal 9 2 9 3 2" xfId="23418" xr:uid="{13728FC9-5606-472D-8783-4EF389531A6D}"/>
    <cellStyle name="Normal 9 2 9 3 3" xfId="14977" xr:uid="{B0836C96-208F-4918-99C7-CBC1DE24BE66}"/>
    <cellStyle name="Normal 9 2 9 4" xfId="19200" xr:uid="{5F4C4DFC-6008-449C-8E62-B86B5F7AA8BF}"/>
    <cellStyle name="Normal 9 2 9 5" xfId="10759" xr:uid="{96DBCE80-975A-44BF-9A98-B5B41B7FE3FF}"/>
    <cellStyle name="Normal 9 3" xfId="527" xr:uid="{00000000-0005-0000-0000-0000A81F0000}"/>
    <cellStyle name="Normal 9 3 10" xfId="4891" xr:uid="{00000000-0005-0000-0000-0000A91F0000}"/>
    <cellStyle name="Normal 9 3 10 2" xfId="21782" xr:uid="{FBAEBC7E-85D6-476E-B59A-FEEC9D9A6453}"/>
    <cellStyle name="Normal 9 3 10 3" xfId="13341" xr:uid="{5325408F-E1D3-4D73-B415-DE2133CDB03E}"/>
    <cellStyle name="Normal 9 3 11" xfId="17564" xr:uid="{B48E1E50-A21B-4992-B435-48A9FBCCF8EA}"/>
    <cellStyle name="Normal 9 3 12" xfId="9123" xr:uid="{811F2ED2-90F7-40D2-8D98-41331032740C}"/>
    <cellStyle name="Normal 9 3 2" xfId="528" xr:uid="{00000000-0005-0000-0000-0000AA1F0000}"/>
    <cellStyle name="Normal 9 3 2 10" xfId="17565" xr:uid="{69D7CC6E-59AD-47F7-8CC7-1310E2895F5B}"/>
    <cellStyle name="Normal 9 3 2 11" xfId="9124" xr:uid="{AC7A72F5-C503-41EE-AA62-14944F32F8B1}"/>
    <cellStyle name="Normal 9 3 2 2" xfId="529" xr:uid="{00000000-0005-0000-0000-0000AB1F0000}"/>
    <cellStyle name="Normal 9 3 2 2 10" xfId="9125" xr:uid="{81BCE047-6CF6-45DE-8903-91758B34CAF4}"/>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24343" xr:uid="{F58319DF-40A3-4E14-8CC1-F3E966B97119}"/>
    <cellStyle name="Normal 9 3 2 2 2 2 2 2 3" xfId="15902" xr:uid="{AFF0B250-4116-483B-A503-6E7E6D6FC836}"/>
    <cellStyle name="Normal 9 3 2 2 2 2 2 3" xfId="20125" xr:uid="{0DDAD131-61E9-4C23-BB43-012F574264C7}"/>
    <cellStyle name="Normal 9 3 2 2 2 2 2 4" xfId="11684" xr:uid="{F8C06D32-EEF3-493F-8B3E-B067589DEADA}"/>
    <cellStyle name="Normal 9 3 2 2 2 2 3" xfId="5307" xr:uid="{00000000-0005-0000-0000-0000B01F0000}"/>
    <cellStyle name="Normal 9 3 2 2 2 2 3 2" xfId="22198" xr:uid="{5C9B0092-B60D-4338-BF38-389707E3A12E}"/>
    <cellStyle name="Normal 9 3 2 2 2 2 3 3" xfId="13757" xr:uid="{D312F28C-206B-4C28-A6A2-7B405E9A6CB2}"/>
    <cellStyle name="Normal 9 3 2 2 2 2 4" xfId="17980" xr:uid="{AB7A9A27-A310-453F-B3F7-EC40E23AD8BF}"/>
    <cellStyle name="Normal 9 3 2 2 2 2 5" xfId="9539" xr:uid="{6E653199-7F1F-4394-B108-FCAFCFC6660A}"/>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24756" xr:uid="{94EB23FF-5935-441D-91A6-BCDAFDB99F61}"/>
    <cellStyle name="Normal 9 3 2 2 2 3 2 2 3" xfId="16315" xr:uid="{71A662E3-68F6-455E-A80D-4EC654E22B5E}"/>
    <cellStyle name="Normal 9 3 2 2 2 3 2 3" xfId="20538" xr:uid="{FD625D46-98D8-43B7-9C48-BDF7D26A18EE}"/>
    <cellStyle name="Normal 9 3 2 2 2 3 2 4" xfId="12097" xr:uid="{383BECD1-6937-4000-BF38-0D2592E65544}"/>
    <cellStyle name="Normal 9 3 2 2 2 3 3" xfId="5720" xr:uid="{00000000-0005-0000-0000-0000B41F0000}"/>
    <cellStyle name="Normal 9 3 2 2 2 3 3 2" xfId="22611" xr:uid="{C69CFE39-BC6E-4C92-B712-94A8D2B5FFDC}"/>
    <cellStyle name="Normal 9 3 2 2 2 3 3 3" xfId="14170" xr:uid="{8A29EB0B-C8FA-418B-920E-99C85803B429}"/>
    <cellStyle name="Normal 9 3 2 2 2 3 4" xfId="18393" xr:uid="{AC3F054C-F5FD-4D49-9DDB-0124F0305386}"/>
    <cellStyle name="Normal 9 3 2 2 2 3 5" xfId="9952" xr:uid="{EA6E246E-AC47-40F3-93E0-B53828075024}"/>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25169" xr:uid="{AA336A6C-3B10-4B81-8824-5A6D16E7EA5F}"/>
    <cellStyle name="Normal 9 3 2 2 2 4 2 2 3" xfId="16728" xr:uid="{10FFE8B4-8EDE-490F-A662-DCBD0B1FD847}"/>
    <cellStyle name="Normal 9 3 2 2 2 4 2 3" xfId="20951" xr:uid="{8E83AF56-EC92-4A42-B4DE-F122F887E9C6}"/>
    <cellStyle name="Normal 9 3 2 2 2 4 2 4" xfId="12510" xr:uid="{C79D7BE0-A523-4E89-BB3D-F3A2CE775F5B}"/>
    <cellStyle name="Normal 9 3 2 2 2 4 3" xfId="6133" xr:uid="{00000000-0005-0000-0000-0000B81F0000}"/>
    <cellStyle name="Normal 9 3 2 2 2 4 3 2" xfId="23024" xr:uid="{DAC85DF4-806E-42D7-8D00-6901A164CBD2}"/>
    <cellStyle name="Normal 9 3 2 2 2 4 3 3" xfId="14583" xr:uid="{99895101-EFFF-428B-A28D-D7D6D478B284}"/>
    <cellStyle name="Normal 9 3 2 2 2 4 4" xfId="18806" xr:uid="{BBB33320-C5DE-4715-82B4-8103604C878A}"/>
    <cellStyle name="Normal 9 3 2 2 2 4 5" xfId="10365" xr:uid="{E725C945-535E-4B51-AE57-694C929D9AF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25582" xr:uid="{CAC97F60-0ED4-4E35-9978-C7CBCC4CC305}"/>
    <cellStyle name="Normal 9 3 2 2 2 5 2 2 3" xfId="17141" xr:uid="{342858E2-FC90-4470-94E8-6AB21051AECD}"/>
    <cellStyle name="Normal 9 3 2 2 2 5 2 3" xfId="21364" xr:uid="{8BB5AA1B-D0C6-479C-A6B4-B66C26DE47CC}"/>
    <cellStyle name="Normal 9 3 2 2 2 5 2 4" xfId="12923" xr:uid="{683054D2-0DA0-4FF3-807F-C24B9AD77501}"/>
    <cellStyle name="Normal 9 3 2 2 2 5 3" xfId="6546" xr:uid="{00000000-0005-0000-0000-0000BC1F0000}"/>
    <cellStyle name="Normal 9 3 2 2 2 5 3 2" xfId="23437" xr:uid="{A3779B02-A0A9-4E0A-A1B1-A13B92721B8A}"/>
    <cellStyle name="Normal 9 3 2 2 2 5 3 3" xfId="14996" xr:uid="{1C0E3485-BA6A-4EC7-B74C-B25740A78EBB}"/>
    <cellStyle name="Normal 9 3 2 2 2 5 4" xfId="19219" xr:uid="{D731A438-C628-4B04-86A8-468F8791F6C4}"/>
    <cellStyle name="Normal 9 3 2 2 2 5 5" xfId="10778" xr:uid="{FAD20AB5-1567-4F8D-9E15-D4C3E619A22C}"/>
    <cellStyle name="Normal 9 3 2 2 2 6" xfId="2676" xr:uid="{00000000-0005-0000-0000-0000BD1F0000}"/>
    <cellStyle name="Normal 9 3 2 2 2 6 2" xfId="6959" xr:uid="{00000000-0005-0000-0000-0000BE1F0000}"/>
    <cellStyle name="Normal 9 3 2 2 2 6 2 2" xfId="23850" xr:uid="{DA1116B3-687A-49DB-9441-05D11CF0E513}"/>
    <cellStyle name="Normal 9 3 2 2 2 6 2 3" xfId="15409" xr:uid="{8DDAF792-942B-4AAD-8D62-49DBB76CAB30}"/>
    <cellStyle name="Normal 9 3 2 2 2 6 3" xfId="19632" xr:uid="{F0F64EA0-4B6C-4F7E-8F73-285B3EE93F57}"/>
    <cellStyle name="Normal 9 3 2 2 2 6 4" xfId="11191" xr:uid="{03BD2315-F07D-473E-A14B-DF39C05504D8}"/>
    <cellStyle name="Normal 9 3 2 2 2 7" xfId="4894" xr:uid="{00000000-0005-0000-0000-0000BF1F0000}"/>
    <cellStyle name="Normal 9 3 2 2 2 7 2" xfId="21785" xr:uid="{D3B990AC-8EFC-46D9-A798-1D350A8E75BA}"/>
    <cellStyle name="Normal 9 3 2 2 2 7 3" xfId="13344" xr:uid="{C85760D7-0DCC-4FC2-9934-BADF000CE427}"/>
    <cellStyle name="Normal 9 3 2 2 2 8" xfId="17567" xr:uid="{AFE5FF51-B2A6-4789-9E7B-F2BA467EB165}"/>
    <cellStyle name="Normal 9 3 2 2 2 9" xfId="9126" xr:uid="{5B61D715-669D-424E-857B-16780772209D}"/>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24342" xr:uid="{AC5EDAC4-66DA-445B-8174-DA61BBED64E9}"/>
    <cellStyle name="Normal 9 3 2 2 3 2 2 3" xfId="15901" xr:uid="{991F9CA1-B369-4681-82FB-BFA33DAD092D}"/>
    <cellStyle name="Normal 9 3 2 2 3 2 3" xfId="20124" xr:uid="{76ABE037-7DAE-4915-B208-BF4BADF86B61}"/>
    <cellStyle name="Normal 9 3 2 2 3 2 4" xfId="11683" xr:uid="{CDAF9196-56D7-4CCC-94C3-44BEDDCAD63F}"/>
    <cellStyle name="Normal 9 3 2 2 3 3" xfId="5306" xr:uid="{00000000-0005-0000-0000-0000C31F0000}"/>
    <cellStyle name="Normal 9 3 2 2 3 3 2" xfId="22197" xr:uid="{C476CDAC-352A-4F21-B87A-D5CC9A096A08}"/>
    <cellStyle name="Normal 9 3 2 2 3 3 3" xfId="13756" xr:uid="{755BE95B-268C-4B90-8763-A0A6546F507A}"/>
    <cellStyle name="Normal 9 3 2 2 3 4" xfId="17979" xr:uid="{7797210C-748B-496C-9186-C4C5383BC882}"/>
    <cellStyle name="Normal 9 3 2 2 3 5" xfId="9538" xr:uid="{8A92C779-8DC6-41CD-93EA-C91168CEF476}"/>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24755" xr:uid="{A8E4D68F-227B-4462-8031-CBAECDE5D8C7}"/>
    <cellStyle name="Normal 9 3 2 2 4 2 2 3" xfId="16314" xr:uid="{A68C146E-7755-4699-8E64-B82E652E7E39}"/>
    <cellStyle name="Normal 9 3 2 2 4 2 3" xfId="20537" xr:uid="{D04148B1-2AE4-45FE-8E8B-B6040A598F2E}"/>
    <cellStyle name="Normal 9 3 2 2 4 2 4" xfId="12096" xr:uid="{0CB8C9CB-229D-468B-982B-004A81796EF7}"/>
    <cellStyle name="Normal 9 3 2 2 4 3" xfId="5719" xr:uid="{00000000-0005-0000-0000-0000C71F0000}"/>
    <cellStyle name="Normal 9 3 2 2 4 3 2" xfId="22610" xr:uid="{1A4CFFEE-203A-474C-AD5B-890E9D878066}"/>
    <cellStyle name="Normal 9 3 2 2 4 3 3" xfId="14169" xr:uid="{B8EC83E7-ADB1-40E3-8E70-CF9AAC11915C}"/>
    <cellStyle name="Normal 9 3 2 2 4 4" xfId="18392" xr:uid="{57248EE0-B6D8-4FE2-ADEB-61FAD3C0678A}"/>
    <cellStyle name="Normal 9 3 2 2 4 5" xfId="9951" xr:uid="{35993C21-7156-4CC2-9255-3774E1685ACE}"/>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25168" xr:uid="{6F2FAD2B-3960-4399-BAA3-1D630C1A917B}"/>
    <cellStyle name="Normal 9 3 2 2 5 2 2 3" xfId="16727" xr:uid="{60F0782E-AF70-4144-B42C-F147B93FCB2D}"/>
    <cellStyle name="Normal 9 3 2 2 5 2 3" xfId="20950" xr:uid="{A593AF41-CB61-4788-9C3D-005ECDDCF3B5}"/>
    <cellStyle name="Normal 9 3 2 2 5 2 4" xfId="12509" xr:uid="{15B580EA-FE74-46E1-9D2F-41D1225A3B9F}"/>
    <cellStyle name="Normal 9 3 2 2 5 3" xfId="6132" xr:uid="{00000000-0005-0000-0000-0000CB1F0000}"/>
    <cellStyle name="Normal 9 3 2 2 5 3 2" xfId="23023" xr:uid="{5CCCCF87-6173-425F-89D5-DD3C6851BDAF}"/>
    <cellStyle name="Normal 9 3 2 2 5 3 3" xfId="14582" xr:uid="{DA1621D2-90BA-46E6-A9B2-F9BC12C36C71}"/>
    <cellStyle name="Normal 9 3 2 2 5 4" xfId="18805" xr:uid="{48597AE0-D54E-46BB-9982-D3831B2F0545}"/>
    <cellStyle name="Normal 9 3 2 2 5 5" xfId="10364" xr:uid="{B1DDAE0D-E26F-4E57-9B01-276A0197D6D0}"/>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25581" xr:uid="{9FB4486B-3721-4D0D-97A0-976EA2900253}"/>
    <cellStyle name="Normal 9 3 2 2 6 2 2 3" xfId="17140" xr:uid="{A577F87B-993E-45B0-A242-4E53C5AE7393}"/>
    <cellStyle name="Normal 9 3 2 2 6 2 3" xfId="21363" xr:uid="{6BA55CE8-00EA-4F88-B970-29DCE13DB737}"/>
    <cellStyle name="Normal 9 3 2 2 6 2 4" xfId="12922" xr:uid="{4538FF59-C4F7-49E0-A98E-ED27A5F8AC49}"/>
    <cellStyle name="Normal 9 3 2 2 6 3" xfId="6545" xr:uid="{00000000-0005-0000-0000-0000CF1F0000}"/>
    <cellStyle name="Normal 9 3 2 2 6 3 2" xfId="23436" xr:uid="{DA7A2F29-DF01-4753-B1B2-801CB6687A3A}"/>
    <cellStyle name="Normal 9 3 2 2 6 3 3" xfId="14995" xr:uid="{A8C6033D-A325-410C-8F6C-DB6C98F81E68}"/>
    <cellStyle name="Normal 9 3 2 2 6 4" xfId="19218" xr:uid="{3FA1CCC4-F5AE-4BB1-92F6-C799B856C824}"/>
    <cellStyle name="Normal 9 3 2 2 6 5" xfId="10777" xr:uid="{FBFFBC8C-DEE9-4FC1-BE71-963CF549C8A5}"/>
    <cellStyle name="Normal 9 3 2 2 7" xfId="2675" xr:uid="{00000000-0005-0000-0000-0000D01F0000}"/>
    <cellStyle name="Normal 9 3 2 2 7 2" xfId="6958" xr:uid="{00000000-0005-0000-0000-0000D11F0000}"/>
    <cellStyle name="Normal 9 3 2 2 7 2 2" xfId="23849" xr:uid="{85F33510-40CE-45A3-9A51-F3493006A09C}"/>
    <cellStyle name="Normal 9 3 2 2 7 2 3" xfId="15408" xr:uid="{C752F0ED-D137-4159-83FB-8EAD995E2467}"/>
    <cellStyle name="Normal 9 3 2 2 7 3" xfId="19631" xr:uid="{80BD0A23-BF64-4C14-949E-C2793410FAB7}"/>
    <cellStyle name="Normal 9 3 2 2 7 4" xfId="11190" xr:uid="{5E9DAC54-BCE0-4A2F-B917-D6276FF2B483}"/>
    <cellStyle name="Normal 9 3 2 2 8" xfId="4893" xr:uid="{00000000-0005-0000-0000-0000D21F0000}"/>
    <cellStyle name="Normal 9 3 2 2 8 2" xfId="21784" xr:uid="{A9B3403C-E6D5-4B9F-B987-48CFE58E7266}"/>
    <cellStyle name="Normal 9 3 2 2 8 3" xfId="13343" xr:uid="{4E76572E-2BE4-4AED-9D27-30448FE764D9}"/>
    <cellStyle name="Normal 9 3 2 2 9" xfId="17566" xr:uid="{974FE1F9-59D8-4D49-A99F-5A38590890FF}"/>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24344" xr:uid="{17808F03-8363-40A2-A03E-AA164D5C02E8}"/>
    <cellStyle name="Normal 9 3 2 3 2 2 2 3" xfId="15903" xr:uid="{FCF56B05-BFF8-4E2E-A2E7-373DA78B178D}"/>
    <cellStyle name="Normal 9 3 2 3 2 2 3" xfId="20126" xr:uid="{7A8555A9-FF63-4B0A-97EF-029FDEA6867F}"/>
    <cellStyle name="Normal 9 3 2 3 2 2 4" xfId="11685" xr:uid="{F6D426BE-3D7D-421A-B3E6-E570DEB1673E}"/>
    <cellStyle name="Normal 9 3 2 3 2 3" xfId="5308" xr:uid="{00000000-0005-0000-0000-0000D71F0000}"/>
    <cellStyle name="Normal 9 3 2 3 2 3 2" xfId="22199" xr:uid="{497A32EF-C67F-4296-8A36-48B852A801C9}"/>
    <cellStyle name="Normal 9 3 2 3 2 3 3" xfId="13758" xr:uid="{0DC8775A-F0B2-4D75-BF70-257FF5403786}"/>
    <cellStyle name="Normal 9 3 2 3 2 4" xfId="17981" xr:uid="{6BB7BA8C-FAF5-4444-ACE0-ED646576D41A}"/>
    <cellStyle name="Normal 9 3 2 3 2 5" xfId="9540" xr:uid="{EF7DE4FD-B67D-479C-8956-9C12D2D9EE4C}"/>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24757" xr:uid="{E6EA69E3-CB04-4F51-9D79-C267F33144D9}"/>
    <cellStyle name="Normal 9 3 2 3 3 2 2 3" xfId="16316" xr:uid="{4AEA6AD3-2D23-484D-B4E2-1381BA0E7EA7}"/>
    <cellStyle name="Normal 9 3 2 3 3 2 3" xfId="20539" xr:uid="{0BD9482E-AA4F-4DA8-B69F-FF65FBB5702D}"/>
    <cellStyle name="Normal 9 3 2 3 3 2 4" xfId="12098" xr:uid="{3651DEF7-62E5-476E-A39D-7F02000B38D0}"/>
    <cellStyle name="Normal 9 3 2 3 3 3" xfId="5721" xr:uid="{00000000-0005-0000-0000-0000DB1F0000}"/>
    <cellStyle name="Normal 9 3 2 3 3 3 2" xfId="22612" xr:uid="{B33479A1-4709-4BFD-B508-F43F8842292F}"/>
    <cellStyle name="Normal 9 3 2 3 3 3 3" xfId="14171" xr:uid="{3B91E527-50F4-4558-B43E-7FB7A4178B5A}"/>
    <cellStyle name="Normal 9 3 2 3 3 4" xfId="18394" xr:uid="{AAFE6D59-4D3F-4374-81B5-2A45E0B65E02}"/>
    <cellStyle name="Normal 9 3 2 3 3 5" xfId="9953" xr:uid="{FCA06D57-BAF4-43F8-8524-7C0510B70B02}"/>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25170" xr:uid="{80D2464F-1793-44D2-B860-4C7283E7BE93}"/>
    <cellStyle name="Normal 9 3 2 3 4 2 2 3" xfId="16729" xr:uid="{6A244D42-CC24-4470-9052-2220ED571927}"/>
    <cellStyle name="Normal 9 3 2 3 4 2 3" xfId="20952" xr:uid="{79471FCE-2F80-4232-AEAB-9559BB6B6B3F}"/>
    <cellStyle name="Normal 9 3 2 3 4 2 4" xfId="12511" xr:uid="{29701193-615D-4A94-99F1-2D7E66AC2A38}"/>
    <cellStyle name="Normal 9 3 2 3 4 3" xfId="6134" xr:uid="{00000000-0005-0000-0000-0000DF1F0000}"/>
    <cellStyle name="Normal 9 3 2 3 4 3 2" xfId="23025" xr:uid="{03F0E268-8DA1-48BE-B30F-EC17EFA95E39}"/>
    <cellStyle name="Normal 9 3 2 3 4 3 3" xfId="14584" xr:uid="{CE5ED3DC-9424-411C-BA90-9AC331A8053C}"/>
    <cellStyle name="Normal 9 3 2 3 4 4" xfId="18807" xr:uid="{573F3165-8AEB-4355-8587-1B7264119CE3}"/>
    <cellStyle name="Normal 9 3 2 3 4 5" xfId="10366" xr:uid="{21EEA911-10AE-4341-BC5F-59A96FD3DBF1}"/>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25583" xr:uid="{349B9FC8-DF94-4FC1-9A84-2F18FDFDE43E}"/>
    <cellStyle name="Normal 9 3 2 3 5 2 2 3" xfId="17142" xr:uid="{847D5A9E-3345-4D6F-97B7-542DC6D45F51}"/>
    <cellStyle name="Normal 9 3 2 3 5 2 3" xfId="21365" xr:uid="{7C3A712B-F3C5-4E3A-8ADD-F0FE514E4444}"/>
    <cellStyle name="Normal 9 3 2 3 5 2 4" xfId="12924" xr:uid="{2E21854C-975E-4CFC-9393-042E659A1E06}"/>
    <cellStyle name="Normal 9 3 2 3 5 3" xfId="6547" xr:uid="{00000000-0005-0000-0000-0000E31F0000}"/>
    <cellStyle name="Normal 9 3 2 3 5 3 2" xfId="23438" xr:uid="{5415EDA0-8B39-4229-839A-FBD615F5428A}"/>
    <cellStyle name="Normal 9 3 2 3 5 3 3" xfId="14997" xr:uid="{4151E78A-180A-435E-8799-C7EB54651976}"/>
    <cellStyle name="Normal 9 3 2 3 5 4" xfId="19220" xr:uid="{CD8D9624-3142-45A6-9332-3E3885184018}"/>
    <cellStyle name="Normal 9 3 2 3 5 5" xfId="10779" xr:uid="{2D514380-4D56-456B-AD9B-5322B786F5E9}"/>
    <cellStyle name="Normal 9 3 2 3 6" xfId="2677" xr:uid="{00000000-0005-0000-0000-0000E41F0000}"/>
    <cellStyle name="Normal 9 3 2 3 6 2" xfId="6960" xr:uid="{00000000-0005-0000-0000-0000E51F0000}"/>
    <cellStyle name="Normal 9 3 2 3 6 2 2" xfId="23851" xr:uid="{0F0D334B-ED56-4097-9731-C4D250AA91CF}"/>
    <cellStyle name="Normal 9 3 2 3 6 2 3" xfId="15410" xr:uid="{71E17B1A-B1F7-46BB-9BB9-18F5748E035E}"/>
    <cellStyle name="Normal 9 3 2 3 6 3" xfId="19633" xr:uid="{CC030BEA-6D76-41B9-B3D1-B24AFEBF4286}"/>
    <cellStyle name="Normal 9 3 2 3 6 4" xfId="11192" xr:uid="{4C54CBB4-9226-4BDC-B16C-9011E8235AF4}"/>
    <cellStyle name="Normal 9 3 2 3 7" xfId="4895" xr:uid="{00000000-0005-0000-0000-0000E61F0000}"/>
    <cellStyle name="Normal 9 3 2 3 7 2" xfId="21786" xr:uid="{8222C723-2EC9-4F35-9749-CB8A60D461E7}"/>
    <cellStyle name="Normal 9 3 2 3 7 3" xfId="13345" xr:uid="{82851F74-9609-4295-B87E-01E79EB9DBF7}"/>
    <cellStyle name="Normal 9 3 2 3 8" xfId="17568" xr:uid="{C8A58551-8770-4E3A-8E59-67937D3C007C}"/>
    <cellStyle name="Normal 9 3 2 3 9" xfId="9127" xr:uid="{6ECB258C-8413-4F09-9B13-90804DD1E12F}"/>
    <cellStyle name="Normal 9 3 2 4" xfId="995" xr:uid="{00000000-0005-0000-0000-0000E71F0000}"/>
    <cellStyle name="Normal 9 3 2 4 2" xfId="3228" xr:uid="{00000000-0005-0000-0000-0000E81F0000}"/>
    <cellStyle name="Normal 9 3 2 4 2 2" xfId="7450" xr:uid="{00000000-0005-0000-0000-0000E91F0000}"/>
    <cellStyle name="Normal 9 3 2 4 2 2 2" xfId="24341" xr:uid="{0607624C-60B0-4C3A-90A1-EA01619C2033}"/>
    <cellStyle name="Normal 9 3 2 4 2 2 3" xfId="15900" xr:uid="{BB29DDD6-7729-431E-BC8A-5D9305C64F01}"/>
    <cellStyle name="Normal 9 3 2 4 2 3" xfId="20123" xr:uid="{1CA04A55-DD30-40AA-BE66-E62896CA23F1}"/>
    <cellStyle name="Normal 9 3 2 4 2 4" xfId="11682" xr:uid="{50B6D1C8-13F8-415E-B2D7-38C49CF4EBE9}"/>
    <cellStyle name="Normal 9 3 2 4 3" xfId="5305" xr:uid="{00000000-0005-0000-0000-0000EA1F0000}"/>
    <cellStyle name="Normal 9 3 2 4 3 2" xfId="22196" xr:uid="{705B3702-AE63-4DD4-822E-A8FA4CEF16EE}"/>
    <cellStyle name="Normal 9 3 2 4 3 3" xfId="13755" xr:uid="{0A5492E2-9494-48ED-B32A-BA6C19599BC3}"/>
    <cellStyle name="Normal 9 3 2 4 4" xfId="17978" xr:uid="{C0E11A37-BB17-441C-BFAB-8AD4AE8B3828}"/>
    <cellStyle name="Normal 9 3 2 4 5" xfId="9537" xr:uid="{830FF01D-B7BF-41FB-927F-97121FAC43FF}"/>
    <cellStyle name="Normal 9 3 2 5" xfId="1411" xr:uid="{00000000-0005-0000-0000-0000EB1F0000}"/>
    <cellStyle name="Normal 9 3 2 5 2" xfId="3641" xr:uid="{00000000-0005-0000-0000-0000EC1F0000}"/>
    <cellStyle name="Normal 9 3 2 5 2 2" xfId="7863" xr:uid="{00000000-0005-0000-0000-0000ED1F0000}"/>
    <cellStyle name="Normal 9 3 2 5 2 2 2" xfId="24754" xr:uid="{8416D716-63EC-4C0F-A305-587EE357F67D}"/>
    <cellStyle name="Normal 9 3 2 5 2 2 3" xfId="16313" xr:uid="{89256D06-62DB-47DA-8A2A-E9231E7956D7}"/>
    <cellStyle name="Normal 9 3 2 5 2 3" xfId="20536" xr:uid="{8BBFDB34-9BEC-4827-AF2E-6356FB5DF959}"/>
    <cellStyle name="Normal 9 3 2 5 2 4" xfId="12095" xr:uid="{85DED258-4779-4E18-B900-D18BF3F4B6DF}"/>
    <cellStyle name="Normal 9 3 2 5 3" xfId="5718" xr:uid="{00000000-0005-0000-0000-0000EE1F0000}"/>
    <cellStyle name="Normal 9 3 2 5 3 2" xfId="22609" xr:uid="{B89960E4-CBE5-4820-A12A-36B6BCAE2533}"/>
    <cellStyle name="Normal 9 3 2 5 3 3" xfId="14168" xr:uid="{A78CB74C-E825-42AD-A848-55A5A8AAE1E0}"/>
    <cellStyle name="Normal 9 3 2 5 4" xfId="18391" xr:uid="{2FA5B626-E882-40B6-BCD7-59966FCBC7F9}"/>
    <cellStyle name="Normal 9 3 2 5 5" xfId="9950" xr:uid="{8E41CBC7-A870-4655-8C3E-A5BDC3EA0853}"/>
    <cellStyle name="Normal 9 3 2 6" xfId="1824" xr:uid="{00000000-0005-0000-0000-0000EF1F0000}"/>
    <cellStyle name="Normal 9 3 2 6 2" xfId="4054" xr:uid="{00000000-0005-0000-0000-0000F01F0000}"/>
    <cellStyle name="Normal 9 3 2 6 2 2" xfId="8276" xr:uid="{00000000-0005-0000-0000-0000F11F0000}"/>
    <cellStyle name="Normal 9 3 2 6 2 2 2" xfId="25167" xr:uid="{8E07217A-FEFF-4C4E-A7C7-8BEA741ECE6C}"/>
    <cellStyle name="Normal 9 3 2 6 2 2 3" xfId="16726" xr:uid="{6B57C17E-A25C-450C-80E4-A18CE671F309}"/>
    <cellStyle name="Normal 9 3 2 6 2 3" xfId="20949" xr:uid="{C51D143C-ABD2-4C60-A73F-7BE3E134CABF}"/>
    <cellStyle name="Normal 9 3 2 6 2 4" xfId="12508" xr:uid="{8DC82BFD-4D62-4870-9F32-46D72F398BEE}"/>
    <cellStyle name="Normal 9 3 2 6 3" xfId="6131" xr:uid="{00000000-0005-0000-0000-0000F21F0000}"/>
    <cellStyle name="Normal 9 3 2 6 3 2" xfId="23022" xr:uid="{7EFA6AD0-E9D0-4C01-81A6-793967E7CA18}"/>
    <cellStyle name="Normal 9 3 2 6 3 3" xfId="14581" xr:uid="{83D5FABD-95FA-431B-A95E-78B8E36C269B}"/>
    <cellStyle name="Normal 9 3 2 6 4" xfId="18804" xr:uid="{0405DCA3-129A-4C18-836C-22FE3AF7AD59}"/>
    <cellStyle name="Normal 9 3 2 6 5" xfId="10363" xr:uid="{DCFFCFCB-A008-4800-9643-4D5079ED59E8}"/>
    <cellStyle name="Normal 9 3 2 7" xfId="2238" xr:uid="{00000000-0005-0000-0000-0000F31F0000}"/>
    <cellStyle name="Normal 9 3 2 7 2" xfId="4467" xr:uid="{00000000-0005-0000-0000-0000F41F0000}"/>
    <cellStyle name="Normal 9 3 2 7 2 2" xfId="8689" xr:uid="{00000000-0005-0000-0000-0000F51F0000}"/>
    <cellStyle name="Normal 9 3 2 7 2 2 2" xfId="25580" xr:uid="{E7D75FE0-A9E0-4917-AC5E-521E89041E39}"/>
    <cellStyle name="Normal 9 3 2 7 2 2 3" xfId="17139" xr:uid="{0A86413B-CF79-47C6-9CD2-E60FB0945760}"/>
    <cellStyle name="Normal 9 3 2 7 2 3" xfId="21362" xr:uid="{F153E304-51FB-42F2-96F5-F685F9AB3A1C}"/>
    <cellStyle name="Normal 9 3 2 7 2 4" xfId="12921" xr:uid="{42BFA062-B747-47EB-A46D-F620D7053393}"/>
    <cellStyle name="Normal 9 3 2 7 3" xfId="6544" xr:uid="{00000000-0005-0000-0000-0000F61F0000}"/>
    <cellStyle name="Normal 9 3 2 7 3 2" xfId="23435" xr:uid="{44A262CA-DF6C-43AB-8D0C-B956D00B2F6E}"/>
    <cellStyle name="Normal 9 3 2 7 3 3" xfId="14994" xr:uid="{8CDDD764-C086-43F3-996F-CCE5971699AC}"/>
    <cellStyle name="Normal 9 3 2 7 4" xfId="19217" xr:uid="{1B380C10-2B49-4A4A-91CC-B87AC9BB5DA8}"/>
    <cellStyle name="Normal 9 3 2 7 5" xfId="10776" xr:uid="{FA8361DB-D579-4DC8-B738-0B3B1544CA44}"/>
    <cellStyle name="Normal 9 3 2 8" xfId="2674" xr:uid="{00000000-0005-0000-0000-0000F71F0000}"/>
    <cellStyle name="Normal 9 3 2 8 2" xfId="6957" xr:uid="{00000000-0005-0000-0000-0000F81F0000}"/>
    <cellStyle name="Normal 9 3 2 8 2 2" xfId="23848" xr:uid="{82921CE8-1950-4889-9C7F-468C3F934E1C}"/>
    <cellStyle name="Normal 9 3 2 8 2 3" xfId="15407" xr:uid="{BD439D71-1513-440F-9D19-1C5F656ABE41}"/>
    <cellStyle name="Normal 9 3 2 8 3" xfId="19630" xr:uid="{EFACD60B-9982-41E1-9A87-25C4CEF7B057}"/>
    <cellStyle name="Normal 9 3 2 8 4" xfId="11189" xr:uid="{16B9C472-27B4-426B-8855-C4C39A8B14BF}"/>
    <cellStyle name="Normal 9 3 2 9" xfId="4892" xr:uid="{00000000-0005-0000-0000-0000F91F0000}"/>
    <cellStyle name="Normal 9 3 2 9 2" xfId="21783" xr:uid="{1093814A-7797-4077-87D2-D8293F4096F9}"/>
    <cellStyle name="Normal 9 3 2 9 3" xfId="13342" xr:uid="{9D3E6719-5210-4722-B3DB-C5E4413325DD}"/>
    <cellStyle name="Normal 9 3 3" xfId="532" xr:uid="{00000000-0005-0000-0000-0000FA1F0000}"/>
    <cellStyle name="Normal 9 3 3 10" xfId="9128" xr:uid="{5A8500E4-ED0B-4974-914F-890BB661B248}"/>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24346" xr:uid="{99E09785-0B0A-46E2-8137-F19BBF46D3B5}"/>
    <cellStyle name="Normal 9 3 3 2 2 2 2 3" xfId="15905" xr:uid="{953DEFF1-9A2D-4F60-BF4C-CE12AFF58AD8}"/>
    <cellStyle name="Normal 9 3 3 2 2 2 3" xfId="20128" xr:uid="{2BBFD239-0FAD-459E-81D0-E1B8D88870A4}"/>
    <cellStyle name="Normal 9 3 3 2 2 2 4" xfId="11687" xr:uid="{2B594DC8-27CE-4C59-A33B-131A02CE63A0}"/>
    <cellStyle name="Normal 9 3 3 2 2 3" xfId="5310" xr:uid="{00000000-0005-0000-0000-0000FF1F0000}"/>
    <cellStyle name="Normal 9 3 3 2 2 3 2" xfId="22201" xr:uid="{E0F0276B-0A08-4DC8-AEB2-3796CC58008D}"/>
    <cellStyle name="Normal 9 3 3 2 2 3 3" xfId="13760" xr:uid="{4283B563-0390-4748-9BB9-17AC6C82415F}"/>
    <cellStyle name="Normal 9 3 3 2 2 4" xfId="17983" xr:uid="{A95A006B-9149-4622-BA13-140594DB5844}"/>
    <cellStyle name="Normal 9 3 3 2 2 5" xfId="9542" xr:uid="{41CE6538-E714-41C1-99D4-095E2008CB70}"/>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24759" xr:uid="{3D2FFA2E-1DAF-4BC2-834C-B6ED1716602D}"/>
    <cellStyle name="Normal 9 3 3 2 3 2 2 3" xfId="16318" xr:uid="{CF7AC8F9-798C-428C-A1B2-C7CBE0B0D9AF}"/>
    <cellStyle name="Normal 9 3 3 2 3 2 3" xfId="20541" xr:uid="{EC9F7595-EAA5-48BC-9BCD-3340DB1930F4}"/>
    <cellStyle name="Normal 9 3 3 2 3 2 4" xfId="12100" xr:uid="{607CB217-2A2F-4C7B-97D3-DFCA176A95F5}"/>
    <cellStyle name="Normal 9 3 3 2 3 3" xfId="5723" xr:uid="{00000000-0005-0000-0000-000003200000}"/>
    <cellStyle name="Normal 9 3 3 2 3 3 2" xfId="22614" xr:uid="{AEC45AA7-20F6-4D62-8EDE-BE825671A1DC}"/>
    <cellStyle name="Normal 9 3 3 2 3 3 3" xfId="14173" xr:uid="{2A00DB34-7D13-44BE-860A-E7865FBEDEA1}"/>
    <cellStyle name="Normal 9 3 3 2 3 4" xfId="18396" xr:uid="{F0D01711-FBCB-480C-893D-6031F9FB4C54}"/>
    <cellStyle name="Normal 9 3 3 2 3 5" xfId="9955" xr:uid="{B931DF27-28CD-4054-9EA7-A50D89D7BA86}"/>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25172" xr:uid="{3445B066-C728-4B66-A297-F5B60DE26904}"/>
    <cellStyle name="Normal 9 3 3 2 4 2 2 3" xfId="16731" xr:uid="{4D18DB53-3777-4FEC-9B23-1F1673DE77D8}"/>
    <cellStyle name="Normal 9 3 3 2 4 2 3" xfId="20954" xr:uid="{F00A3616-384E-4C9C-A5AE-02DC8AD79221}"/>
    <cellStyle name="Normal 9 3 3 2 4 2 4" xfId="12513" xr:uid="{75F2C17C-9DF2-4995-AEB8-6F730B8ABE25}"/>
    <cellStyle name="Normal 9 3 3 2 4 3" xfId="6136" xr:uid="{00000000-0005-0000-0000-000007200000}"/>
    <cellStyle name="Normal 9 3 3 2 4 3 2" xfId="23027" xr:uid="{37EABEA1-C7B0-4EC7-82E0-1226611DDE56}"/>
    <cellStyle name="Normal 9 3 3 2 4 3 3" xfId="14586" xr:uid="{73ED5801-DC10-4308-A424-A0C5E9A1288C}"/>
    <cellStyle name="Normal 9 3 3 2 4 4" xfId="18809" xr:uid="{692D6690-4509-434F-B785-39C50A2C1DB3}"/>
    <cellStyle name="Normal 9 3 3 2 4 5" xfId="10368" xr:uid="{DC8B745D-FDD2-416E-8E45-2746A0CE680B}"/>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25585" xr:uid="{42A62395-06B7-47E5-ACDF-E0FD49D47022}"/>
    <cellStyle name="Normal 9 3 3 2 5 2 2 3" xfId="17144" xr:uid="{E40B6A55-624E-42A1-8063-F3095972C366}"/>
    <cellStyle name="Normal 9 3 3 2 5 2 3" xfId="21367" xr:uid="{171F81EF-ADCD-4F33-BBB6-52AA331220B2}"/>
    <cellStyle name="Normal 9 3 3 2 5 2 4" xfId="12926" xr:uid="{EC2CD5E3-2DF4-46FB-93E2-E022FECEC44B}"/>
    <cellStyle name="Normal 9 3 3 2 5 3" xfId="6549" xr:uid="{00000000-0005-0000-0000-00000B200000}"/>
    <cellStyle name="Normal 9 3 3 2 5 3 2" xfId="23440" xr:uid="{C2BD64F5-6F2E-4BC5-9002-73CC63D9A916}"/>
    <cellStyle name="Normal 9 3 3 2 5 3 3" xfId="14999" xr:uid="{6FDCC2AC-788E-4B15-885D-2DB44CCC6DC6}"/>
    <cellStyle name="Normal 9 3 3 2 5 4" xfId="19222" xr:uid="{4F03C8D3-FC15-42FA-9A7D-3230821A6989}"/>
    <cellStyle name="Normal 9 3 3 2 5 5" xfId="10781" xr:uid="{96681F99-1C8D-4562-926B-D39D3930448E}"/>
    <cellStyle name="Normal 9 3 3 2 6" xfId="2679" xr:uid="{00000000-0005-0000-0000-00000C200000}"/>
    <cellStyle name="Normal 9 3 3 2 6 2" xfId="6962" xr:uid="{00000000-0005-0000-0000-00000D200000}"/>
    <cellStyle name="Normal 9 3 3 2 6 2 2" xfId="23853" xr:uid="{DF99B236-1D24-425E-888D-853A1813112C}"/>
    <cellStyle name="Normal 9 3 3 2 6 2 3" xfId="15412" xr:uid="{08A54CF0-EBF5-486D-B3C6-8F1316F7788A}"/>
    <cellStyle name="Normal 9 3 3 2 6 3" xfId="19635" xr:uid="{9E5669B9-1077-488D-ACBF-5A41189AC8B6}"/>
    <cellStyle name="Normal 9 3 3 2 6 4" xfId="11194" xr:uid="{1DBCA75D-7EFB-4728-B671-9099C9933102}"/>
    <cellStyle name="Normal 9 3 3 2 7" xfId="4897" xr:uid="{00000000-0005-0000-0000-00000E200000}"/>
    <cellStyle name="Normal 9 3 3 2 7 2" xfId="21788" xr:uid="{E0AA6D05-60DC-464B-A4D5-57F416DD3833}"/>
    <cellStyle name="Normal 9 3 3 2 7 3" xfId="13347" xr:uid="{22428260-BB78-49D8-9F6D-A15105876D07}"/>
    <cellStyle name="Normal 9 3 3 2 8" xfId="17570" xr:uid="{89BF7E29-B69D-4D24-994B-D2E059C6F20D}"/>
    <cellStyle name="Normal 9 3 3 2 9" xfId="9129" xr:uid="{CCE61492-8A78-4480-801C-6A80AF3D818C}"/>
    <cellStyle name="Normal 9 3 3 3" xfId="999" xr:uid="{00000000-0005-0000-0000-00000F200000}"/>
    <cellStyle name="Normal 9 3 3 3 2" xfId="3232" xr:uid="{00000000-0005-0000-0000-000010200000}"/>
    <cellStyle name="Normal 9 3 3 3 2 2" xfId="7454" xr:uid="{00000000-0005-0000-0000-000011200000}"/>
    <cellStyle name="Normal 9 3 3 3 2 2 2" xfId="24345" xr:uid="{BF9CC59E-66D8-4E32-A221-65AAB2AA5632}"/>
    <cellStyle name="Normal 9 3 3 3 2 2 3" xfId="15904" xr:uid="{47FB4DE6-7F67-42B8-8BE4-C55FD9E49493}"/>
    <cellStyle name="Normal 9 3 3 3 2 3" xfId="20127" xr:uid="{3735CB65-CCC5-40E7-B0AB-1DBC690BA6BA}"/>
    <cellStyle name="Normal 9 3 3 3 2 4" xfId="11686" xr:uid="{6F7CE5CA-C600-47A3-804E-F704C8656587}"/>
    <cellStyle name="Normal 9 3 3 3 3" xfId="5309" xr:uid="{00000000-0005-0000-0000-000012200000}"/>
    <cellStyle name="Normal 9 3 3 3 3 2" xfId="22200" xr:uid="{DB656781-07F6-4F92-A22C-328E4651B820}"/>
    <cellStyle name="Normal 9 3 3 3 3 3" xfId="13759" xr:uid="{94A00F8F-D7FE-48C8-B71A-FADFFE518776}"/>
    <cellStyle name="Normal 9 3 3 3 4" xfId="17982" xr:uid="{B0AA0513-BCA6-48B3-8CEB-F7E8F7C8CFB9}"/>
    <cellStyle name="Normal 9 3 3 3 5" xfId="9541" xr:uid="{B914D57D-6DFE-41DB-9F0A-F4274D2680C2}"/>
    <cellStyle name="Normal 9 3 3 4" xfId="1415" xr:uid="{00000000-0005-0000-0000-000013200000}"/>
    <cellStyle name="Normal 9 3 3 4 2" xfId="3645" xr:uid="{00000000-0005-0000-0000-000014200000}"/>
    <cellStyle name="Normal 9 3 3 4 2 2" xfId="7867" xr:uid="{00000000-0005-0000-0000-000015200000}"/>
    <cellStyle name="Normal 9 3 3 4 2 2 2" xfId="24758" xr:uid="{F3980D1C-EC89-4702-B069-32BA83F0AC7C}"/>
    <cellStyle name="Normal 9 3 3 4 2 2 3" xfId="16317" xr:uid="{675DC7D0-5DAE-44E3-886F-D6E8FBB157AF}"/>
    <cellStyle name="Normal 9 3 3 4 2 3" xfId="20540" xr:uid="{0F2F0B94-2498-4EA5-B8AA-24E99B788296}"/>
    <cellStyle name="Normal 9 3 3 4 2 4" xfId="12099" xr:uid="{7FB330A7-56BB-4E4C-B9EE-009B57FD4583}"/>
    <cellStyle name="Normal 9 3 3 4 3" xfId="5722" xr:uid="{00000000-0005-0000-0000-000016200000}"/>
    <cellStyle name="Normal 9 3 3 4 3 2" xfId="22613" xr:uid="{ADCF7EF6-F151-4F96-9CB4-FFF2550489DF}"/>
    <cellStyle name="Normal 9 3 3 4 3 3" xfId="14172" xr:uid="{F33A7A10-EE6B-4A7F-9EC8-0AD4402213F3}"/>
    <cellStyle name="Normal 9 3 3 4 4" xfId="18395" xr:uid="{CF6FF4B7-A754-4579-89A8-7A1B3115F45C}"/>
    <cellStyle name="Normal 9 3 3 4 5" xfId="9954" xr:uid="{2810616F-3FE4-443A-BF6A-8895FE729CC4}"/>
    <cellStyle name="Normal 9 3 3 5" xfId="1828" xr:uid="{00000000-0005-0000-0000-000017200000}"/>
    <cellStyle name="Normal 9 3 3 5 2" xfId="4058" xr:uid="{00000000-0005-0000-0000-000018200000}"/>
    <cellStyle name="Normal 9 3 3 5 2 2" xfId="8280" xr:uid="{00000000-0005-0000-0000-000019200000}"/>
    <cellStyle name="Normal 9 3 3 5 2 2 2" xfId="25171" xr:uid="{43C4EC2C-2860-41C1-9C57-8DA50DCBF603}"/>
    <cellStyle name="Normal 9 3 3 5 2 2 3" xfId="16730" xr:uid="{1431280D-6B7D-4340-BB03-B28401331BBE}"/>
    <cellStyle name="Normal 9 3 3 5 2 3" xfId="20953" xr:uid="{E06D5408-5E9E-4862-BBF6-9FEDCCEA2FC9}"/>
    <cellStyle name="Normal 9 3 3 5 2 4" xfId="12512" xr:uid="{1FC28E0E-64A3-452E-8815-579A9C558E26}"/>
    <cellStyle name="Normal 9 3 3 5 3" xfId="6135" xr:uid="{00000000-0005-0000-0000-00001A200000}"/>
    <cellStyle name="Normal 9 3 3 5 3 2" xfId="23026" xr:uid="{EC63AAD0-EFD0-44D3-8B23-B2AA13CDA97A}"/>
    <cellStyle name="Normal 9 3 3 5 3 3" xfId="14585" xr:uid="{AA4D3838-10BD-48DA-8AF7-9379A1F943CB}"/>
    <cellStyle name="Normal 9 3 3 5 4" xfId="18808" xr:uid="{E065C837-B9B6-4AE9-97AE-C4F22AE591DA}"/>
    <cellStyle name="Normal 9 3 3 5 5" xfId="10367" xr:uid="{B57D7987-9DCF-490B-8EC5-F76AE285E00E}"/>
    <cellStyle name="Normal 9 3 3 6" xfId="2242" xr:uid="{00000000-0005-0000-0000-00001B200000}"/>
    <cellStyle name="Normal 9 3 3 6 2" xfId="4471" xr:uid="{00000000-0005-0000-0000-00001C200000}"/>
    <cellStyle name="Normal 9 3 3 6 2 2" xfId="8693" xr:uid="{00000000-0005-0000-0000-00001D200000}"/>
    <cellStyle name="Normal 9 3 3 6 2 2 2" xfId="25584" xr:uid="{54F97A40-7423-4ADB-B9A0-4891039397F1}"/>
    <cellStyle name="Normal 9 3 3 6 2 2 3" xfId="17143" xr:uid="{9F50F978-2729-4E21-ACC6-7384B87E07FE}"/>
    <cellStyle name="Normal 9 3 3 6 2 3" xfId="21366" xr:uid="{28C72F3C-7931-4829-842E-AEE1238B3C13}"/>
    <cellStyle name="Normal 9 3 3 6 2 4" xfId="12925" xr:uid="{934B660D-63A9-44FD-B1EB-6FF71FA4449C}"/>
    <cellStyle name="Normal 9 3 3 6 3" xfId="6548" xr:uid="{00000000-0005-0000-0000-00001E200000}"/>
    <cellStyle name="Normal 9 3 3 6 3 2" xfId="23439" xr:uid="{786A0B9D-576C-4BBA-B313-252B97EB1C98}"/>
    <cellStyle name="Normal 9 3 3 6 3 3" xfId="14998" xr:uid="{A22DE410-BA96-43D5-BFDC-6F064C13C2CE}"/>
    <cellStyle name="Normal 9 3 3 6 4" xfId="19221" xr:uid="{4947C92B-69D5-44B8-B3C5-847B77A268B4}"/>
    <cellStyle name="Normal 9 3 3 6 5" xfId="10780" xr:uid="{24D18C1B-C394-4E63-AD7A-E325231409E3}"/>
    <cellStyle name="Normal 9 3 3 7" xfId="2678" xr:uid="{00000000-0005-0000-0000-00001F200000}"/>
    <cellStyle name="Normal 9 3 3 7 2" xfId="6961" xr:uid="{00000000-0005-0000-0000-000020200000}"/>
    <cellStyle name="Normal 9 3 3 7 2 2" xfId="23852" xr:uid="{7BFA0790-F66E-45A1-9D0C-B55C1ABF761E}"/>
    <cellStyle name="Normal 9 3 3 7 2 3" xfId="15411" xr:uid="{5E78C2E5-6942-48B6-9C3A-6B75B2D99EC1}"/>
    <cellStyle name="Normal 9 3 3 7 3" xfId="19634" xr:uid="{86CC39A0-B4F9-4359-B9A2-22988D7D815B}"/>
    <cellStyle name="Normal 9 3 3 7 4" xfId="11193" xr:uid="{6B3250DB-F7F5-49F6-BD4E-29D1606B8F48}"/>
    <cellStyle name="Normal 9 3 3 8" xfId="4896" xr:uid="{00000000-0005-0000-0000-000021200000}"/>
    <cellStyle name="Normal 9 3 3 8 2" xfId="21787" xr:uid="{89904565-6B4F-4BF4-8E73-F25391583689}"/>
    <cellStyle name="Normal 9 3 3 8 3" xfId="13346" xr:uid="{D96CB3FF-7F00-46F0-907D-CF73252184E4}"/>
    <cellStyle name="Normal 9 3 3 9" xfId="17569" xr:uid="{91B27F8B-D902-4F20-B22C-281C4039F823}"/>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2 2 2" xfId="24347" xr:uid="{411C4B39-9450-4B56-9976-1EE056E3CE06}"/>
    <cellStyle name="Normal 9 3 4 2 2 2 3" xfId="15906" xr:uid="{6D6F1993-F53F-459A-8615-FDB7FEC46008}"/>
    <cellStyle name="Normal 9 3 4 2 2 3" xfId="20129" xr:uid="{141BD046-CD42-4E66-A5A4-432AB9219A2F}"/>
    <cellStyle name="Normal 9 3 4 2 2 4" xfId="11688" xr:uid="{4A2FAC4D-4DAE-4C7E-AF39-2FAE0FDD8350}"/>
    <cellStyle name="Normal 9 3 4 2 3" xfId="5311" xr:uid="{00000000-0005-0000-0000-000026200000}"/>
    <cellStyle name="Normal 9 3 4 2 3 2" xfId="22202" xr:uid="{F4259A48-602C-4F02-97BB-E4E8828A390F}"/>
    <cellStyle name="Normal 9 3 4 2 3 3" xfId="13761" xr:uid="{B06717C6-35B8-4160-A0A7-2E38A7D66E88}"/>
    <cellStyle name="Normal 9 3 4 2 4" xfId="17984" xr:uid="{0AB20CDD-4C8E-48C5-BAC0-6822DA05AA09}"/>
    <cellStyle name="Normal 9 3 4 2 5" xfId="9543" xr:uid="{99AE9FB6-C686-44FF-8E53-F08DA1F97516}"/>
    <cellStyle name="Normal 9 3 4 3" xfId="1417" xr:uid="{00000000-0005-0000-0000-000027200000}"/>
    <cellStyle name="Normal 9 3 4 3 2" xfId="3647" xr:uid="{00000000-0005-0000-0000-000028200000}"/>
    <cellStyle name="Normal 9 3 4 3 2 2" xfId="7869" xr:uid="{00000000-0005-0000-0000-000029200000}"/>
    <cellStyle name="Normal 9 3 4 3 2 2 2" xfId="24760" xr:uid="{7171BA9D-4479-4751-81ED-12D9818F9052}"/>
    <cellStyle name="Normal 9 3 4 3 2 2 3" xfId="16319" xr:uid="{1BFD857F-B802-4764-8DF2-11271F8160D8}"/>
    <cellStyle name="Normal 9 3 4 3 2 3" xfId="20542" xr:uid="{B21EF729-3D51-47AE-AC9D-28337068AE7F}"/>
    <cellStyle name="Normal 9 3 4 3 2 4" xfId="12101" xr:uid="{CB2189CC-F2FE-4012-9F38-3E60A7A3FCD4}"/>
    <cellStyle name="Normal 9 3 4 3 3" xfId="5724" xr:uid="{00000000-0005-0000-0000-00002A200000}"/>
    <cellStyle name="Normal 9 3 4 3 3 2" xfId="22615" xr:uid="{44D8D5EC-00FC-4AB0-A0AC-0926EF1B01BC}"/>
    <cellStyle name="Normal 9 3 4 3 3 3" xfId="14174" xr:uid="{7D74233C-EC53-4BE0-BAD7-A156C7C3C3ED}"/>
    <cellStyle name="Normal 9 3 4 3 4" xfId="18397" xr:uid="{7EC8CD56-646C-4E71-897E-2BF20DDF02BE}"/>
    <cellStyle name="Normal 9 3 4 3 5" xfId="9956" xr:uid="{A58037F9-69EA-4852-8A24-4F3A1F70022A}"/>
    <cellStyle name="Normal 9 3 4 4" xfId="1830" xr:uid="{00000000-0005-0000-0000-00002B200000}"/>
    <cellStyle name="Normal 9 3 4 4 2" xfId="4060" xr:uid="{00000000-0005-0000-0000-00002C200000}"/>
    <cellStyle name="Normal 9 3 4 4 2 2" xfId="8282" xr:uid="{00000000-0005-0000-0000-00002D200000}"/>
    <cellStyle name="Normal 9 3 4 4 2 2 2" xfId="25173" xr:uid="{4EDD0585-D266-4590-9E35-CE08F7408918}"/>
    <cellStyle name="Normal 9 3 4 4 2 2 3" xfId="16732" xr:uid="{EFA1BF33-022B-4534-A763-643FBEB50E35}"/>
    <cellStyle name="Normal 9 3 4 4 2 3" xfId="20955" xr:uid="{3F00ECDE-A34F-4C10-99B7-9538D490D969}"/>
    <cellStyle name="Normal 9 3 4 4 2 4" xfId="12514" xr:uid="{0D00BDD8-8A38-44AE-AE44-926FC32F8F3B}"/>
    <cellStyle name="Normal 9 3 4 4 3" xfId="6137" xr:uid="{00000000-0005-0000-0000-00002E200000}"/>
    <cellStyle name="Normal 9 3 4 4 3 2" xfId="23028" xr:uid="{64DE771A-B94B-4530-BE75-F9CE8C774001}"/>
    <cellStyle name="Normal 9 3 4 4 3 3" xfId="14587" xr:uid="{7AAD65FB-701D-4FAC-82AA-1D8662DA73C2}"/>
    <cellStyle name="Normal 9 3 4 4 4" xfId="18810" xr:uid="{3C69DCF0-49FF-45F5-AF53-EFDE295A2C7E}"/>
    <cellStyle name="Normal 9 3 4 4 5" xfId="10369" xr:uid="{EE7EFF4E-3426-48E3-9BCD-FDBF2EF00B5B}"/>
    <cellStyle name="Normal 9 3 4 5" xfId="2244" xr:uid="{00000000-0005-0000-0000-00002F200000}"/>
    <cellStyle name="Normal 9 3 4 5 2" xfId="4473" xr:uid="{00000000-0005-0000-0000-000030200000}"/>
    <cellStyle name="Normal 9 3 4 5 2 2" xfId="8695" xr:uid="{00000000-0005-0000-0000-000031200000}"/>
    <cellStyle name="Normal 9 3 4 5 2 2 2" xfId="25586" xr:uid="{FD7441DA-D32D-432B-A53B-BA74F28E00A4}"/>
    <cellStyle name="Normal 9 3 4 5 2 2 3" xfId="17145" xr:uid="{14CC5B90-553D-4CB7-B532-7DFF5698D164}"/>
    <cellStyle name="Normal 9 3 4 5 2 3" xfId="21368" xr:uid="{3A0A7E98-34A0-4C96-8053-B8547CD5315B}"/>
    <cellStyle name="Normal 9 3 4 5 2 4" xfId="12927" xr:uid="{AE1BD4B1-CFD8-4B2C-8725-B9CCA357315A}"/>
    <cellStyle name="Normal 9 3 4 5 3" xfId="6550" xr:uid="{00000000-0005-0000-0000-000032200000}"/>
    <cellStyle name="Normal 9 3 4 5 3 2" xfId="23441" xr:uid="{BD8F78B7-32A3-440F-B536-4947E66228BD}"/>
    <cellStyle name="Normal 9 3 4 5 3 3" xfId="15000" xr:uid="{6353A446-E3FA-47CA-922D-08D4059D2981}"/>
    <cellStyle name="Normal 9 3 4 5 4" xfId="19223" xr:uid="{7EB94DFF-C8DB-4A5C-8B55-1409B98502E2}"/>
    <cellStyle name="Normal 9 3 4 5 5" xfId="10782" xr:uid="{409F457F-514B-4FBE-BBC8-15572D34A282}"/>
    <cellStyle name="Normal 9 3 4 6" xfId="2680" xr:uid="{00000000-0005-0000-0000-000033200000}"/>
    <cellStyle name="Normal 9 3 4 6 2" xfId="6963" xr:uid="{00000000-0005-0000-0000-000034200000}"/>
    <cellStyle name="Normal 9 3 4 6 2 2" xfId="23854" xr:uid="{645B023F-4D29-4385-B78B-ED6FD87A76E0}"/>
    <cellStyle name="Normal 9 3 4 6 2 3" xfId="15413" xr:uid="{2B5FAB29-54B9-48F1-AEFF-7CF1217A5B6E}"/>
    <cellStyle name="Normal 9 3 4 6 3" xfId="19636" xr:uid="{A59EDCD9-2FCA-4C9B-AA79-3B665C5412D7}"/>
    <cellStyle name="Normal 9 3 4 6 4" xfId="11195" xr:uid="{F3097C4C-453C-4731-A59E-F2DD6E0CD318}"/>
    <cellStyle name="Normal 9 3 4 7" xfId="4898" xr:uid="{00000000-0005-0000-0000-000035200000}"/>
    <cellStyle name="Normal 9 3 4 7 2" xfId="21789" xr:uid="{AAEF95CA-7883-4F19-B722-D4E452C92C31}"/>
    <cellStyle name="Normal 9 3 4 7 3" xfId="13348" xr:uid="{24A6C6C4-5561-4FCC-99F8-3CD1B590ECD6}"/>
    <cellStyle name="Normal 9 3 4 8" xfId="17571" xr:uid="{DC1FE656-9C3F-4F96-BFB7-D43E5740114A}"/>
    <cellStyle name="Normal 9 3 4 9" xfId="9130" xr:uid="{9E1B3F04-63AA-4BAC-A294-77C86B163E6A}"/>
    <cellStyle name="Normal 9 3 5" xfId="994" xr:uid="{00000000-0005-0000-0000-000036200000}"/>
    <cellStyle name="Normal 9 3 5 2" xfId="3227" xr:uid="{00000000-0005-0000-0000-000037200000}"/>
    <cellStyle name="Normal 9 3 5 2 2" xfId="7449" xr:uid="{00000000-0005-0000-0000-000038200000}"/>
    <cellStyle name="Normal 9 3 5 2 2 2" xfId="24340" xr:uid="{F5BB9E80-CD1D-471B-9A03-B4B7A7117BB4}"/>
    <cellStyle name="Normal 9 3 5 2 2 3" xfId="15899" xr:uid="{DC1420C3-F415-4600-8212-F9DABB38D9F0}"/>
    <cellStyle name="Normal 9 3 5 2 3" xfId="20122" xr:uid="{DF1F05E5-58A6-4038-A559-A10FFEF5415B}"/>
    <cellStyle name="Normal 9 3 5 2 4" xfId="11681" xr:uid="{B482C27D-329F-41AF-BF90-632B1C2D6978}"/>
    <cellStyle name="Normal 9 3 5 3" xfId="5304" xr:uid="{00000000-0005-0000-0000-000039200000}"/>
    <cellStyle name="Normal 9 3 5 3 2" xfId="22195" xr:uid="{D932732D-F7CC-41AF-99CB-F34DD4B9FECC}"/>
    <cellStyle name="Normal 9 3 5 3 3" xfId="13754" xr:uid="{7394A432-256A-4DEB-AE20-8D8CE69DD58D}"/>
    <cellStyle name="Normal 9 3 5 4" xfId="17977" xr:uid="{969BC377-26F6-4B00-A7ED-1C828A6157C0}"/>
    <cellStyle name="Normal 9 3 5 5" xfId="9536" xr:uid="{2539FB4D-6B18-402C-BDDE-75A81886CC25}"/>
    <cellStyle name="Normal 9 3 6" xfId="1410" xr:uid="{00000000-0005-0000-0000-00003A200000}"/>
    <cellStyle name="Normal 9 3 6 2" xfId="3640" xr:uid="{00000000-0005-0000-0000-00003B200000}"/>
    <cellStyle name="Normal 9 3 6 2 2" xfId="7862" xr:uid="{00000000-0005-0000-0000-00003C200000}"/>
    <cellStyle name="Normal 9 3 6 2 2 2" xfId="24753" xr:uid="{6670636F-315C-4520-80FD-2188D45B5E3D}"/>
    <cellStyle name="Normal 9 3 6 2 2 3" xfId="16312" xr:uid="{DC45C4CC-68CF-4DBD-ABF2-B63BF7AF8272}"/>
    <cellStyle name="Normal 9 3 6 2 3" xfId="20535" xr:uid="{A92127BB-8BDE-4A6F-B841-4641A940CDC8}"/>
    <cellStyle name="Normal 9 3 6 2 4" xfId="12094" xr:uid="{E9E1EFEB-5F8E-4EF4-934A-EAF3401119D9}"/>
    <cellStyle name="Normal 9 3 6 3" xfId="5717" xr:uid="{00000000-0005-0000-0000-00003D200000}"/>
    <cellStyle name="Normal 9 3 6 3 2" xfId="22608" xr:uid="{315A747A-6072-4188-9343-5042BCD8E6AA}"/>
    <cellStyle name="Normal 9 3 6 3 3" xfId="14167" xr:uid="{0D3944F0-D469-48B8-B905-2F00C1E7E49B}"/>
    <cellStyle name="Normal 9 3 6 4" xfId="18390" xr:uid="{32E7FE92-5B85-48DF-91B0-C853B56846E1}"/>
    <cellStyle name="Normal 9 3 6 5" xfId="9949" xr:uid="{A5F3FAB5-8343-4E49-A4B3-0C1AFFED8798}"/>
    <cellStyle name="Normal 9 3 7" xfId="1823" xr:uid="{00000000-0005-0000-0000-00003E200000}"/>
    <cellStyle name="Normal 9 3 7 2" xfId="4053" xr:uid="{00000000-0005-0000-0000-00003F200000}"/>
    <cellStyle name="Normal 9 3 7 2 2" xfId="8275" xr:uid="{00000000-0005-0000-0000-000040200000}"/>
    <cellStyle name="Normal 9 3 7 2 2 2" xfId="25166" xr:uid="{1BA7AC7A-EA08-4C6B-80B0-AB9337CF11D5}"/>
    <cellStyle name="Normal 9 3 7 2 2 3" xfId="16725" xr:uid="{1799CC8E-15FC-486D-8EE3-400E2FCBF185}"/>
    <cellStyle name="Normal 9 3 7 2 3" xfId="20948" xr:uid="{AB4103C5-B0A4-4803-9238-9010C6B68181}"/>
    <cellStyle name="Normal 9 3 7 2 4" xfId="12507" xr:uid="{8CE823EE-6685-4C4C-8004-4652B1A3722A}"/>
    <cellStyle name="Normal 9 3 7 3" xfId="6130" xr:uid="{00000000-0005-0000-0000-000041200000}"/>
    <cellStyle name="Normal 9 3 7 3 2" xfId="23021" xr:uid="{3CCF0D73-39F4-4CD4-92D4-36C5941D52F5}"/>
    <cellStyle name="Normal 9 3 7 3 3" xfId="14580" xr:uid="{1F9E9E5A-7EC2-43A5-ACD0-9BB8F1830B18}"/>
    <cellStyle name="Normal 9 3 7 4" xfId="18803" xr:uid="{E2952BEA-1482-40E7-922D-DDF700E612CD}"/>
    <cellStyle name="Normal 9 3 7 5" xfId="10362" xr:uid="{DADA495E-EE59-4593-BD9C-0E8DEE38FF03}"/>
    <cellStyle name="Normal 9 3 8" xfId="2237" xr:uid="{00000000-0005-0000-0000-000042200000}"/>
    <cellStyle name="Normal 9 3 8 2" xfId="4466" xr:uid="{00000000-0005-0000-0000-000043200000}"/>
    <cellStyle name="Normal 9 3 8 2 2" xfId="8688" xr:uid="{00000000-0005-0000-0000-000044200000}"/>
    <cellStyle name="Normal 9 3 8 2 2 2" xfId="25579" xr:uid="{877A52F0-A733-4B9E-8AC6-6C5C4C9FD74E}"/>
    <cellStyle name="Normal 9 3 8 2 2 3" xfId="17138" xr:uid="{DAF46B1C-A111-4DCE-B627-9E5A9E9E30AD}"/>
    <cellStyle name="Normal 9 3 8 2 3" xfId="21361" xr:uid="{7C9A8E4F-EB9C-42B9-92C4-1A00AFF20365}"/>
    <cellStyle name="Normal 9 3 8 2 4" xfId="12920" xr:uid="{BFC988A7-2F57-4D21-84D5-5FC6803B766F}"/>
    <cellStyle name="Normal 9 3 8 3" xfId="6543" xr:uid="{00000000-0005-0000-0000-000045200000}"/>
    <cellStyle name="Normal 9 3 8 3 2" xfId="23434" xr:uid="{7F2B3119-D3E3-48CD-A11F-FE16A90505EE}"/>
    <cellStyle name="Normal 9 3 8 3 3" xfId="14993" xr:uid="{E9565910-EA3A-4773-BC88-2EFCC5FE17E7}"/>
    <cellStyle name="Normal 9 3 8 4" xfId="19216" xr:uid="{2BB04972-5608-4A4D-818E-2ABDC8085DEA}"/>
    <cellStyle name="Normal 9 3 8 5" xfId="10775" xr:uid="{F59E4575-10EA-4F86-BAB1-4FE203E5A76C}"/>
    <cellStyle name="Normal 9 3 9" xfId="2673" xr:uid="{00000000-0005-0000-0000-000046200000}"/>
    <cellStyle name="Normal 9 3 9 2" xfId="6956" xr:uid="{00000000-0005-0000-0000-000047200000}"/>
    <cellStyle name="Normal 9 3 9 2 2" xfId="23847" xr:uid="{28FD45F2-A9C2-4489-9126-6555E632C442}"/>
    <cellStyle name="Normal 9 3 9 2 3" xfId="15406" xr:uid="{6FA3E7BD-AE4F-4D49-9A3E-17F643B20BF0}"/>
    <cellStyle name="Normal 9 3 9 3" xfId="19629" xr:uid="{A9E43808-E96A-4DE9-983A-D3737D2FA4D6}"/>
    <cellStyle name="Normal 9 3 9 4" xfId="11188" xr:uid="{C26FB6A9-7E84-4C61-9B8B-27FD1F4727E8}"/>
    <cellStyle name="Normal 9 4" xfId="535" xr:uid="{00000000-0005-0000-0000-000048200000}"/>
    <cellStyle name="Normal 9 4 2" xfId="1002" xr:uid="{00000000-0005-0000-0000-000049200000}"/>
    <cellStyle name="Normal 9 5" xfId="536" xr:uid="{00000000-0005-0000-0000-00004A200000}"/>
    <cellStyle name="Normal 9 5 10" xfId="9131" xr:uid="{8C0EF8F3-7C12-485F-8391-E20E3530DC93}"/>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2 2 2" xfId="24349" xr:uid="{3E6CD09C-D553-49FB-9653-D02E0640F704}"/>
    <cellStyle name="Normal 9 5 2 2 2 2 3" xfId="15908" xr:uid="{70A4ED66-384A-4199-B514-DC7F4C9A6DB4}"/>
    <cellStyle name="Normal 9 5 2 2 2 3" xfId="20131" xr:uid="{122B184D-7BFB-478F-9038-8BCD2CF51631}"/>
    <cellStyle name="Normal 9 5 2 2 2 4" xfId="11690" xr:uid="{1C11C17F-E536-45F7-8BCA-06ED455E7599}"/>
    <cellStyle name="Normal 9 5 2 2 3" xfId="5313" xr:uid="{00000000-0005-0000-0000-00004F200000}"/>
    <cellStyle name="Normal 9 5 2 2 3 2" xfId="22204" xr:uid="{0DCF260D-B6E5-4F4B-B3A0-62DC7D1B12B0}"/>
    <cellStyle name="Normal 9 5 2 2 3 3" xfId="13763" xr:uid="{C3CFE7F4-D63D-40A4-9AAE-8A221EA1161B}"/>
    <cellStyle name="Normal 9 5 2 2 4" xfId="17986" xr:uid="{A1168F67-F242-48CC-893E-1BEC94761569}"/>
    <cellStyle name="Normal 9 5 2 2 5" xfId="9545" xr:uid="{0A541600-04FC-4087-986C-673138DC9ACD}"/>
    <cellStyle name="Normal 9 5 2 3" xfId="1419" xr:uid="{00000000-0005-0000-0000-000050200000}"/>
    <cellStyle name="Normal 9 5 2 3 2" xfId="3649" xr:uid="{00000000-0005-0000-0000-000051200000}"/>
    <cellStyle name="Normal 9 5 2 3 2 2" xfId="7871" xr:uid="{00000000-0005-0000-0000-000052200000}"/>
    <cellStyle name="Normal 9 5 2 3 2 2 2" xfId="24762" xr:uid="{E2F7655F-A54F-4665-9ED4-A3813519E434}"/>
    <cellStyle name="Normal 9 5 2 3 2 2 3" xfId="16321" xr:uid="{77815A76-AB33-477D-B562-6BDBB6603B09}"/>
    <cellStyle name="Normal 9 5 2 3 2 3" xfId="20544" xr:uid="{8A8E3155-34DF-4F6F-B55B-DF42D6EBF4DC}"/>
    <cellStyle name="Normal 9 5 2 3 2 4" xfId="12103" xr:uid="{7B08F53A-CF04-4757-A710-5C6D88BD049C}"/>
    <cellStyle name="Normal 9 5 2 3 3" xfId="5726" xr:uid="{00000000-0005-0000-0000-000053200000}"/>
    <cellStyle name="Normal 9 5 2 3 3 2" xfId="22617" xr:uid="{98B94B97-93D1-4DE0-B8FC-502D78D5587A}"/>
    <cellStyle name="Normal 9 5 2 3 3 3" xfId="14176" xr:uid="{0245F237-4193-41B7-9A91-B364BBF7C913}"/>
    <cellStyle name="Normal 9 5 2 3 4" xfId="18399" xr:uid="{F99103BA-563F-4D09-B5DA-E51577CD9620}"/>
    <cellStyle name="Normal 9 5 2 3 5" xfId="9958" xr:uid="{B64DC553-D1F1-4B0C-B7FC-916C3F61C1E3}"/>
    <cellStyle name="Normal 9 5 2 4" xfId="1832" xr:uid="{00000000-0005-0000-0000-000054200000}"/>
    <cellStyle name="Normal 9 5 2 4 2" xfId="4062" xr:uid="{00000000-0005-0000-0000-000055200000}"/>
    <cellStyle name="Normal 9 5 2 4 2 2" xfId="8284" xr:uid="{00000000-0005-0000-0000-000056200000}"/>
    <cellStyle name="Normal 9 5 2 4 2 2 2" xfId="25175" xr:uid="{86E31950-3CA5-4653-8589-23511751DB8B}"/>
    <cellStyle name="Normal 9 5 2 4 2 2 3" xfId="16734" xr:uid="{C1CB5082-124F-4B52-A36E-7333EB30A4AD}"/>
    <cellStyle name="Normal 9 5 2 4 2 3" xfId="20957" xr:uid="{6E24AC32-F740-4DC4-BC36-9185ECA93DFB}"/>
    <cellStyle name="Normal 9 5 2 4 2 4" xfId="12516" xr:uid="{6EB07E48-0EEC-44C6-9792-FABCDEB753DD}"/>
    <cellStyle name="Normal 9 5 2 4 3" xfId="6139" xr:uid="{00000000-0005-0000-0000-000057200000}"/>
    <cellStyle name="Normal 9 5 2 4 3 2" xfId="23030" xr:uid="{41C9FF75-D650-4C86-85F7-E4891430DBE7}"/>
    <cellStyle name="Normal 9 5 2 4 3 3" xfId="14589" xr:uid="{FF922E48-5057-4D41-8965-9E4BE80AFD52}"/>
    <cellStyle name="Normal 9 5 2 4 4" xfId="18812" xr:uid="{4CCB02CB-9D86-4E86-8D8D-47A25D819148}"/>
    <cellStyle name="Normal 9 5 2 4 5" xfId="10371" xr:uid="{3178DDB8-7DF1-4B79-BEA9-A7C41977B25A}"/>
    <cellStyle name="Normal 9 5 2 5" xfId="2246" xr:uid="{00000000-0005-0000-0000-000058200000}"/>
    <cellStyle name="Normal 9 5 2 5 2" xfId="4475" xr:uid="{00000000-0005-0000-0000-000059200000}"/>
    <cellStyle name="Normal 9 5 2 5 2 2" xfId="8697" xr:uid="{00000000-0005-0000-0000-00005A200000}"/>
    <cellStyle name="Normal 9 5 2 5 2 2 2" xfId="25588" xr:uid="{0EEE5381-0CDA-437E-A194-C9FC3C574604}"/>
    <cellStyle name="Normal 9 5 2 5 2 2 3" xfId="17147" xr:uid="{2F287FF4-E616-4273-A044-D88A93C20F37}"/>
    <cellStyle name="Normal 9 5 2 5 2 3" xfId="21370" xr:uid="{D176520E-1F17-41E9-BAB2-B2F184516CFD}"/>
    <cellStyle name="Normal 9 5 2 5 2 4" xfId="12929" xr:uid="{57512E10-5F07-4CD6-8D49-999559B5D28E}"/>
    <cellStyle name="Normal 9 5 2 5 3" xfId="6552" xr:uid="{00000000-0005-0000-0000-00005B200000}"/>
    <cellStyle name="Normal 9 5 2 5 3 2" xfId="23443" xr:uid="{FD39AFDA-5931-435F-9379-8699E93441F8}"/>
    <cellStyle name="Normal 9 5 2 5 3 3" xfId="15002" xr:uid="{50C9CF82-637C-42F8-ADFD-BD960F26B060}"/>
    <cellStyle name="Normal 9 5 2 5 4" xfId="19225" xr:uid="{1F66031C-E04E-4311-950A-A3FDCECB8818}"/>
    <cellStyle name="Normal 9 5 2 5 5" xfId="10784" xr:uid="{E3AED543-8DB7-4B4D-A2A5-A1BB5C3AED11}"/>
    <cellStyle name="Normal 9 5 2 6" xfId="2682" xr:uid="{00000000-0005-0000-0000-00005C200000}"/>
    <cellStyle name="Normal 9 5 2 6 2" xfId="6965" xr:uid="{00000000-0005-0000-0000-00005D200000}"/>
    <cellStyle name="Normal 9 5 2 6 2 2" xfId="23856" xr:uid="{D26C054C-E5CC-44F9-B535-C257DACA9F19}"/>
    <cellStyle name="Normal 9 5 2 6 2 3" xfId="15415" xr:uid="{9E3B0674-A0ED-4B20-B7C8-573ABD2974F6}"/>
    <cellStyle name="Normal 9 5 2 6 3" xfId="19638" xr:uid="{1FBC1C48-458F-4575-9495-2F2E68FA9B4C}"/>
    <cellStyle name="Normal 9 5 2 6 4" xfId="11197" xr:uid="{CEBC2B19-7012-488F-AE2B-FE94DBDED7C1}"/>
    <cellStyle name="Normal 9 5 2 7" xfId="4900" xr:uid="{00000000-0005-0000-0000-00005E200000}"/>
    <cellStyle name="Normal 9 5 2 7 2" xfId="21791" xr:uid="{3E6CAF06-BECD-41A0-8F30-E0003B67A3F1}"/>
    <cellStyle name="Normal 9 5 2 7 3" xfId="13350" xr:uid="{53F46063-44D7-4443-A1E9-BB22C15C43B4}"/>
    <cellStyle name="Normal 9 5 2 8" xfId="17573" xr:uid="{9CD763E3-511A-486D-B79F-6E91A8B85A1F}"/>
    <cellStyle name="Normal 9 5 2 9" xfId="9132" xr:uid="{CEACFE0A-EE72-44D9-BEC2-F5ECECB874C3}"/>
    <cellStyle name="Normal 9 5 3" xfId="1003" xr:uid="{00000000-0005-0000-0000-00005F200000}"/>
    <cellStyle name="Normal 9 5 3 2" xfId="3235" xr:uid="{00000000-0005-0000-0000-000060200000}"/>
    <cellStyle name="Normal 9 5 3 2 2" xfId="7457" xr:uid="{00000000-0005-0000-0000-000061200000}"/>
    <cellStyle name="Normal 9 5 3 2 2 2" xfId="24348" xr:uid="{DA4837F5-95DA-4652-B035-77EF6E495773}"/>
    <cellStyle name="Normal 9 5 3 2 2 3" xfId="15907" xr:uid="{9D5FB506-67DF-417F-885C-C523CA0D7E81}"/>
    <cellStyle name="Normal 9 5 3 2 3" xfId="20130" xr:uid="{65BEE213-C474-472A-9E92-8DCF9AC949F6}"/>
    <cellStyle name="Normal 9 5 3 2 4" xfId="11689" xr:uid="{E8BB8779-D61D-4FA9-9817-9FB260CF73E8}"/>
    <cellStyle name="Normal 9 5 3 3" xfId="5312" xr:uid="{00000000-0005-0000-0000-000062200000}"/>
    <cellStyle name="Normal 9 5 3 3 2" xfId="22203" xr:uid="{12DE3D1C-9307-4115-A54A-E25AF46AD7B5}"/>
    <cellStyle name="Normal 9 5 3 3 3" xfId="13762" xr:uid="{FCC0668F-98EA-4275-8F3F-4117BFEAFDD9}"/>
    <cellStyle name="Normal 9 5 3 4" xfId="17985" xr:uid="{D1178725-09A4-4FE0-B4B8-B55770582E3A}"/>
    <cellStyle name="Normal 9 5 3 5" xfId="9544" xr:uid="{FB1B495E-B7D1-4E91-B19D-0AEABD67825C}"/>
    <cellStyle name="Normal 9 5 4" xfId="1418" xr:uid="{00000000-0005-0000-0000-000063200000}"/>
    <cellStyle name="Normal 9 5 4 2" xfId="3648" xr:uid="{00000000-0005-0000-0000-000064200000}"/>
    <cellStyle name="Normal 9 5 4 2 2" xfId="7870" xr:uid="{00000000-0005-0000-0000-000065200000}"/>
    <cellStyle name="Normal 9 5 4 2 2 2" xfId="24761" xr:uid="{C0523E1E-6472-4E0A-A492-86E66F3DB495}"/>
    <cellStyle name="Normal 9 5 4 2 2 3" xfId="16320" xr:uid="{751CFB9D-C5E7-4FAE-85A8-F5A988522F35}"/>
    <cellStyle name="Normal 9 5 4 2 3" xfId="20543" xr:uid="{1BDF3B9D-27D6-4F1B-9A6B-7EC0F03BC443}"/>
    <cellStyle name="Normal 9 5 4 2 4" xfId="12102" xr:uid="{7316DF29-6A6D-4B42-868D-341D216B7619}"/>
    <cellStyle name="Normal 9 5 4 3" xfId="5725" xr:uid="{00000000-0005-0000-0000-000066200000}"/>
    <cellStyle name="Normal 9 5 4 3 2" xfId="22616" xr:uid="{22B92161-879E-4E91-99A5-C9DEF194DD95}"/>
    <cellStyle name="Normal 9 5 4 3 3" xfId="14175" xr:uid="{DF43E051-50BC-4AAC-B824-E5984BB52D87}"/>
    <cellStyle name="Normal 9 5 4 4" xfId="18398" xr:uid="{B2D7FE2A-5CC8-49DE-919F-F95C27562127}"/>
    <cellStyle name="Normal 9 5 4 5" xfId="9957" xr:uid="{21F38E1A-E16B-49F7-B055-2B06441870A6}"/>
    <cellStyle name="Normal 9 5 5" xfId="1831" xr:uid="{00000000-0005-0000-0000-000067200000}"/>
    <cellStyle name="Normal 9 5 5 2" xfId="4061" xr:uid="{00000000-0005-0000-0000-000068200000}"/>
    <cellStyle name="Normal 9 5 5 2 2" xfId="8283" xr:uid="{00000000-0005-0000-0000-000069200000}"/>
    <cellStyle name="Normal 9 5 5 2 2 2" xfId="25174" xr:uid="{D19DFE22-80F5-4472-9DDE-F10D3520D6FC}"/>
    <cellStyle name="Normal 9 5 5 2 2 3" xfId="16733" xr:uid="{AC1924D4-AC80-42AD-93E2-C629FAE28CC5}"/>
    <cellStyle name="Normal 9 5 5 2 3" xfId="20956" xr:uid="{8A769748-1BF9-4D5B-81B9-6DF3FB7E5577}"/>
    <cellStyle name="Normal 9 5 5 2 4" xfId="12515" xr:uid="{311B1304-013C-4648-AD1F-1CF0EF6FB34F}"/>
    <cellStyle name="Normal 9 5 5 3" xfId="6138" xr:uid="{00000000-0005-0000-0000-00006A200000}"/>
    <cellStyle name="Normal 9 5 5 3 2" xfId="23029" xr:uid="{1F2B9322-AD3D-4993-B990-4F1DD6B161DF}"/>
    <cellStyle name="Normal 9 5 5 3 3" xfId="14588" xr:uid="{C0F5C571-3268-42BE-80E9-FC2091997817}"/>
    <cellStyle name="Normal 9 5 5 4" xfId="18811" xr:uid="{C0C82881-BB5A-4C4F-BC64-90C9F05C37B4}"/>
    <cellStyle name="Normal 9 5 5 5" xfId="10370" xr:uid="{32BD46B7-58D6-4DA3-85E7-53E02529BB5D}"/>
    <cellStyle name="Normal 9 5 6" xfId="2245" xr:uid="{00000000-0005-0000-0000-00006B200000}"/>
    <cellStyle name="Normal 9 5 6 2" xfId="4474" xr:uid="{00000000-0005-0000-0000-00006C200000}"/>
    <cellStyle name="Normal 9 5 6 2 2" xfId="8696" xr:uid="{00000000-0005-0000-0000-00006D200000}"/>
    <cellStyle name="Normal 9 5 6 2 2 2" xfId="25587" xr:uid="{F6C8BCB4-F8E2-4879-B56D-E738CFC580F4}"/>
    <cellStyle name="Normal 9 5 6 2 2 3" xfId="17146" xr:uid="{0A255B0F-0376-4889-ADDA-0123A087217C}"/>
    <cellStyle name="Normal 9 5 6 2 3" xfId="21369" xr:uid="{96019A9E-5429-47CE-BECB-448B7620B136}"/>
    <cellStyle name="Normal 9 5 6 2 4" xfId="12928" xr:uid="{2436B76E-714C-4035-85BB-19EC774B4712}"/>
    <cellStyle name="Normal 9 5 6 3" xfId="6551" xr:uid="{00000000-0005-0000-0000-00006E200000}"/>
    <cellStyle name="Normal 9 5 6 3 2" xfId="23442" xr:uid="{8C2D66A7-E4EB-45AF-9335-304720EF9D7E}"/>
    <cellStyle name="Normal 9 5 6 3 3" xfId="15001" xr:uid="{BFE9E4B3-72FA-4D1D-A919-886B88B02E20}"/>
    <cellStyle name="Normal 9 5 6 4" xfId="19224" xr:uid="{A9E6C6C7-FD42-4312-AF48-936078342F0B}"/>
    <cellStyle name="Normal 9 5 6 5" xfId="10783" xr:uid="{566E54A3-2B06-4F6A-8808-62DA929E2692}"/>
    <cellStyle name="Normal 9 5 7" xfId="2681" xr:uid="{00000000-0005-0000-0000-00006F200000}"/>
    <cellStyle name="Normal 9 5 7 2" xfId="6964" xr:uid="{00000000-0005-0000-0000-000070200000}"/>
    <cellStyle name="Normal 9 5 7 2 2" xfId="23855" xr:uid="{A1B91F4D-F853-4983-B348-2D46416D5BCE}"/>
    <cellStyle name="Normal 9 5 7 2 3" xfId="15414" xr:uid="{81DE541B-34BC-466B-AEE8-9A2FD5BBE8E7}"/>
    <cellStyle name="Normal 9 5 7 3" xfId="19637" xr:uid="{DF1BC6FE-55BC-46FA-824D-AD7612FCD23F}"/>
    <cellStyle name="Normal 9 5 7 4" xfId="11196" xr:uid="{7DD00A1F-41B1-4B9A-8192-1977582FA10F}"/>
    <cellStyle name="Normal 9 5 8" xfId="4899" xr:uid="{00000000-0005-0000-0000-000071200000}"/>
    <cellStyle name="Normal 9 5 8 2" xfId="21790" xr:uid="{EB326A09-9AE6-4FFE-8104-EF895B6FECD7}"/>
    <cellStyle name="Normal 9 5 8 3" xfId="13349" xr:uid="{105B081F-21C2-40A8-9FDC-F35F8C366971}"/>
    <cellStyle name="Normal 9 5 9" xfId="17572" xr:uid="{E84687D1-1A21-4C72-9FDD-14CAD4979C7B}"/>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2 2 2" xfId="24350" xr:uid="{A680417A-9B41-4CC7-A077-C48DD72FDD86}"/>
    <cellStyle name="Normal 9 6 2 2 2 3" xfId="15909" xr:uid="{4725A389-E7D2-4A6B-8825-FA7C71ED02BD}"/>
    <cellStyle name="Normal 9 6 2 2 3" xfId="20132" xr:uid="{77E5ECCC-EACE-437D-852D-5DF5D0B814F5}"/>
    <cellStyle name="Normal 9 6 2 2 4" xfId="11691" xr:uid="{46D3C347-799C-4E6B-8668-C8321FC4306A}"/>
    <cellStyle name="Normal 9 6 2 3" xfId="5314" xr:uid="{00000000-0005-0000-0000-000076200000}"/>
    <cellStyle name="Normal 9 6 2 3 2" xfId="22205" xr:uid="{C3BAB885-96A2-4D86-9C45-52A9B2C7EA5B}"/>
    <cellStyle name="Normal 9 6 2 3 3" xfId="13764" xr:uid="{0575BB83-693A-4774-8F14-AFE56277A144}"/>
    <cellStyle name="Normal 9 6 2 4" xfId="17987" xr:uid="{E2AA8F97-9F17-41B5-BB99-1992AD47F632}"/>
    <cellStyle name="Normal 9 6 2 5" xfId="9546" xr:uid="{23CB5D91-6335-48BB-B739-4729B772147F}"/>
    <cellStyle name="Normal 9 6 3" xfId="1420" xr:uid="{00000000-0005-0000-0000-000077200000}"/>
    <cellStyle name="Normal 9 6 3 2" xfId="3650" xr:uid="{00000000-0005-0000-0000-000078200000}"/>
    <cellStyle name="Normal 9 6 3 2 2" xfId="7872" xr:uid="{00000000-0005-0000-0000-000079200000}"/>
    <cellStyle name="Normal 9 6 3 2 2 2" xfId="24763" xr:uid="{395CFCEF-7440-4E24-8012-2C9E21CAFEE7}"/>
    <cellStyle name="Normal 9 6 3 2 2 3" xfId="16322" xr:uid="{FD13B922-29E8-4CA7-9704-DA26CC305D6F}"/>
    <cellStyle name="Normal 9 6 3 2 3" xfId="20545" xr:uid="{22521AAC-73CC-43DE-9AE0-FCC58C3A7EE0}"/>
    <cellStyle name="Normal 9 6 3 2 4" xfId="12104" xr:uid="{0968B0F3-EA54-4AD2-9EB3-A4DA1359EBD8}"/>
    <cellStyle name="Normal 9 6 3 3" xfId="5727" xr:uid="{00000000-0005-0000-0000-00007A200000}"/>
    <cellStyle name="Normal 9 6 3 3 2" xfId="22618" xr:uid="{046CD610-9B2C-4664-8704-07D4FC521052}"/>
    <cellStyle name="Normal 9 6 3 3 3" xfId="14177" xr:uid="{891AD744-09DE-4558-901D-3FAF55ECAB82}"/>
    <cellStyle name="Normal 9 6 3 4" xfId="18400" xr:uid="{B040F8A4-3F52-4527-B522-5E9E7294704C}"/>
    <cellStyle name="Normal 9 6 3 5" xfId="9959" xr:uid="{3FE52E79-9CE6-431B-8590-D983AB76A2E7}"/>
    <cellStyle name="Normal 9 6 4" xfId="1833" xr:uid="{00000000-0005-0000-0000-00007B200000}"/>
    <cellStyle name="Normal 9 6 4 2" xfId="4063" xr:uid="{00000000-0005-0000-0000-00007C200000}"/>
    <cellStyle name="Normal 9 6 4 2 2" xfId="8285" xr:uid="{00000000-0005-0000-0000-00007D200000}"/>
    <cellStyle name="Normal 9 6 4 2 2 2" xfId="25176" xr:uid="{3D3D1538-1C35-4F7E-B381-969CA07B5377}"/>
    <cellStyle name="Normal 9 6 4 2 2 3" xfId="16735" xr:uid="{EDF7462C-CA9C-44CB-8C99-D2BD884126EA}"/>
    <cellStyle name="Normal 9 6 4 2 3" xfId="20958" xr:uid="{D6C78493-EF13-4CBF-9E7E-347141ABF328}"/>
    <cellStyle name="Normal 9 6 4 2 4" xfId="12517" xr:uid="{62283637-925B-4C46-909A-6A3D8580275C}"/>
    <cellStyle name="Normal 9 6 4 3" xfId="6140" xr:uid="{00000000-0005-0000-0000-00007E200000}"/>
    <cellStyle name="Normal 9 6 4 3 2" xfId="23031" xr:uid="{37AEB71C-36F9-4D93-B006-4495DF69BD48}"/>
    <cellStyle name="Normal 9 6 4 3 3" xfId="14590" xr:uid="{220B9822-7299-438D-B058-0E686C81E85A}"/>
    <cellStyle name="Normal 9 6 4 4" xfId="18813" xr:uid="{6B33AEAC-61CE-446E-A331-AAC3C56D5186}"/>
    <cellStyle name="Normal 9 6 4 5" xfId="10372" xr:uid="{C4F54BAA-CBEE-45C3-B272-5A54DB54A434}"/>
    <cellStyle name="Normal 9 6 5" xfId="2247" xr:uid="{00000000-0005-0000-0000-00007F200000}"/>
    <cellStyle name="Normal 9 6 5 2" xfId="4476" xr:uid="{00000000-0005-0000-0000-000080200000}"/>
    <cellStyle name="Normal 9 6 5 2 2" xfId="8698" xr:uid="{00000000-0005-0000-0000-000081200000}"/>
    <cellStyle name="Normal 9 6 5 2 2 2" xfId="25589" xr:uid="{FC185B35-431D-4284-A232-7E34F93BDDC4}"/>
    <cellStyle name="Normal 9 6 5 2 2 3" xfId="17148" xr:uid="{C2AAEE1E-AC31-47A4-91F0-7E27551F8982}"/>
    <cellStyle name="Normal 9 6 5 2 3" xfId="21371" xr:uid="{39EC838D-14A9-4CCB-B33F-6EAD4E5EC863}"/>
    <cellStyle name="Normal 9 6 5 2 4" xfId="12930" xr:uid="{C3FEBD17-8577-4CF8-876E-439A6F80D3C8}"/>
    <cellStyle name="Normal 9 6 5 3" xfId="6553" xr:uid="{00000000-0005-0000-0000-000082200000}"/>
    <cellStyle name="Normal 9 6 5 3 2" xfId="23444" xr:uid="{6AAED568-7084-475D-9E3D-F8162013ECBD}"/>
    <cellStyle name="Normal 9 6 5 3 3" xfId="15003" xr:uid="{A97A64A1-4227-494B-8E41-16AABE68795D}"/>
    <cellStyle name="Normal 9 6 5 4" xfId="19226" xr:uid="{AF794423-965A-45D2-A513-9067F91EB990}"/>
    <cellStyle name="Normal 9 6 5 5" xfId="10785" xr:uid="{617B4ABC-95FE-4DEC-8ABB-5C0ED89B70E3}"/>
    <cellStyle name="Normal 9 6 6" xfId="2683" xr:uid="{00000000-0005-0000-0000-000083200000}"/>
    <cellStyle name="Normal 9 6 6 2" xfId="6966" xr:uid="{00000000-0005-0000-0000-000084200000}"/>
    <cellStyle name="Normal 9 6 6 2 2" xfId="23857" xr:uid="{6FDB7EC4-2960-41A5-A71B-F0CB499FD666}"/>
    <cellStyle name="Normal 9 6 6 2 3" xfId="15416" xr:uid="{F3718CBC-ABD2-4B80-B4CE-5660D53CD5D1}"/>
    <cellStyle name="Normal 9 6 6 3" xfId="19639" xr:uid="{88C0F1B1-E81A-4A43-B74D-EA185AB8D4EF}"/>
    <cellStyle name="Normal 9 6 6 4" xfId="11198" xr:uid="{EA086D36-30E5-42FA-9DC0-1FEDC19137CA}"/>
    <cellStyle name="Normal 9 6 7" xfId="4901" xr:uid="{00000000-0005-0000-0000-000085200000}"/>
    <cellStyle name="Normal 9 6 7 2" xfId="21792" xr:uid="{F40D2F2A-E1F7-4B4D-B9B8-25F50BC2E7DB}"/>
    <cellStyle name="Normal 9 6 7 3" xfId="13351" xr:uid="{ED7DCEA7-AEB8-403B-9A73-8B46E9F56056}"/>
    <cellStyle name="Normal 9 6 8" xfId="17574" xr:uid="{6F462F24-07E7-4CF2-8614-8C2C27118DBF}"/>
    <cellStyle name="Normal 9 6 9" xfId="9133" xr:uid="{8E190558-9035-4B94-A64E-F9B628433632}"/>
    <cellStyle name="Normal 9 7" xfId="977" xr:uid="{00000000-0005-0000-0000-000086200000}"/>
    <cellStyle name="Normal 9 8" xfId="25676" xr:uid="{ADB9B463-3B74-4BC7-BCA2-546AB081A84D}"/>
    <cellStyle name="Normal 9_Dropdowns" xfId="25779" xr:uid="{EA13EADD-BC6A-47D0-9C8B-1448C8909CD5}"/>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23938" xr:uid="{4B396CF5-49D0-45F1-8E75-85AA5ACB03CD}"/>
    <cellStyle name="Note 2 2 10 2 3" xfId="15497" xr:uid="{667D9E9B-BB52-4DF3-A003-C7C66B946648}"/>
    <cellStyle name="Note 2 2 10 3" xfId="19720" xr:uid="{9E131277-1FC4-4A61-B47F-245A72403C8C}"/>
    <cellStyle name="Note 2 2 10 4" xfId="11279" xr:uid="{A583A82A-F6F5-47A7-86DC-E1721082A046}"/>
    <cellStyle name="Note 2 2 11" xfId="4902" xr:uid="{00000000-0005-0000-0000-000094200000}"/>
    <cellStyle name="Note 2 2 11 2" xfId="21793" xr:uid="{FDF666C4-3182-4308-915F-E8895ED6438E}"/>
    <cellStyle name="Note 2 2 11 3" xfId="13352" xr:uid="{C0480B26-85AB-477D-AAE9-F2ADC76C172A}"/>
    <cellStyle name="Note 2 2 12" xfId="17575" xr:uid="{0DE612BB-E2DF-41DD-B5CD-CC6291A1A542}"/>
    <cellStyle name="Note 2 2 13" xfId="9134" xr:uid="{D98DD951-CF37-4529-9B0C-6303821DD712}"/>
    <cellStyle name="Note 2 2 2" xfId="546" xr:uid="{00000000-0005-0000-0000-000095200000}"/>
    <cellStyle name="Note 2 2 2 10" xfId="4903" xr:uid="{00000000-0005-0000-0000-000096200000}"/>
    <cellStyle name="Note 2 2 2 10 2" xfId="21794" xr:uid="{7E2E298D-42FB-4BBD-9C89-145A94CF2469}"/>
    <cellStyle name="Note 2 2 2 10 3" xfId="13353" xr:uid="{DD1F40A4-7840-4EF2-9CCE-E2C035C72A46}"/>
    <cellStyle name="Note 2 2 2 11" xfId="17576" xr:uid="{0ABA48C1-FDC5-4A87-B2F3-48D8C7E59CB4}"/>
    <cellStyle name="Note 2 2 2 12" xfId="9135" xr:uid="{DAF5E51C-755D-4ADB-9D2D-14CFBA931238}"/>
    <cellStyle name="Note 2 2 2 2" xfId="547" xr:uid="{00000000-0005-0000-0000-000097200000}"/>
    <cellStyle name="Note 2 2 2 2 10" xfId="17577" xr:uid="{860D9F0D-BDB2-4639-9903-6FA7F59CD7EA}"/>
    <cellStyle name="Note 2 2 2 2 11" xfId="9136" xr:uid="{448025C8-76C4-47FB-8FFA-D916DD44CB5D}"/>
    <cellStyle name="Note 2 2 2 2 2" xfId="1008" xr:uid="{00000000-0005-0000-0000-000098200000}"/>
    <cellStyle name="Note 2 2 2 2 2 2" xfId="3240" xr:uid="{00000000-0005-0000-0000-000099200000}"/>
    <cellStyle name="Note 2 2 2 2 2 2 2" xfId="7462" xr:uid="{00000000-0005-0000-0000-00009A200000}"/>
    <cellStyle name="Note 2 2 2 2 2 2 2 2" xfId="24353" xr:uid="{BF44DD3B-0F18-4934-8215-E6005A50E1B1}"/>
    <cellStyle name="Note 2 2 2 2 2 2 2 3" xfId="15912" xr:uid="{410DC447-CB58-499A-9F30-5B5A2A4BCE8F}"/>
    <cellStyle name="Note 2 2 2 2 2 2 3" xfId="20135" xr:uid="{AEFF8429-94D6-4FAA-8790-06264754CE68}"/>
    <cellStyle name="Note 2 2 2 2 2 2 4" xfId="11694" xr:uid="{3A4B4E03-0C3D-48AE-96C7-2F6B3BB17D55}"/>
    <cellStyle name="Note 2 2 2 2 2 3" xfId="5317" xr:uid="{00000000-0005-0000-0000-00009B200000}"/>
    <cellStyle name="Note 2 2 2 2 2 3 2" xfId="22208" xr:uid="{9C1068D2-6024-49BC-8D39-9E2DA66B69FE}"/>
    <cellStyle name="Note 2 2 2 2 2 3 3" xfId="13767" xr:uid="{D4DBA643-0A4F-47D6-8672-762B7C892212}"/>
    <cellStyle name="Note 2 2 2 2 2 4" xfId="17990" xr:uid="{7374313C-B8E6-4E21-AF27-74A141848161}"/>
    <cellStyle name="Note 2 2 2 2 2 5" xfId="9549" xr:uid="{499C6091-7BB3-4071-9D14-CBF99228B147}"/>
    <cellStyle name="Note 2 2 2 2 3" xfId="1423" xr:uid="{00000000-0005-0000-0000-00009C200000}"/>
    <cellStyle name="Note 2 2 2 2 3 2" xfId="3653" xr:uid="{00000000-0005-0000-0000-00009D200000}"/>
    <cellStyle name="Note 2 2 2 2 3 2 2" xfId="7875" xr:uid="{00000000-0005-0000-0000-00009E200000}"/>
    <cellStyle name="Note 2 2 2 2 3 2 2 2" xfId="24766" xr:uid="{E8389800-110C-42A5-8767-55240FDCA9B8}"/>
    <cellStyle name="Note 2 2 2 2 3 2 2 3" xfId="16325" xr:uid="{B35B885C-2BE1-4859-8835-5542921EC8ED}"/>
    <cellStyle name="Note 2 2 2 2 3 2 3" xfId="20548" xr:uid="{4DA6DD6A-353C-40DA-A6CE-6A0DA93F9CDF}"/>
    <cellStyle name="Note 2 2 2 2 3 2 4" xfId="12107" xr:uid="{824E4F07-9FB1-4174-A6EC-01BACC9A3C9A}"/>
    <cellStyle name="Note 2 2 2 2 3 3" xfId="5730" xr:uid="{00000000-0005-0000-0000-00009F200000}"/>
    <cellStyle name="Note 2 2 2 2 3 3 2" xfId="22621" xr:uid="{C1317C6C-8586-4563-B75C-4073B0EA6172}"/>
    <cellStyle name="Note 2 2 2 2 3 3 3" xfId="14180" xr:uid="{0F9C7CFA-EAAC-42EA-8ABE-3786B87A1565}"/>
    <cellStyle name="Note 2 2 2 2 3 4" xfId="18403" xr:uid="{D99816DA-A5A0-498C-A6BD-4A4AAF93DDFF}"/>
    <cellStyle name="Note 2 2 2 2 3 5" xfId="9962" xr:uid="{92C92328-F8CB-4C73-BDCB-93224AA91BC3}"/>
    <cellStyle name="Note 2 2 2 2 4" xfId="1837" xr:uid="{00000000-0005-0000-0000-0000A0200000}"/>
    <cellStyle name="Note 2 2 2 2 4 2" xfId="4066" xr:uid="{00000000-0005-0000-0000-0000A1200000}"/>
    <cellStyle name="Note 2 2 2 2 4 2 2" xfId="8288" xr:uid="{00000000-0005-0000-0000-0000A2200000}"/>
    <cellStyle name="Note 2 2 2 2 4 2 2 2" xfId="25179" xr:uid="{BE9E4004-B57C-4977-AC9D-EF64929D3DBA}"/>
    <cellStyle name="Note 2 2 2 2 4 2 2 3" xfId="16738" xr:uid="{260873E4-5CB2-4C21-9B35-4E2E3CA21D54}"/>
    <cellStyle name="Note 2 2 2 2 4 2 3" xfId="20961" xr:uid="{50D32A92-4492-4B14-9001-2C273390EB4B}"/>
    <cellStyle name="Note 2 2 2 2 4 2 4" xfId="12520" xr:uid="{0D3E0ABC-3671-4179-B5A2-1C94495B2039}"/>
    <cellStyle name="Note 2 2 2 2 4 3" xfId="6143" xr:uid="{00000000-0005-0000-0000-0000A3200000}"/>
    <cellStyle name="Note 2 2 2 2 4 3 2" xfId="23034" xr:uid="{3DAE5C42-E8BE-414A-882D-4757F36E29DF}"/>
    <cellStyle name="Note 2 2 2 2 4 3 3" xfId="14593" xr:uid="{5CA1D69A-883C-4A2E-9E0A-74736052C88A}"/>
    <cellStyle name="Note 2 2 2 2 4 4" xfId="18816" xr:uid="{DCF573EA-D27C-4BA3-AF66-01E67A3E144A}"/>
    <cellStyle name="Note 2 2 2 2 4 5" xfId="10375" xr:uid="{2EA20AB7-BF4F-43E8-884D-575EE155582F}"/>
    <cellStyle name="Note 2 2 2 2 5" xfId="2250" xr:uid="{00000000-0005-0000-0000-0000A4200000}"/>
    <cellStyle name="Note 2 2 2 2 5 2" xfId="4479" xr:uid="{00000000-0005-0000-0000-0000A5200000}"/>
    <cellStyle name="Note 2 2 2 2 5 2 2" xfId="8701" xr:uid="{00000000-0005-0000-0000-0000A6200000}"/>
    <cellStyle name="Note 2 2 2 2 5 2 2 2" xfId="25592" xr:uid="{0013249C-D6D3-4EC0-A028-DBEF3A34B608}"/>
    <cellStyle name="Note 2 2 2 2 5 2 2 3" xfId="17151" xr:uid="{25DC58B0-3BD8-462A-8D1E-9756459B99C3}"/>
    <cellStyle name="Note 2 2 2 2 5 2 3" xfId="21374" xr:uid="{247C9112-7C81-4406-B093-BF9D48466C30}"/>
    <cellStyle name="Note 2 2 2 2 5 2 4" xfId="12933" xr:uid="{4F3DF65C-639E-4CF7-8F0F-9A95213FBF47}"/>
    <cellStyle name="Note 2 2 2 2 5 3" xfId="6556" xr:uid="{00000000-0005-0000-0000-0000A7200000}"/>
    <cellStyle name="Note 2 2 2 2 5 3 2" xfId="23447" xr:uid="{82C071D1-FCF4-40BD-8AA5-033C4D4148D8}"/>
    <cellStyle name="Note 2 2 2 2 5 3 3" xfId="15006" xr:uid="{2E7AF935-4505-437E-91B8-C0497AB5C06E}"/>
    <cellStyle name="Note 2 2 2 2 5 4" xfId="19229" xr:uid="{2D795289-23CB-4CEF-AC58-B7FB4EFFA423}"/>
    <cellStyle name="Note 2 2 2 2 5 5" xfId="10788" xr:uid="{6209B9B1-ABCF-4127-99D0-0D29E6778387}"/>
    <cellStyle name="Note 2 2 2 2 6" xfId="2686" xr:uid="{00000000-0005-0000-0000-0000A8200000}"/>
    <cellStyle name="Note 2 2 2 2 6 2" xfId="6969" xr:uid="{00000000-0005-0000-0000-0000A9200000}"/>
    <cellStyle name="Note 2 2 2 2 6 2 2" xfId="23860" xr:uid="{6766C8D7-9E9D-47A9-B99B-995695A6D3AA}"/>
    <cellStyle name="Note 2 2 2 2 6 2 3" xfId="15419" xr:uid="{167F0971-4A4D-40FA-8674-6E43DE0AF5F7}"/>
    <cellStyle name="Note 2 2 2 2 6 3" xfId="19642" xr:uid="{71D1053E-5382-4ED6-9EFF-95628E3A16F9}"/>
    <cellStyle name="Note 2 2 2 2 6 4" xfId="11201" xr:uid="{715F85BC-2C31-4FD4-8353-758AB1CB8E62}"/>
    <cellStyle name="Note 2 2 2 2 7" xfId="2745" xr:uid="{00000000-0005-0000-0000-0000AA200000}"/>
    <cellStyle name="Note 2 2 2 2 8" xfId="2826" xr:uid="{00000000-0005-0000-0000-0000AB200000}"/>
    <cellStyle name="Note 2 2 2 2 8 2" xfId="7049" xr:uid="{00000000-0005-0000-0000-0000AC200000}"/>
    <cellStyle name="Note 2 2 2 2 8 2 2" xfId="23940" xr:uid="{4B45FA64-9602-463A-A53D-4E3D9DE396A8}"/>
    <cellStyle name="Note 2 2 2 2 8 2 3" xfId="15499" xr:uid="{1448CF8C-3911-4D7C-A0B5-2251B64A4B17}"/>
    <cellStyle name="Note 2 2 2 2 8 3" xfId="19722" xr:uid="{2A00F77D-9856-4E7C-B95B-F85B20D3EF5B}"/>
    <cellStyle name="Note 2 2 2 2 8 4" xfId="11281" xr:uid="{EC8A5827-276E-4446-92F8-3413D7F73E2D}"/>
    <cellStyle name="Note 2 2 2 2 9" xfId="4904" xr:uid="{00000000-0005-0000-0000-0000AD200000}"/>
    <cellStyle name="Note 2 2 2 2 9 2" xfId="21795" xr:uid="{C661074C-1759-4ED6-921C-F7B5B93C326E}"/>
    <cellStyle name="Note 2 2 2 2 9 3" xfId="13354" xr:uid="{F169D811-4D45-46EA-8C06-D392D82F762D}"/>
    <cellStyle name="Note 2 2 2 3" xfId="1007" xr:uid="{00000000-0005-0000-0000-0000AE200000}"/>
    <cellStyle name="Note 2 2 2 3 2" xfId="3239" xr:uid="{00000000-0005-0000-0000-0000AF200000}"/>
    <cellStyle name="Note 2 2 2 3 2 2" xfId="7461" xr:uid="{00000000-0005-0000-0000-0000B0200000}"/>
    <cellStyle name="Note 2 2 2 3 2 2 2" xfId="24352" xr:uid="{1B5786D6-D9C2-44C4-9F96-9CB86D24D728}"/>
    <cellStyle name="Note 2 2 2 3 2 2 3" xfId="15911" xr:uid="{E3D4D070-CEF7-49F8-BFA4-68DD7A440B31}"/>
    <cellStyle name="Note 2 2 2 3 2 3" xfId="20134" xr:uid="{CA820B49-0E65-4CA9-890B-9F563B3D9E7A}"/>
    <cellStyle name="Note 2 2 2 3 2 4" xfId="11693" xr:uid="{AB721991-6F4A-4A75-8725-E415A69DBCB4}"/>
    <cellStyle name="Note 2 2 2 3 3" xfId="5316" xr:uid="{00000000-0005-0000-0000-0000B1200000}"/>
    <cellStyle name="Note 2 2 2 3 3 2" xfId="22207" xr:uid="{85B33783-4794-42F9-A0F6-6DA1D866E478}"/>
    <cellStyle name="Note 2 2 2 3 3 3" xfId="13766" xr:uid="{E84D3C1F-A1E2-4886-87B3-540B5CA132E2}"/>
    <cellStyle name="Note 2 2 2 3 4" xfId="17989" xr:uid="{694E290A-B53E-434B-87D0-FACFD2A6B901}"/>
    <cellStyle name="Note 2 2 2 3 5" xfId="9548" xr:uid="{C457316C-F13A-4C51-9F69-F364B71CB09F}"/>
    <cellStyle name="Note 2 2 2 4" xfId="1422" xr:uid="{00000000-0005-0000-0000-0000B2200000}"/>
    <cellStyle name="Note 2 2 2 4 2" xfId="3652" xr:uid="{00000000-0005-0000-0000-0000B3200000}"/>
    <cellStyle name="Note 2 2 2 4 2 2" xfId="7874" xr:uid="{00000000-0005-0000-0000-0000B4200000}"/>
    <cellStyle name="Note 2 2 2 4 2 2 2" xfId="24765" xr:uid="{20B9806A-B55A-4F12-BB15-A9162787DC19}"/>
    <cellStyle name="Note 2 2 2 4 2 2 3" xfId="16324" xr:uid="{FE076733-E896-4041-B08B-15C5B6F90AE5}"/>
    <cellStyle name="Note 2 2 2 4 2 3" xfId="20547" xr:uid="{F7D6CDFE-C186-4466-94BB-649F237A9E62}"/>
    <cellStyle name="Note 2 2 2 4 2 4" xfId="12106" xr:uid="{506FF643-5EBE-4C55-901C-CB2C0BC5CC87}"/>
    <cellStyle name="Note 2 2 2 4 3" xfId="5729" xr:uid="{00000000-0005-0000-0000-0000B5200000}"/>
    <cellStyle name="Note 2 2 2 4 3 2" xfId="22620" xr:uid="{286BCF41-454C-490C-AA1C-BDC5E505B32A}"/>
    <cellStyle name="Note 2 2 2 4 3 3" xfId="14179" xr:uid="{574E5354-B763-4200-88D0-6D594898F643}"/>
    <cellStyle name="Note 2 2 2 4 4" xfId="18402" xr:uid="{89AA00A1-63FC-403F-82B2-FBE12B8D226B}"/>
    <cellStyle name="Note 2 2 2 4 5" xfId="9961" xr:uid="{DA94287F-E0F8-4F87-B2DA-9263F6EF755D}"/>
    <cellStyle name="Note 2 2 2 5" xfId="1836" xr:uid="{00000000-0005-0000-0000-0000B6200000}"/>
    <cellStyle name="Note 2 2 2 5 2" xfId="4065" xr:uid="{00000000-0005-0000-0000-0000B7200000}"/>
    <cellStyle name="Note 2 2 2 5 2 2" xfId="8287" xr:uid="{00000000-0005-0000-0000-0000B8200000}"/>
    <cellStyle name="Note 2 2 2 5 2 2 2" xfId="25178" xr:uid="{64C9BD1B-7500-4D5D-8F1A-0552E529B864}"/>
    <cellStyle name="Note 2 2 2 5 2 2 3" xfId="16737" xr:uid="{C293FEA0-9DDC-4D31-BC12-5BDB151970AC}"/>
    <cellStyle name="Note 2 2 2 5 2 3" xfId="20960" xr:uid="{D48467EA-E35F-4B59-ABAC-227D22AE946C}"/>
    <cellStyle name="Note 2 2 2 5 2 4" xfId="12519" xr:uid="{18FC91B2-5DB8-4BDD-9612-DD95DA6AA918}"/>
    <cellStyle name="Note 2 2 2 5 3" xfId="6142" xr:uid="{00000000-0005-0000-0000-0000B9200000}"/>
    <cellStyle name="Note 2 2 2 5 3 2" xfId="23033" xr:uid="{67FB0BEE-20B8-41BE-BD5D-AAB203472753}"/>
    <cellStyle name="Note 2 2 2 5 3 3" xfId="14592" xr:uid="{88E999DD-32F1-4C6D-B044-E43EBC2F463C}"/>
    <cellStyle name="Note 2 2 2 5 4" xfId="18815" xr:uid="{EC8BB40F-2E17-40E7-B51D-4E382CE7660D}"/>
    <cellStyle name="Note 2 2 2 5 5" xfId="10374" xr:uid="{527BC177-CB35-4F23-B14B-A8482F605BF7}"/>
    <cellStyle name="Note 2 2 2 6" xfId="2249" xr:uid="{00000000-0005-0000-0000-0000BA200000}"/>
    <cellStyle name="Note 2 2 2 6 2" xfId="4478" xr:uid="{00000000-0005-0000-0000-0000BB200000}"/>
    <cellStyle name="Note 2 2 2 6 2 2" xfId="8700" xr:uid="{00000000-0005-0000-0000-0000BC200000}"/>
    <cellStyle name="Note 2 2 2 6 2 2 2" xfId="25591" xr:uid="{5F8A04A9-2139-4315-8897-272B4A58718E}"/>
    <cellStyle name="Note 2 2 2 6 2 2 3" xfId="17150" xr:uid="{F4B8587E-67DE-4B3F-9EC6-17B1D74604C2}"/>
    <cellStyle name="Note 2 2 2 6 2 3" xfId="21373" xr:uid="{3CEED293-6392-4002-82D1-DA87E847208F}"/>
    <cellStyle name="Note 2 2 2 6 2 4" xfId="12932" xr:uid="{EECDF4CB-3FBF-47E6-ACA6-F49D033144CC}"/>
    <cellStyle name="Note 2 2 2 6 3" xfId="6555" xr:uid="{00000000-0005-0000-0000-0000BD200000}"/>
    <cellStyle name="Note 2 2 2 6 3 2" xfId="23446" xr:uid="{A53A229C-EF80-42A4-A26F-42F0F1EF272F}"/>
    <cellStyle name="Note 2 2 2 6 3 3" xfId="15005" xr:uid="{3978DB4B-2E52-4983-A53C-89951B4E07A4}"/>
    <cellStyle name="Note 2 2 2 6 4" xfId="19228" xr:uid="{CD0C5CB0-41CF-405E-BAB9-2A6DC0E36F40}"/>
    <cellStyle name="Note 2 2 2 6 5" xfId="10787" xr:uid="{54212275-FFA9-474E-919B-C79E1453C2BD}"/>
    <cellStyle name="Note 2 2 2 7" xfId="2685" xr:uid="{00000000-0005-0000-0000-0000BE200000}"/>
    <cellStyle name="Note 2 2 2 7 2" xfId="6968" xr:uid="{00000000-0005-0000-0000-0000BF200000}"/>
    <cellStyle name="Note 2 2 2 7 2 2" xfId="23859" xr:uid="{90B57C16-55C0-40A3-9922-FC86719A449D}"/>
    <cellStyle name="Note 2 2 2 7 2 3" xfId="15418" xr:uid="{7672C8BF-844D-48C7-9ADC-F0BDFBFEC5CD}"/>
    <cellStyle name="Note 2 2 2 7 3" xfId="19641" xr:uid="{C44564C8-E451-42ED-BF81-B39064BA2DBB}"/>
    <cellStyle name="Note 2 2 2 7 4" xfId="11200" xr:uid="{E3DD2C72-C3B0-45A2-8FD7-B60D6A0F5155}"/>
    <cellStyle name="Note 2 2 2 8" xfId="2744" xr:uid="{00000000-0005-0000-0000-0000C0200000}"/>
    <cellStyle name="Note 2 2 2 9" xfId="2825" xr:uid="{00000000-0005-0000-0000-0000C1200000}"/>
    <cellStyle name="Note 2 2 2 9 2" xfId="7048" xr:uid="{00000000-0005-0000-0000-0000C2200000}"/>
    <cellStyle name="Note 2 2 2 9 2 2" xfId="23939" xr:uid="{CC80C3BE-B037-433F-A5D4-E12CD7D91BEA}"/>
    <cellStyle name="Note 2 2 2 9 2 3" xfId="15498" xr:uid="{ABDDDDEB-28D5-4B18-8AAD-696847FA7ED8}"/>
    <cellStyle name="Note 2 2 2 9 3" xfId="19721" xr:uid="{D422CA19-73A3-4748-9425-51D7CCDABD7D}"/>
    <cellStyle name="Note 2 2 2 9 4" xfId="11280" xr:uid="{E1121485-F851-4756-AFA1-60494D9254D8}"/>
    <cellStyle name="Note 2 2 3" xfId="548" xr:uid="{00000000-0005-0000-0000-0000C3200000}"/>
    <cellStyle name="Note 2 2 3 10" xfId="17578" xr:uid="{F38DB9D9-EE35-4043-95B4-FA467774297F}"/>
    <cellStyle name="Note 2 2 3 11" xfId="9137" xr:uid="{E9408C9A-E691-49BC-9E4E-3A1456AB383D}"/>
    <cellStyle name="Note 2 2 3 2" xfId="1009" xr:uid="{00000000-0005-0000-0000-0000C4200000}"/>
    <cellStyle name="Note 2 2 3 2 2" xfId="3241" xr:uid="{00000000-0005-0000-0000-0000C5200000}"/>
    <cellStyle name="Note 2 2 3 2 2 2" xfId="7463" xr:uid="{00000000-0005-0000-0000-0000C6200000}"/>
    <cellStyle name="Note 2 2 3 2 2 2 2" xfId="24354" xr:uid="{9E71A5A3-B795-4758-B06B-6E0310FA2DA9}"/>
    <cellStyle name="Note 2 2 3 2 2 2 3" xfId="15913" xr:uid="{350DCB15-A897-41FC-A3B4-CF126A68E4FD}"/>
    <cellStyle name="Note 2 2 3 2 2 3" xfId="20136" xr:uid="{4CA13377-5BA7-4160-994C-57B90986399A}"/>
    <cellStyle name="Note 2 2 3 2 2 4" xfId="11695" xr:uid="{E387596F-E07A-4A99-9AB9-3D04752F7E45}"/>
    <cellStyle name="Note 2 2 3 2 3" xfId="5318" xr:uid="{00000000-0005-0000-0000-0000C7200000}"/>
    <cellStyle name="Note 2 2 3 2 3 2" xfId="22209" xr:uid="{D4A85B7A-C9BA-4535-A275-09DD97444FA2}"/>
    <cellStyle name="Note 2 2 3 2 3 3" xfId="13768" xr:uid="{F3DD90D3-1D4F-4A42-817C-45414CE4140E}"/>
    <cellStyle name="Note 2 2 3 2 4" xfId="17991" xr:uid="{D00806AB-77BF-4460-86BE-7E81092BB756}"/>
    <cellStyle name="Note 2 2 3 2 5" xfId="9550" xr:uid="{1AD70B37-3D82-42A7-BFC4-884000C30C1B}"/>
    <cellStyle name="Note 2 2 3 3" xfId="1424" xr:uid="{00000000-0005-0000-0000-0000C8200000}"/>
    <cellStyle name="Note 2 2 3 3 2" xfId="3654" xr:uid="{00000000-0005-0000-0000-0000C9200000}"/>
    <cellStyle name="Note 2 2 3 3 2 2" xfId="7876" xr:uid="{00000000-0005-0000-0000-0000CA200000}"/>
    <cellStyle name="Note 2 2 3 3 2 2 2" xfId="24767" xr:uid="{757F5DDE-566D-49FB-8B6B-0DAAFC8D0B0F}"/>
    <cellStyle name="Note 2 2 3 3 2 2 3" xfId="16326" xr:uid="{5C48DD2A-3B28-4318-9A90-819516D002CB}"/>
    <cellStyle name="Note 2 2 3 3 2 3" xfId="20549" xr:uid="{E991D3C3-A246-44FA-B2CB-D1FCAC4127B8}"/>
    <cellStyle name="Note 2 2 3 3 2 4" xfId="12108" xr:uid="{97481D78-F64E-4C5C-B089-1D09C114FB06}"/>
    <cellStyle name="Note 2 2 3 3 3" xfId="5731" xr:uid="{00000000-0005-0000-0000-0000CB200000}"/>
    <cellStyle name="Note 2 2 3 3 3 2" xfId="22622" xr:uid="{41C4A98D-3A9C-4A67-95D4-7B0205C5564F}"/>
    <cellStyle name="Note 2 2 3 3 3 3" xfId="14181" xr:uid="{805CF5CB-E4A0-40F9-8DE9-6B21C8CE4F2B}"/>
    <cellStyle name="Note 2 2 3 3 4" xfId="18404" xr:uid="{CDD3BB98-7C15-4717-9C9A-D96279082C74}"/>
    <cellStyle name="Note 2 2 3 3 5" xfId="9963" xr:uid="{84850002-0EB0-49DC-9BEF-D51558A9A09A}"/>
    <cellStyle name="Note 2 2 3 4" xfId="1838" xr:uid="{00000000-0005-0000-0000-0000CC200000}"/>
    <cellStyle name="Note 2 2 3 4 2" xfId="4067" xr:uid="{00000000-0005-0000-0000-0000CD200000}"/>
    <cellStyle name="Note 2 2 3 4 2 2" xfId="8289" xr:uid="{00000000-0005-0000-0000-0000CE200000}"/>
    <cellStyle name="Note 2 2 3 4 2 2 2" xfId="25180" xr:uid="{D5220E86-FE89-4783-9A99-E9AAEB6BC55B}"/>
    <cellStyle name="Note 2 2 3 4 2 2 3" xfId="16739" xr:uid="{4B763D61-9CF0-42A4-987E-D05308B08EB4}"/>
    <cellStyle name="Note 2 2 3 4 2 3" xfId="20962" xr:uid="{AA65AC85-020B-4F1C-B017-ABCFA7D2D38A}"/>
    <cellStyle name="Note 2 2 3 4 2 4" xfId="12521" xr:uid="{3684C07D-1546-4BBB-9841-E5FD9559D891}"/>
    <cellStyle name="Note 2 2 3 4 3" xfId="6144" xr:uid="{00000000-0005-0000-0000-0000CF200000}"/>
    <cellStyle name="Note 2 2 3 4 3 2" xfId="23035" xr:uid="{30286319-67FA-4AF3-84B6-E48E0DA199C0}"/>
    <cellStyle name="Note 2 2 3 4 3 3" xfId="14594" xr:uid="{1CDECAF4-8160-451F-A07D-F82ACDE4034A}"/>
    <cellStyle name="Note 2 2 3 4 4" xfId="18817" xr:uid="{C62C53F9-13AB-4413-ACF7-09A14BF1F7A9}"/>
    <cellStyle name="Note 2 2 3 4 5" xfId="10376" xr:uid="{DE905DC2-0F5C-4F54-8788-1DB37F8D8E3B}"/>
    <cellStyle name="Note 2 2 3 5" xfId="2251" xr:uid="{00000000-0005-0000-0000-0000D0200000}"/>
    <cellStyle name="Note 2 2 3 5 2" xfId="4480" xr:uid="{00000000-0005-0000-0000-0000D1200000}"/>
    <cellStyle name="Note 2 2 3 5 2 2" xfId="8702" xr:uid="{00000000-0005-0000-0000-0000D2200000}"/>
    <cellStyle name="Note 2 2 3 5 2 2 2" xfId="25593" xr:uid="{BF76E4D7-F616-4EFE-BA86-F9B213C0DBC4}"/>
    <cellStyle name="Note 2 2 3 5 2 2 3" xfId="17152" xr:uid="{1D11D10D-BD3F-474C-B1A3-B8C2A41E18CF}"/>
    <cellStyle name="Note 2 2 3 5 2 3" xfId="21375" xr:uid="{68D43D17-4CB9-49C5-8246-CD8FB80F8A46}"/>
    <cellStyle name="Note 2 2 3 5 2 4" xfId="12934" xr:uid="{C8256C5B-E929-41D9-8262-EF3B610BD8D7}"/>
    <cellStyle name="Note 2 2 3 5 3" xfId="6557" xr:uid="{00000000-0005-0000-0000-0000D3200000}"/>
    <cellStyle name="Note 2 2 3 5 3 2" xfId="23448" xr:uid="{788DDA49-EF37-4BED-8F2A-7FFCEF4944FF}"/>
    <cellStyle name="Note 2 2 3 5 3 3" xfId="15007" xr:uid="{D948D9D6-3500-4BCE-9CFD-A453B243B281}"/>
    <cellStyle name="Note 2 2 3 5 4" xfId="19230" xr:uid="{65FBE39B-7D52-47FE-A222-BD567EAA8BD5}"/>
    <cellStyle name="Note 2 2 3 5 5" xfId="10789" xr:uid="{71B68711-D49A-449F-9265-726933AACBE9}"/>
    <cellStyle name="Note 2 2 3 6" xfId="2687" xr:uid="{00000000-0005-0000-0000-0000D4200000}"/>
    <cellStyle name="Note 2 2 3 6 2" xfId="6970" xr:uid="{00000000-0005-0000-0000-0000D5200000}"/>
    <cellStyle name="Note 2 2 3 6 2 2" xfId="23861" xr:uid="{86862DDD-D69E-48ED-AAD0-5C7A830709E1}"/>
    <cellStyle name="Note 2 2 3 6 2 3" xfId="15420" xr:uid="{40A65056-CF97-47E5-8721-3951EDE58E85}"/>
    <cellStyle name="Note 2 2 3 6 3" xfId="19643" xr:uid="{C9C8EB9F-525E-4313-8DA1-79E4EF7120AA}"/>
    <cellStyle name="Note 2 2 3 6 4" xfId="11202" xr:uid="{A08C38B5-9846-462A-9C9A-1DCFB3D53DBE}"/>
    <cellStyle name="Note 2 2 3 7" xfId="2746" xr:uid="{00000000-0005-0000-0000-0000D6200000}"/>
    <cellStyle name="Note 2 2 3 8" xfId="2827" xr:uid="{00000000-0005-0000-0000-0000D7200000}"/>
    <cellStyle name="Note 2 2 3 8 2" xfId="7050" xr:uid="{00000000-0005-0000-0000-0000D8200000}"/>
    <cellStyle name="Note 2 2 3 8 2 2" xfId="23941" xr:uid="{EDCE6933-0FB9-45D3-B629-453EB263E5E5}"/>
    <cellStyle name="Note 2 2 3 8 2 3" xfId="15500" xr:uid="{DE4BBA27-CD25-4278-BFB3-B2127B1FD80B}"/>
    <cellStyle name="Note 2 2 3 8 3" xfId="19723" xr:uid="{F2480F43-6F11-46C5-BFA8-E972270FF93C}"/>
    <cellStyle name="Note 2 2 3 8 4" xfId="11282" xr:uid="{362BEF79-5D97-4C41-A742-248CD918A68E}"/>
    <cellStyle name="Note 2 2 3 9" xfId="4905" xr:uid="{00000000-0005-0000-0000-0000D9200000}"/>
    <cellStyle name="Note 2 2 3 9 2" xfId="21796" xr:uid="{964E1C1B-7388-434E-B02B-C89FA13D6BCA}"/>
    <cellStyle name="Note 2 2 3 9 3" xfId="13355" xr:uid="{775CFA65-4F7D-44AF-BC8B-276D4F8583C6}"/>
    <cellStyle name="Note 2 2 4" xfId="1006" xr:uid="{00000000-0005-0000-0000-0000DA200000}"/>
    <cellStyle name="Note 2 2 4 2" xfId="3238" xr:uid="{00000000-0005-0000-0000-0000DB200000}"/>
    <cellStyle name="Note 2 2 4 2 2" xfId="7460" xr:uid="{00000000-0005-0000-0000-0000DC200000}"/>
    <cellStyle name="Note 2 2 4 2 2 2" xfId="24351" xr:uid="{09F2A72A-E7E6-48B5-A170-8BAF90D8A880}"/>
    <cellStyle name="Note 2 2 4 2 2 3" xfId="15910" xr:uid="{94FD360F-DE4B-4CEC-8CE4-03062D40C967}"/>
    <cellStyle name="Note 2 2 4 2 3" xfId="20133" xr:uid="{AC47AA7F-F928-4737-AB95-0E5E72A88C57}"/>
    <cellStyle name="Note 2 2 4 2 4" xfId="11692" xr:uid="{4BF4EBE1-DF3C-415D-BFBC-87A119C9F856}"/>
    <cellStyle name="Note 2 2 4 3" xfId="5315" xr:uid="{00000000-0005-0000-0000-0000DD200000}"/>
    <cellStyle name="Note 2 2 4 3 2" xfId="22206" xr:uid="{69FE7549-BC97-4301-A6F8-633353E830DE}"/>
    <cellStyle name="Note 2 2 4 3 3" xfId="13765" xr:uid="{46397C23-4DD7-4718-97AE-529FFF014F68}"/>
    <cellStyle name="Note 2 2 4 4" xfId="17988" xr:uid="{B4C07DF0-E3A5-4376-A650-20EA4B1CA6C5}"/>
    <cellStyle name="Note 2 2 4 5" xfId="9547" xr:uid="{12CF8DBF-CE9A-4036-A91F-C8509200B8D9}"/>
    <cellStyle name="Note 2 2 5" xfId="1421" xr:uid="{00000000-0005-0000-0000-0000DE200000}"/>
    <cellStyle name="Note 2 2 5 2" xfId="3651" xr:uid="{00000000-0005-0000-0000-0000DF200000}"/>
    <cellStyle name="Note 2 2 5 2 2" xfId="7873" xr:uid="{00000000-0005-0000-0000-0000E0200000}"/>
    <cellStyle name="Note 2 2 5 2 2 2" xfId="24764" xr:uid="{EE4C4D9E-9C5E-4A25-A060-59367AE1B106}"/>
    <cellStyle name="Note 2 2 5 2 2 3" xfId="16323" xr:uid="{D96FE204-A636-451B-821A-22171DA46CC1}"/>
    <cellStyle name="Note 2 2 5 2 3" xfId="20546" xr:uid="{5103A2C6-C9D1-4781-ADB7-20855893441C}"/>
    <cellStyle name="Note 2 2 5 2 4" xfId="12105" xr:uid="{E3B14D77-78A6-41DC-8219-29B8F279538C}"/>
    <cellStyle name="Note 2 2 5 3" xfId="5728" xr:uid="{00000000-0005-0000-0000-0000E1200000}"/>
    <cellStyle name="Note 2 2 5 3 2" xfId="22619" xr:uid="{A21FA13F-BE7E-45EE-936F-237B2D40FFC3}"/>
    <cellStyle name="Note 2 2 5 3 3" xfId="14178" xr:uid="{BD8E1A33-F46A-42AC-998D-5289A22C17AD}"/>
    <cellStyle name="Note 2 2 5 4" xfId="18401" xr:uid="{3F204EF4-9076-472E-8385-DA9B7D671B11}"/>
    <cellStyle name="Note 2 2 5 5" xfId="9960" xr:uid="{F7B395D8-7755-4FCE-8901-383A74526A16}"/>
    <cellStyle name="Note 2 2 6" xfId="1835" xr:uid="{00000000-0005-0000-0000-0000E2200000}"/>
    <cellStyle name="Note 2 2 6 2" xfId="4064" xr:uid="{00000000-0005-0000-0000-0000E3200000}"/>
    <cellStyle name="Note 2 2 6 2 2" xfId="8286" xr:uid="{00000000-0005-0000-0000-0000E4200000}"/>
    <cellStyle name="Note 2 2 6 2 2 2" xfId="25177" xr:uid="{0A873D51-CB78-4AE9-B025-B39FE58A0045}"/>
    <cellStyle name="Note 2 2 6 2 2 3" xfId="16736" xr:uid="{39D7CA0D-EC1D-49C7-92BB-D1C76BF37AAF}"/>
    <cellStyle name="Note 2 2 6 2 3" xfId="20959" xr:uid="{0E8869C8-792B-4584-8295-54C886AC7185}"/>
    <cellStyle name="Note 2 2 6 2 4" xfId="12518" xr:uid="{EA7AE4D7-917F-4A52-BBEB-1C97BB353D8E}"/>
    <cellStyle name="Note 2 2 6 3" xfId="6141" xr:uid="{00000000-0005-0000-0000-0000E5200000}"/>
    <cellStyle name="Note 2 2 6 3 2" xfId="23032" xr:uid="{E5F88033-C836-4067-ACD6-9BDF9D6836E1}"/>
    <cellStyle name="Note 2 2 6 3 3" xfId="14591" xr:uid="{3DC096B8-BF8E-4C06-89EC-80CBA2252C86}"/>
    <cellStyle name="Note 2 2 6 4" xfId="18814" xr:uid="{9987E135-E88F-4548-A398-078256FE7DAE}"/>
    <cellStyle name="Note 2 2 6 5" xfId="10373" xr:uid="{E0013395-969B-479C-B8E8-79126E5703A8}"/>
    <cellStyle name="Note 2 2 7" xfId="2248" xr:uid="{00000000-0005-0000-0000-0000E6200000}"/>
    <cellStyle name="Note 2 2 7 2" xfId="4477" xr:uid="{00000000-0005-0000-0000-0000E7200000}"/>
    <cellStyle name="Note 2 2 7 2 2" xfId="8699" xr:uid="{00000000-0005-0000-0000-0000E8200000}"/>
    <cellStyle name="Note 2 2 7 2 2 2" xfId="25590" xr:uid="{9235293E-4760-462E-B912-B51361B508A2}"/>
    <cellStyle name="Note 2 2 7 2 2 3" xfId="17149" xr:uid="{1B637E45-377C-42B2-B4C8-904AEB6C3198}"/>
    <cellStyle name="Note 2 2 7 2 3" xfId="21372" xr:uid="{28E1E0BC-3E66-4BDA-A44A-0BBC028DBE76}"/>
    <cellStyle name="Note 2 2 7 2 4" xfId="12931" xr:uid="{6E0CCF6E-549C-4559-BFB3-69313AE766FB}"/>
    <cellStyle name="Note 2 2 7 3" xfId="6554" xr:uid="{00000000-0005-0000-0000-0000E9200000}"/>
    <cellStyle name="Note 2 2 7 3 2" xfId="23445" xr:uid="{56775696-019C-42DA-B9FF-04F6F497A18A}"/>
    <cellStyle name="Note 2 2 7 3 3" xfId="15004" xr:uid="{47F68AC0-19CC-4220-BA8C-346A91EF8E07}"/>
    <cellStyle name="Note 2 2 7 4" xfId="19227" xr:uid="{BD61099D-C3F8-46F9-93BA-F98272062EA2}"/>
    <cellStyle name="Note 2 2 7 5" xfId="10786" xr:uid="{A03E5F30-3B78-48DD-8735-55385A5FE052}"/>
    <cellStyle name="Note 2 2 8" xfId="2684" xr:uid="{00000000-0005-0000-0000-0000EA200000}"/>
    <cellStyle name="Note 2 2 8 2" xfId="6967" xr:uid="{00000000-0005-0000-0000-0000EB200000}"/>
    <cellStyle name="Note 2 2 8 2 2" xfId="23858" xr:uid="{7BEC640D-BAA0-4BBA-8075-013B6FE8656E}"/>
    <cellStyle name="Note 2 2 8 2 3" xfId="15417" xr:uid="{9C43E9F5-E31E-4225-A368-160F211CA930}"/>
    <cellStyle name="Note 2 2 8 3" xfId="19640" xr:uid="{3A710B8D-3FCB-4E63-9D0F-840FD8253396}"/>
    <cellStyle name="Note 2 2 8 4" xfId="11199" xr:uid="{E452A4C2-3EC9-485A-86A5-782E68C13D98}"/>
    <cellStyle name="Note 2 2 9" xfId="2743" xr:uid="{00000000-0005-0000-0000-0000EC200000}"/>
    <cellStyle name="Note 2 3" xfId="549" xr:uid="{00000000-0005-0000-0000-0000ED200000}"/>
    <cellStyle name="Note 2 3 10" xfId="4906" xr:uid="{00000000-0005-0000-0000-0000EE200000}"/>
    <cellStyle name="Note 2 3 10 2" xfId="21797" xr:uid="{78EAFDBA-A3B6-43B4-B4F7-DF9FEFDC925B}"/>
    <cellStyle name="Note 2 3 10 3" xfId="13356" xr:uid="{28C57E1D-00B8-4423-907F-9E1B8325E14A}"/>
    <cellStyle name="Note 2 3 11" xfId="17579" xr:uid="{F8CDEE84-93FC-494B-A9DC-F271057A0624}"/>
    <cellStyle name="Note 2 3 12" xfId="9138" xr:uid="{34C9B520-A217-4AB5-A3DE-38DEF71B6609}"/>
    <cellStyle name="Note 2 3 2" xfId="550" xr:uid="{00000000-0005-0000-0000-0000EF200000}"/>
    <cellStyle name="Note 2 3 2 10" xfId="17580" xr:uid="{37856552-4263-4410-9206-2AF42396708F}"/>
    <cellStyle name="Note 2 3 2 11" xfId="9139" xr:uid="{43788A9D-8CE9-46F1-8049-63CEDE5D098C}"/>
    <cellStyle name="Note 2 3 2 2" xfId="1011" xr:uid="{00000000-0005-0000-0000-0000F0200000}"/>
    <cellStyle name="Note 2 3 2 2 2" xfId="3243" xr:uid="{00000000-0005-0000-0000-0000F1200000}"/>
    <cellStyle name="Note 2 3 2 2 2 2" xfId="7465" xr:uid="{00000000-0005-0000-0000-0000F2200000}"/>
    <cellStyle name="Note 2 3 2 2 2 2 2" xfId="24356" xr:uid="{37A2B40B-2A4F-4120-ADA3-F2A84D1C9259}"/>
    <cellStyle name="Note 2 3 2 2 2 2 3" xfId="15915" xr:uid="{274F112A-323D-426F-85AF-4BFF1DEDBC96}"/>
    <cellStyle name="Note 2 3 2 2 2 3" xfId="20138" xr:uid="{1F790E6A-E974-42C4-851C-70388AE14C61}"/>
    <cellStyle name="Note 2 3 2 2 2 4" xfId="11697" xr:uid="{19DF8352-F2CB-43CF-93B7-F2B6994C90E0}"/>
    <cellStyle name="Note 2 3 2 2 3" xfId="5320" xr:uid="{00000000-0005-0000-0000-0000F3200000}"/>
    <cellStyle name="Note 2 3 2 2 3 2" xfId="22211" xr:uid="{C43A3991-E0CF-4A24-9A53-D2F4EA59B801}"/>
    <cellStyle name="Note 2 3 2 2 3 3" xfId="13770" xr:uid="{6DDED14B-6D50-4CD0-8F09-53E430EA91F9}"/>
    <cellStyle name="Note 2 3 2 2 4" xfId="17993" xr:uid="{E49D10B5-5BE2-4D59-9CE4-CFA4F1BCE040}"/>
    <cellStyle name="Note 2 3 2 2 5" xfId="9552" xr:uid="{9D9E0CA2-7675-44FE-9925-F965E8AE16A8}"/>
    <cellStyle name="Note 2 3 2 3" xfId="1426" xr:uid="{00000000-0005-0000-0000-0000F4200000}"/>
    <cellStyle name="Note 2 3 2 3 2" xfId="3656" xr:uid="{00000000-0005-0000-0000-0000F5200000}"/>
    <cellStyle name="Note 2 3 2 3 2 2" xfId="7878" xr:uid="{00000000-0005-0000-0000-0000F6200000}"/>
    <cellStyle name="Note 2 3 2 3 2 2 2" xfId="24769" xr:uid="{1EC4D634-E7E1-409C-BC3F-4971C18655BF}"/>
    <cellStyle name="Note 2 3 2 3 2 2 3" xfId="16328" xr:uid="{336E74C0-EC81-4509-A9ED-4DF674FF2D87}"/>
    <cellStyle name="Note 2 3 2 3 2 3" xfId="20551" xr:uid="{9DB88D7F-6071-499D-BAF4-B80474EC8DAF}"/>
    <cellStyle name="Note 2 3 2 3 2 4" xfId="12110" xr:uid="{45615219-54E4-4D3E-A29A-0171A93279E4}"/>
    <cellStyle name="Note 2 3 2 3 3" xfId="5733" xr:uid="{00000000-0005-0000-0000-0000F7200000}"/>
    <cellStyle name="Note 2 3 2 3 3 2" xfId="22624" xr:uid="{CE1B546E-E22F-4CA7-9CA5-3B560CAD1F65}"/>
    <cellStyle name="Note 2 3 2 3 3 3" xfId="14183" xr:uid="{27D08F9D-B22C-4B0E-AA45-41768CD3120A}"/>
    <cellStyle name="Note 2 3 2 3 4" xfId="18406" xr:uid="{4B77938F-6B18-4081-8A34-B4581E0D17F0}"/>
    <cellStyle name="Note 2 3 2 3 5" xfId="9965" xr:uid="{F29C5278-2BC9-403A-A3EE-1CFDF60E3756}"/>
    <cellStyle name="Note 2 3 2 4" xfId="1840" xr:uid="{00000000-0005-0000-0000-0000F8200000}"/>
    <cellStyle name="Note 2 3 2 4 2" xfId="4069" xr:uid="{00000000-0005-0000-0000-0000F9200000}"/>
    <cellStyle name="Note 2 3 2 4 2 2" xfId="8291" xr:uid="{00000000-0005-0000-0000-0000FA200000}"/>
    <cellStyle name="Note 2 3 2 4 2 2 2" xfId="25182" xr:uid="{1C64A201-0FE9-4B3C-9F80-FAD2849B4D32}"/>
    <cellStyle name="Note 2 3 2 4 2 2 3" xfId="16741" xr:uid="{89CA3E2E-070C-4A37-A1F7-6485DCA99CCA}"/>
    <cellStyle name="Note 2 3 2 4 2 3" xfId="20964" xr:uid="{64AF1F15-EB0E-4DB4-8B80-BD11CD0C1C00}"/>
    <cellStyle name="Note 2 3 2 4 2 4" xfId="12523" xr:uid="{9101B1F4-D263-468A-9FCB-D593AA1E2EA6}"/>
    <cellStyle name="Note 2 3 2 4 3" xfId="6146" xr:uid="{00000000-0005-0000-0000-0000FB200000}"/>
    <cellStyle name="Note 2 3 2 4 3 2" xfId="23037" xr:uid="{19671530-57F1-4AA9-9EED-8D324A280390}"/>
    <cellStyle name="Note 2 3 2 4 3 3" xfId="14596" xr:uid="{F6FB69D3-C80C-473F-885B-34A68722DD3D}"/>
    <cellStyle name="Note 2 3 2 4 4" xfId="18819" xr:uid="{385FDD56-3E28-4DFC-A758-BC8C2FF71EDC}"/>
    <cellStyle name="Note 2 3 2 4 5" xfId="10378" xr:uid="{ADC067EC-0BF7-4274-BBE6-5D1889F02738}"/>
    <cellStyle name="Note 2 3 2 5" xfId="2253" xr:uid="{00000000-0005-0000-0000-0000FC200000}"/>
    <cellStyle name="Note 2 3 2 5 2" xfId="4482" xr:uid="{00000000-0005-0000-0000-0000FD200000}"/>
    <cellStyle name="Note 2 3 2 5 2 2" xfId="8704" xr:uid="{00000000-0005-0000-0000-0000FE200000}"/>
    <cellStyle name="Note 2 3 2 5 2 2 2" xfId="25595" xr:uid="{4A4C1AFB-CFFC-44FF-ABA2-5C97AF9081C0}"/>
    <cellStyle name="Note 2 3 2 5 2 2 3" xfId="17154" xr:uid="{80F15DCE-23FD-418C-8569-6673BA212FFB}"/>
    <cellStyle name="Note 2 3 2 5 2 3" xfId="21377" xr:uid="{3ADC8B99-7A87-4754-A90E-6DC9EBADDFA7}"/>
    <cellStyle name="Note 2 3 2 5 2 4" xfId="12936" xr:uid="{4B7926B9-4200-4003-94A1-79915832BC50}"/>
    <cellStyle name="Note 2 3 2 5 3" xfId="6559" xr:uid="{00000000-0005-0000-0000-0000FF200000}"/>
    <cellStyle name="Note 2 3 2 5 3 2" xfId="23450" xr:uid="{B7BF33F9-F002-4AAA-A4E5-8CC218C09BFF}"/>
    <cellStyle name="Note 2 3 2 5 3 3" xfId="15009" xr:uid="{329A90A0-641A-4E60-A2FF-A923EC84BF83}"/>
    <cellStyle name="Note 2 3 2 5 4" xfId="19232" xr:uid="{D238EC6D-8747-4DC7-9D7D-8DB5B8B48D4D}"/>
    <cellStyle name="Note 2 3 2 5 5" xfId="10791" xr:uid="{8A40F0A6-81E9-43A7-8FB2-C65C245DFA7D}"/>
    <cellStyle name="Note 2 3 2 6" xfId="2689" xr:uid="{00000000-0005-0000-0000-000000210000}"/>
    <cellStyle name="Note 2 3 2 6 2" xfId="6972" xr:uid="{00000000-0005-0000-0000-000001210000}"/>
    <cellStyle name="Note 2 3 2 6 2 2" xfId="23863" xr:uid="{52E6282F-D9D3-499B-A834-E9F2E68FDE65}"/>
    <cellStyle name="Note 2 3 2 6 2 3" xfId="15422" xr:uid="{2B244482-A70A-4117-8C61-084F779BE952}"/>
    <cellStyle name="Note 2 3 2 6 3" xfId="19645" xr:uid="{A2EE3B4C-1D00-4C79-8FE0-162CA7044184}"/>
    <cellStyle name="Note 2 3 2 6 4" xfId="11204" xr:uid="{C7257DEC-D671-432D-8122-B0A3B1875DB1}"/>
    <cellStyle name="Note 2 3 2 7" xfId="2748" xr:uid="{00000000-0005-0000-0000-000002210000}"/>
    <cellStyle name="Note 2 3 2 8" xfId="2829" xr:uid="{00000000-0005-0000-0000-000003210000}"/>
    <cellStyle name="Note 2 3 2 8 2" xfId="7052" xr:uid="{00000000-0005-0000-0000-000004210000}"/>
    <cellStyle name="Note 2 3 2 8 2 2" xfId="23943" xr:uid="{86527BD5-0320-425E-9704-A9A0EE65FD1A}"/>
    <cellStyle name="Note 2 3 2 8 2 3" xfId="15502" xr:uid="{E2C52C53-FD31-4AB3-9CB5-EF98986A4B47}"/>
    <cellStyle name="Note 2 3 2 8 3" xfId="19725" xr:uid="{43B65890-072B-4DC7-A130-06EDD2E6ED44}"/>
    <cellStyle name="Note 2 3 2 8 4" xfId="11284" xr:uid="{0BC1654D-748D-4ACE-BC61-C1F09A8293C8}"/>
    <cellStyle name="Note 2 3 2 9" xfId="4907" xr:uid="{00000000-0005-0000-0000-000005210000}"/>
    <cellStyle name="Note 2 3 2 9 2" xfId="21798" xr:uid="{38CA1A8D-70AE-4DA6-ADC6-E64013DDD933}"/>
    <cellStyle name="Note 2 3 2 9 3" xfId="13357" xr:uid="{6643C37D-B468-404E-AB41-C55B44B56E2D}"/>
    <cellStyle name="Note 2 3 3" xfId="1010" xr:uid="{00000000-0005-0000-0000-000006210000}"/>
    <cellStyle name="Note 2 3 3 2" xfId="3242" xr:uid="{00000000-0005-0000-0000-000007210000}"/>
    <cellStyle name="Note 2 3 3 2 2" xfId="7464" xr:uid="{00000000-0005-0000-0000-000008210000}"/>
    <cellStyle name="Note 2 3 3 2 2 2" xfId="24355" xr:uid="{3780EE3B-A019-4150-8D9C-4658A7D0E170}"/>
    <cellStyle name="Note 2 3 3 2 2 3" xfId="15914" xr:uid="{88DC1593-9D00-497E-8BAB-CD37BAA665CE}"/>
    <cellStyle name="Note 2 3 3 2 3" xfId="20137" xr:uid="{2E49C897-E051-426F-B8EE-A2952085B074}"/>
    <cellStyle name="Note 2 3 3 2 4" xfId="11696" xr:uid="{1FAB110F-C843-421D-AC20-7B7201030009}"/>
    <cellStyle name="Note 2 3 3 3" xfId="5319" xr:uid="{00000000-0005-0000-0000-000009210000}"/>
    <cellStyle name="Note 2 3 3 3 2" xfId="22210" xr:uid="{EA968A4E-7139-4349-B8EC-892C6F3D3F35}"/>
    <cellStyle name="Note 2 3 3 3 3" xfId="13769" xr:uid="{FFA87C68-C66A-4632-8776-28F381A25178}"/>
    <cellStyle name="Note 2 3 3 4" xfId="17992" xr:uid="{0C31CFA6-1F28-43C2-8F2B-19E9A1243B8F}"/>
    <cellStyle name="Note 2 3 3 5" xfId="9551" xr:uid="{60DE6E72-D070-46C0-BC56-23098A58487F}"/>
    <cellStyle name="Note 2 3 4" xfId="1425" xr:uid="{00000000-0005-0000-0000-00000A210000}"/>
    <cellStyle name="Note 2 3 4 2" xfId="3655" xr:uid="{00000000-0005-0000-0000-00000B210000}"/>
    <cellStyle name="Note 2 3 4 2 2" xfId="7877" xr:uid="{00000000-0005-0000-0000-00000C210000}"/>
    <cellStyle name="Note 2 3 4 2 2 2" xfId="24768" xr:uid="{3C95961A-771C-4E53-8593-3DD6ACD6E557}"/>
    <cellStyle name="Note 2 3 4 2 2 3" xfId="16327" xr:uid="{259474F3-9288-4DA4-9316-924BE33CD52D}"/>
    <cellStyle name="Note 2 3 4 2 3" xfId="20550" xr:uid="{F5E161BD-9B07-4B10-81A2-29ED0408B500}"/>
    <cellStyle name="Note 2 3 4 2 4" xfId="12109" xr:uid="{D95ED4E8-26C7-4B1E-B6C9-7145009DEE97}"/>
    <cellStyle name="Note 2 3 4 3" xfId="5732" xr:uid="{00000000-0005-0000-0000-00000D210000}"/>
    <cellStyle name="Note 2 3 4 3 2" xfId="22623" xr:uid="{0371FACB-9965-489D-878B-954D4C705CF6}"/>
    <cellStyle name="Note 2 3 4 3 3" xfId="14182" xr:uid="{A95D82DF-098F-4578-8719-5B0A5EE55CF1}"/>
    <cellStyle name="Note 2 3 4 4" xfId="18405" xr:uid="{BB47D779-BCEF-43E7-A422-1561614EBC26}"/>
    <cellStyle name="Note 2 3 4 5" xfId="9964" xr:uid="{3DC9ECE5-0627-4E5B-B81F-612914C0104E}"/>
    <cellStyle name="Note 2 3 5" xfId="1839" xr:uid="{00000000-0005-0000-0000-00000E210000}"/>
    <cellStyle name="Note 2 3 5 2" xfId="4068" xr:uid="{00000000-0005-0000-0000-00000F210000}"/>
    <cellStyle name="Note 2 3 5 2 2" xfId="8290" xr:uid="{00000000-0005-0000-0000-000010210000}"/>
    <cellStyle name="Note 2 3 5 2 2 2" xfId="25181" xr:uid="{E7B4219B-D8C6-4142-87EC-A381FE58E4FC}"/>
    <cellStyle name="Note 2 3 5 2 2 3" xfId="16740" xr:uid="{B277941B-2C5E-4BF7-8C86-2725CDED870A}"/>
    <cellStyle name="Note 2 3 5 2 3" xfId="20963" xr:uid="{F77EA962-CD58-4259-BFD5-C52B798EC563}"/>
    <cellStyle name="Note 2 3 5 2 4" xfId="12522" xr:uid="{00377D73-E038-4285-908F-D815D4126DED}"/>
    <cellStyle name="Note 2 3 5 3" xfId="6145" xr:uid="{00000000-0005-0000-0000-000011210000}"/>
    <cellStyle name="Note 2 3 5 3 2" xfId="23036" xr:uid="{07B6101F-6AAF-436A-84E1-8FD175AA5CEA}"/>
    <cellStyle name="Note 2 3 5 3 3" xfId="14595" xr:uid="{8334E131-CFE1-40B7-BF56-6F85E8A81C19}"/>
    <cellStyle name="Note 2 3 5 4" xfId="18818" xr:uid="{490990A2-2705-45B2-AF92-C63261FA0992}"/>
    <cellStyle name="Note 2 3 5 5" xfId="10377" xr:uid="{42C9BEEE-E4E1-4D22-A99A-97ACF07B4F42}"/>
    <cellStyle name="Note 2 3 6" xfId="2252" xr:uid="{00000000-0005-0000-0000-000012210000}"/>
    <cellStyle name="Note 2 3 6 2" xfId="4481" xr:uid="{00000000-0005-0000-0000-000013210000}"/>
    <cellStyle name="Note 2 3 6 2 2" xfId="8703" xr:uid="{00000000-0005-0000-0000-000014210000}"/>
    <cellStyle name="Note 2 3 6 2 2 2" xfId="25594" xr:uid="{A18144EE-4655-4C67-928C-DDD4E7C5F5CF}"/>
    <cellStyle name="Note 2 3 6 2 2 3" xfId="17153" xr:uid="{A4231397-FDFA-4F69-8DAF-4FAA631C0778}"/>
    <cellStyle name="Note 2 3 6 2 3" xfId="21376" xr:uid="{DA38416C-8A61-4246-B64F-3E21E4B05812}"/>
    <cellStyle name="Note 2 3 6 2 4" xfId="12935" xr:uid="{9E4D4B16-0DCA-47C4-86E7-B47893D25FF7}"/>
    <cellStyle name="Note 2 3 6 3" xfId="6558" xr:uid="{00000000-0005-0000-0000-000015210000}"/>
    <cellStyle name="Note 2 3 6 3 2" xfId="23449" xr:uid="{B37E6CF3-B3E1-4419-A10B-CAE496F5D718}"/>
    <cellStyle name="Note 2 3 6 3 3" xfId="15008" xr:uid="{8EE468A5-3608-4E38-803B-0922B6123136}"/>
    <cellStyle name="Note 2 3 6 4" xfId="19231" xr:uid="{882134B9-F586-478B-BD29-29E4F11D7FA7}"/>
    <cellStyle name="Note 2 3 6 5" xfId="10790" xr:uid="{DE75DEE6-1ED1-4485-B8B4-0C6BA50BF1EF}"/>
    <cellStyle name="Note 2 3 7" xfId="2688" xr:uid="{00000000-0005-0000-0000-000016210000}"/>
    <cellStyle name="Note 2 3 7 2" xfId="6971" xr:uid="{00000000-0005-0000-0000-000017210000}"/>
    <cellStyle name="Note 2 3 7 2 2" xfId="23862" xr:uid="{623544E9-3681-42B9-9E3A-A2D4FCB2BE5E}"/>
    <cellStyle name="Note 2 3 7 2 3" xfId="15421" xr:uid="{68CECE54-F31D-4C6A-810B-F144032F10D5}"/>
    <cellStyle name="Note 2 3 7 3" xfId="19644" xr:uid="{FE05A073-6378-4ADA-848A-9C846A5B402F}"/>
    <cellStyle name="Note 2 3 7 4" xfId="11203" xr:uid="{980B8E75-357D-4B17-87D1-65F7889371B3}"/>
    <cellStyle name="Note 2 3 8" xfId="2747" xr:uid="{00000000-0005-0000-0000-000018210000}"/>
    <cellStyle name="Note 2 3 9" xfId="2828" xr:uid="{00000000-0005-0000-0000-000019210000}"/>
    <cellStyle name="Note 2 3 9 2" xfId="7051" xr:uid="{00000000-0005-0000-0000-00001A210000}"/>
    <cellStyle name="Note 2 3 9 2 2" xfId="23942" xr:uid="{4742FBE5-1811-49DC-BEE6-28613500B3B0}"/>
    <cellStyle name="Note 2 3 9 2 3" xfId="15501" xr:uid="{42B9A10F-5DE9-4AB5-9B45-D3DCA978D98A}"/>
    <cellStyle name="Note 2 3 9 3" xfId="19724" xr:uid="{6BE80116-7E17-4C2C-BEEF-83990DAB5273}"/>
    <cellStyle name="Note 2 3 9 4" xfId="11283" xr:uid="{D29BBD8B-B2A3-4ECB-B0CE-4538DD80D7CB}"/>
    <cellStyle name="Note 2 4" xfId="551" xr:uid="{00000000-0005-0000-0000-00001B210000}"/>
    <cellStyle name="Note 2 4 10" xfId="17581" xr:uid="{C30E8CBD-D7C6-4502-884D-A1D65E1FACD6}"/>
    <cellStyle name="Note 2 4 11" xfId="9140" xr:uid="{631B696D-F1E7-4B5D-8C9E-0F5D9011F794}"/>
    <cellStyle name="Note 2 4 2" xfId="1012" xr:uid="{00000000-0005-0000-0000-00001C210000}"/>
    <cellStyle name="Note 2 4 2 2" xfId="3244" xr:uid="{00000000-0005-0000-0000-00001D210000}"/>
    <cellStyle name="Note 2 4 2 2 2" xfId="7466" xr:uid="{00000000-0005-0000-0000-00001E210000}"/>
    <cellStyle name="Note 2 4 2 2 2 2" xfId="24357" xr:uid="{79262344-042F-41D8-97DF-DDD3AA043F30}"/>
    <cellStyle name="Note 2 4 2 2 2 3" xfId="15916" xr:uid="{54DEFCDF-BEE6-43F6-B760-727889905A59}"/>
    <cellStyle name="Note 2 4 2 2 3" xfId="20139" xr:uid="{5FDE9F88-C07D-4A69-81C7-50F799F3FBEA}"/>
    <cellStyle name="Note 2 4 2 2 4" xfId="11698" xr:uid="{3ECEAA7B-0DF5-45B4-B829-72BD14BD95C9}"/>
    <cellStyle name="Note 2 4 2 3" xfId="5321" xr:uid="{00000000-0005-0000-0000-00001F210000}"/>
    <cellStyle name="Note 2 4 2 3 2" xfId="22212" xr:uid="{DA4AE19C-8C42-4C86-9BF1-B8EE6537569C}"/>
    <cellStyle name="Note 2 4 2 3 3" xfId="13771" xr:uid="{E8717CBF-109D-49C8-A7D0-C94E756FE218}"/>
    <cellStyle name="Note 2 4 2 4" xfId="17994" xr:uid="{938FAB12-86E5-4D36-BA54-18481F9C88A5}"/>
    <cellStyle name="Note 2 4 2 5" xfId="9553" xr:uid="{02C34A7D-86DC-4BA1-965F-151AF5022139}"/>
    <cellStyle name="Note 2 4 3" xfId="1427" xr:uid="{00000000-0005-0000-0000-000020210000}"/>
    <cellStyle name="Note 2 4 3 2" xfId="3657" xr:uid="{00000000-0005-0000-0000-000021210000}"/>
    <cellStyle name="Note 2 4 3 2 2" xfId="7879" xr:uid="{00000000-0005-0000-0000-000022210000}"/>
    <cellStyle name="Note 2 4 3 2 2 2" xfId="24770" xr:uid="{6D21072A-3CB6-42B3-8E9E-988FA455F349}"/>
    <cellStyle name="Note 2 4 3 2 2 3" xfId="16329" xr:uid="{731019EF-9BD0-4312-8FC9-01E84B141210}"/>
    <cellStyle name="Note 2 4 3 2 3" xfId="20552" xr:uid="{7A1F1E92-B8EB-492D-9B1C-AA7BC6DCD5A1}"/>
    <cellStyle name="Note 2 4 3 2 4" xfId="12111" xr:uid="{DFDEBC0C-52D2-4BE3-B4A9-9A860CA0C06D}"/>
    <cellStyle name="Note 2 4 3 3" xfId="5734" xr:uid="{00000000-0005-0000-0000-000023210000}"/>
    <cellStyle name="Note 2 4 3 3 2" xfId="22625" xr:uid="{6AEC9B01-F61A-4DE9-A44F-7BDCC39E9316}"/>
    <cellStyle name="Note 2 4 3 3 3" xfId="14184" xr:uid="{12CB2099-9AAD-4287-837A-B5A048A3BCB7}"/>
    <cellStyle name="Note 2 4 3 4" xfId="18407" xr:uid="{D62632B1-C9BF-4ACE-ABD0-16477A1D43E0}"/>
    <cellStyle name="Note 2 4 3 5" xfId="9966" xr:uid="{9963B84F-CC01-4901-9FD8-FE583C6DFEB6}"/>
    <cellStyle name="Note 2 4 4" xfId="1841" xr:uid="{00000000-0005-0000-0000-000024210000}"/>
    <cellStyle name="Note 2 4 4 2" xfId="4070" xr:uid="{00000000-0005-0000-0000-000025210000}"/>
    <cellStyle name="Note 2 4 4 2 2" xfId="8292" xr:uid="{00000000-0005-0000-0000-000026210000}"/>
    <cellStyle name="Note 2 4 4 2 2 2" xfId="25183" xr:uid="{0AE6C67F-9A89-4C92-AB4A-7633182AB417}"/>
    <cellStyle name="Note 2 4 4 2 2 3" xfId="16742" xr:uid="{39F79F1F-CCDC-4827-8399-D03FA36516CF}"/>
    <cellStyle name="Note 2 4 4 2 3" xfId="20965" xr:uid="{AF108662-2875-4600-9543-51F85DBD7EBA}"/>
    <cellStyle name="Note 2 4 4 2 4" xfId="12524" xr:uid="{4A2A962C-7AE7-4616-924B-0B70B8086639}"/>
    <cellStyle name="Note 2 4 4 3" xfId="6147" xr:uid="{00000000-0005-0000-0000-000027210000}"/>
    <cellStyle name="Note 2 4 4 3 2" xfId="23038" xr:uid="{CB8E57B2-0F28-48A2-91A7-F8BD76681127}"/>
    <cellStyle name="Note 2 4 4 3 3" xfId="14597" xr:uid="{F1D17373-8161-49BD-82E7-3A4A63C8CF19}"/>
    <cellStyle name="Note 2 4 4 4" xfId="18820" xr:uid="{E7549B78-B365-468F-ABD7-313AC2DF247F}"/>
    <cellStyle name="Note 2 4 4 5" xfId="10379" xr:uid="{8734EBFC-E4CA-4343-9D88-F3257EE1C0B8}"/>
    <cellStyle name="Note 2 4 5" xfId="2254" xr:uid="{00000000-0005-0000-0000-000028210000}"/>
    <cellStyle name="Note 2 4 5 2" xfId="4483" xr:uid="{00000000-0005-0000-0000-000029210000}"/>
    <cellStyle name="Note 2 4 5 2 2" xfId="8705" xr:uid="{00000000-0005-0000-0000-00002A210000}"/>
    <cellStyle name="Note 2 4 5 2 2 2" xfId="25596" xr:uid="{A17FDB37-99C6-4010-BAC4-20D5210BDCA6}"/>
    <cellStyle name="Note 2 4 5 2 2 3" xfId="17155" xr:uid="{8FB0A87B-EBFE-4EF2-BCE8-D57FFDE964C6}"/>
    <cellStyle name="Note 2 4 5 2 3" xfId="21378" xr:uid="{63B4AFB1-F489-4C95-877C-F58A655E79EB}"/>
    <cellStyle name="Note 2 4 5 2 4" xfId="12937" xr:uid="{E3EA28ED-1CF2-45D5-A956-694BEFC2BEBE}"/>
    <cellStyle name="Note 2 4 5 3" xfId="6560" xr:uid="{00000000-0005-0000-0000-00002B210000}"/>
    <cellStyle name="Note 2 4 5 3 2" xfId="23451" xr:uid="{C186BB3A-A7C5-4262-9677-5ED180078104}"/>
    <cellStyle name="Note 2 4 5 3 3" xfId="15010" xr:uid="{E22A5742-F360-4A16-B411-53830FB56203}"/>
    <cellStyle name="Note 2 4 5 4" xfId="19233" xr:uid="{5A452D90-DEE3-4582-8DDF-E51C2476EACE}"/>
    <cellStyle name="Note 2 4 5 5" xfId="10792" xr:uid="{430ADA60-D3D3-4B7B-A3E9-A85CBDEC3CEE}"/>
    <cellStyle name="Note 2 4 6" xfId="2690" xr:uid="{00000000-0005-0000-0000-00002C210000}"/>
    <cellStyle name="Note 2 4 6 2" xfId="6973" xr:uid="{00000000-0005-0000-0000-00002D210000}"/>
    <cellStyle name="Note 2 4 6 2 2" xfId="23864" xr:uid="{45A42A02-A5F2-4B40-81DC-9524F5F95081}"/>
    <cellStyle name="Note 2 4 6 2 3" xfId="15423" xr:uid="{E673828B-8696-4ABF-8078-B94299701BCE}"/>
    <cellStyle name="Note 2 4 6 3" xfId="19646" xr:uid="{79AF4382-1938-4BD3-BA8A-B2272A8B9BE4}"/>
    <cellStyle name="Note 2 4 6 4" xfId="11205" xr:uid="{6374CBD8-31CD-4059-8142-E5F20C00CBC6}"/>
    <cellStyle name="Note 2 4 7" xfId="2749" xr:uid="{00000000-0005-0000-0000-00002E210000}"/>
    <cellStyle name="Note 2 4 8" xfId="2830" xr:uid="{00000000-0005-0000-0000-00002F210000}"/>
    <cellStyle name="Note 2 4 8 2" xfId="7053" xr:uid="{00000000-0005-0000-0000-000030210000}"/>
    <cellStyle name="Note 2 4 8 2 2" xfId="23944" xr:uid="{1A23599C-50B3-4590-B3E8-1C96F3B06143}"/>
    <cellStyle name="Note 2 4 8 2 3" xfId="15503" xr:uid="{E158DFE2-B246-4E2C-99FA-A7D724E092BC}"/>
    <cellStyle name="Note 2 4 8 3" xfId="19726" xr:uid="{614831D6-9075-4420-8596-0CE4CFC4A7A8}"/>
    <cellStyle name="Note 2 4 8 4" xfId="11285" xr:uid="{0B0DF0DE-D950-45B2-8077-9A84153EA6F7}"/>
    <cellStyle name="Note 2 4 9" xfId="4908" xr:uid="{00000000-0005-0000-0000-000031210000}"/>
    <cellStyle name="Note 2 4 9 2" xfId="21799" xr:uid="{F36CABDB-F5A0-4011-A203-D1F7444CDAAB}"/>
    <cellStyle name="Note 2 4 9 3" xfId="13358" xr:uid="{8FF77E9E-3887-4AC2-9FFC-CC3AE4C74587}"/>
    <cellStyle name="Note 2 5" xfId="552" xr:uid="{00000000-0005-0000-0000-000032210000}"/>
    <cellStyle name="Note 2 5 10" xfId="17582" xr:uid="{112B4A7B-F771-4483-A873-647385A5D4AD}"/>
    <cellStyle name="Note 2 5 11" xfId="9141" xr:uid="{C2B9585F-682A-45A6-8794-939E080BE676}"/>
    <cellStyle name="Note 2 5 2" xfId="1013" xr:uid="{00000000-0005-0000-0000-000033210000}"/>
    <cellStyle name="Note 2 5 2 2" xfId="3245" xr:uid="{00000000-0005-0000-0000-000034210000}"/>
    <cellStyle name="Note 2 5 2 2 2" xfId="7467" xr:uid="{00000000-0005-0000-0000-000035210000}"/>
    <cellStyle name="Note 2 5 2 2 2 2" xfId="24358" xr:uid="{9945C7F6-1799-4298-89CF-15225D339B43}"/>
    <cellStyle name="Note 2 5 2 2 2 3" xfId="15917" xr:uid="{8E939546-D73C-4456-AB1F-9A3C96C349CA}"/>
    <cellStyle name="Note 2 5 2 2 3" xfId="20140" xr:uid="{516FDFCD-0C57-45C9-B116-F2BA77CC747A}"/>
    <cellStyle name="Note 2 5 2 2 4" xfId="11699" xr:uid="{091E6FB8-F891-4D4E-A0C1-503A9E8D2618}"/>
    <cellStyle name="Note 2 5 2 3" xfId="5322" xr:uid="{00000000-0005-0000-0000-000036210000}"/>
    <cellStyle name="Note 2 5 2 3 2" xfId="22213" xr:uid="{67C4791A-E3A3-4437-A82B-9B8E88F4B13B}"/>
    <cellStyle name="Note 2 5 2 3 3" xfId="13772" xr:uid="{25499193-B21D-406E-9CD9-99E926F7855D}"/>
    <cellStyle name="Note 2 5 2 4" xfId="17995" xr:uid="{DC36FC38-6156-4D6F-B595-92E176FDAFAD}"/>
    <cellStyle name="Note 2 5 2 5" xfId="9554" xr:uid="{A4D0D8F5-6EF4-42D4-A00A-B4E3BB4DCEE0}"/>
    <cellStyle name="Note 2 5 3" xfId="1428" xr:uid="{00000000-0005-0000-0000-000037210000}"/>
    <cellStyle name="Note 2 5 3 2" xfId="3658" xr:uid="{00000000-0005-0000-0000-000038210000}"/>
    <cellStyle name="Note 2 5 3 2 2" xfId="7880" xr:uid="{00000000-0005-0000-0000-000039210000}"/>
    <cellStyle name="Note 2 5 3 2 2 2" xfId="24771" xr:uid="{0ECC2C42-C46A-4584-B7AB-85F942D08C90}"/>
    <cellStyle name="Note 2 5 3 2 2 3" xfId="16330" xr:uid="{D43EC5C0-93FF-4A2B-9FCD-6604898B02AF}"/>
    <cellStyle name="Note 2 5 3 2 3" xfId="20553" xr:uid="{02A4E215-6330-4F62-9B0C-BA94F4BDB0DD}"/>
    <cellStyle name="Note 2 5 3 2 4" xfId="12112" xr:uid="{EEDFAE80-27F8-4E2B-9D98-8CBB4D839FAD}"/>
    <cellStyle name="Note 2 5 3 3" xfId="5735" xr:uid="{00000000-0005-0000-0000-00003A210000}"/>
    <cellStyle name="Note 2 5 3 3 2" xfId="22626" xr:uid="{0540548D-89BA-43BF-A97E-CC54E15A5410}"/>
    <cellStyle name="Note 2 5 3 3 3" xfId="14185" xr:uid="{759991D9-F4E9-4C72-AD5B-AA052A462329}"/>
    <cellStyle name="Note 2 5 3 4" xfId="18408" xr:uid="{90626FFE-8909-4E5B-A7E3-11074CE926DD}"/>
    <cellStyle name="Note 2 5 3 5" xfId="9967" xr:uid="{F9B6289E-BB50-465D-A221-7BA4CECF70A6}"/>
    <cellStyle name="Note 2 5 4" xfId="1842" xr:uid="{00000000-0005-0000-0000-00003B210000}"/>
    <cellStyle name="Note 2 5 4 2" xfId="4071" xr:uid="{00000000-0005-0000-0000-00003C210000}"/>
    <cellStyle name="Note 2 5 4 2 2" xfId="8293" xr:uid="{00000000-0005-0000-0000-00003D210000}"/>
    <cellStyle name="Note 2 5 4 2 2 2" xfId="25184" xr:uid="{19D48FE7-3031-42D8-82B1-8C4027072F85}"/>
    <cellStyle name="Note 2 5 4 2 2 3" xfId="16743" xr:uid="{F5BACF6C-3614-4EE0-B971-124617AD574B}"/>
    <cellStyle name="Note 2 5 4 2 3" xfId="20966" xr:uid="{04455756-5F0F-4D9C-A5DE-44DCA53C1566}"/>
    <cellStyle name="Note 2 5 4 2 4" xfId="12525" xr:uid="{D1F49047-9037-4723-BE07-8FFAA9F9DBC0}"/>
    <cellStyle name="Note 2 5 4 3" xfId="6148" xr:uid="{00000000-0005-0000-0000-00003E210000}"/>
    <cellStyle name="Note 2 5 4 3 2" xfId="23039" xr:uid="{EE78F2A3-E185-4F8C-804E-EEBDEB02C7DD}"/>
    <cellStyle name="Note 2 5 4 3 3" xfId="14598" xr:uid="{ED42F779-E183-4471-A2BB-0728983CDE87}"/>
    <cellStyle name="Note 2 5 4 4" xfId="18821" xr:uid="{1ACDF4BE-C0DA-44BA-89CC-E242E84DF9F4}"/>
    <cellStyle name="Note 2 5 4 5" xfId="10380" xr:uid="{BDDDED14-338E-47E1-8062-773522B0A1D6}"/>
    <cellStyle name="Note 2 5 5" xfId="2255" xr:uid="{00000000-0005-0000-0000-00003F210000}"/>
    <cellStyle name="Note 2 5 5 2" xfId="4484" xr:uid="{00000000-0005-0000-0000-000040210000}"/>
    <cellStyle name="Note 2 5 5 2 2" xfId="8706" xr:uid="{00000000-0005-0000-0000-000041210000}"/>
    <cellStyle name="Note 2 5 5 2 2 2" xfId="25597" xr:uid="{147CD357-CE5D-44FD-AD5B-20AF650E7FC1}"/>
    <cellStyle name="Note 2 5 5 2 2 3" xfId="17156" xr:uid="{38DC9B57-2591-4522-B7AD-3DDB26DBDDF1}"/>
    <cellStyle name="Note 2 5 5 2 3" xfId="21379" xr:uid="{F655E284-F65B-4371-A2F7-10629BF6F328}"/>
    <cellStyle name="Note 2 5 5 2 4" xfId="12938" xr:uid="{E854094E-8EFA-463A-96E9-EB0B8A02EA6C}"/>
    <cellStyle name="Note 2 5 5 3" xfId="6561" xr:uid="{00000000-0005-0000-0000-000042210000}"/>
    <cellStyle name="Note 2 5 5 3 2" xfId="23452" xr:uid="{1870E687-48F3-4292-AB2E-FF67E0381EEB}"/>
    <cellStyle name="Note 2 5 5 3 3" xfId="15011" xr:uid="{6A1E2BBA-F41B-4A0F-8A3C-516AF681E893}"/>
    <cellStyle name="Note 2 5 5 4" xfId="19234" xr:uid="{BABCDFBD-242D-4342-B8C0-944D3E288DBB}"/>
    <cellStyle name="Note 2 5 5 5" xfId="10793" xr:uid="{F7C1DA1A-1E78-4B67-8D95-09399D13B075}"/>
    <cellStyle name="Note 2 5 6" xfId="2691" xr:uid="{00000000-0005-0000-0000-000043210000}"/>
    <cellStyle name="Note 2 5 6 2" xfId="6974" xr:uid="{00000000-0005-0000-0000-000044210000}"/>
    <cellStyle name="Note 2 5 6 2 2" xfId="23865" xr:uid="{30C5A21E-228A-4CAF-8A0F-ACFD257B66BD}"/>
    <cellStyle name="Note 2 5 6 2 3" xfId="15424" xr:uid="{0B000407-E35D-4FD7-9415-2A35CDC67190}"/>
    <cellStyle name="Note 2 5 6 3" xfId="19647" xr:uid="{5D7C6937-2F46-4A98-B727-2314783A250B}"/>
    <cellStyle name="Note 2 5 6 4" xfId="11206" xr:uid="{1044B20F-89C9-4A30-8136-9E23C2DA97B9}"/>
    <cellStyle name="Note 2 5 7" xfId="2750" xr:uid="{00000000-0005-0000-0000-000045210000}"/>
    <cellStyle name="Note 2 5 8" xfId="2831" xr:uid="{00000000-0005-0000-0000-000046210000}"/>
    <cellStyle name="Note 2 5 8 2" xfId="7054" xr:uid="{00000000-0005-0000-0000-000047210000}"/>
    <cellStyle name="Note 2 5 8 2 2" xfId="23945" xr:uid="{020F06D6-DD36-4862-AC84-45C6BB5DE706}"/>
    <cellStyle name="Note 2 5 8 2 3" xfId="15504" xr:uid="{E0B006A4-D2B3-436E-8AFD-1366C1A5B2D4}"/>
    <cellStyle name="Note 2 5 8 3" xfId="19727" xr:uid="{407206B2-2952-49E9-88BF-E62F84EDD816}"/>
    <cellStyle name="Note 2 5 8 4" xfId="11286" xr:uid="{387F376F-3C29-4A19-AB10-9A427AC58502}"/>
    <cellStyle name="Note 2 5 9" xfId="4909" xr:uid="{00000000-0005-0000-0000-000048210000}"/>
    <cellStyle name="Note 2 5 9 2" xfId="21800" xr:uid="{6B2111DD-9DC5-42CA-A462-8F3DEAD34DC7}"/>
    <cellStyle name="Note 2 5 9 3" xfId="13359" xr:uid="{C8FAB993-C971-47FB-8D57-1D1BB0A0F78F}"/>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23946" xr:uid="{8F98A53B-B0B7-491C-83DA-3C80E21297B4}"/>
    <cellStyle name="Note 3 2 10 2 3" xfId="15505" xr:uid="{C710F39E-1703-4167-A33B-EDDE8A5334BE}"/>
    <cellStyle name="Note 3 2 10 3" xfId="19728" xr:uid="{7DDBAACD-6DFB-4FAC-B3D9-BB7E9CCDA45F}"/>
    <cellStyle name="Note 3 2 10 4" xfId="11287" xr:uid="{5D1441C0-FD62-447F-A20F-0DC04EBDC8AC}"/>
    <cellStyle name="Note 3 2 11" xfId="4910" xr:uid="{00000000-0005-0000-0000-00004D210000}"/>
    <cellStyle name="Note 3 2 11 2" xfId="21801" xr:uid="{9D257F95-1C85-454B-B855-FAB3FA9DAD67}"/>
    <cellStyle name="Note 3 2 11 3" xfId="13360" xr:uid="{EB1A83AF-5B38-49FC-ADC7-14A92D346607}"/>
    <cellStyle name="Note 3 2 12" xfId="17583" xr:uid="{0140BDFD-FF79-42EA-B5FD-9799D9C332F8}"/>
    <cellStyle name="Note 3 2 13" xfId="9142" xr:uid="{E648BED7-E465-48BF-996A-83776ADFC347}"/>
    <cellStyle name="Note 3 2 2" xfId="555" xr:uid="{00000000-0005-0000-0000-00004E210000}"/>
    <cellStyle name="Note 3 2 2 10" xfId="4911" xr:uid="{00000000-0005-0000-0000-00004F210000}"/>
    <cellStyle name="Note 3 2 2 10 2" xfId="21802" xr:uid="{A42E1043-2950-468A-98A7-C3DC179074F4}"/>
    <cellStyle name="Note 3 2 2 10 3" xfId="13361" xr:uid="{053D8581-0DDD-4CF7-B201-412298F60D45}"/>
    <cellStyle name="Note 3 2 2 11" xfId="17584" xr:uid="{0206DA81-1267-48BA-9737-8DF98023B929}"/>
    <cellStyle name="Note 3 2 2 12" xfId="9143" xr:uid="{6D8E7EDC-15BC-4EDA-AA3A-76E6CBB969A1}"/>
    <cellStyle name="Note 3 2 2 2" xfId="556" xr:uid="{00000000-0005-0000-0000-000050210000}"/>
    <cellStyle name="Note 3 2 2 2 10" xfId="17585" xr:uid="{89DF5C9C-E8CD-46E4-A5F7-C7310B72818F}"/>
    <cellStyle name="Note 3 2 2 2 11" xfId="9144" xr:uid="{AF4C9518-CD61-45D0-91E8-19FA1034B72A}"/>
    <cellStyle name="Note 3 2 2 2 2" xfId="1016" xr:uid="{00000000-0005-0000-0000-000051210000}"/>
    <cellStyle name="Note 3 2 2 2 2 2" xfId="3248" xr:uid="{00000000-0005-0000-0000-000052210000}"/>
    <cellStyle name="Note 3 2 2 2 2 2 2" xfId="7470" xr:uid="{00000000-0005-0000-0000-000053210000}"/>
    <cellStyle name="Note 3 2 2 2 2 2 2 2" xfId="24361" xr:uid="{19113A1C-C72B-4FD3-B3EE-50D649D0E334}"/>
    <cellStyle name="Note 3 2 2 2 2 2 2 3" xfId="15920" xr:uid="{C26F52E3-E71D-41EC-8A9F-55BD2A944D8C}"/>
    <cellStyle name="Note 3 2 2 2 2 2 3" xfId="20143" xr:uid="{96B09FE8-DCB0-4563-B580-2F9C7595BB61}"/>
    <cellStyle name="Note 3 2 2 2 2 2 4" xfId="11702" xr:uid="{A10C7D96-3111-4BB1-9F2A-B59A131E0D18}"/>
    <cellStyle name="Note 3 2 2 2 2 3" xfId="5325" xr:uid="{00000000-0005-0000-0000-000054210000}"/>
    <cellStyle name="Note 3 2 2 2 2 3 2" xfId="22216" xr:uid="{3A5BF60F-1A8E-4FFC-AE80-F0706521850F}"/>
    <cellStyle name="Note 3 2 2 2 2 3 3" xfId="13775" xr:uid="{C1B855F1-1624-4290-8913-74901DA1EE84}"/>
    <cellStyle name="Note 3 2 2 2 2 4" xfId="17998" xr:uid="{E8C0CE72-3152-4AA0-95BD-5E804DA52FF4}"/>
    <cellStyle name="Note 3 2 2 2 2 5" xfId="9557" xr:uid="{550D8998-E69E-4D38-A2BA-3A34CF3402E2}"/>
    <cellStyle name="Note 3 2 2 2 3" xfId="1431" xr:uid="{00000000-0005-0000-0000-000055210000}"/>
    <cellStyle name="Note 3 2 2 2 3 2" xfId="3661" xr:uid="{00000000-0005-0000-0000-000056210000}"/>
    <cellStyle name="Note 3 2 2 2 3 2 2" xfId="7883" xr:uid="{00000000-0005-0000-0000-000057210000}"/>
    <cellStyle name="Note 3 2 2 2 3 2 2 2" xfId="24774" xr:uid="{465C6D1B-CF16-43AB-ADDE-4C730B5BF56C}"/>
    <cellStyle name="Note 3 2 2 2 3 2 2 3" xfId="16333" xr:uid="{EDF16281-3785-472D-A920-2ECE3DE33BCC}"/>
    <cellStyle name="Note 3 2 2 2 3 2 3" xfId="20556" xr:uid="{322345EF-0137-488D-A52D-7D36415F5300}"/>
    <cellStyle name="Note 3 2 2 2 3 2 4" xfId="12115" xr:uid="{164E8EBF-A0E3-49C6-9875-C40EB6DA892D}"/>
    <cellStyle name="Note 3 2 2 2 3 3" xfId="5738" xr:uid="{00000000-0005-0000-0000-000058210000}"/>
    <cellStyle name="Note 3 2 2 2 3 3 2" xfId="22629" xr:uid="{6E235443-AA56-4E93-8506-EF199BB6448A}"/>
    <cellStyle name="Note 3 2 2 2 3 3 3" xfId="14188" xr:uid="{2ABB216C-F372-4FE9-AE96-3226757158BE}"/>
    <cellStyle name="Note 3 2 2 2 3 4" xfId="18411" xr:uid="{13152675-BA45-4076-AC09-C03242A5978E}"/>
    <cellStyle name="Note 3 2 2 2 3 5" xfId="9970" xr:uid="{E62D5A21-ED2A-4C7F-A6D2-B54B6EA75780}"/>
    <cellStyle name="Note 3 2 2 2 4" xfId="1845" xr:uid="{00000000-0005-0000-0000-000059210000}"/>
    <cellStyle name="Note 3 2 2 2 4 2" xfId="4074" xr:uid="{00000000-0005-0000-0000-00005A210000}"/>
    <cellStyle name="Note 3 2 2 2 4 2 2" xfId="8296" xr:uid="{00000000-0005-0000-0000-00005B210000}"/>
    <cellStyle name="Note 3 2 2 2 4 2 2 2" xfId="25187" xr:uid="{E5407475-7018-41BA-B0A9-A9676CBA44E0}"/>
    <cellStyle name="Note 3 2 2 2 4 2 2 3" xfId="16746" xr:uid="{6DF7A09C-3591-45DC-B5B4-97E39483A049}"/>
    <cellStyle name="Note 3 2 2 2 4 2 3" xfId="20969" xr:uid="{5CE4475C-B18E-4674-B47C-3CAA6F277CDE}"/>
    <cellStyle name="Note 3 2 2 2 4 2 4" xfId="12528" xr:uid="{F97B18F5-E498-45CB-A802-4ED5E11FC07B}"/>
    <cellStyle name="Note 3 2 2 2 4 3" xfId="6151" xr:uid="{00000000-0005-0000-0000-00005C210000}"/>
    <cellStyle name="Note 3 2 2 2 4 3 2" xfId="23042" xr:uid="{7040E9F3-A35E-4124-9F45-9B3BBC1A6B64}"/>
    <cellStyle name="Note 3 2 2 2 4 3 3" xfId="14601" xr:uid="{34D1FC25-2FC5-4B8A-83E9-F3E9DC4140F7}"/>
    <cellStyle name="Note 3 2 2 2 4 4" xfId="18824" xr:uid="{29F5A686-80C6-47D0-921C-5C36874C10B8}"/>
    <cellStyle name="Note 3 2 2 2 4 5" xfId="10383" xr:uid="{370F446E-6AC0-4BEB-A6D9-4E0902C35A45}"/>
    <cellStyle name="Note 3 2 2 2 5" xfId="2258" xr:uid="{00000000-0005-0000-0000-00005D210000}"/>
    <cellStyle name="Note 3 2 2 2 5 2" xfId="4487" xr:uid="{00000000-0005-0000-0000-00005E210000}"/>
    <cellStyle name="Note 3 2 2 2 5 2 2" xfId="8709" xr:uid="{00000000-0005-0000-0000-00005F210000}"/>
    <cellStyle name="Note 3 2 2 2 5 2 2 2" xfId="25600" xr:uid="{3531ADFA-373A-491F-ABE9-1A926DFC29B3}"/>
    <cellStyle name="Note 3 2 2 2 5 2 2 3" xfId="17159" xr:uid="{3E81F3C2-B9AD-40B6-A320-4B989E72103F}"/>
    <cellStyle name="Note 3 2 2 2 5 2 3" xfId="21382" xr:uid="{43D64E58-EFE3-481E-9548-4BA15B74290C}"/>
    <cellStyle name="Note 3 2 2 2 5 2 4" xfId="12941" xr:uid="{BC7CE278-8561-488B-9304-7474172E6EE6}"/>
    <cellStyle name="Note 3 2 2 2 5 3" xfId="6564" xr:uid="{00000000-0005-0000-0000-000060210000}"/>
    <cellStyle name="Note 3 2 2 2 5 3 2" xfId="23455" xr:uid="{0AC5BE65-170B-414A-9846-4699880070F9}"/>
    <cellStyle name="Note 3 2 2 2 5 3 3" xfId="15014" xr:uid="{E55AF919-0A4A-4652-A7EB-391781D1B795}"/>
    <cellStyle name="Note 3 2 2 2 5 4" xfId="19237" xr:uid="{2E6EBFBB-4FB8-4BA6-A163-ECFFA5652275}"/>
    <cellStyle name="Note 3 2 2 2 5 5" xfId="10796" xr:uid="{65B3F46A-6D11-4DD2-95AD-F73CE4409FFC}"/>
    <cellStyle name="Note 3 2 2 2 6" xfId="2694" xr:uid="{00000000-0005-0000-0000-000061210000}"/>
    <cellStyle name="Note 3 2 2 2 6 2" xfId="6977" xr:uid="{00000000-0005-0000-0000-000062210000}"/>
    <cellStyle name="Note 3 2 2 2 6 2 2" xfId="23868" xr:uid="{844B2F32-5407-4017-9635-AEA9346E97A4}"/>
    <cellStyle name="Note 3 2 2 2 6 2 3" xfId="15427" xr:uid="{56DD6D28-9AE7-4F1F-8B95-B3032844B5AB}"/>
    <cellStyle name="Note 3 2 2 2 6 3" xfId="19650" xr:uid="{8E62B2F4-345E-4673-A5F3-0061C36A29A9}"/>
    <cellStyle name="Note 3 2 2 2 6 4" xfId="11209" xr:uid="{47576F76-FD47-4FA0-8F99-4B3C0DE459C3}"/>
    <cellStyle name="Note 3 2 2 2 7" xfId="2753" xr:uid="{00000000-0005-0000-0000-000063210000}"/>
    <cellStyle name="Note 3 2 2 2 8" xfId="2834" xr:uid="{00000000-0005-0000-0000-000064210000}"/>
    <cellStyle name="Note 3 2 2 2 8 2" xfId="7057" xr:uid="{00000000-0005-0000-0000-000065210000}"/>
    <cellStyle name="Note 3 2 2 2 8 2 2" xfId="23948" xr:uid="{F0A3B067-B703-41A3-A13E-834600645A8C}"/>
    <cellStyle name="Note 3 2 2 2 8 2 3" xfId="15507" xr:uid="{A376C473-5D4A-4329-A80D-C7A91E4C31EE}"/>
    <cellStyle name="Note 3 2 2 2 8 3" xfId="19730" xr:uid="{BA07E7BF-2C97-4D36-8ACD-FEFA13E49905}"/>
    <cellStyle name="Note 3 2 2 2 8 4" xfId="11289" xr:uid="{1FAA7FEF-9C6A-4506-A6A5-17DF882497C1}"/>
    <cellStyle name="Note 3 2 2 2 9" xfId="4912" xr:uid="{00000000-0005-0000-0000-000066210000}"/>
    <cellStyle name="Note 3 2 2 2 9 2" xfId="21803" xr:uid="{AB1D50A1-D5F0-4DD6-A1E3-89BBF4D4CDB0}"/>
    <cellStyle name="Note 3 2 2 2 9 3" xfId="13362" xr:uid="{445399AA-B8E3-4343-B545-7ECC6A3D31CD}"/>
    <cellStyle name="Note 3 2 2 3" xfId="1015" xr:uid="{00000000-0005-0000-0000-000067210000}"/>
    <cellStyle name="Note 3 2 2 3 2" xfId="3247" xr:uid="{00000000-0005-0000-0000-000068210000}"/>
    <cellStyle name="Note 3 2 2 3 2 2" xfId="7469" xr:uid="{00000000-0005-0000-0000-000069210000}"/>
    <cellStyle name="Note 3 2 2 3 2 2 2" xfId="24360" xr:uid="{79B690A9-BA08-4102-8DC6-C1D99B55CC76}"/>
    <cellStyle name="Note 3 2 2 3 2 2 3" xfId="15919" xr:uid="{99A743F4-D78C-479D-96A3-C2FDA3C0CB04}"/>
    <cellStyle name="Note 3 2 2 3 2 3" xfId="20142" xr:uid="{A204E5D9-15B5-4C77-9F8B-B640F60E6091}"/>
    <cellStyle name="Note 3 2 2 3 2 4" xfId="11701" xr:uid="{AB58E8E6-48C6-4548-A4AD-C787CBEED9F1}"/>
    <cellStyle name="Note 3 2 2 3 3" xfId="5324" xr:uid="{00000000-0005-0000-0000-00006A210000}"/>
    <cellStyle name="Note 3 2 2 3 3 2" xfId="22215" xr:uid="{192C7307-632F-4255-89BC-C8736B4EDF92}"/>
    <cellStyle name="Note 3 2 2 3 3 3" xfId="13774" xr:uid="{9D20DDD8-FB3E-4277-A233-D1414BC9AA76}"/>
    <cellStyle name="Note 3 2 2 3 4" xfId="17997" xr:uid="{00470C29-3128-4E29-9500-E552B02E2025}"/>
    <cellStyle name="Note 3 2 2 3 5" xfId="9556" xr:uid="{AEACF2F4-8208-4F6E-8E29-42F32389286C}"/>
    <cellStyle name="Note 3 2 2 4" xfId="1430" xr:uid="{00000000-0005-0000-0000-00006B210000}"/>
    <cellStyle name="Note 3 2 2 4 2" xfId="3660" xr:uid="{00000000-0005-0000-0000-00006C210000}"/>
    <cellStyle name="Note 3 2 2 4 2 2" xfId="7882" xr:uid="{00000000-0005-0000-0000-00006D210000}"/>
    <cellStyle name="Note 3 2 2 4 2 2 2" xfId="24773" xr:uid="{D22EA96E-6046-4E85-ADB9-EF75B2F5A2FD}"/>
    <cellStyle name="Note 3 2 2 4 2 2 3" xfId="16332" xr:uid="{EC9EDDEE-4019-4908-AB3B-A84FFD248138}"/>
    <cellStyle name="Note 3 2 2 4 2 3" xfId="20555" xr:uid="{B0C5D13B-22E9-4F7E-8786-5368B42C9E0C}"/>
    <cellStyle name="Note 3 2 2 4 2 4" xfId="12114" xr:uid="{6EC7B5B3-436B-4BEF-A05B-CEC9603F37BE}"/>
    <cellStyle name="Note 3 2 2 4 3" xfId="5737" xr:uid="{00000000-0005-0000-0000-00006E210000}"/>
    <cellStyle name="Note 3 2 2 4 3 2" xfId="22628" xr:uid="{89F90E7B-01A7-455B-A1FF-0E073177F570}"/>
    <cellStyle name="Note 3 2 2 4 3 3" xfId="14187" xr:uid="{FC5C5773-F2E6-42EB-9ACB-C9CC7CA610C1}"/>
    <cellStyle name="Note 3 2 2 4 4" xfId="18410" xr:uid="{87645121-A87E-4DDB-9F3A-BFFA39704DA9}"/>
    <cellStyle name="Note 3 2 2 4 5" xfId="9969" xr:uid="{48A8FF8A-BA9F-4ABA-B4CE-7A8F1FCEE655}"/>
    <cellStyle name="Note 3 2 2 5" xfId="1844" xr:uid="{00000000-0005-0000-0000-00006F210000}"/>
    <cellStyle name="Note 3 2 2 5 2" xfId="4073" xr:uid="{00000000-0005-0000-0000-000070210000}"/>
    <cellStyle name="Note 3 2 2 5 2 2" xfId="8295" xr:uid="{00000000-0005-0000-0000-000071210000}"/>
    <cellStyle name="Note 3 2 2 5 2 2 2" xfId="25186" xr:uid="{1C0D9C3E-45FE-4D2A-8360-F2356C85569A}"/>
    <cellStyle name="Note 3 2 2 5 2 2 3" xfId="16745" xr:uid="{5D239656-E8BB-4F13-8D5D-EFEC16593C31}"/>
    <cellStyle name="Note 3 2 2 5 2 3" xfId="20968" xr:uid="{FD0F8F64-58C4-475E-8E12-C235D3232C2D}"/>
    <cellStyle name="Note 3 2 2 5 2 4" xfId="12527" xr:uid="{30F292B3-7157-423D-B211-0E9E7348C8C0}"/>
    <cellStyle name="Note 3 2 2 5 3" xfId="6150" xr:uid="{00000000-0005-0000-0000-000072210000}"/>
    <cellStyle name="Note 3 2 2 5 3 2" xfId="23041" xr:uid="{579B5148-9672-4F23-A55A-5F5BDC71489A}"/>
    <cellStyle name="Note 3 2 2 5 3 3" xfId="14600" xr:uid="{F32E65F6-CFEF-4C13-A689-7E526423C44B}"/>
    <cellStyle name="Note 3 2 2 5 4" xfId="18823" xr:uid="{B569D667-9E92-4684-85BB-53FB2C12FC0E}"/>
    <cellStyle name="Note 3 2 2 5 5" xfId="10382" xr:uid="{CCC0A98F-42FE-42F2-BC5A-9ADAA353CEA3}"/>
    <cellStyle name="Note 3 2 2 6" xfId="2257" xr:uid="{00000000-0005-0000-0000-000073210000}"/>
    <cellStyle name="Note 3 2 2 6 2" xfId="4486" xr:uid="{00000000-0005-0000-0000-000074210000}"/>
    <cellStyle name="Note 3 2 2 6 2 2" xfId="8708" xr:uid="{00000000-0005-0000-0000-000075210000}"/>
    <cellStyle name="Note 3 2 2 6 2 2 2" xfId="25599" xr:uid="{017ABA0D-A77E-4A6F-999F-3F6BDC03F4C3}"/>
    <cellStyle name="Note 3 2 2 6 2 2 3" xfId="17158" xr:uid="{9A1F7EC9-7651-4573-8A3B-5F42076B1848}"/>
    <cellStyle name="Note 3 2 2 6 2 3" xfId="21381" xr:uid="{03D75E6B-FD10-435B-B820-6B3C086C83C2}"/>
    <cellStyle name="Note 3 2 2 6 2 4" xfId="12940" xr:uid="{448110B9-3F1D-4678-983A-FF9C6AAC32D2}"/>
    <cellStyle name="Note 3 2 2 6 3" xfId="6563" xr:uid="{00000000-0005-0000-0000-000076210000}"/>
    <cellStyle name="Note 3 2 2 6 3 2" xfId="23454" xr:uid="{DACE23D3-58F6-482E-A373-2AA37CCDD12D}"/>
    <cellStyle name="Note 3 2 2 6 3 3" xfId="15013" xr:uid="{4B91E741-B169-49E9-B559-70966E7CE8D2}"/>
    <cellStyle name="Note 3 2 2 6 4" xfId="19236" xr:uid="{9EAA87B5-6CDB-41DE-88F2-C125D0D9130C}"/>
    <cellStyle name="Note 3 2 2 6 5" xfId="10795" xr:uid="{20DC3075-9154-470F-9E18-23D65B5F9EBB}"/>
    <cellStyle name="Note 3 2 2 7" xfId="2693" xr:uid="{00000000-0005-0000-0000-000077210000}"/>
    <cellStyle name="Note 3 2 2 7 2" xfId="6976" xr:uid="{00000000-0005-0000-0000-000078210000}"/>
    <cellStyle name="Note 3 2 2 7 2 2" xfId="23867" xr:uid="{1F347812-34EA-4A76-898F-D9DB67EDD0D5}"/>
    <cellStyle name="Note 3 2 2 7 2 3" xfId="15426" xr:uid="{81173E1B-844E-4136-AA00-7FD3CDCFFCA2}"/>
    <cellStyle name="Note 3 2 2 7 3" xfId="19649" xr:uid="{1E35DCB6-AEC8-4F22-B9A9-F2F3F24EA99B}"/>
    <cellStyle name="Note 3 2 2 7 4" xfId="11208" xr:uid="{C0647F3D-A04B-42A7-B77A-DA7C88056B44}"/>
    <cellStyle name="Note 3 2 2 8" xfId="2752" xr:uid="{00000000-0005-0000-0000-000079210000}"/>
    <cellStyle name="Note 3 2 2 9" xfId="2833" xr:uid="{00000000-0005-0000-0000-00007A210000}"/>
    <cellStyle name="Note 3 2 2 9 2" xfId="7056" xr:uid="{00000000-0005-0000-0000-00007B210000}"/>
    <cellStyle name="Note 3 2 2 9 2 2" xfId="23947" xr:uid="{8CF603BC-9101-418C-B05C-B227500D6F73}"/>
    <cellStyle name="Note 3 2 2 9 2 3" xfId="15506" xr:uid="{9001ED36-B37B-43BD-911B-89EFD07FD663}"/>
    <cellStyle name="Note 3 2 2 9 3" xfId="19729" xr:uid="{4A4E5F8C-0237-4936-B5EB-309A23E3BBED}"/>
    <cellStyle name="Note 3 2 2 9 4" xfId="11288" xr:uid="{EBC84122-0100-4687-AE10-47F6CE2023A6}"/>
    <cellStyle name="Note 3 2 3" xfId="557" xr:uid="{00000000-0005-0000-0000-00007C210000}"/>
    <cellStyle name="Note 3 2 3 10" xfId="17586" xr:uid="{BADEDB06-0FC6-48A5-B82F-D930B7062A47}"/>
    <cellStyle name="Note 3 2 3 11" xfId="9145" xr:uid="{9091E512-7878-4464-8479-9EDEE84CDD4F}"/>
    <cellStyle name="Note 3 2 3 2" xfId="1017" xr:uid="{00000000-0005-0000-0000-00007D210000}"/>
    <cellStyle name="Note 3 2 3 2 2" xfId="3249" xr:uid="{00000000-0005-0000-0000-00007E210000}"/>
    <cellStyle name="Note 3 2 3 2 2 2" xfId="7471" xr:uid="{00000000-0005-0000-0000-00007F210000}"/>
    <cellStyle name="Note 3 2 3 2 2 2 2" xfId="24362" xr:uid="{89114DE2-E3F1-4634-AF01-1CDBCE9BEDAF}"/>
    <cellStyle name="Note 3 2 3 2 2 2 3" xfId="15921" xr:uid="{B0F40086-BBD4-4D33-A017-4BCF74586D03}"/>
    <cellStyle name="Note 3 2 3 2 2 3" xfId="20144" xr:uid="{4BC7A5E8-CA11-415B-8A8B-F56F539207F8}"/>
    <cellStyle name="Note 3 2 3 2 2 4" xfId="11703" xr:uid="{476D63BC-5EE7-4A5A-8FB1-E83D68136E0A}"/>
    <cellStyle name="Note 3 2 3 2 3" xfId="5326" xr:uid="{00000000-0005-0000-0000-000080210000}"/>
    <cellStyle name="Note 3 2 3 2 3 2" xfId="22217" xr:uid="{EAAA0955-1A06-49BC-9B85-0FDCF6C53B33}"/>
    <cellStyle name="Note 3 2 3 2 3 3" xfId="13776" xr:uid="{DD5BF71C-D0F9-45D2-8432-DA2CE644A411}"/>
    <cellStyle name="Note 3 2 3 2 4" xfId="17999" xr:uid="{DE66205F-7E7B-47AF-ACE8-326483188351}"/>
    <cellStyle name="Note 3 2 3 2 5" xfId="9558" xr:uid="{440373C7-D3E0-4F80-A1CE-F43288868B5A}"/>
    <cellStyle name="Note 3 2 3 3" xfId="1432" xr:uid="{00000000-0005-0000-0000-000081210000}"/>
    <cellStyle name="Note 3 2 3 3 2" xfId="3662" xr:uid="{00000000-0005-0000-0000-000082210000}"/>
    <cellStyle name="Note 3 2 3 3 2 2" xfId="7884" xr:uid="{00000000-0005-0000-0000-000083210000}"/>
    <cellStyle name="Note 3 2 3 3 2 2 2" xfId="24775" xr:uid="{1B987007-2775-451F-8611-BFC116FDC2B0}"/>
    <cellStyle name="Note 3 2 3 3 2 2 3" xfId="16334" xr:uid="{7C900C33-BBA4-4395-924E-748027903586}"/>
    <cellStyle name="Note 3 2 3 3 2 3" xfId="20557" xr:uid="{A9480EFA-73C9-48A1-AEB8-DC4FBE4B0438}"/>
    <cellStyle name="Note 3 2 3 3 2 4" xfId="12116" xr:uid="{AA82A9F0-4324-4EF8-A7C6-4C592110F10E}"/>
    <cellStyle name="Note 3 2 3 3 3" xfId="5739" xr:uid="{00000000-0005-0000-0000-000084210000}"/>
    <cellStyle name="Note 3 2 3 3 3 2" xfId="22630" xr:uid="{50359ECA-993A-48C3-B830-3B11067DA8CC}"/>
    <cellStyle name="Note 3 2 3 3 3 3" xfId="14189" xr:uid="{54FDC79A-2D8B-4C84-98CB-4DE6C4242C68}"/>
    <cellStyle name="Note 3 2 3 3 4" xfId="18412" xr:uid="{2B160910-3D25-47BF-89B7-580CA71390AA}"/>
    <cellStyle name="Note 3 2 3 3 5" xfId="9971" xr:uid="{310D7639-225F-42D9-A631-F0AB696383DC}"/>
    <cellStyle name="Note 3 2 3 4" xfId="1846" xr:uid="{00000000-0005-0000-0000-000085210000}"/>
    <cellStyle name="Note 3 2 3 4 2" xfId="4075" xr:uid="{00000000-0005-0000-0000-000086210000}"/>
    <cellStyle name="Note 3 2 3 4 2 2" xfId="8297" xr:uid="{00000000-0005-0000-0000-000087210000}"/>
    <cellStyle name="Note 3 2 3 4 2 2 2" xfId="25188" xr:uid="{5BFF655F-D985-4DF7-8B50-929697ED3B8E}"/>
    <cellStyle name="Note 3 2 3 4 2 2 3" xfId="16747" xr:uid="{17CBA89C-ED97-42F4-B79D-F483F10919A3}"/>
    <cellStyle name="Note 3 2 3 4 2 3" xfId="20970" xr:uid="{A602F5FD-61AC-4AA6-99DE-1F2AAD193CA1}"/>
    <cellStyle name="Note 3 2 3 4 2 4" xfId="12529" xr:uid="{AEEEB122-D0FA-488A-A576-ACD19B903899}"/>
    <cellStyle name="Note 3 2 3 4 3" xfId="6152" xr:uid="{00000000-0005-0000-0000-000088210000}"/>
    <cellStyle name="Note 3 2 3 4 3 2" xfId="23043" xr:uid="{906FF779-712A-4F02-B02E-F143FA9A49E5}"/>
    <cellStyle name="Note 3 2 3 4 3 3" xfId="14602" xr:uid="{DF14E60E-8BE6-462F-87AE-A6A3DB1AF779}"/>
    <cellStyle name="Note 3 2 3 4 4" xfId="18825" xr:uid="{704F56AE-E53F-4225-ADC9-B6FAF9542044}"/>
    <cellStyle name="Note 3 2 3 4 5" xfId="10384" xr:uid="{D48488A0-4EC8-4A59-A031-42C13D8F3078}"/>
    <cellStyle name="Note 3 2 3 5" xfId="2259" xr:uid="{00000000-0005-0000-0000-000089210000}"/>
    <cellStyle name="Note 3 2 3 5 2" xfId="4488" xr:uid="{00000000-0005-0000-0000-00008A210000}"/>
    <cellStyle name="Note 3 2 3 5 2 2" xfId="8710" xr:uid="{00000000-0005-0000-0000-00008B210000}"/>
    <cellStyle name="Note 3 2 3 5 2 2 2" xfId="25601" xr:uid="{1DD176F8-19BD-4FEB-9034-F174DC7263CB}"/>
    <cellStyle name="Note 3 2 3 5 2 2 3" xfId="17160" xr:uid="{951DFD6B-FF73-46C3-A752-2E3969344F79}"/>
    <cellStyle name="Note 3 2 3 5 2 3" xfId="21383" xr:uid="{970274E3-1A1B-45CF-8344-08E007D1C67A}"/>
    <cellStyle name="Note 3 2 3 5 2 4" xfId="12942" xr:uid="{DEEB0442-6FCB-4EA8-A346-06A329021A50}"/>
    <cellStyle name="Note 3 2 3 5 3" xfId="6565" xr:uid="{00000000-0005-0000-0000-00008C210000}"/>
    <cellStyle name="Note 3 2 3 5 3 2" xfId="23456" xr:uid="{F9FA9F64-6840-4629-9707-9779528883D1}"/>
    <cellStyle name="Note 3 2 3 5 3 3" xfId="15015" xr:uid="{05BCA953-7BB7-49D9-B800-1C7AD9B61F08}"/>
    <cellStyle name="Note 3 2 3 5 4" xfId="19238" xr:uid="{5642A2D8-06C7-469F-985D-F0C335DCF2AF}"/>
    <cellStyle name="Note 3 2 3 5 5" xfId="10797" xr:uid="{B8B5505D-FE6D-442B-B09A-CCC960F999C0}"/>
    <cellStyle name="Note 3 2 3 6" xfId="2695" xr:uid="{00000000-0005-0000-0000-00008D210000}"/>
    <cellStyle name="Note 3 2 3 6 2" xfId="6978" xr:uid="{00000000-0005-0000-0000-00008E210000}"/>
    <cellStyle name="Note 3 2 3 6 2 2" xfId="23869" xr:uid="{3DD5C89A-EF50-42CC-9367-CBED1845C67C}"/>
    <cellStyle name="Note 3 2 3 6 2 3" xfId="15428" xr:uid="{27436BEB-6829-4A2A-A3FE-7EABD017EF18}"/>
    <cellStyle name="Note 3 2 3 6 3" xfId="19651" xr:uid="{A9104E19-4CE8-455F-B041-FC279D6C8FD9}"/>
    <cellStyle name="Note 3 2 3 6 4" xfId="11210" xr:uid="{87889C7A-082C-4346-9ED6-F605D2BDBE94}"/>
    <cellStyle name="Note 3 2 3 7" xfId="2754" xr:uid="{00000000-0005-0000-0000-00008F210000}"/>
    <cellStyle name="Note 3 2 3 8" xfId="2835" xr:uid="{00000000-0005-0000-0000-000090210000}"/>
    <cellStyle name="Note 3 2 3 8 2" xfId="7058" xr:uid="{00000000-0005-0000-0000-000091210000}"/>
    <cellStyle name="Note 3 2 3 8 2 2" xfId="23949" xr:uid="{98B94EA8-287C-4502-B5BC-E1FB05D2573F}"/>
    <cellStyle name="Note 3 2 3 8 2 3" xfId="15508" xr:uid="{D474ED2A-0E49-4B29-AC76-18EEF685A472}"/>
    <cellStyle name="Note 3 2 3 8 3" xfId="19731" xr:uid="{62F28E69-FF97-45A1-9898-87A318EE986D}"/>
    <cellStyle name="Note 3 2 3 8 4" xfId="11290" xr:uid="{691E7828-0AFB-4ED4-994C-7D128AD4ACD8}"/>
    <cellStyle name="Note 3 2 3 9" xfId="4913" xr:uid="{00000000-0005-0000-0000-000092210000}"/>
    <cellStyle name="Note 3 2 3 9 2" xfId="21804" xr:uid="{807CE39A-A4AC-403F-98F1-E8C85D16B338}"/>
    <cellStyle name="Note 3 2 3 9 3" xfId="13363" xr:uid="{773C58EE-0715-4EEB-8241-564ECF4D7477}"/>
    <cellStyle name="Note 3 2 4" xfId="1014" xr:uid="{00000000-0005-0000-0000-000093210000}"/>
    <cellStyle name="Note 3 2 4 2" xfId="3246" xr:uid="{00000000-0005-0000-0000-000094210000}"/>
    <cellStyle name="Note 3 2 4 2 2" xfId="7468" xr:uid="{00000000-0005-0000-0000-000095210000}"/>
    <cellStyle name="Note 3 2 4 2 2 2" xfId="24359" xr:uid="{09355EA7-C732-4579-A44A-636C24B16106}"/>
    <cellStyle name="Note 3 2 4 2 2 3" xfId="15918" xr:uid="{37E4F178-2FDF-4527-ADBA-F6E64AFA748C}"/>
    <cellStyle name="Note 3 2 4 2 3" xfId="20141" xr:uid="{85106E24-6055-4EE8-B36D-B5CAC8A21B33}"/>
    <cellStyle name="Note 3 2 4 2 4" xfId="11700" xr:uid="{62365707-A618-4ED3-9CEF-D0167E567C30}"/>
    <cellStyle name="Note 3 2 4 3" xfId="5323" xr:uid="{00000000-0005-0000-0000-000096210000}"/>
    <cellStyle name="Note 3 2 4 3 2" xfId="22214" xr:uid="{D6DFACD3-2917-4508-8392-FE684BA56553}"/>
    <cellStyle name="Note 3 2 4 3 3" xfId="13773" xr:uid="{851A3720-6D0C-4D22-9E20-BE37ABAEC908}"/>
    <cellStyle name="Note 3 2 4 4" xfId="17996" xr:uid="{95910844-6FC7-430A-BE94-60F296BBB553}"/>
    <cellStyle name="Note 3 2 4 5" xfId="9555" xr:uid="{3D6E62E5-2C4E-453E-9470-446409B9E6C2}"/>
    <cellStyle name="Note 3 2 5" xfId="1429" xr:uid="{00000000-0005-0000-0000-000097210000}"/>
    <cellStyle name="Note 3 2 5 2" xfId="3659" xr:uid="{00000000-0005-0000-0000-000098210000}"/>
    <cellStyle name="Note 3 2 5 2 2" xfId="7881" xr:uid="{00000000-0005-0000-0000-000099210000}"/>
    <cellStyle name="Note 3 2 5 2 2 2" xfId="24772" xr:uid="{26332FE6-E175-4616-BBF3-719FEDD49DE8}"/>
    <cellStyle name="Note 3 2 5 2 2 3" xfId="16331" xr:uid="{B6C78EB7-0CBC-4178-8CE8-3F8E8195AD82}"/>
    <cellStyle name="Note 3 2 5 2 3" xfId="20554" xr:uid="{537D8EBC-282F-46A5-8EFB-81C7265A4174}"/>
    <cellStyle name="Note 3 2 5 2 4" xfId="12113" xr:uid="{DFB40932-2F8D-4945-9BB6-F3898240B30B}"/>
    <cellStyle name="Note 3 2 5 3" xfId="5736" xr:uid="{00000000-0005-0000-0000-00009A210000}"/>
    <cellStyle name="Note 3 2 5 3 2" xfId="22627" xr:uid="{D96D51C2-90A7-4639-997C-B60F7E1AD2E8}"/>
    <cellStyle name="Note 3 2 5 3 3" xfId="14186" xr:uid="{759C7300-C6EF-492A-8960-7A608BA9DB19}"/>
    <cellStyle name="Note 3 2 5 4" xfId="18409" xr:uid="{24F38DF1-7A47-4342-A415-669299ABF6EA}"/>
    <cellStyle name="Note 3 2 5 5" xfId="9968" xr:uid="{1DAB52FF-42FD-4DDB-A439-C6F9168AF6FB}"/>
    <cellStyle name="Note 3 2 6" xfId="1843" xr:uid="{00000000-0005-0000-0000-00009B210000}"/>
    <cellStyle name="Note 3 2 6 2" xfId="4072" xr:uid="{00000000-0005-0000-0000-00009C210000}"/>
    <cellStyle name="Note 3 2 6 2 2" xfId="8294" xr:uid="{00000000-0005-0000-0000-00009D210000}"/>
    <cellStyle name="Note 3 2 6 2 2 2" xfId="25185" xr:uid="{0490B8AE-2C7A-4475-9200-3C4DFA33F07C}"/>
    <cellStyle name="Note 3 2 6 2 2 3" xfId="16744" xr:uid="{E7675B1F-B97F-44A6-86CD-732462EC56A0}"/>
    <cellStyle name="Note 3 2 6 2 3" xfId="20967" xr:uid="{E8DC73E8-FBF0-46BB-BBD8-A90A11E2C429}"/>
    <cellStyle name="Note 3 2 6 2 4" xfId="12526" xr:uid="{7EF9B59A-7BE8-409D-B5B7-AD06FD8B8016}"/>
    <cellStyle name="Note 3 2 6 3" xfId="6149" xr:uid="{00000000-0005-0000-0000-00009E210000}"/>
    <cellStyle name="Note 3 2 6 3 2" xfId="23040" xr:uid="{5FE548B2-541C-490E-ABF9-251B5931ADD5}"/>
    <cellStyle name="Note 3 2 6 3 3" xfId="14599" xr:uid="{EE47574C-6D49-49D0-BE5C-DECE3D1214DA}"/>
    <cellStyle name="Note 3 2 6 4" xfId="18822" xr:uid="{CB4E7C40-C2DD-4FC5-9177-1392CE7A6F7A}"/>
    <cellStyle name="Note 3 2 6 5" xfId="10381" xr:uid="{E1CE94C5-3BD1-4C91-B63A-DDB1434E5F20}"/>
    <cellStyle name="Note 3 2 7" xfId="2256" xr:uid="{00000000-0005-0000-0000-00009F210000}"/>
    <cellStyle name="Note 3 2 7 2" xfId="4485" xr:uid="{00000000-0005-0000-0000-0000A0210000}"/>
    <cellStyle name="Note 3 2 7 2 2" xfId="8707" xr:uid="{00000000-0005-0000-0000-0000A1210000}"/>
    <cellStyle name="Note 3 2 7 2 2 2" xfId="25598" xr:uid="{3982B502-C904-449D-9BE0-E8E87F64D363}"/>
    <cellStyle name="Note 3 2 7 2 2 3" xfId="17157" xr:uid="{F1623F37-BDCD-432B-949A-AB36DCC805A1}"/>
    <cellStyle name="Note 3 2 7 2 3" xfId="21380" xr:uid="{55F19841-A220-4CBE-869C-28F31D2F0707}"/>
    <cellStyle name="Note 3 2 7 2 4" xfId="12939" xr:uid="{16FDC1FA-2BE8-4E6E-8395-FE5047112B71}"/>
    <cellStyle name="Note 3 2 7 3" xfId="6562" xr:uid="{00000000-0005-0000-0000-0000A2210000}"/>
    <cellStyle name="Note 3 2 7 3 2" xfId="23453" xr:uid="{C3905A71-70A0-4DE2-AA05-83A039807B78}"/>
    <cellStyle name="Note 3 2 7 3 3" xfId="15012" xr:uid="{CBCC2C46-7A8D-462A-862D-4466806F9F0C}"/>
    <cellStyle name="Note 3 2 7 4" xfId="19235" xr:uid="{50B2AA16-5D1E-4922-A8AF-BB2D29F52E7B}"/>
    <cellStyle name="Note 3 2 7 5" xfId="10794" xr:uid="{D4183FC3-8893-4BD8-8FE4-A0C480A716C3}"/>
    <cellStyle name="Note 3 2 8" xfId="2692" xr:uid="{00000000-0005-0000-0000-0000A3210000}"/>
    <cellStyle name="Note 3 2 8 2" xfId="6975" xr:uid="{00000000-0005-0000-0000-0000A4210000}"/>
    <cellStyle name="Note 3 2 8 2 2" xfId="23866" xr:uid="{6081B9F4-C391-4723-9BB6-8B0F387C0DBB}"/>
    <cellStyle name="Note 3 2 8 2 3" xfId="15425" xr:uid="{848CE311-DC59-4E0F-B21B-2B1C12A9FB78}"/>
    <cellStyle name="Note 3 2 8 3" xfId="19648" xr:uid="{179E1D69-B4F9-470C-984C-BB171C650E7E}"/>
    <cellStyle name="Note 3 2 8 4" xfId="11207" xr:uid="{1F9E66A7-4D79-47B3-BCAF-33A865BE032C}"/>
    <cellStyle name="Note 3 2 9" xfId="2751" xr:uid="{00000000-0005-0000-0000-0000A5210000}"/>
    <cellStyle name="Note 3 3" xfId="558" xr:uid="{00000000-0005-0000-0000-0000A6210000}"/>
    <cellStyle name="Note 3 3 10" xfId="4914" xr:uid="{00000000-0005-0000-0000-0000A7210000}"/>
    <cellStyle name="Note 3 3 10 2" xfId="21805" xr:uid="{EE597737-B7C7-41A8-8C78-F72925C8D9D6}"/>
    <cellStyle name="Note 3 3 10 3" xfId="13364" xr:uid="{7EE5CC14-DAA8-4B00-A18C-B15F85C5F9A9}"/>
    <cellStyle name="Note 3 3 11" xfId="17587" xr:uid="{AE5AC8D2-0800-4B51-9DA9-469E2EBC5A80}"/>
    <cellStyle name="Note 3 3 12" xfId="9146" xr:uid="{C9BFB242-87F0-40FB-8873-9FB98DF1E4CC}"/>
    <cellStyle name="Note 3 3 2" xfId="559" xr:uid="{00000000-0005-0000-0000-0000A8210000}"/>
    <cellStyle name="Note 3 3 2 10" xfId="17588" xr:uid="{847382CA-B201-4AD3-96FE-2C752E11AE68}"/>
    <cellStyle name="Note 3 3 2 11" xfId="9147" xr:uid="{13AB9ECF-EF11-42E8-AF4F-AB71521A847C}"/>
    <cellStyle name="Note 3 3 2 2" xfId="1019" xr:uid="{00000000-0005-0000-0000-0000A9210000}"/>
    <cellStyle name="Note 3 3 2 2 2" xfId="3251" xr:uid="{00000000-0005-0000-0000-0000AA210000}"/>
    <cellStyle name="Note 3 3 2 2 2 2" xfId="7473" xr:uid="{00000000-0005-0000-0000-0000AB210000}"/>
    <cellStyle name="Note 3 3 2 2 2 2 2" xfId="24364" xr:uid="{27EFCE2A-C342-4754-9E60-8ECA3CFAD15A}"/>
    <cellStyle name="Note 3 3 2 2 2 2 3" xfId="15923" xr:uid="{CE0E0F1E-877E-43BA-9DBF-E7E75CC615D1}"/>
    <cellStyle name="Note 3 3 2 2 2 3" xfId="20146" xr:uid="{186A413C-509C-41C1-A3BC-F2708CEF9F7C}"/>
    <cellStyle name="Note 3 3 2 2 2 4" xfId="11705" xr:uid="{06015F49-8219-42AC-8A3F-507F0E3BB20A}"/>
    <cellStyle name="Note 3 3 2 2 3" xfId="5328" xr:uid="{00000000-0005-0000-0000-0000AC210000}"/>
    <cellStyle name="Note 3 3 2 2 3 2" xfId="22219" xr:uid="{6366B9E2-BCB0-41D4-99E0-AB84835D9F98}"/>
    <cellStyle name="Note 3 3 2 2 3 3" xfId="13778" xr:uid="{6EC4B7FF-2A97-40FD-8ADE-AD34F97A8187}"/>
    <cellStyle name="Note 3 3 2 2 4" xfId="18001" xr:uid="{1B04BC48-4084-4471-93C5-760DDCB9E70C}"/>
    <cellStyle name="Note 3 3 2 2 5" xfId="9560" xr:uid="{B47DA30D-53CA-470B-9A14-FA8A19ADCEEC}"/>
    <cellStyle name="Note 3 3 2 3" xfId="1434" xr:uid="{00000000-0005-0000-0000-0000AD210000}"/>
    <cellStyle name="Note 3 3 2 3 2" xfId="3664" xr:uid="{00000000-0005-0000-0000-0000AE210000}"/>
    <cellStyle name="Note 3 3 2 3 2 2" xfId="7886" xr:uid="{00000000-0005-0000-0000-0000AF210000}"/>
    <cellStyle name="Note 3 3 2 3 2 2 2" xfId="24777" xr:uid="{AC4FD8A0-797A-4159-B955-05607925B31F}"/>
    <cellStyle name="Note 3 3 2 3 2 2 3" xfId="16336" xr:uid="{B2532489-C6B0-4463-9322-98FC97A4FB6E}"/>
    <cellStyle name="Note 3 3 2 3 2 3" xfId="20559" xr:uid="{1D7944CE-8CF9-4C76-A134-4739D7EA4F7F}"/>
    <cellStyle name="Note 3 3 2 3 2 4" xfId="12118" xr:uid="{341E6A0A-A8C1-4554-9C8D-CFD77E74473D}"/>
    <cellStyle name="Note 3 3 2 3 3" xfId="5741" xr:uid="{00000000-0005-0000-0000-0000B0210000}"/>
    <cellStyle name="Note 3 3 2 3 3 2" xfId="22632" xr:uid="{9F22B74A-A55F-46CC-9D6F-EF3DD80F572D}"/>
    <cellStyle name="Note 3 3 2 3 3 3" xfId="14191" xr:uid="{4962E65B-DEAF-480E-A5E6-CB6E400FC718}"/>
    <cellStyle name="Note 3 3 2 3 4" xfId="18414" xr:uid="{190DA3A2-7E54-4C83-8D29-ECFA75FFAB92}"/>
    <cellStyle name="Note 3 3 2 3 5" xfId="9973" xr:uid="{D70A0D3E-3FCB-4CC8-8A19-0B7FD10E4673}"/>
    <cellStyle name="Note 3 3 2 4" xfId="1848" xr:uid="{00000000-0005-0000-0000-0000B1210000}"/>
    <cellStyle name="Note 3 3 2 4 2" xfId="4077" xr:uid="{00000000-0005-0000-0000-0000B2210000}"/>
    <cellStyle name="Note 3 3 2 4 2 2" xfId="8299" xr:uid="{00000000-0005-0000-0000-0000B3210000}"/>
    <cellStyle name="Note 3 3 2 4 2 2 2" xfId="25190" xr:uid="{E818A2A1-EF42-4D51-92B1-7EF10077EAD2}"/>
    <cellStyle name="Note 3 3 2 4 2 2 3" xfId="16749" xr:uid="{13E8CB7F-DD6C-45D4-90E2-270C042E79BC}"/>
    <cellStyle name="Note 3 3 2 4 2 3" xfId="20972" xr:uid="{5A3B53D6-B722-41C9-9EFC-DB402D70C81B}"/>
    <cellStyle name="Note 3 3 2 4 2 4" xfId="12531" xr:uid="{A03550A4-BD2C-4F44-989B-1D83F093372B}"/>
    <cellStyle name="Note 3 3 2 4 3" xfId="6154" xr:uid="{00000000-0005-0000-0000-0000B4210000}"/>
    <cellStyle name="Note 3 3 2 4 3 2" xfId="23045" xr:uid="{1BD61FD4-0FE6-4991-B958-F450FA18885A}"/>
    <cellStyle name="Note 3 3 2 4 3 3" xfId="14604" xr:uid="{AC65449A-9D82-4470-9711-894FEADD0927}"/>
    <cellStyle name="Note 3 3 2 4 4" xfId="18827" xr:uid="{250E02AB-977B-4077-9F2B-B3189D6DFEA9}"/>
    <cellStyle name="Note 3 3 2 4 5" xfId="10386" xr:uid="{B7E57102-26ED-4AA1-A692-78DE8BB6307C}"/>
    <cellStyle name="Note 3 3 2 5" xfId="2261" xr:uid="{00000000-0005-0000-0000-0000B5210000}"/>
    <cellStyle name="Note 3 3 2 5 2" xfId="4490" xr:uid="{00000000-0005-0000-0000-0000B6210000}"/>
    <cellStyle name="Note 3 3 2 5 2 2" xfId="8712" xr:uid="{00000000-0005-0000-0000-0000B7210000}"/>
    <cellStyle name="Note 3 3 2 5 2 2 2" xfId="25603" xr:uid="{3C8C46F7-B076-4244-8624-58AB6DB7935D}"/>
    <cellStyle name="Note 3 3 2 5 2 2 3" xfId="17162" xr:uid="{EBF0364B-4DBE-432A-A41E-E7EC9CA86429}"/>
    <cellStyle name="Note 3 3 2 5 2 3" xfId="21385" xr:uid="{82FF5482-378C-4FC3-8645-BDB7EBC90621}"/>
    <cellStyle name="Note 3 3 2 5 2 4" xfId="12944" xr:uid="{EE70B805-B5E7-4322-9C5E-E5CF68AD2D7B}"/>
    <cellStyle name="Note 3 3 2 5 3" xfId="6567" xr:uid="{00000000-0005-0000-0000-0000B8210000}"/>
    <cellStyle name="Note 3 3 2 5 3 2" xfId="23458" xr:uid="{A8D0AE1C-52FB-41AB-8B00-5715960DDCA0}"/>
    <cellStyle name="Note 3 3 2 5 3 3" xfId="15017" xr:uid="{ABCBDD4C-5180-4141-81C9-BFD8F9F5113C}"/>
    <cellStyle name="Note 3 3 2 5 4" xfId="19240" xr:uid="{DB9A3699-1DFE-4A44-AF23-862F45AC70D2}"/>
    <cellStyle name="Note 3 3 2 5 5" xfId="10799" xr:uid="{05BE3F70-B9C2-46AB-8DC7-36DE485F84D5}"/>
    <cellStyle name="Note 3 3 2 6" xfId="2697" xr:uid="{00000000-0005-0000-0000-0000B9210000}"/>
    <cellStyle name="Note 3 3 2 6 2" xfId="6980" xr:uid="{00000000-0005-0000-0000-0000BA210000}"/>
    <cellStyle name="Note 3 3 2 6 2 2" xfId="23871" xr:uid="{7DCCD0E6-ADFD-49D8-BB8A-619363119E03}"/>
    <cellStyle name="Note 3 3 2 6 2 3" xfId="15430" xr:uid="{EF72C498-D10F-4BB1-B133-7A458768CD24}"/>
    <cellStyle name="Note 3 3 2 6 3" xfId="19653" xr:uid="{C2E5E428-3E3D-4ED1-9715-2655D74FD2C2}"/>
    <cellStyle name="Note 3 3 2 6 4" xfId="11212" xr:uid="{1397A5F5-9FA5-442B-AB93-66C09D19FD42}"/>
    <cellStyle name="Note 3 3 2 7" xfId="2756" xr:uid="{00000000-0005-0000-0000-0000BB210000}"/>
    <cellStyle name="Note 3 3 2 8" xfId="2837" xr:uid="{00000000-0005-0000-0000-0000BC210000}"/>
    <cellStyle name="Note 3 3 2 8 2" xfId="7060" xr:uid="{00000000-0005-0000-0000-0000BD210000}"/>
    <cellStyle name="Note 3 3 2 8 2 2" xfId="23951" xr:uid="{A2EF77B3-F7A3-4756-8166-DDDA86700B48}"/>
    <cellStyle name="Note 3 3 2 8 2 3" xfId="15510" xr:uid="{34028DB2-B5E5-4BD7-A286-88066A9411DB}"/>
    <cellStyle name="Note 3 3 2 8 3" xfId="19733" xr:uid="{756F687B-A916-40D4-8A70-A8EFA79D82B8}"/>
    <cellStyle name="Note 3 3 2 8 4" xfId="11292" xr:uid="{242E7B2E-420A-4F5E-9E93-1D25DE9D9AF4}"/>
    <cellStyle name="Note 3 3 2 9" xfId="4915" xr:uid="{00000000-0005-0000-0000-0000BE210000}"/>
    <cellStyle name="Note 3 3 2 9 2" xfId="21806" xr:uid="{86BF4856-4537-4FDD-B5C7-96D9F0313998}"/>
    <cellStyle name="Note 3 3 2 9 3" xfId="13365" xr:uid="{12971E8D-9ABD-48C0-BC13-14D98A5C3025}"/>
    <cellStyle name="Note 3 3 3" xfId="1018" xr:uid="{00000000-0005-0000-0000-0000BF210000}"/>
    <cellStyle name="Note 3 3 3 2" xfId="3250" xr:uid="{00000000-0005-0000-0000-0000C0210000}"/>
    <cellStyle name="Note 3 3 3 2 2" xfId="7472" xr:uid="{00000000-0005-0000-0000-0000C1210000}"/>
    <cellStyle name="Note 3 3 3 2 2 2" xfId="24363" xr:uid="{A1C53A8E-C541-42F2-857A-D1CED11CE654}"/>
    <cellStyle name="Note 3 3 3 2 2 3" xfId="15922" xr:uid="{A6AC9A7D-C553-4161-B29D-9C597019E575}"/>
    <cellStyle name="Note 3 3 3 2 3" xfId="20145" xr:uid="{52F25EEC-EB09-4AED-8DEB-B9DA7E779DF2}"/>
    <cellStyle name="Note 3 3 3 2 4" xfId="11704" xr:uid="{D38103F3-338F-4FDB-936E-161738245718}"/>
    <cellStyle name="Note 3 3 3 3" xfId="5327" xr:uid="{00000000-0005-0000-0000-0000C2210000}"/>
    <cellStyle name="Note 3 3 3 3 2" xfId="22218" xr:uid="{D4E07132-895F-44B1-9828-10E07E4D8E5B}"/>
    <cellStyle name="Note 3 3 3 3 3" xfId="13777" xr:uid="{F19E5FC2-C597-4286-995A-EBDB1E4A7125}"/>
    <cellStyle name="Note 3 3 3 4" xfId="18000" xr:uid="{BC0D97F5-6EA4-4FAE-9963-5E71F23415FD}"/>
    <cellStyle name="Note 3 3 3 5" xfId="9559" xr:uid="{19DA42F7-92EF-487C-9977-8E9DF90FD22F}"/>
    <cellStyle name="Note 3 3 4" xfId="1433" xr:uid="{00000000-0005-0000-0000-0000C3210000}"/>
    <cellStyle name="Note 3 3 4 2" xfId="3663" xr:uid="{00000000-0005-0000-0000-0000C4210000}"/>
    <cellStyle name="Note 3 3 4 2 2" xfId="7885" xr:uid="{00000000-0005-0000-0000-0000C5210000}"/>
    <cellStyle name="Note 3 3 4 2 2 2" xfId="24776" xr:uid="{14942951-31A9-4777-A2A2-D17916126ECB}"/>
    <cellStyle name="Note 3 3 4 2 2 3" xfId="16335" xr:uid="{42BE59DA-8D82-425A-975E-BB4879BE7D1A}"/>
    <cellStyle name="Note 3 3 4 2 3" xfId="20558" xr:uid="{EFA1322A-81CA-4E6D-B880-64B400D68D09}"/>
    <cellStyle name="Note 3 3 4 2 4" xfId="12117" xr:uid="{79D61F71-6307-4190-ACF3-6D7823DC7C04}"/>
    <cellStyle name="Note 3 3 4 3" xfId="5740" xr:uid="{00000000-0005-0000-0000-0000C6210000}"/>
    <cellStyle name="Note 3 3 4 3 2" xfId="22631" xr:uid="{42E3F912-0D13-46F4-9D5F-B7DD3469D7D2}"/>
    <cellStyle name="Note 3 3 4 3 3" xfId="14190" xr:uid="{41F19A4C-36D2-43B7-A977-E37031CCD0D2}"/>
    <cellStyle name="Note 3 3 4 4" xfId="18413" xr:uid="{5E43E85E-B804-440F-8D99-2C2858FBFE48}"/>
    <cellStyle name="Note 3 3 4 5" xfId="9972" xr:uid="{A4DE75B1-D3E3-4605-9FF8-E06988ED3110}"/>
    <cellStyle name="Note 3 3 5" xfId="1847" xr:uid="{00000000-0005-0000-0000-0000C7210000}"/>
    <cellStyle name="Note 3 3 5 2" xfId="4076" xr:uid="{00000000-0005-0000-0000-0000C8210000}"/>
    <cellStyle name="Note 3 3 5 2 2" xfId="8298" xr:uid="{00000000-0005-0000-0000-0000C9210000}"/>
    <cellStyle name="Note 3 3 5 2 2 2" xfId="25189" xr:uid="{BACC40C4-0F79-4D55-AA11-A1C7E932B358}"/>
    <cellStyle name="Note 3 3 5 2 2 3" xfId="16748" xr:uid="{A41C81BC-7607-45A8-AC97-50AE252E3ABF}"/>
    <cellStyle name="Note 3 3 5 2 3" xfId="20971" xr:uid="{1B1B3DCD-6199-4696-B47F-FC7DE298880A}"/>
    <cellStyle name="Note 3 3 5 2 4" xfId="12530" xr:uid="{0554F69B-7B63-479B-899A-07AFA81BF671}"/>
    <cellStyle name="Note 3 3 5 3" xfId="6153" xr:uid="{00000000-0005-0000-0000-0000CA210000}"/>
    <cellStyle name="Note 3 3 5 3 2" xfId="23044" xr:uid="{188C073B-914D-4E85-8706-DD43C29F8AFC}"/>
    <cellStyle name="Note 3 3 5 3 3" xfId="14603" xr:uid="{9DAF264F-18A0-447B-9582-CD55FBA17C38}"/>
    <cellStyle name="Note 3 3 5 4" xfId="18826" xr:uid="{7EE51473-76C3-4EF2-8778-E0C70CB0CDA9}"/>
    <cellStyle name="Note 3 3 5 5" xfId="10385" xr:uid="{FE455388-1DB8-4B2C-8C67-4FFDDE2BEADE}"/>
    <cellStyle name="Note 3 3 6" xfId="2260" xr:uid="{00000000-0005-0000-0000-0000CB210000}"/>
    <cellStyle name="Note 3 3 6 2" xfId="4489" xr:uid="{00000000-0005-0000-0000-0000CC210000}"/>
    <cellStyle name="Note 3 3 6 2 2" xfId="8711" xr:uid="{00000000-0005-0000-0000-0000CD210000}"/>
    <cellStyle name="Note 3 3 6 2 2 2" xfId="25602" xr:uid="{2209A2EF-CBE2-439A-80B6-A96343F861F6}"/>
    <cellStyle name="Note 3 3 6 2 2 3" xfId="17161" xr:uid="{F5060E9B-60B8-4D8C-B199-95EBBAB9B2D7}"/>
    <cellStyle name="Note 3 3 6 2 3" xfId="21384" xr:uid="{549633CE-FD9A-4824-9564-F96179B3750A}"/>
    <cellStyle name="Note 3 3 6 2 4" xfId="12943" xr:uid="{724A2A74-F78A-4721-975C-2A4F3F5E2DBD}"/>
    <cellStyle name="Note 3 3 6 3" xfId="6566" xr:uid="{00000000-0005-0000-0000-0000CE210000}"/>
    <cellStyle name="Note 3 3 6 3 2" xfId="23457" xr:uid="{9C2063B6-C626-4706-91B5-894B150A297B}"/>
    <cellStyle name="Note 3 3 6 3 3" xfId="15016" xr:uid="{14C97AB0-869F-41A5-9BB5-7C89AD89A5BE}"/>
    <cellStyle name="Note 3 3 6 4" xfId="19239" xr:uid="{FBF1C622-3DCB-4D72-8D6E-4F9791ECAB23}"/>
    <cellStyle name="Note 3 3 6 5" xfId="10798" xr:uid="{6FDAAE13-7755-410E-865A-0A5460E6E1DD}"/>
    <cellStyle name="Note 3 3 7" xfId="2696" xr:uid="{00000000-0005-0000-0000-0000CF210000}"/>
    <cellStyle name="Note 3 3 7 2" xfId="6979" xr:uid="{00000000-0005-0000-0000-0000D0210000}"/>
    <cellStyle name="Note 3 3 7 2 2" xfId="23870" xr:uid="{AE089258-05CA-4CA2-80A4-086C30A4431A}"/>
    <cellStyle name="Note 3 3 7 2 3" xfId="15429" xr:uid="{70781213-5444-484D-B979-E270165AC4BE}"/>
    <cellStyle name="Note 3 3 7 3" xfId="19652" xr:uid="{3D2ED6DF-AA5D-4082-83B0-13ECEA307C32}"/>
    <cellStyle name="Note 3 3 7 4" xfId="11211" xr:uid="{DF3BDA08-D10B-4C24-B940-C68C4E4E075A}"/>
    <cellStyle name="Note 3 3 8" xfId="2755" xr:uid="{00000000-0005-0000-0000-0000D1210000}"/>
    <cellStyle name="Note 3 3 9" xfId="2836" xr:uid="{00000000-0005-0000-0000-0000D2210000}"/>
    <cellStyle name="Note 3 3 9 2" xfId="7059" xr:uid="{00000000-0005-0000-0000-0000D3210000}"/>
    <cellStyle name="Note 3 3 9 2 2" xfId="23950" xr:uid="{EC1053B5-B842-4CDF-B943-AB1FAE71BA55}"/>
    <cellStyle name="Note 3 3 9 2 3" xfId="15509" xr:uid="{E7067714-C30C-4925-AB80-5C9B763DD535}"/>
    <cellStyle name="Note 3 3 9 3" xfId="19732" xr:uid="{CD8ACF7F-DE23-4DA2-AF22-A1CCC6C02D0A}"/>
    <cellStyle name="Note 3 3 9 4" xfId="11291" xr:uid="{998EA012-6FD2-44EF-85B2-E177FE0A4A82}"/>
    <cellStyle name="Note 3 4" xfId="560" xr:uid="{00000000-0005-0000-0000-0000D4210000}"/>
    <cellStyle name="Note 3 4 10" xfId="17589" xr:uid="{D7D3609F-C590-49DD-A1EF-F9A2C0006881}"/>
    <cellStyle name="Note 3 4 11" xfId="9148" xr:uid="{D0CFC8FE-CF6D-465A-AA7A-530570F77942}"/>
    <cellStyle name="Note 3 4 2" xfId="1020" xr:uid="{00000000-0005-0000-0000-0000D5210000}"/>
    <cellStyle name="Note 3 4 2 2" xfId="3252" xr:uid="{00000000-0005-0000-0000-0000D6210000}"/>
    <cellStyle name="Note 3 4 2 2 2" xfId="7474" xr:uid="{00000000-0005-0000-0000-0000D7210000}"/>
    <cellStyle name="Note 3 4 2 2 2 2" xfId="24365" xr:uid="{DF6349A2-001A-443F-AF4E-ADFA2F16B07B}"/>
    <cellStyle name="Note 3 4 2 2 2 3" xfId="15924" xr:uid="{75DF8203-B55C-4CDF-A431-0BED27288E0C}"/>
    <cellStyle name="Note 3 4 2 2 3" xfId="20147" xr:uid="{78710498-3AF3-4D1A-BFA7-A10B6CAF4EC3}"/>
    <cellStyle name="Note 3 4 2 2 4" xfId="11706" xr:uid="{C022F99A-494E-48DD-9AD3-34FCB686ECBA}"/>
    <cellStyle name="Note 3 4 2 3" xfId="5329" xr:uid="{00000000-0005-0000-0000-0000D8210000}"/>
    <cellStyle name="Note 3 4 2 3 2" xfId="22220" xr:uid="{A3DE789E-A196-4D2D-8538-4659BAE8255B}"/>
    <cellStyle name="Note 3 4 2 3 3" xfId="13779" xr:uid="{A1681F56-8D56-420E-9034-5376C572B6D3}"/>
    <cellStyle name="Note 3 4 2 4" xfId="18002" xr:uid="{50F280C9-77D9-4796-8046-46CED3F1F387}"/>
    <cellStyle name="Note 3 4 2 5" xfId="9561" xr:uid="{126B9727-EF9A-4616-AC3B-E76ECDE09BD0}"/>
    <cellStyle name="Note 3 4 3" xfId="1435" xr:uid="{00000000-0005-0000-0000-0000D9210000}"/>
    <cellStyle name="Note 3 4 3 2" xfId="3665" xr:uid="{00000000-0005-0000-0000-0000DA210000}"/>
    <cellStyle name="Note 3 4 3 2 2" xfId="7887" xr:uid="{00000000-0005-0000-0000-0000DB210000}"/>
    <cellStyle name="Note 3 4 3 2 2 2" xfId="24778" xr:uid="{5172C9DC-2D8C-4D0B-9D8A-CA7AAF062AEF}"/>
    <cellStyle name="Note 3 4 3 2 2 3" xfId="16337" xr:uid="{B28DCE21-B9DD-49BC-A23F-932EFE590BAE}"/>
    <cellStyle name="Note 3 4 3 2 3" xfId="20560" xr:uid="{D173141E-7D20-45AB-B58F-2A4D49C73172}"/>
    <cellStyle name="Note 3 4 3 2 4" xfId="12119" xr:uid="{FC242561-0FC5-40C7-828E-6AF8AD19320C}"/>
    <cellStyle name="Note 3 4 3 3" xfId="5742" xr:uid="{00000000-0005-0000-0000-0000DC210000}"/>
    <cellStyle name="Note 3 4 3 3 2" xfId="22633" xr:uid="{ED593714-0539-424D-9055-825A1DBF3F2A}"/>
    <cellStyle name="Note 3 4 3 3 3" xfId="14192" xr:uid="{082C98D2-5C74-42FC-9889-A39611FA1069}"/>
    <cellStyle name="Note 3 4 3 4" xfId="18415" xr:uid="{7F2AC4CB-0CB9-434D-9A39-95399B96BEF9}"/>
    <cellStyle name="Note 3 4 3 5" xfId="9974" xr:uid="{CDA2345F-B265-441C-A8CE-08937F2EB115}"/>
    <cellStyle name="Note 3 4 4" xfId="1849" xr:uid="{00000000-0005-0000-0000-0000DD210000}"/>
    <cellStyle name="Note 3 4 4 2" xfId="4078" xr:uid="{00000000-0005-0000-0000-0000DE210000}"/>
    <cellStyle name="Note 3 4 4 2 2" xfId="8300" xr:uid="{00000000-0005-0000-0000-0000DF210000}"/>
    <cellStyle name="Note 3 4 4 2 2 2" xfId="25191" xr:uid="{B09F3D23-4D3B-4B68-BB16-BD6E6C676259}"/>
    <cellStyle name="Note 3 4 4 2 2 3" xfId="16750" xr:uid="{596875A5-4852-4E71-81D7-8342196E77BA}"/>
    <cellStyle name="Note 3 4 4 2 3" xfId="20973" xr:uid="{EC468DB2-8D88-4E65-AB48-2BBD842F6E7A}"/>
    <cellStyle name="Note 3 4 4 2 4" xfId="12532" xr:uid="{23A2D17D-A251-41DA-9D20-85918517B2B5}"/>
    <cellStyle name="Note 3 4 4 3" xfId="6155" xr:uid="{00000000-0005-0000-0000-0000E0210000}"/>
    <cellStyle name="Note 3 4 4 3 2" xfId="23046" xr:uid="{FDA52CC9-2148-4B81-BAC8-9C89394D4B2F}"/>
    <cellStyle name="Note 3 4 4 3 3" xfId="14605" xr:uid="{83B34300-25A4-4BCE-BE39-E6E9AA471E91}"/>
    <cellStyle name="Note 3 4 4 4" xfId="18828" xr:uid="{370AAA99-D38F-4DDD-A12C-ABD1A83F079F}"/>
    <cellStyle name="Note 3 4 4 5" xfId="10387" xr:uid="{3975CE8C-9043-41AB-9F5E-9E9B4EB4A4D3}"/>
    <cellStyle name="Note 3 4 5" xfId="2262" xr:uid="{00000000-0005-0000-0000-0000E1210000}"/>
    <cellStyle name="Note 3 4 5 2" xfId="4491" xr:uid="{00000000-0005-0000-0000-0000E2210000}"/>
    <cellStyle name="Note 3 4 5 2 2" xfId="8713" xr:uid="{00000000-0005-0000-0000-0000E3210000}"/>
    <cellStyle name="Note 3 4 5 2 2 2" xfId="25604" xr:uid="{A9513CF3-A704-4A9D-9563-1864F8AA633F}"/>
    <cellStyle name="Note 3 4 5 2 2 3" xfId="17163" xr:uid="{91FFC477-FFAB-4962-9B5D-36CA5052B7B1}"/>
    <cellStyle name="Note 3 4 5 2 3" xfId="21386" xr:uid="{EF509E23-96FA-4E07-9AF7-DDA6F5ABE73F}"/>
    <cellStyle name="Note 3 4 5 2 4" xfId="12945" xr:uid="{FB4826AE-4D79-44DF-B9D7-7DD2F5298D02}"/>
    <cellStyle name="Note 3 4 5 3" xfId="6568" xr:uid="{00000000-0005-0000-0000-0000E4210000}"/>
    <cellStyle name="Note 3 4 5 3 2" xfId="23459" xr:uid="{CF5941F7-E44B-4799-B05F-A7CD593B396E}"/>
    <cellStyle name="Note 3 4 5 3 3" xfId="15018" xr:uid="{764DE2AA-A28F-4867-8E54-30323E143872}"/>
    <cellStyle name="Note 3 4 5 4" xfId="19241" xr:uid="{175C2543-98A5-463B-923E-C8BA4AE98FA6}"/>
    <cellStyle name="Note 3 4 5 5" xfId="10800" xr:uid="{4C5A65F3-F69A-455F-9DC3-7ED28D7BD6C3}"/>
    <cellStyle name="Note 3 4 6" xfId="2698" xr:uid="{00000000-0005-0000-0000-0000E5210000}"/>
    <cellStyle name="Note 3 4 6 2" xfId="6981" xr:uid="{00000000-0005-0000-0000-0000E6210000}"/>
    <cellStyle name="Note 3 4 6 2 2" xfId="23872" xr:uid="{08C7DCFD-E28A-4C96-A0C3-B98F6DA8BCD1}"/>
    <cellStyle name="Note 3 4 6 2 3" xfId="15431" xr:uid="{8D70ED6D-21F6-49BE-BDFD-DAF5738AB9D2}"/>
    <cellStyle name="Note 3 4 6 3" xfId="19654" xr:uid="{687957BF-3C33-46DB-B505-3477A6E941B4}"/>
    <cellStyle name="Note 3 4 6 4" xfId="11213" xr:uid="{4A97AC0D-BF29-4973-829C-A26320B99C16}"/>
    <cellStyle name="Note 3 4 7" xfId="2757" xr:uid="{00000000-0005-0000-0000-0000E7210000}"/>
    <cellStyle name="Note 3 4 8" xfId="2838" xr:uid="{00000000-0005-0000-0000-0000E8210000}"/>
    <cellStyle name="Note 3 4 8 2" xfId="7061" xr:uid="{00000000-0005-0000-0000-0000E9210000}"/>
    <cellStyle name="Note 3 4 8 2 2" xfId="23952" xr:uid="{B7246B03-3EFC-4E9C-B565-C1212ED936F4}"/>
    <cellStyle name="Note 3 4 8 2 3" xfId="15511" xr:uid="{70DF7777-26DD-4A2F-A59C-7D7A59855414}"/>
    <cellStyle name="Note 3 4 8 3" xfId="19734" xr:uid="{7CF5FFB3-138C-430C-B64E-FF40442A97A0}"/>
    <cellStyle name="Note 3 4 8 4" xfId="11293" xr:uid="{50CB57CE-01B6-439E-8A5D-3C8A2BF5AA34}"/>
    <cellStyle name="Note 3 4 9" xfId="4916" xr:uid="{00000000-0005-0000-0000-0000EA210000}"/>
    <cellStyle name="Note 3 4 9 2" xfId="21807" xr:uid="{2643C4C9-2B66-45C0-A8E4-F03835A49C3D}"/>
    <cellStyle name="Note 3 4 9 3" xfId="13366" xr:uid="{9A8C15E1-7A14-48AF-BCC1-878CB593E7F8}"/>
    <cellStyle name="Note 3 5" xfId="561" xr:uid="{00000000-0005-0000-0000-0000EB210000}"/>
    <cellStyle name="Note 3 5 10" xfId="17590" xr:uid="{2A5C4A46-2574-4E63-AA00-86BD3BE31704}"/>
    <cellStyle name="Note 3 5 11" xfId="9149" xr:uid="{4EEA34AA-2F90-4DE2-A317-8A7E5B4B8644}"/>
    <cellStyle name="Note 3 5 2" xfId="1021" xr:uid="{00000000-0005-0000-0000-0000EC210000}"/>
    <cellStyle name="Note 3 5 2 2" xfId="3253" xr:uid="{00000000-0005-0000-0000-0000ED210000}"/>
    <cellStyle name="Note 3 5 2 2 2" xfId="7475" xr:uid="{00000000-0005-0000-0000-0000EE210000}"/>
    <cellStyle name="Note 3 5 2 2 2 2" xfId="24366" xr:uid="{EE8AF70A-55D3-4991-B8EB-91044A9EC8D1}"/>
    <cellStyle name="Note 3 5 2 2 2 3" xfId="15925" xr:uid="{DCD48E62-0C65-4E78-8CE8-6A830C509C65}"/>
    <cellStyle name="Note 3 5 2 2 3" xfId="20148" xr:uid="{E999D56C-72D2-4F93-A090-116C0E34C64D}"/>
    <cellStyle name="Note 3 5 2 2 4" xfId="11707" xr:uid="{26F589DE-015E-475F-AADD-BC848E834D22}"/>
    <cellStyle name="Note 3 5 2 3" xfId="5330" xr:uid="{00000000-0005-0000-0000-0000EF210000}"/>
    <cellStyle name="Note 3 5 2 3 2" xfId="22221" xr:uid="{33A351BA-CBAE-42AE-99D4-9BC600F79439}"/>
    <cellStyle name="Note 3 5 2 3 3" xfId="13780" xr:uid="{64B6E986-537D-430F-821A-821C966DE1BC}"/>
    <cellStyle name="Note 3 5 2 4" xfId="18003" xr:uid="{09FEFA9E-36FE-4AC7-B6B5-9062FCA2241B}"/>
    <cellStyle name="Note 3 5 2 5" xfId="9562" xr:uid="{F0BFA2FF-9E72-4B61-A7E7-BDAB191FDBAB}"/>
    <cellStyle name="Note 3 5 3" xfId="1436" xr:uid="{00000000-0005-0000-0000-0000F0210000}"/>
    <cellStyle name="Note 3 5 3 2" xfId="3666" xr:uid="{00000000-0005-0000-0000-0000F1210000}"/>
    <cellStyle name="Note 3 5 3 2 2" xfId="7888" xr:uid="{00000000-0005-0000-0000-0000F2210000}"/>
    <cellStyle name="Note 3 5 3 2 2 2" xfId="24779" xr:uid="{DA6F8E3C-C19B-4755-8AEF-E00E65013625}"/>
    <cellStyle name="Note 3 5 3 2 2 3" xfId="16338" xr:uid="{F94422E6-0E0A-41B2-A5DD-80ECF342225D}"/>
    <cellStyle name="Note 3 5 3 2 3" xfId="20561" xr:uid="{80530D26-14E3-4C77-A0D5-29C7D17E8B7D}"/>
    <cellStyle name="Note 3 5 3 2 4" xfId="12120" xr:uid="{2CB67367-CEE7-4EA3-B371-BEE806DC7DA9}"/>
    <cellStyle name="Note 3 5 3 3" xfId="5743" xr:uid="{00000000-0005-0000-0000-0000F3210000}"/>
    <cellStyle name="Note 3 5 3 3 2" xfId="22634" xr:uid="{1EBCC089-DFC6-4EDC-80F9-8C793D385838}"/>
    <cellStyle name="Note 3 5 3 3 3" xfId="14193" xr:uid="{FB9553E2-5D4E-4E2B-A4D8-596FC06FC9F3}"/>
    <cellStyle name="Note 3 5 3 4" xfId="18416" xr:uid="{47600CA3-2376-493B-AA67-ABE897B5222E}"/>
    <cellStyle name="Note 3 5 3 5" xfId="9975" xr:uid="{2E59DA95-02DE-44F4-B92E-0C253E04A1F6}"/>
    <cellStyle name="Note 3 5 4" xfId="1850" xr:uid="{00000000-0005-0000-0000-0000F4210000}"/>
    <cellStyle name="Note 3 5 4 2" xfId="4079" xr:uid="{00000000-0005-0000-0000-0000F5210000}"/>
    <cellStyle name="Note 3 5 4 2 2" xfId="8301" xr:uid="{00000000-0005-0000-0000-0000F6210000}"/>
    <cellStyle name="Note 3 5 4 2 2 2" xfId="25192" xr:uid="{520E3FEB-1BFD-4ADF-9083-28D7B61ED6EC}"/>
    <cellStyle name="Note 3 5 4 2 2 3" xfId="16751" xr:uid="{1C83711E-6C8D-4FE6-A029-48B4FF463B47}"/>
    <cellStyle name="Note 3 5 4 2 3" xfId="20974" xr:uid="{A0E4105F-8BE6-4D37-BD61-C389B9CAD858}"/>
    <cellStyle name="Note 3 5 4 2 4" xfId="12533" xr:uid="{E138ACD2-6FDE-45E1-86E9-EDE34676667E}"/>
    <cellStyle name="Note 3 5 4 3" xfId="6156" xr:uid="{00000000-0005-0000-0000-0000F7210000}"/>
    <cellStyle name="Note 3 5 4 3 2" xfId="23047" xr:uid="{917C986C-694D-479D-8E19-9F13F85C8748}"/>
    <cellStyle name="Note 3 5 4 3 3" xfId="14606" xr:uid="{C486518E-EDC0-43FA-9F03-8EA904C0BC7C}"/>
    <cellStyle name="Note 3 5 4 4" xfId="18829" xr:uid="{4226839A-3C8A-423D-9AAB-F04145329BBE}"/>
    <cellStyle name="Note 3 5 4 5" xfId="10388" xr:uid="{7CA5B158-997E-4031-9A44-5C5FC9A329E3}"/>
    <cellStyle name="Note 3 5 5" xfId="2263" xr:uid="{00000000-0005-0000-0000-0000F8210000}"/>
    <cellStyle name="Note 3 5 5 2" xfId="4492" xr:uid="{00000000-0005-0000-0000-0000F9210000}"/>
    <cellStyle name="Note 3 5 5 2 2" xfId="8714" xr:uid="{00000000-0005-0000-0000-0000FA210000}"/>
    <cellStyle name="Note 3 5 5 2 2 2" xfId="25605" xr:uid="{E6154A81-BDBC-481E-BD8A-81F09E5DA21A}"/>
    <cellStyle name="Note 3 5 5 2 2 3" xfId="17164" xr:uid="{E6599C1A-2BE2-4176-8476-B75E005D5718}"/>
    <cellStyle name="Note 3 5 5 2 3" xfId="21387" xr:uid="{8E25591B-7244-4261-BD42-3AA134C6B117}"/>
    <cellStyle name="Note 3 5 5 2 4" xfId="12946" xr:uid="{B3F487B8-1F75-44ED-B01C-CFC31B88CFF9}"/>
    <cellStyle name="Note 3 5 5 3" xfId="6569" xr:uid="{00000000-0005-0000-0000-0000FB210000}"/>
    <cellStyle name="Note 3 5 5 3 2" xfId="23460" xr:uid="{4FC0EE4B-7838-4602-95BE-732E3A61126B}"/>
    <cellStyle name="Note 3 5 5 3 3" xfId="15019" xr:uid="{5BCD2B53-BA13-4B9E-9120-4E497972E175}"/>
    <cellStyle name="Note 3 5 5 4" xfId="19242" xr:uid="{01BA678C-D195-45F6-9B0F-4CF1F78802E6}"/>
    <cellStyle name="Note 3 5 5 5" xfId="10801" xr:uid="{68E7A33A-F8D7-4DAA-8E25-AFCC746BA830}"/>
    <cellStyle name="Note 3 5 6" xfId="2699" xr:uid="{00000000-0005-0000-0000-0000FC210000}"/>
    <cellStyle name="Note 3 5 6 2" xfId="6982" xr:uid="{00000000-0005-0000-0000-0000FD210000}"/>
    <cellStyle name="Note 3 5 6 2 2" xfId="23873" xr:uid="{E9D62938-DD68-492D-84B2-8ECAC0E36CCF}"/>
    <cellStyle name="Note 3 5 6 2 3" xfId="15432" xr:uid="{B0DDDF9D-3395-4E2C-8EC6-0E93B8B61DBF}"/>
    <cellStyle name="Note 3 5 6 3" xfId="19655" xr:uid="{E5B75475-7018-4741-8EB7-D1B7D214117F}"/>
    <cellStyle name="Note 3 5 6 4" xfId="11214" xr:uid="{825EFB19-369C-4BE4-8C2C-84F8C7D65987}"/>
    <cellStyle name="Note 3 5 7" xfId="2758" xr:uid="{00000000-0005-0000-0000-0000FE210000}"/>
    <cellStyle name="Note 3 5 8" xfId="2839" xr:uid="{00000000-0005-0000-0000-0000FF210000}"/>
    <cellStyle name="Note 3 5 8 2" xfId="7062" xr:uid="{00000000-0005-0000-0000-000000220000}"/>
    <cellStyle name="Note 3 5 8 2 2" xfId="23953" xr:uid="{6594AB77-DF00-4D42-90F9-2D1A6F64B7DF}"/>
    <cellStyle name="Note 3 5 8 2 3" xfId="15512" xr:uid="{9B68B8FC-CCD2-4E44-AC69-8020143BC6A5}"/>
    <cellStyle name="Note 3 5 8 3" xfId="19735" xr:uid="{1AFB1F5F-CED0-4453-A1B7-70BC2E2E3625}"/>
    <cellStyle name="Note 3 5 8 4" xfId="11294" xr:uid="{4150DCC9-CCFF-43E3-93B1-256B4C8F3CAF}"/>
    <cellStyle name="Note 3 5 9" xfId="4917" xr:uid="{00000000-0005-0000-0000-000001220000}"/>
    <cellStyle name="Note 3 5 9 2" xfId="21808" xr:uid="{5F892AAC-A984-4FE7-8296-368079D8F4C1}"/>
    <cellStyle name="Note 3 5 9 3" xfId="13367" xr:uid="{4B6A57B5-3428-43BB-A251-02E0031464DE}"/>
    <cellStyle name="Output" xfId="562" builtinId="21" customBuiltin="1"/>
    <cellStyle name="Output 2" xfId="563" xr:uid="{00000000-0005-0000-0000-000003220000}"/>
    <cellStyle name="Percent" xfId="4494" builtinId="5"/>
    <cellStyle name="Percent 2" xfId="1022" xr:uid="{00000000-0005-0000-0000-000005220000}"/>
    <cellStyle name="Percent 2 2" xfId="25780" xr:uid="{3CCA9DD7-8814-4621-BB44-AC0555504288}"/>
    <cellStyle name="Percent 2 3" xfId="25653" xr:uid="{11698FD1-0273-4E45-9468-0A782D832CC2}"/>
    <cellStyle name="Percent 3" xfId="4499" xr:uid="{00000000-0005-0000-0000-000006220000}"/>
    <cellStyle name="Percent 3 2" xfId="21391" xr:uid="{578E4201-8FDE-4AF1-B771-A3F45F378628}"/>
    <cellStyle name="Percent 3 2 2" xfId="25882" xr:uid="{B976E640-DDDC-4EFB-83C0-9543D72E5A73}"/>
    <cellStyle name="Percent 3 2 3" xfId="25797" xr:uid="{96FEA7E5-E9BC-491D-BFBA-61AFD5745535}"/>
    <cellStyle name="Percent 3 3" xfId="12950" xr:uid="{DC572897-0253-4543-87C1-AFB22EFA23A8}"/>
    <cellStyle name="Percent 3 4" xfId="25663" xr:uid="{C10B4AA3-B14C-44D1-AAE4-52AF0B19C919}"/>
    <cellStyle name="Percent 4" xfId="4502" xr:uid="{00000000-0005-0000-0000-000007220000}"/>
    <cellStyle name="Percent 4 2" xfId="8717" xr:uid="{00000000-0005-0000-0000-000008220000}"/>
    <cellStyle name="Percent 4 2 2" xfId="25608" xr:uid="{155ECDDD-CD8A-4444-B9E8-D8C4E5D255C9}"/>
    <cellStyle name="Percent 4 2 3" xfId="17167" xr:uid="{8BB623D0-3FCF-4555-9DEB-D16AD31F9DBD}"/>
    <cellStyle name="Percent 4 2 4" xfId="25833" xr:uid="{B47F36BB-B23E-41C8-89EE-9419E7BA0353}"/>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2 3" xfId="25617" xr:uid="{56A298BF-B109-433F-BDA1-68BEA6A0D834}"/>
    <cellStyle name="Percent 4 3 2 2 3" xfId="17176" xr:uid="{54DD54B3-37D3-4CE3-A750-07BD01433093}"/>
    <cellStyle name="Percent 4 3 2 3" xfId="25614" xr:uid="{B211533B-A463-4371-9BFE-D059A42777DB}"/>
    <cellStyle name="Percent 4 3 2 4" xfId="17173" xr:uid="{0D324248-D12C-4E6B-BC82-B0F4428CC12E}"/>
    <cellStyle name="Percent 4 3 2 5" xfId="25879" xr:uid="{C057307F-B59C-4E1E-B4CF-C377371DC0B9}"/>
    <cellStyle name="Percent 4 3 3" xfId="25611" xr:uid="{AF670484-F313-46B9-8B98-978C538A8AAD}"/>
    <cellStyle name="Percent 4 3 4" xfId="17170" xr:uid="{8D2EA80F-E59A-41BF-978C-01E44083BDCD}"/>
    <cellStyle name="Percent 4 3 5" xfId="25794" xr:uid="{0C7D183C-3BB3-4E8E-BF65-1E1D7168AC5D}"/>
    <cellStyle name="Percent 4 4" xfId="21394" xr:uid="{A38DB72F-D1D3-4A37-956C-2027483E50C4}"/>
    <cellStyle name="Percent 4 5" xfId="12953" xr:uid="{A29D9E6B-6316-48B6-95B8-A2A719FA29C3}"/>
    <cellStyle name="Percent 4 6" xfId="25679" xr:uid="{17878214-EE5B-47E5-B287-46D1118A204A}"/>
    <cellStyle name="Percent 5" xfId="25788" xr:uid="{E30C44D7-ACE0-40E9-B242-D12934891FF7}"/>
    <cellStyle name="Percent 5 2" xfId="25872" xr:uid="{1F3FCFE6-800C-4FC4-8594-56ED9B3EB37A}"/>
    <cellStyle name="Percent 6" xfId="25799" xr:uid="{8F2DFA9F-CB00-4AF2-B543-F845631C7845}"/>
    <cellStyle name="Percent 6 2" xfId="25885" xr:uid="{E988514B-F16E-44DA-A58C-3F9DD0055C68}"/>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15240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44140625" customWidth="1"/>
    <col min="6" max="6" width="3" customWidth="1"/>
    <col min="7" max="36" width="2.44140625" customWidth="1"/>
    <col min="37" max="38" width="2.6640625" customWidth="1"/>
    <col min="39" max="16384" width="2.44140625" hidden="1"/>
  </cols>
  <sheetData>
    <row r="1" spans="1:38">
      <c r="A1" s="1233" t="s">
        <v>0</v>
      </c>
      <c r="B1" s="1233"/>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1233"/>
      <c r="AC1" s="1233"/>
      <c r="AD1" s="1233"/>
      <c r="AE1" s="1233"/>
      <c r="AF1" s="1233"/>
      <c r="AG1" s="1233"/>
      <c r="AH1" s="1233"/>
      <c r="AI1" s="1233"/>
      <c r="AJ1" s="1233"/>
      <c r="AK1" s="1233"/>
      <c r="AL1" s="1233"/>
    </row>
    <row r="2" spans="1:38" ht="13.8" thickBot="1">
      <c r="A2" s="1234"/>
      <c r="B2" s="1234"/>
      <c r="C2" s="1234"/>
      <c r="D2" s="1234"/>
      <c r="E2" s="1234"/>
      <c r="F2" s="1234"/>
      <c r="G2" s="1234"/>
      <c r="H2" s="1234"/>
      <c r="I2" s="1234"/>
      <c r="J2" s="1234"/>
      <c r="K2" s="1234"/>
      <c r="L2" s="1234"/>
      <c r="M2" s="1234"/>
      <c r="N2" s="1234"/>
      <c r="O2" s="1234"/>
      <c r="P2" s="1234"/>
      <c r="Q2" s="1234"/>
      <c r="R2" s="1234"/>
      <c r="S2" s="1234"/>
      <c r="T2" s="1234"/>
      <c r="U2" s="1234"/>
      <c r="V2" s="1234"/>
      <c r="W2" s="1234"/>
      <c r="X2" s="1234"/>
      <c r="Y2" s="1234"/>
      <c r="Z2" s="1234"/>
      <c r="AA2" s="1234"/>
      <c r="AB2" s="1234"/>
      <c r="AC2" s="1234"/>
      <c r="AD2" s="1234"/>
      <c r="AE2" s="1234"/>
      <c r="AF2" s="1234"/>
      <c r="AG2" s="1234"/>
      <c r="AH2" s="1234"/>
      <c r="AI2" s="1234"/>
      <c r="AJ2" s="1234"/>
      <c r="AK2" s="1234"/>
      <c r="AL2" s="1234"/>
    </row>
    <row r="3" spans="1:38" ht="13.8" thickTop="1"/>
    <row r="4" spans="1:38" s="4" customFormat="1">
      <c r="B4" s="9" t="s">
        <v>1</v>
      </c>
      <c r="C4" s="9" t="s">
        <v>2</v>
      </c>
      <c r="D4" s="968"/>
      <c r="E4" s="968"/>
      <c r="F4" s="968"/>
      <c r="G4" s="968"/>
      <c r="H4" s="968"/>
      <c r="I4" s="968"/>
      <c r="J4" s="968"/>
      <c r="K4" s="968"/>
      <c r="L4" s="968"/>
      <c r="M4" s="968"/>
      <c r="N4" s="968"/>
      <c r="O4" s="968"/>
      <c r="P4" s="968"/>
      <c r="Q4" s="968"/>
      <c r="R4" s="968"/>
      <c r="S4" s="968"/>
      <c r="T4" s="968"/>
      <c r="U4" s="968"/>
      <c r="V4" s="968"/>
      <c r="W4" s="968"/>
      <c r="X4" s="968"/>
      <c r="Y4" s="968"/>
      <c r="Z4" s="968"/>
      <c r="AA4" s="968"/>
      <c r="AB4" s="96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35" customHeight="1">
      <c r="A7" s="107"/>
      <c r="B7" s="107"/>
      <c r="C7" s="108"/>
      <c r="D7" s="1223" t="s">
        <v>5</v>
      </c>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1127"/>
    </row>
    <row r="8" spans="1:38">
      <c r="A8" s="107"/>
      <c r="B8" s="107"/>
      <c r="C8" s="108"/>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1127"/>
    </row>
    <row r="9" spans="1:38">
      <c r="A9" s="107"/>
      <c r="B9" s="107"/>
      <c r="C9" s="108"/>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1127"/>
    </row>
    <row r="10" spans="1:38">
      <c r="A10" s="107"/>
      <c r="B10" s="107"/>
      <c r="C10" s="108"/>
      <c r="D10" s="1127"/>
      <c r="E10" s="1127"/>
      <c r="F10" s="1127"/>
      <c r="G10" s="1127"/>
      <c r="H10" s="1127"/>
      <c r="I10" s="1127"/>
      <c r="J10" s="1127"/>
      <c r="K10" s="1127"/>
      <c r="L10" s="1127"/>
      <c r="M10" s="1127"/>
      <c r="N10" s="1127"/>
      <c r="O10" s="1127"/>
      <c r="P10" s="1127"/>
      <c r="Q10" s="1127"/>
      <c r="R10" s="1127"/>
      <c r="S10" s="1127"/>
      <c r="T10" s="1127"/>
      <c r="U10" s="1127"/>
      <c r="V10" s="1127"/>
      <c r="W10" s="1127"/>
      <c r="X10" s="1127"/>
      <c r="Y10" s="1127"/>
      <c r="Z10" s="1127"/>
      <c r="AA10" s="1127"/>
      <c r="AB10" s="1127"/>
      <c r="AC10" s="1127"/>
      <c r="AD10" s="1127"/>
      <c r="AE10" s="1127"/>
      <c r="AF10" s="1127"/>
      <c r="AG10" s="1127"/>
      <c r="AH10" s="1127"/>
      <c r="AI10" s="1127"/>
      <c r="AJ10" s="1127"/>
      <c r="AK10" s="1127"/>
      <c r="AL10" s="1127"/>
    </row>
    <row r="11" spans="1:38" ht="12.9" customHeight="1">
      <c r="A11" s="107"/>
      <c r="B11" s="107"/>
      <c r="C11" s="108"/>
      <c r="D11" s="1223" t="s">
        <v>6</v>
      </c>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1127"/>
    </row>
    <row r="12" spans="1:38">
      <c r="A12" s="107"/>
      <c r="B12" s="107"/>
      <c r="C12" s="108"/>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1127"/>
    </row>
    <row r="13" spans="1:38">
      <c r="A13" s="107"/>
      <c r="B13" s="107"/>
      <c r="C13" s="108"/>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127"/>
    </row>
    <row r="14" spans="1:38">
      <c r="A14" s="107"/>
      <c r="B14" s="107"/>
      <c r="C14" s="108"/>
      <c r="D14" s="1113"/>
      <c r="E14" s="1113"/>
      <c r="F14" s="1113"/>
      <c r="G14" s="1113"/>
      <c r="H14" s="1113"/>
      <c r="I14" s="1113"/>
      <c r="J14" s="1113"/>
      <c r="K14" s="1113"/>
      <c r="L14" s="1113"/>
      <c r="M14" s="1113"/>
      <c r="N14" s="1113"/>
      <c r="O14" s="1113"/>
      <c r="P14" s="1113"/>
      <c r="Q14" s="1113"/>
      <c r="R14" s="1113"/>
      <c r="S14" s="1113"/>
      <c r="T14" s="1113"/>
      <c r="U14" s="1113"/>
      <c r="V14" s="1113"/>
      <c r="W14" s="1113"/>
      <c r="X14" s="1113"/>
      <c r="Y14" s="1113"/>
      <c r="Z14" s="1113"/>
      <c r="AA14" s="1113"/>
      <c r="AB14" s="1113"/>
      <c r="AC14" s="1113"/>
      <c r="AD14" s="1113"/>
      <c r="AE14" s="1113"/>
      <c r="AF14" s="1113"/>
      <c r="AG14" s="1113"/>
      <c r="AH14" s="1113"/>
      <c r="AI14" s="1113"/>
      <c r="AJ14" s="1113"/>
      <c r="AK14" s="1113"/>
      <c r="AL14" s="1127"/>
    </row>
    <row r="15" spans="1:38" ht="13.35" customHeight="1">
      <c r="A15" s="107"/>
      <c r="B15" s="107"/>
      <c r="C15" s="108"/>
      <c r="D15" s="1223" t="s">
        <v>7</v>
      </c>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1127"/>
    </row>
    <row r="16" spans="1:38" ht="13.35" customHeight="1">
      <c r="A16" s="107"/>
      <c r="B16" s="107"/>
      <c r="C16" s="108"/>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1127"/>
    </row>
    <row r="17" spans="1:38">
      <c r="A17" s="107"/>
      <c r="B17" s="107"/>
      <c r="C17" s="108"/>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1127"/>
    </row>
    <row r="18" spans="1:38">
      <c r="A18" s="107"/>
      <c r="B18" s="107"/>
      <c r="C18" s="108"/>
      <c r="D18" s="1126" t="s">
        <v>8</v>
      </c>
      <c r="E18" s="1113"/>
      <c r="G18" s="1113"/>
      <c r="H18" s="1113"/>
      <c r="I18" s="1113"/>
      <c r="J18" s="1236" t="s">
        <v>9</v>
      </c>
      <c r="K18" s="1236"/>
      <c r="L18" s="1236"/>
      <c r="M18" s="1236"/>
      <c r="N18" s="1236"/>
      <c r="O18" s="1236"/>
      <c r="P18" s="1236"/>
      <c r="Q18" s="1236"/>
      <c r="R18" s="1236"/>
      <c r="S18" s="1236"/>
      <c r="T18" s="1236"/>
      <c r="U18" s="1236"/>
      <c r="V18" s="1236"/>
      <c r="W18" s="1236"/>
      <c r="X18" s="1236"/>
      <c r="Y18" s="1236"/>
      <c r="Z18" s="1236"/>
      <c r="AA18" s="1236"/>
      <c r="AB18" s="1236"/>
      <c r="AC18" s="1236"/>
      <c r="AD18" s="1236"/>
      <c r="AE18" s="1236"/>
      <c r="AF18" s="1236"/>
      <c r="AG18" s="1236"/>
      <c r="AH18" s="1236"/>
      <c r="AI18" s="1236"/>
      <c r="AJ18" s="1236"/>
      <c r="AK18" s="1236"/>
      <c r="AL18" s="1127"/>
    </row>
    <row r="19" spans="1:38">
      <c r="A19" s="107"/>
      <c r="B19" s="107"/>
      <c r="C19" s="108"/>
      <c r="D19" s="1113"/>
      <c r="E19" s="1113"/>
      <c r="F19" s="1114"/>
      <c r="G19" s="1113"/>
      <c r="H19" s="1113"/>
      <c r="I19" s="1113"/>
      <c r="J19" s="1113"/>
      <c r="K19" s="1113"/>
      <c r="L19" s="1113"/>
      <c r="M19" s="1113"/>
      <c r="N19" s="1113"/>
      <c r="O19" s="1113"/>
      <c r="P19" s="1113"/>
      <c r="Q19" s="1113"/>
      <c r="R19" s="1113"/>
      <c r="S19" s="1113"/>
      <c r="T19" s="1113"/>
      <c r="U19" s="1113"/>
      <c r="V19" s="1113"/>
      <c r="W19" s="1113"/>
      <c r="X19" s="1113"/>
      <c r="Y19" s="1113"/>
      <c r="Z19" s="1113"/>
      <c r="AA19" s="1113"/>
      <c r="AB19" s="1113"/>
      <c r="AC19" s="1113"/>
      <c r="AD19" s="1113"/>
      <c r="AE19" s="1113"/>
      <c r="AF19" s="1113"/>
      <c r="AG19" s="1113"/>
      <c r="AH19" s="1113"/>
      <c r="AI19" s="1113"/>
      <c r="AJ19" s="1113"/>
      <c r="AK19" s="1113"/>
      <c r="AL19" s="1127"/>
    </row>
    <row r="20" spans="1:38" ht="13.35" customHeight="1">
      <c r="A20" s="107"/>
      <c r="B20" s="107"/>
      <c r="C20" s="108"/>
      <c r="D20" s="1223" t="s">
        <v>10</v>
      </c>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07"/>
    </row>
    <row r="21" spans="1:38">
      <c r="A21" s="107"/>
      <c r="B21" s="107"/>
      <c r="C21" s="108"/>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07"/>
    </row>
    <row r="22" spans="1:38">
      <c r="A22" s="107"/>
      <c r="B22" s="107"/>
      <c r="C22" s="108"/>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07"/>
    </row>
    <row r="23" spans="1:38" ht="13.35" customHeight="1">
      <c r="A23" s="107"/>
      <c r="B23" s="107"/>
      <c r="C23" s="108"/>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07"/>
    </row>
    <row r="24" spans="1:38">
      <c r="A24" s="107"/>
      <c r="B24" s="107"/>
      <c r="C24" s="108"/>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07"/>
    </row>
    <row r="25" spans="1:38">
      <c r="A25" s="107"/>
      <c r="B25" s="107"/>
      <c r="C25" s="108"/>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07"/>
    </row>
    <row r="26" spans="1:38">
      <c r="A26" s="107"/>
      <c r="B26" s="107"/>
      <c r="C26" s="108"/>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07"/>
    </row>
    <row r="27" spans="1:38">
      <c r="A27" s="107"/>
      <c r="B27" s="107"/>
      <c r="C27" s="108"/>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07"/>
    </row>
    <row r="28" spans="1:38">
      <c r="A28" s="107"/>
      <c r="B28" s="107"/>
      <c r="C28" s="108"/>
      <c r="D28" s="1223"/>
      <c r="E28" s="1223"/>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07"/>
    </row>
    <row r="29" spans="1:38">
      <c r="A29" s="107"/>
      <c r="B29" s="107"/>
      <c r="C29" s="108"/>
      <c r="D29" s="1113"/>
      <c r="E29" s="1113"/>
      <c r="F29" s="1113"/>
      <c r="G29" s="1113"/>
      <c r="H29" s="1113"/>
      <c r="I29" s="1113"/>
      <c r="J29" s="1113"/>
      <c r="K29" s="1113"/>
      <c r="L29" s="1113"/>
      <c r="M29" s="1113"/>
      <c r="N29" s="1113"/>
      <c r="O29" s="1113"/>
      <c r="P29" s="1113"/>
      <c r="Q29" s="1113"/>
      <c r="R29" s="1113"/>
      <c r="S29" s="1113"/>
      <c r="T29" s="1113"/>
      <c r="U29" s="1113"/>
      <c r="V29" s="1113"/>
      <c r="W29" s="1113"/>
      <c r="X29" s="1113"/>
      <c r="Y29" s="1113"/>
      <c r="Z29" s="1113"/>
      <c r="AA29" s="1113"/>
      <c r="AB29" s="1113"/>
      <c r="AC29" s="1113"/>
      <c r="AD29" s="1113"/>
      <c r="AE29" s="1113"/>
      <c r="AF29" s="1113"/>
      <c r="AG29" s="1113"/>
      <c r="AH29" s="1113"/>
      <c r="AI29" s="1113"/>
      <c r="AJ29" s="1113"/>
      <c r="AK29" s="1113"/>
      <c r="AL29" s="107"/>
    </row>
    <row r="30" spans="1:38" ht="13.35" customHeight="1">
      <c r="A30" s="107"/>
      <c r="B30" s="107"/>
      <c r="C30" s="108"/>
      <c r="D30" s="1223" t="s">
        <v>11</v>
      </c>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07"/>
    </row>
    <row r="31" spans="1:38">
      <c r="A31" s="107"/>
      <c r="B31" s="107"/>
      <c r="C31" s="108"/>
      <c r="D31" s="1127"/>
      <c r="E31" s="1224" t="s">
        <v>12</v>
      </c>
      <c r="F31" s="1225"/>
      <c r="G31" s="1225"/>
      <c r="H31" s="1225"/>
      <c r="I31" s="1225"/>
      <c r="J31" s="1225"/>
      <c r="K31" s="1225"/>
      <c r="L31" s="1225"/>
      <c r="M31" s="1225"/>
      <c r="N31" s="1225"/>
      <c r="O31" s="1225"/>
      <c r="P31" s="1225"/>
      <c r="Q31" s="1225"/>
      <c r="R31" s="1225"/>
      <c r="S31" s="1225"/>
      <c r="T31" s="1225"/>
      <c r="U31" s="1225"/>
      <c r="V31" s="1225"/>
      <c r="W31" s="1225"/>
      <c r="X31" s="1225"/>
      <c r="Y31" s="1225"/>
      <c r="Z31" s="1225"/>
      <c r="AA31" s="1225"/>
      <c r="AB31" s="1225"/>
      <c r="AC31" s="1225"/>
      <c r="AD31" s="1225"/>
      <c r="AE31" s="1225"/>
      <c r="AF31" s="1225"/>
      <c r="AG31" s="1225"/>
      <c r="AH31" s="1225"/>
      <c r="AI31" s="1225"/>
      <c r="AJ31" s="1225"/>
      <c r="AK31" s="1225"/>
      <c r="AL31" s="107"/>
    </row>
    <row r="32" spans="1:38">
      <c r="A32" s="2"/>
      <c r="C32" s="1"/>
    </row>
    <row r="33" spans="1:38">
      <c r="A33" s="2"/>
      <c r="D33" s="1235" t="s">
        <v>13</v>
      </c>
      <c r="E33" s="1235"/>
      <c r="F33" s="1235"/>
      <c r="G33" s="1235"/>
      <c r="H33" s="1235"/>
      <c r="I33" s="1235"/>
      <c r="J33" s="1235"/>
      <c r="K33" s="1235"/>
      <c r="L33" s="1235"/>
      <c r="M33" s="1235"/>
      <c r="N33" s="1235"/>
      <c r="O33" s="1235"/>
      <c r="P33" s="1235"/>
      <c r="Q33" s="1235"/>
      <c r="R33" s="1235"/>
      <c r="S33" s="1235"/>
      <c r="T33" s="1235"/>
      <c r="U33" s="1235"/>
      <c r="V33" s="1235"/>
      <c r="W33" s="1235"/>
      <c r="X33" s="1235"/>
      <c r="Y33" s="1235"/>
      <c r="Z33" s="1235"/>
      <c r="AA33" s="1235"/>
      <c r="AB33" s="1235"/>
      <c r="AC33" s="1235"/>
      <c r="AD33" s="1235"/>
      <c r="AE33" s="1235"/>
      <c r="AF33" s="1235"/>
      <c r="AG33" s="1235"/>
      <c r="AH33" s="1235"/>
      <c r="AI33" s="1235"/>
      <c r="AJ33" s="1235"/>
      <c r="AK33" s="1235"/>
    </row>
    <row r="34" spans="1:38">
      <c r="A34" s="2"/>
      <c r="D34" s="1235"/>
      <c r="E34" s="1235"/>
      <c r="F34" s="1235"/>
      <c r="G34" s="1235"/>
      <c r="H34" s="1235"/>
      <c r="I34" s="1235"/>
      <c r="J34" s="1235"/>
      <c r="K34" s="1235"/>
      <c r="L34" s="1235"/>
      <c r="M34" s="1235"/>
      <c r="N34" s="1235"/>
      <c r="O34" s="1235"/>
      <c r="P34" s="1235"/>
      <c r="Q34" s="1235"/>
      <c r="R34" s="1235"/>
      <c r="S34" s="1235"/>
      <c r="T34" s="1235"/>
      <c r="U34" s="1235"/>
      <c r="V34" s="1235"/>
      <c r="W34" s="1235"/>
      <c r="X34" s="1235"/>
      <c r="Y34" s="1235"/>
      <c r="Z34" s="1235"/>
      <c r="AA34" s="1235"/>
      <c r="AB34" s="1235"/>
      <c r="AC34" s="1235"/>
      <c r="AD34" s="1235"/>
      <c r="AE34" s="1235"/>
      <c r="AF34" s="1235"/>
      <c r="AG34" s="1235"/>
      <c r="AH34" s="1235"/>
      <c r="AI34" s="1235"/>
      <c r="AJ34" s="1235"/>
      <c r="AK34" s="1235"/>
    </row>
    <row r="35" spans="1:38">
      <c r="A35" s="2"/>
      <c r="D35" s="70"/>
      <c r="E35" s="1230" t="s">
        <v>14</v>
      </c>
      <c r="F35" s="1230"/>
      <c r="G35" s="1230"/>
      <c r="H35" s="1230"/>
      <c r="I35" s="1230"/>
      <c r="J35" s="1230"/>
      <c r="K35" s="1230"/>
      <c r="L35" s="1230"/>
      <c r="M35" s="1230"/>
      <c r="N35" s="1230"/>
      <c r="O35" s="1230"/>
      <c r="P35" s="1230"/>
      <c r="Q35" s="1230"/>
      <c r="R35" s="1230"/>
      <c r="S35" s="1230"/>
      <c r="T35" s="1230"/>
      <c r="U35" s="1230"/>
      <c r="V35" s="1230"/>
      <c r="W35" s="1230"/>
      <c r="X35" s="1230"/>
      <c r="Y35" s="1230"/>
      <c r="Z35" s="1230"/>
      <c r="AA35" s="1230"/>
      <c r="AB35" s="1230"/>
      <c r="AC35" s="1230"/>
      <c r="AD35" s="1230"/>
      <c r="AE35" s="1230"/>
      <c r="AF35" s="1230"/>
      <c r="AG35" s="1230"/>
      <c r="AH35" s="1230"/>
      <c r="AI35" s="1230"/>
      <c r="AJ35" s="1230"/>
      <c r="AK35" s="1230"/>
    </row>
    <row r="36" spans="1:38">
      <c r="A36" s="2"/>
      <c r="D36" s="70"/>
      <c r="E36" s="1230" t="s">
        <v>15</v>
      </c>
      <c r="F36" s="1230"/>
      <c r="G36" s="1230"/>
      <c r="H36" s="1230"/>
      <c r="I36" s="1230"/>
      <c r="J36" s="1230"/>
      <c r="K36" s="1230"/>
      <c r="L36" s="1230"/>
      <c r="M36" s="1230"/>
      <c r="N36" s="1230"/>
      <c r="O36" s="1230"/>
      <c r="P36" s="1230"/>
      <c r="Q36" s="1230"/>
      <c r="R36" s="1230"/>
      <c r="S36" s="1230"/>
      <c r="T36" s="1230"/>
      <c r="U36" s="1230"/>
      <c r="V36" s="1230"/>
      <c r="W36" s="1230"/>
      <c r="X36" s="1230"/>
      <c r="Y36" s="1230"/>
      <c r="Z36" s="1230"/>
      <c r="AA36" s="1230"/>
      <c r="AB36" s="1230"/>
      <c r="AC36" s="1230"/>
      <c r="AD36" s="1230"/>
      <c r="AE36" s="1230"/>
      <c r="AF36" s="1230"/>
      <c r="AG36" s="1230"/>
      <c r="AH36" s="1230"/>
      <c r="AI36" s="1230"/>
      <c r="AJ36" s="1230"/>
      <c r="AK36" s="1230"/>
    </row>
    <row r="37" spans="1:38">
      <c r="A37" s="2"/>
      <c r="C37" s="1"/>
      <c r="D37" s="1"/>
      <c r="E37" s="2"/>
      <c r="F37" s="2"/>
      <c r="G37" s="2"/>
      <c r="H37" s="2"/>
      <c r="I37" s="2"/>
      <c r="J37" s="2"/>
      <c r="K37" s="2"/>
      <c r="L37" s="2"/>
      <c r="M37" s="2"/>
      <c r="N37" s="2"/>
      <c r="O37" s="2"/>
      <c r="P37" s="2"/>
      <c r="Q37" s="2"/>
      <c r="R37" s="2"/>
      <c r="S37" s="2"/>
      <c r="T37" s="2"/>
      <c r="U37" s="2"/>
      <c r="V37" s="2"/>
      <c r="W37" s="2"/>
      <c r="X37" s="2"/>
      <c r="Y37" s="2"/>
      <c r="Z37" s="2"/>
      <c r="AA37" s="2"/>
      <c r="AB37" s="2"/>
    </row>
    <row r="38" spans="1:38">
      <c r="A38" s="2"/>
      <c r="C38" s="1" t="s">
        <v>16</v>
      </c>
      <c r="D38" s="1" t="s">
        <v>17</v>
      </c>
      <c r="F38" s="2"/>
      <c r="G38" s="2"/>
      <c r="H38" s="2"/>
      <c r="I38" s="2"/>
      <c r="J38" s="2"/>
      <c r="K38" s="2"/>
      <c r="L38" s="2"/>
      <c r="M38" s="2"/>
      <c r="N38" s="2"/>
      <c r="O38" s="2"/>
      <c r="P38" s="2"/>
      <c r="Q38" s="2"/>
      <c r="R38" s="2"/>
      <c r="S38" s="2"/>
      <c r="T38" s="2"/>
      <c r="U38" s="2"/>
      <c r="V38" s="2"/>
      <c r="W38" s="2"/>
      <c r="X38" s="2"/>
      <c r="Y38" s="2"/>
      <c r="Z38" s="2"/>
      <c r="AA38" s="2"/>
      <c r="AB38" s="2"/>
    </row>
    <row r="39" spans="1:38">
      <c r="A39" s="2"/>
      <c r="B39" s="2"/>
      <c r="C39" s="2"/>
      <c r="D39" s="1152" t="s">
        <v>18</v>
      </c>
      <c r="E39" s="2" t="s">
        <v>19</v>
      </c>
      <c r="F39" s="2"/>
      <c r="G39" s="2"/>
      <c r="H39" s="2"/>
      <c r="I39" s="2"/>
      <c r="J39" s="2"/>
      <c r="K39" s="2"/>
      <c r="L39" s="2"/>
      <c r="M39" s="2"/>
      <c r="N39" s="2"/>
      <c r="O39" s="2"/>
      <c r="P39" s="2"/>
      <c r="Q39" s="2"/>
      <c r="R39" s="2"/>
      <c r="S39" s="2"/>
      <c r="T39" s="2"/>
      <c r="U39" s="2"/>
      <c r="V39" s="2"/>
      <c r="W39" s="2"/>
      <c r="X39" s="2"/>
      <c r="Y39" s="2"/>
      <c r="Z39" s="2"/>
      <c r="AA39" s="2"/>
      <c r="AB39" s="2"/>
    </row>
    <row r="40" spans="1:38" s="1223" customFormat="1" ht="13.35" customHeight="1">
      <c r="A40" s="2"/>
      <c r="B40"/>
      <c r="C40" s="1"/>
      <c r="D40" s="2"/>
      <c r="E40" s="2" t="s">
        <v>20</v>
      </c>
      <c r="F40" s="1223" t="s">
        <v>21</v>
      </c>
    </row>
    <row r="41" spans="1:38" s="1223" customFormat="1" ht="13.35" customHeight="1">
      <c r="A41" s="2"/>
      <c r="B41"/>
      <c r="C41" s="1"/>
      <c r="D41" s="2"/>
      <c r="E41" s="2"/>
    </row>
    <row r="42" spans="1:38">
      <c r="A42" s="2"/>
      <c r="C42" s="1"/>
      <c r="D42" s="2"/>
      <c r="E42" s="2"/>
      <c r="F42" s="68" t="s">
        <v>22</v>
      </c>
      <c r="G42" s="2" t="s">
        <v>23</v>
      </c>
      <c r="H42" s="1127"/>
      <c r="I42" s="1127"/>
      <c r="J42" s="1127"/>
      <c r="K42" s="1127"/>
      <c r="L42" s="1127"/>
      <c r="M42" s="1127"/>
      <c r="N42" s="1127"/>
      <c r="O42" s="1127"/>
      <c r="P42" s="1127"/>
      <c r="Q42" s="1127"/>
      <c r="R42" s="1127"/>
      <c r="S42" s="1127"/>
      <c r="T42" s="1127"/>
      <c r="U42" s="1127"/>
      <c r="V42" s="1127"/>
      <c r="W42" s="1127"/>
      <c r="X42" s="1127"/>
      <c r="Y42" s="1127"/>
      <c r="Z42" s="1127"/>
      <c r="AA42" s="1127"/>
      <c r="AB42" s="1127"/>
      <c r="AC42" s="1127"/>
      <c r="AD42" s="1127"/>
      <c r="AE42" s="1127"/>
      <c r="AF42" s="1127"/>
      <c r="AG42" s="1127"/>
      <c r="AH42" s="1127"/>
      <c r="AI42" s="1127"/>
      <c r="AJ42" s="1127"/>
      <c r="AK42" s="1127"/>
    </row>
    <row r="43" spans="1:38" s="68" customFormat="1" ht="13.35" customHeight="1">
      <c r="A43" s="2"/>
      <c r="B43"/>
      <c r="C43" s="1"/>
      <c r="D43" s="2"/>
      <c r="E43" s="2"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68" customFormat="1">
      <c r="A44" s="2"/>
      <c r="B44"/>
      <c r="C44" s="1"/>
      <c r="D44" s="2"/>
      <c r="E44" s="2"/>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68" customFormat="1" ht="13.35" customHeight="1">
      <c r="A45" s="2"/>
      <c r="B45"/>
      <c r="C45" s="1"/>
      <c r="D45" s="2"/>
      <c r="E45" s="2"/>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2"/>
      <c r="C46" s="1"/>
      <c r="D46" s="2"/>
      <c r="E46" s="2"/>
      <c r="F46" s="68" t="s">
        <v>22</v>
      </c>
      <c r="G46" s="2" t="s">
        <v>26</v>
      </c>
      <c r="H46" s="1154"/>
      <c r="I46" s="1154"/>
      <c r="J46" s="1154"/>
      <c r="K46" s="1154"/>
      <c r="L46" s="1154"/>
      <c r="M46" s="1154"/>
      <c r="N46" s="1154"/>
      <c r="O46" s="1154"/>
      <c r="P46" s="1154"/>
      <c r="Q46" s="1154"/>
      <c r="R46" s="1154"/>
      <c r="S46" s="1154"/>
      <c r="T46" s="1154"/>
      <c r="U46" s="1154"/>
      <c r="V46" s="1154"/>
      <c r="W46" s="1154"/>
      <c r="X46" s="1154"/>
      <c r="Y46" s="1154"/>
      <c r="Z46" s="1154"/>
      <c r="AA46" s="1154"/>
      <c r="AB46" s="1154"/>
      <c r="AC46" s="1154"/>
      <c r="AD46" s="1154"/>
      <c r="AE46" s="1154"/>
      <c r="AF46" s="1154"/>
      <c r="AG46" s="1154"/>
      <c r="AH46" s="1154"/>
      <c r="AI46" s="1154"/>
      <c r="AJ46" s="1154"/>
      <c r="AK46" s="1154"/>
      <c r="AL46" s="1154"/>
    </row>
    <row r="47" spans="1:38">
      <c r="A47" s="2"/>
      <c r="C47" s="1"/>
      <c r="D47" s="2"/>
      <c r="E47" s="2"/>
      <c r="F47" s="68" t="s">
        <v>27</v>
      </c>
      <c r="G47" s="2" t="s">
        <v>28</v>
      </c>
      <c r="I47" s="2"/>
      <c r="J47" s="2"/>
      <c r="K47" s="2"/>
      <c r="L47" s="2"/>
      <c r="O47" s="2"/>
      <c r="P47" s="2"/>
      <c r="Q47" s="2"/>
      <c r="R47" s="2"/>
      <c r="S47" s="2"/>
      <c r="T47" s="2"/>
      <c r="U47" s="2"/>
      <c r="V47" s="2"/>
      <c r="W47" s="2"/>
      <c r="X47" s="2"/>
      <c r="Y47" s="2"/>
      <c r="Z47" s="2"/>
      <c r="AA47" s="2"/>
      <c r="AB47" s="2"/>
    </row>
    <row r="48" spans="1:38">
      <c r="A48" s="2"/>
      <c r="C48" s="1"/>
      <c r="D48" s="2"/>
      <c r="E48" s="2" t="s">
        <v>29</v>
      </c>
      <c r="F48" s="1223" t="s">
        <v>30</v>
      </c>
      <c r="G48" s="1223"/>
      <c r="H48" s="1223"/>
      <c r="I48" s="1223"/>
      <c r="J48" s="1223"/>
      <c r="K48" s="1223"/>
      <c r="L48" s="1223"/>
      <c r="M48" s="1223"/>
      <c r="N48" s="1223"/>
      <c r="O48" s="1223"/>
      <c r="P48" s="1223"/>
      <c r="Q48" s="1223"/>
      <c r="R48" s="1223"/>
      <c r="S48" s="1223"/>
      <c r="T48" s="1223"/>
      <c r="U48" s="1223"/>
      <c r="V48" s="1223"/>
      <c r="W48" s="1223"/>
      <c r="X48" s="1223"/>
      <c r="Y48" s="1223"/>
      <c r="Z48" s="1223"/>
      <c r="AA48" s="1223"/>
      <c r="AB48" s="1223"/>
      <c r="AC48" s="1223"/>
      <c r="AD48" s="1223"/>
      <c r="AE48" s="1223"/>
      <c r="AF48" s="1223"/>
      <c r="AG48" s="1223"/>
      <c r="AH48" s="1223"/>
      <c r="AI48" s="1223"/>
      <c r="AJ48" s="1223"/>
      <c r="AK48" s="1223"/>
    </row>
    <row r="49" spans="1:38">
      <c r="A49" s="2"/>
      <c r="C49" s="1"/>
      <c r="D49" s="2"/>
      <c r="E49" s="2"/>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row>
    <row r="50" spans="1:38">
      <c r="A50" s="2"/>
      <c r="C50" s="1"/>
      <c r="D50" s="2"/>
      <c r="F50" s="1223"/>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row>
    <row r="51" spans="1:38">
      <c r="A51" s="2"/>
      <c r="C51" s="1"/>
      <c r="D51" s="2"/>
      <c r="E51" s="2"/>
      <c r="F51" s="2"/>
      <c r="G51" s="2"/>
      <c r="H51" s="2"/>
      <c r="I51" s="2"/>
      <c r="J51" s="2"/>
      <c r="K51" s="2"/>
      <c r="L51" s="2"/>
      <c r="M51" s="2"/>
      <c r="N51" s="2"/>
      <c r="O51" s="2"/>
      <c r="P51" s="2"/>
      <c r="Q51" s="2"/>
      <c r="R51" s="2"/>
      <c r="S51" s="2"/>
      <c r="T51" s="2"/>
      <c r="U51" s="2"/>
      <c r="V51" s="2"/>
      <c r="W51" s="2"/>
      <c r="X51" s="2"/>
      <c r="Y51" s="2"/>
      <c r="Z51" s="2"/>
      <c r="AA51" s="2"/>
      <c r="AB51" s="2"/>
    </row>
    <row r="52" spans="1:38">
      <c r="A52" s="2"/>
      <c r="C52" s="1"/>
      <c r="D52" s="2" t="s">
        <v>31</v>
      </c>
      <c r="E52" s="2" t="s">
        <v>32</v>
      </c>
      <c r="F52" s="2"/>
      <c r="G52" s="2"/>
      <c r="H52" s="2"/>
      <c r="I52" s="2"/>
      <c r="J52" s="973"/>
      <c r="K52" s="973"/>
      <c r="L52" s="973"/>
      <c r="M52" s="973"/>
      <c r="N52" s="973"/>
      <c r="O52" s="70"/>
      <c r="P52" s="70"/>
      <c r="Q52" s="70"/>
      <c r="R52" s="70"/>
      <c r="S52" s="70"/>
      <c r="T52" s="70"/>
      <c r="U52" s="2"/>
      <c r="V52" s="2"/>
      <c r="W52" s="2"/>
      <c r="X52" s="2"/>
      <c r="Y52" s="2"/>
      <c r="Z52" s="2"/>
      <c r="AA52" s="2"/>
      <c r="AB52" s="2"/>
    </row>
    <row r="53" spans="1:38">
      <c r="A53" s="2"/>
      <c r="C53" s="1"/>
      <c r="D53" s="1"/>
      <c r="E53" s="2" t="s">
        <v>20</v>
      </c>
      <c r="F53" s="2" t="s">
        <v>33</v>
      </c>
      <c r="G53" s="1"/>
      <c r="H53" s="70"/>
      <c r="I53" s="70"/>
      <c r="L53" s="70"/>
      <c r="M53" s="70"/>
      <c r="N53" s="70"/>
      <c r="O53" s="70"/>
      <c r="P53" s="70"/>
      <c r="Q53" s="70"/>
      <c r="R53" s="70"/>
      <c r="S53" s="70"/>
      <c r="T53" s="70"/>
      <c r="U53" s="70"/>
      <c r="V53" s="70"/>
      <c r="W53" s="70"/>
      <c r="X53" s="70"/>
      <c r="Y53" s="70"/>
      <c r="Z53" s="70"/>
      <c r="AA53" s="70"/>
      <c r="AB53" s="70"/>
      <c r="AC53" s="70"/>
      <c r="AD53" s="70"/>
      <c r="AE53" s="70"/>
      <c r="AF53" s="70"/>
      <c r="AG53" s="1"/>
    </row>
    <row r="54" spans="1:38" ht="13.35" customHeight="1">
      <c r="A54" s="107"/>
      <c r="B54" s="107"/>
      <c r="C54" s="108"/>
      <c r="D54" s="108"/>
      <c r="E54" s="107"/>
      <c r="F54" s="109" t="s">
        <v>22</v>
      </c>
      <c r="G54" s="1228" t="s">
        <v>34</v>
      </c>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8"/>
      <c r="AF54" s="1228"/>
      <c r="AG54" s="1228"/>
      <c r="AH54" s="1228"/>
      <c r="AI54" s="1228"/>
      <c r="AJ54" s="1228"/>
      <c r="AK54" s="1228"/>
      <c r="AL54" s="107"/>
    </row>
    <row r="55" spans="1:38" ht="13.35" customHeight="1">
      <c r="A55" s="107"/>
      <c r="B55" s="107"/>
      <c r="C55" s="108"/>
      <c r="D55" s="108"/>
      <c r="E55" s="107"/>
      <c r="F55" s="109"/>
      <c r="G55" s="287" t="s">
        <v>35</v>
      </c>
      <c r="H55" s="1115"/>
      <c r="I55" s="1115"/>
      <c r="J55" s="1115"/>
      <c r="K55" s="1115"/>
      <c r="L55" s="1115"/>
      <c r="M55" s="1115"/>
      <c r="N55" s="1115"/>
      <c r="O55" s="1115"/>
      <c r="P55" s="1115"/>
      <c r="Q55" s="1115"/>
      <c r="R55" s="1115"/>
      <c r="S55" s="1115"/>
      <c r="T55" s="1115"/>
      <c r="U55" s="1115"/>
      <c r="V55" s="1115"/>
      <c r="W55" s="1115"/>
      <c r="X55" s="1115"/>
      <c r="Y55" s="1115"/>
      <c r="Z55" s="1115"/>
      <c r="AA55" s="1115"/>
      <c r="AB55" s="1115"/>
      <c r="AC55" s="1115"/>
      <c r="AD55" s="1115"/>
      <c r="AE55" s="1115"/>
      <c r="AF55" s="1115"/>
      <c r="AG55" s="1115"/>
      <c r="AH55" s="1115"/>
      <c r="AI55" s="1115"/>
      <c r="AJ55" s="1115"/>
      <c r="AK55" s="1115"/>
      <c r="AL55" s="107"/>
    </row>
    <row r="56" spans="1:38">
      <c r="A56" s="107"/>
      <c r="B56" s="107"/>
      <c r="C56" s="108"/>
      <c r="D56" s="108"/>
      <c r="E56" s="107"/>
      <c r="F56" s="109"/>
      <c r="G56" s="1228" t="s">
        <v>36</v>
      </c>
      <c r="H56" s="1228"/>
      <c r="I56" s="1228"/>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107"/>
    </row>
    <row r="57" spans="1:38" ht="13.35" customHeight="1">
      <c r="A57" s="107"/>
      <c r="B57" s="108"/>
      <c r="C57" s="108"/>
      <c r="D57" s="108"/>
      <c r="E57" s="107"/>
      <c r="F57" s="109" t="s">
        <v>27</v>
      </c>
      <c r="G57" s="1228" t="s">
        <v>37</v>
      </c>
      <c r="H57" s="1228"/>
      <c r="I57" s="1228"/>
      <c r="J57" s="1228"/>
      <c r="K57" s="1228"/>
      <c r="L57" s="1228"/>
      <c r="M57" s="1228"/>
      <c r="N57" s="1228"/>
      <c r="O57" s="1228"/>
      <c r="P57" s="1228"/>
      <c r="Q57" s="1228"/>
      <c r="R57" s="1228"/>
      <c r="S57" s="1228"/>
      <c r="T57" s="1228"/>
      <c r="U57" s="1228"/>
      <c r="V57" s="1228"/>
      <c r="W57" s="1228"/>
      <c r="X57" s="1228"/>
      <c r="Y57" s="1228"/>
      <c r="Z57" s="1228"/>
      <c r="AA57" s="1228"/>
      <c r="AB57" s="1228"/>
      <c r="AC57" s="1228"/>
      <c r="AD57" s="1228"/>
      <c r="AE57" s="1228"/>
      <c r="AF57" s="1228"/>
      <c r="AG57" s="1228"/>
      <c r="AH57" s="1228"/>
      <c r="AI57" s="1228"/>
      <c r="AJ57" s="1228"/>
      <c r="AK57" s="1228"/>
      <c r="AL57" s="1228"/>
    </row>
    <row r="58" spans="1:38">
      <c r="A58" s="107"/>
      <c r="B58" s="107"/>
      <c r="C58" s="108"/>
      <c r="D58" s="108"/>
      <c r="E58" s="107"/>
      <c r="F58" s="109"/>
      <c r="G58" s="1228"/>
      <c r="H58" s="1228"/>
      <c r="I58" s="1228"/>
      <c r="J58" s="1228"/>
      <c r="K58" s="1228"/>
      <c r="L58" s="1228"/>
      <c r="M58" s="1228"/>
      <c r="N58" s="1228"/>
      <c r="O58" s="1228"/>
      <c r="P58" s="1228"/>
      <c r="Q58" s="1228"/>
      <c r="R58" s="1228"/>
      <c r="S58" s="1228"/>
      <c r="T58" s="1228"/>
      <c r="U58" s="1228"/>
      <c r="V58" s="1228"/>
      <c r="W58" s="1228"/>
      <c r="X58" s="1228"/>
      <c r="Y58" s="1228"/>
      <c r="Z58" s="1228"/>
      <c r="AA58" s="1228"/>
      <c r="AB58" s="1228"/>
      <c r="AC58" s="1228"/>
      <c r="AD58" s="1228"/>
      <c r="AE58" s="1228"/>
      <c r="AF58" s="1228"/>
      <c r="AG58" s="1228"/>
      <c r="AH58" s="1228"/>
      <c r="AI58" s="1228"/>
      <c r="AJ58" s="1228"/>
      <c r="AK58" s="1228"/>
      <c r="AL58" s="1228"/>
    </row>
    <row r="59" spans="1:38">
      <c r="A59" s="107"/>
      <c r="B59" s="107"/>
      <c r="C59" s="108"/>
      <c r="D59" s="108"/>
      <c r="E59" s="107"/>
      <c r="F59" s="109"/>
      <c r="G59" s="288" t="s">
        <v>38</v>
      </c>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107"/>
    </row>
    <row r="60" spans="1:38">
      <c r="A60" s="2"/>
      <c r="C60" s="1"/>
      <c r="D60" s="1"/>
      <c r="E60" s="2"/>
      <c r="F60" s="1"/>
      <c r="G60" s="1"/>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8">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row>
    <row r="62" spans="1:38">
      <c r="A62" s="2"/>
      <c r="C62" s="1"/>
      <c r="E62" s="2" t="s">
        <v>41</v>
      </c>
      <c r="G62" s="2"/>
      <c r="H62" s="2"/>
      <c r="I62" s="2"/>
      <c r="J62" s="2"/>
      <c r="K62" s="2"/>
      <c r="L62" s="2"/>
      <c r="M62" s="2"/>
      <c r="N62" s="2"/>
      <c r="O62" s="2"/>
      <c r="P62" s="2"/>
      <c r="Q62" s="2"/>
      <c r="R62" s="2"/>
      <c r="S62" s="2"/>
      <c r="T62" s="2"/>
      <c r="U62" s="2"/>
      <c r="V62" s="2"/>
      <c r="W62" s="2"/>
      <c r="X62" s="2"/>
      <c r="Y62" s="2"/>
      <c r="Z62" s="2"/>
      <c r="AA62" s="2"/>
      <c r="AB62" s="2"/>
    </row>
    <row r="63" spans="1:38">
      <c r="A63" s="2"/>
      <c r="C63" s="1"/>
      <c r="D63" s="2"/>
      <c r="E63" s="2" t="s">
        <v>20</v>
      </c>
      <c r="F63" s="2" t="s">
        <v>2</v>
      </c>
      <c r="G63" s="2"/>
      <c r="H63" s="2"/>
      <c r="I63" s="2"/>
      <c r="J63" s="2"/>
      <c r="K63" s="2"/>
      <c r="L63" s="2"/>
      <c r="M63" s="2"/>
      <c r="P63" s="2"/>
      <c r="Q63" s="2"/>
      <c r="R63" s="2"/>
      <c r="S63" s="2"/>
      <c r="T63" s="2"/>
      <c r="U63" s="2"/>
      <c r="V63" s="2"/>
      <c r="W63" s="2"/>
      <c r="X63" s="2"/>
      <c r="Y63" s="2"/>
      <c r="Z63" s="2"/>
      <c r="AA63" s="2"/>
      <c r="AB63" s="2"/>
    </row>
    <row r="64" spans="1:38">
      <c r="A64" s="2"/>
      <c r="C64" s="1"/>
      <c r="D64" s="2"/>
      <c r="E64" s="2"/>
      <c r="F64" t="s">
        <v>22</v>
      </c>
      <c r="G64" s="1223" t="s">
        <v>42</v>
      </c>
      <c r="H64" s="1223"/>
      <c r="I64" s="1223"/>
      <c r="J64" s="1223"/>
      <c r="K64" s="1223"/>
      <c r="L64" s="1223"/>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row>
    <row r="65" spans="1:37">
      <c r="A65" s="2"/>
      <c r="C65" s="1"/>
      <c r="D65" s="2"/>
      <c r="E65" s="2"/>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row>
    <row r="66" spans="1:37">
      <c r="A66" s="2"/>
      <c r="C66" s="1"/>
      <c r="D66" s="2"/>
      <c r="E66" s="2"/>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row>
    <row r="67" spans="1:37" ht="13.35" customHeight="1">
      <c r="A67" s="2"/>
      <c r="C67" s="1"/>
      <c r="D67" s="2"/>
      <c r="E67" s="2"/>
      <c r="F67" t="s">
        <v>27</v>
      </c>
      <c r="G67" s="1223" t="s">
        <v>43</v>
      </c>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row>
    <row r="68" spans="1:37">
      <c r="A68" s="2"/>
      <c r="C68" s="1"/>
      <c r="D68" s="2"/>
      <c r="E68" s="2"/>
      <c r="F68" s="21"/>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row>
    <row r="69" spans="1:37">
      <c r="A69" s="2"/>
      <c r="C69" s="1"/>
      <c r="D69" s="2"/>
      <c r="E69" s="2" t="s">
        <v>24</v>
      </c>
      <c r="F69" s="2" t="s">
        <v>44</v>
      </c>
      <c r="G69" s="1127"/>
      <c r="H69" s="1127"/>
      <c r="I69" s="1127"/>
      <c r="J69" s="1127"/>
      <c r="K69" s="1127"/>
      <c r="L69" s="1127"/>
      <c r="M69" s="1127"/>
      <c r="N69" s="1127"/>
      <c r="O69" s="1127"/>
      <c r="P69" s="1127"/>
      <c r="Q69" s="1127"/>
      <c r="R69" s="1127"/>
      <c r="S69" s="1127"/>
      <c r="T69" s="1127"/>
      <c r="U69" s="1127"/>
      <c r="V69" s="1127"/>
      <c r="W69" s="1127"/>
      <c r="X69" s="1127"/>
      <c r="Y69" s="1127"/>
      <c r="Z69" s="1127"/>
      <c r="AA69" s="1127"/>
      <c r="AB69" s="1127"/>
      <c r="AC69" s="1127"/>
      <c r="AD69" s="1127"/>
      <c r="AE69" s="1127"/>
      <c r="AF69" s="1127"/>
      <c r="AG69" s="1127"/>
      <c r="AH69" s="1127"/>
      <c r="AI69" s="1127"/>
      <c r="AJ69" s="1127"/>
      <c r="AK69" s="1127"/>
    </row>
    <row r="70" spans="1:37">
      <c r="A70" s="2"/>
      <c r="C70" s="1"/>
      <c r="D70" s="2"/>
      <c r="E70" s="2"/>
      <c r="F70" s="6" t="s">
        <v>22</v>
      </c>
      <c r="G70" s="1223" t="s">
        <v>45</v>
      </c>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row>
    <row r="71" spans="1:37">
      <c r="A71" s="2"/>
      <c r="C71" s="1"/>
      <c r="D71" s="2"/>
      <c r="E71" s="2"/>
      <c r="F71" s="6"/>
      <c r="G71" s="1223"/>
      <c r="H71" s="1223"/>
      <c r="I71" s="1223"/>
      <c r="J71" s="1223"/>
      <c r="K71" s="1223"/>
      <c r="L71" s="1223"/>
      <c r="M71" s="1223"/>
      <c r="N71" s="1223"/>
      <c r="O71" s="1223"/>
      <c r="P71" s="1223"/>
      <c r="Q71" s="1223"/>
      <c r="R71" s="1223"/>
      <c r="S71" s="1223"/>
      <c r="T71" s="1223"/>
      <c r="U71" s="1223"/>
      <c r="V71" s="1223"/>
      <c r="W71" s="1223"/>
      <c r="X71" s="1223"/>
      <c r="Y71" s="1223"/>
      <c r="Z71" s="1223"/>
      <c r="AA71" s="1223"/>
      <c r="AB71" s="1223"/>
      <c r="AC71" s="1223"/>
      <c r="AD71" s="1223"/>
      <c r="AE71" s="1223"/>
      <c r="AF71" s="1223"/>
      <c r="AG71" s="1223"/>
      <c r="AH71" s="1223"/>
      <c r="AI71" s="1223"/>
      <c r="AJ71" s="1223"/>
      <c r="AK71" s="1223"/>
    </row>
    <row r="72" spans="1:37">
      <c r="A72" s="2"/>
      <c r="C72" s="1"/>
      <c r="D72" s="2"/>
      <c r="E72" s="2"/>
      <c r="F72" s="6" t="s">
        <v>27</v>
      </c>
      <c r="G72" s="1223" t="s">
        <v>46</v>
      </c>
      <c r="H72" s="1223"/>
      <c r="I72" s="1223"/>
      <c r="J72" s="1223"/>
      <c r="K72" s="1223"/>
      <c r="L72" s="1223"/>
      <c r="M72" s="1223"/>
      <c r="N72" s="1223"/>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row>
    <row r="73" spans="1:37">
      <c r="A73" s="2"/>
      <c r="C73" s="1"/>
      <c r="D73" s="2"/>
      <c r="E73" s="2"/>
      <c r="F73" s="6"/>
      <c r="G73" s="1223"/>
      <c r="H73" s="1223"/>
      <c r="I73" s="1223"/>
      <c r="J73" s="1223"/>
      <c r="K73" s="1223"/>
      <c r="L73" s="1223"/>
      <c r="M73" s="1223"/>
      <c r="N73" s="1223"/>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row>
    <row r="74" spans="1:37">
      <c r="A74" s="2"/>
      <c r="C74" s="1"/>
      <c r="D74" s="2"/>
      <c r="E74" s="2"/>
      <c r="F74" s="6"/>
      <c r="G74" s="70" t="s">
        <v>47</v>
      </c>
      <c r="H74" s="2"/>
      <c r="J74" s="70"/>
      <c r="K74" s="70"/>
      <c r="L74" s="70"/>
      <c r="P74" s="2"/>
      <c r="Q74" s="2"/>
      <c r="R74" s="2"/>
      <c r="S74" s="2"/>
      <c r="T74" s="2"/>
      <c r="U74" s="2"/>
      <c r="V74" s="2"/>
      <c r="W74" s="2"/>
      <c r="X74" s="2"/>
      <c r="Y74" s="2"/>
      <c r="Z74" s="2"/>
      <c r="AA74" s="2"/>
      <c r="AB74" s="2"/>
    </row>
    <row r="75" spans="1:37">
      <c r="A75" s="2"/>
      <c r="C75" s="1"/>
      <c r="D75" s="2"/>
      <c r="E75" s="2"/>
      <c r="F75" s="6"/>
      <c r="G75" s="70" t="s">
        <v>48</v>
      </c>
      <c r="J75" s="70"/>
      <c r="K75" s="70"/>
      <c r="L75" s="70"/>
      <c r="P75" s="2"/>
      <c r="Q75" s="2"/>
      <c r="R75" s="2"/>
      <c r="S75" s="2"/>
      <c r="T75" s="2"/>
      <c r="U75" s="2"/>
      <c r="V75" s="2"/>
      <c r="W75" s="2"/>
      <c r="X75" s="2"/>
      <c r="Y75" s="2"/>
      <c r="Z75" s="2"/>
      <c r="AA75" s="2"/>
      <c r="AB75" s="2"/>
    </row>
    <row r="76" spans="1:37">
      <c r="A76" s="2"/>
      <c r="C76" s="1"/>
      <c r="D76" s="2"/>
      <c r="E76" s="2"/>
      <c r="F76" s="6" t="s">
        <v>49</v>
      </c>
      <c r="G76" s="2" t="s">
        <v>50</v>
      </c>
      <c r="H76" s="2"/>
      <c r="I76" s="2"/>
      <c r="K76" s="2"/>
      <c r="L76" s="2"/>
      <c r="M76" s="2"/>
      <c r="P76" s="2"/>
      <c r="Q76" s="2"/>
      <c r="R76" s="2"/>
      <c r="S76" s="2"/>
      <c r="T76" s="2"/>
      <c r="U76" s="2"/>
      <c r="V76" s="2"/>
      <c r="W76" s="2"/>
      <c r="X76" s="2"/>
      <c r="Y76" s="2"/>
      <c r="Z76" s="2"/>
      <c r="AA76" s="2"/>
      <c r="AB76" s="2"/>
    </row>
    <row r="77" spans="1:37">
      <c r="A77" s="2"/>
      <c r="C77" s="1"/>
      <c r="D77" s="2"/>
      <c r="E77" s="2"/>
      <c r="F77" s="2"/>
      <c r="G77" s="2" t="s">
        <v>51</v>
      </c>
      <c r="H77" s="2" t="s">
        <v>52</v>
      </c>
      <c r="K77" s="2"/>
      <c r="L77" s="2"/>
      <c r="M77" s="2"/>
      <c r="P77" s="2"/>
      <c r="Q77" s="2"/>
      <c r="R77" s="2"/>
      <c r="S77" s="2"/>
      <c r="T77" s="2"/>
      <c r="U77" s="2"/>
      <c r="V77" s="2"/>
      <c r="W77" s="2"/>
      <c r="X77" s="2"/>
      <c r="Y77" s="2"/>
      <c r="Z77" s="2"/>
      <c r="AA77" s="2"/>
      <c r="AB77" s="2"/>
    </row>
    <row r="78" spans="1:37">
      <c r="A78" s="2"/>
      <c r="C78" s="1"/>
      <c r="D78" s="2"/>
      <c r="E78" s="2"/>
      <c r="F78" s="2"/>
      <c r="G78" s="2" t="s">
        <v>53</v>
      </c>
      <c r="H78" s="2" t="s">
        <v>54</v>
      </c>
      <c r="K78" s="2"/>
      <c r="L78" s="2"/>
      <c r="M78" s="2"/>
      <c r="P78" s="2"/>
      <c r="Q78" s="2"/>
      <c r="R78" s="2"/>
      <c r="S78" s="2"/>
      <c r="T78" s="2"/>
      <c r="U78" s="2"/>
      <c r="V78" s="2"/>
      <c r="W78" s="2"/>
      <c r="X78" s="2"/>
      <c r="Y78" s="2"/>
      <c r="Z78" s="2"/>
      <c r="AA78" s="2"/>
      <c r="AB78" s="2"/>
    </row>
    <row r="79" spans="1:37">
      <c r="A79" s="2"/>
      <c r="C79" s="1"/>
      <c r="D79" s="2"/>
      <c r="E79" s="2" t="s">
        <v>29</v>
      </c>
      <c r="F79" s="2" t="s">
        <v>55</v>
      </c>
      <c r="G79" s="2"/>
      <c r="H79" s="2"/>
      <c r="I79" s="2"/>
      <c r="J79" s="2"/>
      <c r="K79" s="2"/>
      <c r="L79" s="2"/>
      <c r="M79" s="2"/>
      <c r="P79" s="2"/>
      <c r="Q79" s="2"/>
      <c r="R79" s="2"/>
      <c r="S79" s="2"/>
      <c r="T79" s="2"/>
      <c r="U79" s="2"/>
      <c r="V79" s="2"/>
      <c r="W79" s="2"/>
      <c r="X79" s="2"/>
      <c r="Y79" s="2"/>
      <c r="Z79" s="2"/>
      <c r="AA79" s="2"/>
      <c r="AB79" s="2"/>
    </row>
    <row r="80" spans="1:37">
      <c r="A80" s="2"/>
      <c r="C80" s="1"/>
      <c r="D80" s="2"/>
      <c r="E80" s="2"/>
      <c r="F80" s="6"/>
      <c r="G80" s="1223" t="s">
        <v>56</v>
      </c>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row>
    <row r="81" spans="1:37">
      <c r="A81" s="2"/>
      <c r="C81" s="1"/>
      <c r="D81" s="2"/>
      <c r="E81" s="2"/>
      <c r="F81" s="2"/>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row>
    <row r="82" spans="1:37">
      <c r="A82" s="2"/>
      <c r="C82" s="1"/>
      <c r="D82" s="2"/>
      <c r="E82" s="2"/>
      <c r="F82" s="2"/>
      <c r="G82" s="1223"/>
      <c r="H82" s="1223"/>
      <c r="I82" s="1223"/>
      <c r="J82" s="1223"/>
      <c r="K82" s="1223"/>
      <c r="L82" s="1223"/>
      <c r="M82" s="1223"/>
      <c r="N82" s="1223"/>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row>
    <row r="83" spans="1:37">
      <c r="A83" s="2"/>
      <c r="C83" s="1"/>
      <c r="D83" s="2"/>
      <c r="E83" s="2" t="s">
        <v>57</v>
      </c>
      <c r="F83" s="2" t="s">
        <v>58</v>
      </c>
      <c r="G83" s="2"/>
      <c r="H83" s="2"/>
      <c r="I83" s="2"/>
      <c r="J83" s="2"/>
      <c r="K83" s="2"/>
      <c r="L83" s="2"/>
      <c r="M83" s="2"/>
      <c r="P83" s="2"/>
      <c r="Q83" s="2"/>
      <c r="R83" s="2"/>
      <c r="S83" s="2"/>
      <c r="T83" s="2"/>
      <c r="U83" s="2"/>
      <c r="V83" s="2"/>
      <c r="W83" s="2"/>
      <c r="X83" s="2"/>
      <c r="Y83" s="2"/>
      <c r="Z83" s="2"/>
      <c r="AA83" s="2"/>
      <c r="AB83" s="2"/>
    </row>
    <row r="84" spans="1:37">
      <c r="A84" s="2"/>
      <c r="C84" s="1"/>
      <c r="D84" s="2"/>
      <c r="E84" s="2"/>
      <c r="F84" s="6"/>
      <c r="G84" s="1223" t="s">
        <v>59</v>
      </c>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row>
    <row r="85" spans="1:37">
      <c r="A85" s="2"/>
      <c r="C85" s="1"/>
      <c r="D85" s="2"/>
      <c r="E85" s="2"/>
      <c r="F85" s="2"/>
      <c r="G85" s="1223"/>
      <c r="H85" s="1223"/>
      <c r="I85" s="1223"/>
      <c r="J85" s="1223"/>
      <c r="K85" s="1223"/>
      <c r="L85" s="1223"/>
      <c r="M85" s="1223"/>
      <c r="N85" s="1223"/>
      <c r="O85" s="1223"/>
      <c r="P85" s="1223"/>
      <c r="Q85" s="1223"/>
      <c r="R85" s="1223"/>
      <c r="S85" s="1223"/>
      <c r="T85" s="1223"/>
      <c r="U85" s="1223"/>
      <c r="V85" s="1223"/>
      <c r="W85" s="1223"/>
      <c r="X85" s="1223"/>
      <c r="Y85" s="1223"/>
      <c r="Z85" s="1223"/>
      <c r="AA85" s="1223"/>
      <c r="AB85" s="1223"/>
      <c r="AC85" s="1223"/>
      <c r="AD85" s="1223"/>
      <c r="AE85" s="1223"/>
      <c r="AF85" s="1223"/>
      <c r="AG85" s="1223"/>
      <c r="AH85" s="1223"/>
      <c r="AI85" s="1223"/>
      <c r="AJ85" s="1223"/>
      <c r="AK85" s="1223"/>
    </row>
    <row r="86" spans="1:37">
      <c r="A86" s="2"/>
      <c r="C86" s="1"/>
      <c r="D86" s="2"/>
      <c r="E86" s="2"/>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row>
    <row r="87" spans="1:37">
      <c r="A87" s="2"/>
      <c r="C87" s="1"/>
      <c r="D87" s="2"/>
      <c r="E87" s="2" t="s">
        <v>60</v>
      </c>
      <c r="F87" t="s">
        <v>61</v>
      </c>
      <c r="G87" s="2"/>
      <c r="L87" s="2"/>
      <c r="M87" s="2"/>
      <c r="P87" s="2"/>
      <c r="Q87" s="2"/>
      <c r="R87" s="2"/>
      <c r="S87" s="2"/>
      <c r="T87" s="2"/>
      <c r="U87" s="2"/>
      <c r="V87" s="2"/>
      <c r="W87" s="2"/>
      <c r="X87" s="2"/>
      <c r="Y87" s="2"/>
      <c r="Z87" s="2"/>
      <c r="AA87" s="2"/>
      <c r="AB87" s="2"/>
    </row>
    <row r="88" spans="1:37">
      <c r="A88" s="2"/>
      <c r="C88" s="1"/>
      <c r="D88" s="2"/>
      <c r="E88" s="2"/>
      <c r="G88" s="1226" t="s">
        <v>62</v>
      </c>
      <c r="H88" s="1226"/>
      <c r="I88" s="1226"/>
      <c r="J88" s="1226"/>
      <c r="K88" s="1226"/>
      <c r="L88" s="1226"/>
      <c r="M88" s="1226"/>
      <c r="N88" s="1226"/>
      <c r="O88" s="1226"/>
      <c r="P88" s="1226"/>
      <c r="Q88" s="1226"/>
      <c r="R88" s="1226"/>
      <c r="S88" s="1226"/>
      <c r="T88" s="1226"/>
      <c r="U88" s="1226"/>
      <c r="V88" s="1226"/>
      <c r="W88" s="1226"/>
      <c r="X88" s="1226"/>
      <c r="Y88" s="1226"/>
      <c r="Z88" s="1226"/>
      <c r="AA88" s="1226"/>
      <c r="AB88" s="1226"/>
      <c r="AC88" s="1226"/>
      <c r="AD88" s="1226"/>
      <c r="AE88" s="1226"/>
      <c r="AF88" s="1226"/>
      <c r="AG88" s="1226"/>
      <c r="AH88" s="1226"/>
      <c r="AI88" s="1226"/>
      <c r="AJ88" s="1226"/>
      <c r="AK88" s="1226"/>
    </row>
    <row r="89" spans="1:37">
      <c r="A89" s="2"/>
      <c r="C89" s="1"/>
      <c r="D89" s="2"/>
      <c r="E89" s="2"/>
      <c r="G89" s="1226"/>
      <c r="H89" s="1226"/>
      <c r="I89" s="1226"/>
      <c r="J89" s="1226"/>
      <c r="K89" s="1226"/>
      <c r="L89" s="1226"/>
      <c r="M89" s="1226"/>
      <c r="N89" s="1226"/>
      <c r="O89" s="1226"/>
      <c r="P89" s="1226"/>
      <c r="Q89" s="1226"/>
      <c r="R89" s="1226"/>
      <c r="S89" s="1226"/>
      <c r="T89" s="1226"/>
      <c r="U89" s="1226"/>
      <c r="V89" s="1226"/>
      <c r="W89" s="1226"/>
      <c r="X89" s="1226"/>
      <c r="Y89" s="1226"/>
      <c r="Z89" s="1226"/>
      <c r="AA89" s="1226"/>
      <c r="AB89" s="1226"/>
      <c r="AC89" s="1226"/>
      <c r="AD89" s="1226"/>
      <c r="AE89" s="1226"/>
      <c r="AF89" s="1226"/>
      <c r="AG89" s="1226"/>
      <c r="AH89" s="1226"/>
      <c r="AI89" s="1226"/>
      <c r="AJ89" s="1226"/>
      <c r="AK89" s="1226"/>
    </row>
    <row r="90" spans="1:37">
      <c r="A90" s="2"/>
      <c r="C90" s="1"/>
      <c r="D90" s="2"/>
      <c r="E90" s="2"/>
      <c r="G90" s="1226"/>
      <c r="H90" s="1226"/>
      <c r="I90" s="1226"/>
      <c r="J90" s="1226"/>
      <c r="K90" s="1226"/>
      <c r="L90" s="1226"/>
      <c r="M90" s="1226"/>
      <c r="N90" s="1226"/>
      <c r="O90" s="1226"/>
      <c r="P90" s="1226"/>
      <c r="Q90" s="1226"/>
      <c r="R90" s="1226"/>
      <c r="S90" s="1226"/>
      <c r="T90" s="1226"/>
      <c r="U90" s="1226"/>
      <c r="V90" s="1226"/>
      <c r="W90" s="1226"/>
      <c r="X90" s="1226"/>
      <c r="Y90" s="1226"/>
      <c r="Z90" s="1226"/>
      <c r="AA90" s="1226"/>
      <c r="AB90" s="1226"/>
      <c r="AC90" s="1226"/>
      <c r="AD90" s="1226"/>
      <c r="AE90" s="1226"/>
      <c r="AF90" s="1226"/>
      <c r="AG90" s="1226"/>
      <c r="AH90" s="1226"/>
      <c r="AI90" s="1226"/>
      <c r="AJ90" s="1226"/>
      <c r="AK90" s="1226"/>
    </row>
    <row r="91" spans="1:37">
      <c r="A91" s="2"/>
      <c r="C91" s="1"/>
      <c r="D91" s="2"/>
      <c r="E91" s="2" t="s">
        <v>63</v>
      </c>
      <c r="F91" s="2" t="s">
        <v>64</v>
      </c>
      <c r="G91" s="2"/>
      <c r="H91" s="2"/>
      <c r="I91" s="2"/>
      <c r="J91" s="2"/>
      <c r="K91" s="2"/>
      <c r="L91" s="2"/>
      <c r="M91" s="2"/>
      <c r="P91" s="2"/>
      <c r="Q91" s="2"/>
      <c r="R91" s="2"/>
      <c r="S91" s="2"/>
      <c r="T91" s="2"/>
      <c r="U91" s="2"/>
      <c r="V91" s="2"/>
      <c r="W91" s="2"/>
      <c r="X91" s="2"/>
      <c r="Y91" s="2"/>
      <c r="Z91" s="2"/>
      <c r="AA91" s="2"/>
      <c r="AB91" s="2"/>
    </row>
    <row r="92" spans="1:37">
      <c r="A92" s="2"/>
      <c r="C92" s="1"/>
      <c r="D92" s="2"/>
      <c r="E92" s="2"/>
      <c r="F92" s="2"/>
      <c r="G92" s="1223" t="s">
        <v>65</v>
      </c>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2"/>
      <c r="C93" s="1"/>
      <c r="D93" s="2"/>
      <c r="E93" s="2"/>
      <c r="G93" s="1223"/>
      <c r="H93" s="1223"/>
      <c r="I93" s="1223"/>
      <c r="J93" s="1223"/>
      <c r="K93" s="1223"/>
      <c r="L93" s="1223"/>
      <c r="M93" s="1223"/>
      <c r="N93" s="1223"/>
      <c r="O93" s="1223"/>
      <c r="P93" s="1223"/>
      <c r="Q93" s="1223"/>
      <c r="R93" s="1223"/>
      <c r="S93" s="1223"/>
      <c r="T93" s="1223"/>
      <c r="U93" s="1223"/>
      <c r="V93" s="1223"/>
      <c r="W93" s="1223"/>
      <c r="X93" s="1223"/>
      <c r="Y93" s="1223"/>
      <c r="Z93" s="1223"/>
      <c r="AA93" s="1223"/>
      <c r="AB93" s="1223"/>
      <c r="AC93" s="1223"/>
      <c r="AD93" s="1223"/>
      <c r="AE93" s="1223"/>
      <c r="AF93" s="1223"/>
      <c r="AG93" s="1223"/>
      <c r="AH93" s="1223"/>
      <c r="AI93" s="1223"/>
      <c r="AJ93" s="1223"/>
      <c r="AK93" s="1223"/>
    </row>
    <row r="94" spans="1:37">
      <c r="A94" s="2"/>
      <c r="C94" s="1"/>
      <c r="D94" s="2"/>
      <c r="E94" s="2" t="s">
        <v>66</v>
      </c>
      <c r="F94" s="107" t="s">
        <v>67</v>
      </c>
      <c r="G94" s="107"/>
      <c r="L94" s="2"/>
      <c r="M94" s="2"/>
      <c r="P94" s="2"/>
      <c r="Q94" s="2"/>
      <c r="R94" s="2"/>
      <c r="S94" s="2"/>
      <c r="T94" s="2"/>
      <c r="U94" s="2"/>
      <c r="V94" s="2"/>
      <c r="W94" s="2"/>
      <c r="X94" s="2"/>
      <c r="Y94" s="2"/>
      <c r="Z94" s="2"/>
      <c r="AA94" s="2"/>
      <c r="AB94" s="2"/>
    </row>
    <row r="95" spans="1:37">
      <c r="A95" s="2"/>
      <c r="C95" s="1"/>
      <c r="D95" s="2"/>
      <c r="E95" s="2"/>
      <c r="G95" s="1223" t="s">
        <v>68</v>
      </c>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3"/>
    </row>
    <row r="96" spans="1:37">
      <c r="A96" s="2"/>
      <c r="C96" s="1"/>
      <c r="D96" s="2"/>
      <c r="E96" s="2"/>
      <c r="G96" s="1223"/>
      <c r="H96" s="1223"/>
      <c r="I96" s="1223"/>
      <c r="J96" s="1223"/>
      <c r="K96" s="1223"/>
      <c r="L96" s="1223"/>
      <c r="M96" s="1223"/>
      <c r="N96" s="1223"/>
      <c r="O96" s="1223"/>
      <c r="P96" s="1223"/>
      <c r="Q96" s="1223"/>
      <c r="R96" s="1223"/>
      <c r="S96" s="1223"/>
      <c r="T96" s="1223"/>
      <c r="U96" s="1223"/>
      <c r="V96" s="1223"/>
      <c r="W96" s="1223"/>
      <c r="X96" s="1223"/>
      <c r="Y96" s="1223"/>
      <c r="Z96" s="1223"/>
      <c r="AA96" s="1223"/>
      <c r="AB96" s="1223"/>
      <c r="AC96" s="1223"/>
      <c r="AD96" s="1223"/>
      <c r="AE96" s="1223"/>
      <c r="AF96" s="1223"/>
      <c r="AG96" s="1223"/>
      <c r="AH96" s="1223"/>
      <c r="AI96" s="1223"/>
      <c r="AJ96" s="1223"/>
      <c r="AK96" s="1223"/>
    </row>
    <row r="97" spans="1:38">
      <c r="A97" s="2"/>
      <c r="C97" s="1"/>
      <c r="D97" s="2"/>
      <c r="E97" s="2"/>
      <c r="G97" s="1223"/>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23"/>
      <c r="AJ97" s="1223"/>
      <c r="AK97" s="1223"/>
    </row>
    <row r="98" spans="1:38">
      <c r="A98" s="2"/>
      <c r="D98" s="58"/>
      <c r="E98" s="1227" t="s">
        <v>69</v>
      </c>
      <c r="F98" s="1227"/>
      <c r="G98" s="1227"/>
      <c r="H98" s="1227"/>
      <c r="I98" s="1227"/>
      <c r="J98" s="1227"/>
      <c r="K98" s="1227"/>
      <c r="L98" s="1227"/>
      <c r="M98" s="1227"/>
      <c r="N98" s="1227"/>
      <c r="O98" s="1227"/>
      <c r="P98" s="1227"/>
      <c r="Q98" s="1227"/>
      <c r="R98" s="1227"/>
      <c r="S98" s="1227"/>
      <c r="T98" s="1227"/>
      <c r="U98" s="1227"/>
      <c r="V98" s="1227"/>
      <c r="W98" s="1227"/>
      <c r="X98" s="1227"/>
      <c r="Y98" s="1227"/>
      <c r="Z98" s="1227"/>
      <c r="AA98" s="1227"/>
      <c r="AB98" s="1227"/>
      <c r="AC98" s="1227"/>
      <c r="AD98" s="1227"/>
      <c r="AE98" s="1227"/>
      <c r="AF98" s="1227"/>
      <c r="AG98" s="1227"/>
      <c r="AH98" s="1227"/>
      <c r="AI98" s="1227"/>
      <c r="AJ98" s="1227"/>
      <c r="AK98" s="1227"/>
    </row>
    <row r="99" spans="1:38">
      <c r="A99" s="2"/>
      <c r="D99" s="58"/>
      <c r="E99" s="1227"/>
      <c r="F99" s="1227"/>
      <c r="G99" s="1227"/>
      <c r="H99" s="1227"/>
      <c r="I99" s="1227"/>
      <c r="J99" s="1227"/>
      <c r="K99" s="1227"/>
      <c r="L99" s="1227"/>
      <c r="M99" s="1227"/>
      <c r="N99" s="1227"/>
      <c r="O99" s="1227"/>
      <c r="P99" s="1227"/>
      <c r="Q99" s="1227"/>
      <c r="R99" s="1227"/>
      <c r="S99" s="1227"/>
      <c r="T99" s="1227"/>
      <c r="U99" s="1227"/>
      <c r="V99" s="1227"/>
      <c r="W99" s="1227"/>
      <c r="X99" s="1227"/>
      <c r="Y99" s="1227"/>
      <c r="Z99" s="1227"/>
      <c r="AA99" s="1227"/>
      <c r="AB99" s="1227"/>
      <c r="AC99" s="1227"/>
      <c r="AD99" s="1227"/>
      <c r="AE99" s="1227"/>
      <c r="AF99" s="1227"/>
      <c r="AG99" s="1227"/>
      <c r="AH99" s="1227"/>
      <c r="AI99" s="1227"/>
      <c r="AJ99" s="1227"/>
      <c r="AK99" s="1227"/>
    </row>
    <row r="100" spans="1:38">
      <c r="A100" s="2"/>
      <c r="B100" s="75"/>
      <c r="C100" s="58"/>
      <c r="D100" s="58"/>
      <c r="E100" s="75"/>
      <c r="F100" s="58"/>
      <c r="G100" s="58"/>
      <c r="H100" s="58"/>
      <c r="I100" s="1"/>
      <c r="J100" s="1"/>
      <c r="K100" s="1"/>
      <c r="L100" s="1"/>
      <c r="M100" s="1"/>
      <c r="N100" s="1"/>
      <c r="P100" s="2"/>
      <c r="Q100" s="2"/>
      <c r="R100" s="2"/>
      <c r="S100" s="2"/>
      <c r="T100" s="2"/>
      <c r="U100" s="2"/>
      <c r="V100" s="2"/>
      <c r="W100" s="2"/>
      <c r="X100" s="2"/>
      <c r="Y100" s="2"/>
      <c r="Z100" s="2"/>
      <c r="AA100" s="2"/>
      <c r="AB100" s="2"/>
    </row>
    <row r="101" spans="1:38">
      <c r="A101" s="4"/>
      <c r="B101" s="9" t="s">
        <v>70</v>
      </c>
      <c r="C101" s="9" t="s">
        <v>44</v>
      </c>
      <c r="D101" s="9"/>
      <c r="E101" s="9"/>
      <c r="F101" s="9"/>
      <c r="G101" s="9"/>
      <c r="H101" s="9"/>
      <c r="I101" s="9"/>
      <c r="J101" s="9"/>
      <c r="K101" s="9"/>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c r="B102" s="1"/>
      <c r="C102" s="1"/>
      <c r="D102" s="1"/>
      <c r="E102" s="1"/>
      <c r="F102" s="1"/>
      <c r="G102" s="1"/>
      <c r="H102" s="1"/>
      <c r="I102" s="1"/>
      <c r="J102" s="1"/>
      <c r="K102" s="1"/>
    </row>
    <row r="103" spans="1:38">
      <c r="B103" s="1"/>
      <c r="C103" s="1" t="s">
        <v>71</v>
      </c>
      <c r="E103" s="1"/>
      <c r="F103" s="1"/>
      <c r="G103" s="1" t="s">
        <v>72</v>
      </c>
      <c r="H103" s="1"/>
      <c r="I103" s="1"/>
      <c r="K103" s="1"/>
    </row>
    <row r="104" spans="1:38">
      <c r="B104" s="1"/>
      <c r="C104" s="1"/>
      <c r="D104" s="1" t="s">
        <v>3</v>
      </c>
      <c r="E104" s="1" t="s">
        <v>73</v>
      </c>
      <c r="F104" s="1"/>
      <c r="G104" s="1"/>
      <c r="H104" s="1"/>
      <c r="I104" s="1"/>
      <c r="J104" s="1"/>
      <c r="K104" s="1"/>
      <c r="L104" s="1"/>
      <c r="M104" s="1"/>
    </row>
    <row r="105" spans="1:38">
      <c r="B105" s="1"/>
      <c r="C105" s="1"/>
      <c r="E105" s="2" t="s">
        <v>18</v>
      </c>
      <c r="F105" s="57" t="s">
        <v>74</v>
      </c>
      <c r="G105" s="1"/>
      <c r="H105" s="1"/>
      <c r="I105" s="1"/>
      <c r="J105" s="1"/>
      <c r="K105" s="1"/>
    </row>
    <row r="106" spans="1:38">
      <c r="E106" s="2"/>
      <c r="F106" t="s">
        <v>75</v>
      </c>
    </row>
    <row r="107" spans="1:38">
      <c r="E107" s="2"/>
      <c r="F107" t="s">
        <v>76</v>
      </c>
    </row>
    <row r="108" spans="1:38">
      <c r="E108" s="2"/>
    </row>
    <row r="109" spans="1:38">
      <c r="E109" s="2" t="s">
        <v>31</v>
      </c>
      <c r="F109" s="57" t="s">
        <v>77</v>
      </c>
      <c r="G109" s="1"/>
      <c r="H109" s="1"/>
      <c r="I109" s="1"/>
      <c r="J109" s="1"/>
    </row>
    <row r="110" spans="1:38">
      <c r="E110" s="2"/>
      <c r="F110" t="s">
        <v>78</v>
      </c>
    </row>
    <row r="111" spans="1:38">
      <c r="E111" s="2"/>
    </row>
    <row r="112" spans="1:38">
      <c r="E112" s="2" t="s">
        <v>39</v>
      </c>
      <c r="F112" s="57" t="s">
        <v>79</v>
      </c>
      <c r="G112" s="1"/>
      <c r="H112" s="1"/>
      <c r="I112" s="1"/>
      <c r="J112" s="1"/>
      <c r="K112" s="1"/>
      <c r="L112" s="1"/>
      <c r="M112" s="1"/>
      <c r="N112" s="1"/>
      <c r="O112" s="1"/>
      <c r="P112" s="1"/>
    </row>
    <row r="113" spans="2:10">
      <c r="E113" s="2"/>
      <c r="F113" s="2" t="s">
        <v>80</v>
      </c>
    </row>
    <row r="114" spans="2:10" ht="12.75" customHeight="1">
      <c r="F114" s="2" t="s">
        <v>81</v>
      </c>
    </row>
    <row r="115" spans="2:10"/>
    <row r="116" spans="2:10">
      <c r="E116" t="s">
        <v>82</v>
      </c>
      <c r="F116" s="57" t="s">
        <v>83</v>
      </c>
    </row>
    <row r="117" spans="2:10">
      <c r="F117" s="2" t="s">
        <v>84</v>
      </c>
      <c r="G117" s="2"/>
    </row>
    <row r="118" spans="2:10">
      <c r="F118" s="58" t="s">
        <v>85</v>
      </c>
      <c r="G118" s="58"/>
    </row>
    <row r="119" spans="2:10">
      <c r="G119" s="58"/>
    </row>
    <row r="120" spans="2:10">
      <c r="E120" s="2" t="s">
        <v>86</v>
      </c>
      <c r="F120" s="57" t="s">
        <v>87</v>
      </c>
    </row>
    <row r="121" spans="2:10">
      <c r="E121" s="2"/>
      <c r="F121" s="2" t="s">
        <v>88</v>
      </c>
    </row>
    <row r="122" spans="2:10">
      <c r="B122" s="1"/>
      <c r="C122" s="1"/>
      <c r="F122" s="1"/>
    </row>
    <row r="123" spans="2:10">
      <c r="B123" s="1"/>
      <c r="C123" s="1" t="s">
        <v>89</v>
      </c>
      <c r="G123" s="1" t="s">
        <v>90</v>
      </c>
    </row>
    <row r="124" spans="2:10">
      <c r="B124" s="1"/>
      <c r="C124" s="1"/>
      <c r="D124" s="1" t="s">
        <v>3</v>
      </c>
      <c r="E124" s="1" t="s">
        <v>91</v>
      </c>
      <c r="F124" s="1"/>
      <c r="G124" s="1"/>
      <c r="H124" s="1"/>
      <c r="I124" s="1"/>
      <c r="J124" s="1"/>
    </row>
    <row r="125" spans="2:10">
      <c r="B125" s="1"/>
      <c r="C125" s="1"/>
      <c r="E125" s="2" t="s">
        <v>92</v>
      </c>
      <c r="F125" s="2"/>
    </row>
    <row r="126" spans="2:10"/>
    <row r="127" spans="2:10">
      <c r="D127" s="1" t="s">
        <v>16</v>
      </c>
      <c r="E127" s="1" t="s">
        <v>93</v>
      </c>
    </row>
    <row r="128" spans="2:10">
      <c r="E128" s="2" t="s">
        <v>92</v>
      </c>
      <c r="F128" s="2"/>
    </row>
    <row r="129" spans="4:37"/>
    <row r="130" spans="4:37">
      <c r="D130" s="1" t="s">
        <v>94</v>
      </c>
      <c r="E130" s="1" t="s">
        <v>95</v>
      </c>
      <c r="G130" s="1"/>
      <c r="H130" s="1"/>
      <c r="I130" s="1"/>
      <c r="J130" s="1"/>
      <c r="K130" s="1"/>
      <c r="L130" s="1"/>
      <c r="M130" s="1"/>
      <c r="N130" s="1"/>
    </row>
    <row r="131" spans="4:37">
      <c r="D131" s="1"/>
      <c r="E131" s="69" t="s">
        <v>96</v>
      </c>
      <c r="G131" s="1"/>
      <c r="H131" s="1"/>
      <c r="I131" s="1"/>
      <c r="J131" s="1"/>
      <c r="K131" s="1"/>
      <c r="L131" s="1"/>
      <c r="M131" s="1"/>
      <c r="N131" s="1"/>
    </row>
    <row r="132" spans="4:37" ht="12.75" customHeight="1">
      <c r="E132" s="69" t="s">
        <v>97</v>
      </c>
      <c r="F132" s="1127"/>
      <c r="G132" s="1127"/>
      <c r="H132" s="1127"/>
      <c r="I132" s="1127"/>
      <c r="J132" s="1127"/>
      <c r="K132" s="1127"/>
      <c r="L132" s="1127"/>
      <c r="M132" s="1127"/>
      <c r="N132" s="1127"/>
      <c r="O132" s="1127"/>
      <c r="P132" s="1127"/>
      <c r="Q132" s="1127"/>
      <c r="R132" s="1127"/>
      <c r="S132" s="1127"/>
      <c r="T132" s="1127"/>
      <c r="U132" s="1127"/>
      <c r="V132" s="1127"/>
      <c r="W132" s="1127"/>
      <c r="X132" s="1127"/>
      <c r="Y132" s="1127"/>
      <c r="Z132" s="1127"/>
      <c r="AA132" s="1127"/>
      <c r="AB132" s="1127"/>
      <c r="AC132" s="1127"/>
      <c r="AD132" s="1127"/>
      <c r="AE132" s="1127"/>
      <c r="AF132" s="1127"/>
      <c r="AG132" s="1127"/>
      <c r="AH132" s="1127"/>
      <c r="AI132" s="1127"/>
      <c r="AJ132" s="1127"/>
      <c r="AK132" s="1127"/>
    </row>
    <row r="133" spans="4:37">
      <c r="E133" s="69" t="s">
        <v>98</v>
      </c>
      <c r="F133" s="1127"/>
      <c r="G133" s="1127"/>
      <c r="H133" s="1127"/>
      <c r="I133" s="1127"/>
      <c r="J133" s="1127"/>
      <c r="K133" s="1127"/>
      <c r="L133" s="1127"/>
      <c r="M133" s="1127"/>
      <c r="N133" s="1127"/>
      <c r="O133" s="1127"/>
      <c r="P133" s="1127"/>
      <c r="Q133" s="1127"/>
      <c r="R133" s="1127"/>
      <c r="S133" s="1127"/>
      <c r="T133" s="1127"/>
      <c r="U133" s="1127"/>
      <c r="V133" s="1127"/>
      <c r="W133" s="1127"/>
      <c r="X133" s="1127"/>
      <c r="Y133" s="1127"/>
      <c r="Z133" s="1127"/>
      <c r="AA133" s="1127"/>
      <c r="AB133" s="1127"/>
      <c r="AC133" s="1127"/>
      <c r="AD133" s="1127"/>
      <c r="AE133" s="1127"/>
      <c r="AF133" s="1127"/>
      <c r="AG133" s="1127"/>
      <c r="AH133" s="1127"/>
      <c r="AI133" s="1127"/>
      <c r="AJ133" s="1127"/>
      <c r="AK133" s="1127"/>
    </row>
    <row r="134" spans="4:37">
      <c r="F134" s="2"/>
    </row>
    <row r="135" spans="4:37">
      <c r="D135" s="1" t="s">
        <v>99</v>
      </c>
      <c r="E135" s="1" t="s">
        <v>100</v>
      </c>
      <c r="F135" s="1"/>
    </row>
    <row r="136" spans="4:37">
      <c r="E136" s="2" t="s">
        <v>101</v>
      </c>
      <c r="F136" s="2"/>
    </row>
    <row r="137" spans="4:37">
      <c r="F137" s="2"/>
    </row>
    <row r="138" spans="4:37">
      <c r="D138" s="1" t="s">
        <v>102</v>
      </c>
      <c r="E138" s="1" t="s">
        <v>103</v>
      </c>
      <c r="F138" s="1"/>
      <c r="G138" s="1"/>
      <c r="H138" s="1"/>
    </row>
    <row r="139" spans="4:37">
      <c r="E139" t="s">
        <v>18</v>
      </c>
      <c r="F139" t="s">
        <v>104</v>
      </c>
    </row>
    <row r="140" spans="4:37">
      <c r="E140" t="s">
        <v>31</v>
      </c>
      <c r="F140" t="s">
        <v>105</v>
      </c>
    </row>
    <row r="141" spans="4:37"/>
    <row r="142" spans="4:37">
      <c r="D142" s="1" t="s">
        <v>106</v>
      </c>
      <c r="E142" s="1" t="s">
        <v>107</v>
      </c>
    </row>
    <row r="143" spans="4:37">
      <c r="E143" s="107" t="s">
        <v>108</v>
      </c>
      <c r="F143" s="107"/>
    </row>
    <row r="144" spans="4:37"/>
    <row r="145" spans="3:7">
      <c r="C145" s="1" t="s">
        <v>109</v>
      </c>
      <c r="G145" s="1" t="s">
        <v>110</v>
      </c>
    </row>
    <row r="146" spans="3:7">
      <c r="D146" s="1" t="s">
        <v>3</v>
      </c>
      <c r="E146" s="1" t="s">
        <v>111</v>
      </c>
    </row>
    <row r="147" spans="3:7">
      <c r="E147" t="s">
        <v>112</v>
      </c>
    </row>
    <row r="148" spans="3:7"/>
    <row r="149" spans="3:7">
      <c r="D149" s="1" t="s">
        <v>16</v>
      </c>
      <c r="E149" s="1" t="s">
        <v>113</v>
      </c>
      <c r="F149" s="1"/>
    </row>
    <row r="150" spans="3:7">
      <c r="E150" s="2" t="s">
        <v>114</v>
      </c>
      <c r="F150" s="2"/>
    </row>
    <row r="151" spans="3:7"/>
    <row r="152" spans="3:7">
      <c r="D152" s="1" t="s">
        <v>94</v>
      </c>
      <c r="E152" s="1" t="s">
        <v>115</v>
      </c>
    </row>
    <row r="153" spans="3:7">
      <c r="E153" s="2" t="s">
        <v>116</v>
      </c>
    </row>
    <row r="154" spans="3:7">
      <c r="E154" s="2" t="s">
        <v>117</v>
      </c>
      <c r="G154" s="2"/>
    </row>
    <row r="155" spans="3:7"/>
    <row r="156" spans="3:7">
      <c r="D156" s="1" t="s">
        <v>99</v>
      </c>
      <c r="E156" s="1" t="s">
        <v>118</v>
      </c>
    </row>
    <row r="157" spans="3:7">
      <c r="E157" t="s">
        <v>18</v>
      </c>
      <c r="F157" s="2" t="s">
        <v>119</v>
      </c>
    </row>
    <row r="158" spans="3:7">
      <c r="E158" s="2" t="s">
        <v>31</v>
      </c>
      <c r="F158" s="2" t="s">
        <v>120</v>
      </c>
    </row>
    <row r="159" spans="3:7">
      <c r="E159" s="2" t="s">
        <v>39</v>
      </c>
      <c r="F159" t="s">
        <v>121</v>
      </c>
    </row>
    <row r="160" spans="3:7"/>
    <row r="161" spans="3:20">
      <c r="D161" s="1" t="s">
        <v>102</v>
      </c>
      <c r="E161" s="1" t="s">
        <v>122</v>
      </c>
    </row>
    <row r="162" spans="3:20">
      <c r="E162" s="2" t="s">
        <v>123</v>
      </c>
      <c r="F162" s="2"/>
    </row>
    <row r="163" spans="3:20"/>
    <row r="164" spans="3:20">
      <c r="D164" s="1" t="s">
        <v>106</v>
      </c>
      <c r="E164" s="1" t="s">
        <v>124</v>
      </c>
    </row>
    <row r="165" spans="3:20">
      <c r="E165" s="2" t="s">
        <v>125</v>
      </c>
    </row>
    <row r="166" spans="3:20">
      <c r="E166" s="2" t="s">
        <v>126</v>
      </c>
    </row>
    <row r="167" spans="3:20"/>
    <row r="168" spans="3:20">
      <c r="D168" s="1" t="s">
        <v>127</v>
      </c>
      <c r="E168" s="1" t="s">
        <v>128</v>
      </c>
    </row>
    <row r="169" spans="3:20">
      <c r="E169" t="s">
        <v>18</v>
      </c>
      <c r="F169" t="s">
        <v>129</v>
      </c>
    </row>
    <row r="170" spans="3:20">
      <c r="E170" t="s">
        <v>31</v>
      </c>
      <c r="F170" t="s">
        <v>130</v>
      </c>
    </row>
    <row r="171" spans="3:20">
      <c r="F171" s="2"/>
    </row>
    <row r="172" spans="3:20">
      <c r="C172" s="1" t="s">
        <v>131</v>
      </c>
      <c r="E172" s="2"/>
      <c r="G172" s="1" t="s">
        <v>132</v>
      </c>
    </row>
    <row r="173" spans="3:20">
      <c r="E173" s="2" t="s">
        <v>133</v>
      </c>
      <c r="F173" s="2"/>
      <c r="I173" s="2"/>
      <c r="J173" s="2"/>
      <c r="K173" s="2"/>
      <c r="L173" s="2"/>
      <c r="M173" s="2"/>
      <c r="N173" s="2"/>
      <c r="O173" s="2"/>
      <c r="P173" s="2"/>
      <c r="Q173" s="2"/>
      <c r="R173" s="2"/>
      <c r="S173" s="2"/>
      <c r="T173" s="2"/>
    </row>
    <row r="174" spans="3:20">
      <c r="F174" s="2"/>
      <c r="H174" s="2"/>
      <c r="I174" s="2"/>
      <c r="J174" s="2"/>
      <c r="K174" s="2"/>
      <c r="L174" s="2"/>
      <c r="M174" s="2"/>
      <c r="N174" s="2"/>
      <c r="O174" s="2"/>
      <c r="P174" s="2"/>
      <c r="Q174" s="2"/>
      <c r="R174" s="2"/>
      <c r="S174" s="2"/>
      <c r="T174" s="2"/>
    </row>
    <row r="175" spans="3:20">
      <c r="C175" s="1" t="s">
        <v>134</v>
      </c>
      <c r="D175" s="1"/>
      <c r="F175" s="2"/>
      <c r="G175" s="1" t="s">
        <v>93</v>
      </c>
    </row>
    <row r="176" spans="3:20">
      <c r="D176" s="1" t="s">
        <v>3</v>
      </c>
      <c r="E176" s="1" t="s">
        <v>135</v>
      </c>
      <c r="G176" s="2"/>
      <c r="H176" s="2"/>
      <c r="I176" s="2"/>
      <c r="J176" s="2"/>
      <c r="K176" s="2"/>
      <c r="L176" s="2"/>
      <c r="M176" s="2"/>
      <c r="N176" s="2"/>
    </row>
    <row r="177" spans="2:19">
      <c r="E177" t="s">
        <v>18</v>
      </c>
      <c r="F177" s="2" t="s">
        <v>136</v>
      </c>
    </row>
    <row r="178" spans="2:19">
      <c r="F178" s="70" t="s">
        <v>137</v>
      </c>
      <c r="I178" s="70"/>
    </row>
    <row r="179" spans="2:19">
      <c r="I179" s="70"/>
    </row>
    <row r="180" spans="2:19">
      <c r="B180" s="2"/>
      <c r="C180" s="2"/>
      <c r="E180" t="s">
        <v>31</v>
      </c>
      <c r="F180" s="2" t="s">
        <v>138</v>
      </c>
      <c r="H180" s="2"/>
    </row>
    <row r="181" spans="2:19">
      <c r="B181" s="2"/>
      <c r="C181" s="2"/>
      <c r="F181" t="s">
        <v>20</v>
      </c>
      <c r="G181" t="s">
        <v>139</v>
      </c>
      <c r="H181" s="2"/>
      <c r="O181" s="2"/>
      <c r="P181" s="2"/>
      <c r="Q181" s="2"/>
      <c r="R181" s="2"/>
      <c r="S181" s="2"/>
    </row>
    <row r="182" spans="2:19">
      <c r="B182" s="2"/>
      <c r="C182" s="2"/>
      <c r="H182" s="2"/>
      <c r="O182" s="2"/>
      <c r="P182" s="2"/>
      <c r="Q182" s="2"/>
      <c r="R182" s="2"/>
      <c r="S182" s="2"/>
    </row>
    <row r="183" spans="2:19">
      <c r="D183" s="1" t="s">
        <v>16</v>
      </c>
      <c r="E183" s="1" t="s">
        <v>140</v>
      </c>
    </row>
    <row r="184" spans="2:19">
      <c r="B184" s="2"/>
      <c r="C184" s="2"/>
      <c r="E184" s="2" t="s">
        <v>141</v>
      </c>
      <c r="F184" s="2"/>
      <c r="I184" s="2"/>
    </row>
    <row r="185" spans="2:19">
      <c r="B185" s="2"/>
      <c r="C185" s="2"/>
      <c r="E185" s="2" t="s">
        <v>142</v>
      </c>
      <c r="F185" s="70"/>
      <c r="G185" s="2"/>
      <c r="I185" s="70"/>
    </row>
    <row r="186" spans="2:19">
      <c r="B186" s="2"/>
      <c r="C186" s="2"/>
      <c r="F186" s="70"/>
      <c r="G186" s="2"/>
      <c r="I186" s="70"/>
    </row>
    <row r="187" spans="2:19">
      <c r="B187" s="2"/>
      <c r="C187" s="2"/>
      <c r="D187" s="1" t="s">
        <v>94</v>
      </c>
      <c r="E187" s="1" t="s">
        <v>143</v>
      </c>
      <c r="F187" s="70"/>
      <c r="G187" s="2"/>
      <c r="I187" s="70"/>
    </row>
    <row r="188" spans="2:19">
      <c r="B188" s="2"/>
      <c r="C188" s="2"/>
      <c r="D188" s="1"/>
      <c r="E188" s="2" t="s">
        <v>144</v>
      </c>
      <c r="F188" s="2"/>
      <c r="G188" s="2"/>
      <c r="I188" s="70"/>
    </row>
    <row r="189" spans="2:19">
      <c r="B189" s="2"/>
      <c r="C189" s="2"/>
      <c r="F189" s="70"/>
      <c r="G189" s="2"/>
      <c r="I189" s="70"/>
    </row>
    <row r="190" spans="2:19">
      <c r="D190" s="1" t="s">
        <v>99</v>
      </c>
      <c r="E190" s="1" t="s">
        <v>145</v>
      </c>
    </row>
    <row r="191" spans="2:19">
      <c r="B191" s="2"/>
      <c r="C191" s="1"/>
      <c r="E191" t="s">
        <v>18</v>
      </c>
      <c r="F191" s="2" t="s">
        <v>146</v>
      </c>
      <c r="G191" s="2"/>
      <c r="H191" s="2"/>
      <c r="I191" s="2"/>
    </row>
    <row r="192" spans="2:19">
      <c r="B192" s="2"/>
      <c r="C192" s="1"/>
      <c r="F192" s="2" t="s">
        <v>20</v>
      </c>
      <c r="G192" s="2" t="s">
        <v>147</v>
      </c>
    </row>
    <row r="193" spans="2:37">
      <c r="B193" s="2"/>
      <c r="C193" s="2"/>
      <c r="F193" s="2" t="s">
        <v>24</v>
      </c>
      <c r="G193" s="2" t="s">
        <v>148</v>
      </c>
      <c r="I193" s="2"/>
      <c r="J193" s="2"/>
      <c r="M193" s="2"/>
      <c r="N193" s="2"/>
      <c r="O193" s="2"/>
      <c r="P193" s="2"/>
      <c r="Q193" s="2"/>
      <c r="R193" s="2"/>
      <c r="S193" s="2"/>
    </row>
    <row r="194" spans="2:37">
      <c r="B194" s="2"/>
      <c r="C194" s="2"/>
      <c r="F194" s="2" t="s">
        <v>29</v>
      </c>
      <c r="G194" s="2" t="s">
        <v>149</v>
      </c>
      <c r="I194" s="2"/>
      <c r="J194" s="2"/>
      <c r="M194" s="2"/>
      <c r="N194" s="2"/>
      <c r="O194" s="2"/>
      <c r="P194" s="2"/>
      <c r="Q194" s="2"/>
      <c r="R194" s="2"/>
      <c r="S194" s="2"/>
    </row>
    <row r="195" spans="2:37">
      <c r="B195" s="2"/>
      <c r="C195" s="2"/>
      <c r="F195" s="2"/>
      <c r="G195" s="2"/>
      <c r="I195" s="2"/>
      <c r="J195" s="2"/>
      <c r="M195" s="2"/>
      <c r="N195" s="2"/>
      <c r="O195" s="2"/>
      <c r="P195" s="2"/>
      <c r="Q195" s="2"/>
      <c r="R195" s="2"/>
      <c r="S195" s="2"/>
    </row>
    <row r="196" spans="2:37">
      <c r="B196" s="2"/>
      <c r="C196" s="2"/>
      <c r="D196" s="1" t="s">
        <v>102</v>
      </c>
      <c r="E196" s="1" t="s">
        <v>150</v>
      </c>
      <c r="G196" s="2"/>
      <c r="H196" s="2"/>
      <c r="I196" s="2"/>
      <c r="J196" s="2"/>
      <c r="M196" s="2"/>
      <c r="N196" s="2"/>
      <c r="O196" s="2"/>
      <c r="P196" s="2"/>
      <c r="Q196" s="2"/>
      <c r="R196" s="2"/>
      <c r="S196" s="2"/>
    </row>
    <row r="197" spans="2:37">
      <c r="B197" s="2"/>
      <c r="C197" s="2"/>
      <c r="D197" s="2"/>
      <c r="E197" s="2" t="s">
        <v>151</v>
      </c>
      <c r="F197" s="2"/>
      <c r="G197" s="2"/>
      <c r="H197" s="2"/>
      <c r="I197" s="2"/>
      <c r="J197" s="2"/>
      <c r="M197" s="2"/>
      <c r="N197" s="2"/>
      <c r="O197" s="2"/>
      <c r="P197" s="2"/>
      <c r="Q197" s="2"/>
      <c r="R197" s="2"/>
      <c r="S197" s="2"/>
    </row>
    <row r="198" spans="2:37">
      <c r="B198" s="2"/>
      <c r="C198" s="2"/>
      <c r="D198" s="2"/>
      <c r="F198" s="2"/>
      <c r="G198" s="2"/>
      <c r="H198" s="2"/>
      <c r="I198" s="2"/>
      <c r="J198" s="2"/>
      <c r="M198" s="2"/>
      <c r="N198" s="2"/>
      <c r="O198" s="2"/>
      <c r="P198" s="2"/>
      <c r="Q198" s="2"/>
      <c r="R198" s="2"/>
      <c r="S198" s="2"/>
    </row>
    <row r="199" spans="2:37">
      <c r="B199" s="2"/>
      <c r="C199" s="2"/>
      <c r="D199" s="1" t="s">
        <v>106</v>
      </c>
      <c r="E199" s="1" t="s">
        <v>152</v>
      </c>
      <c r="G199" s="2"/>
      <c r="H199" s="2"/>
      <c r="I199" s="2"/>
      <c r="J199" s="2"/>
      <c r="M199" s="2"/>
      <c r="N199" s="2"/>
      <c r="O199" s="2"/>
      <c r="P199" s="2"/>
      <c r="Q199" s="2"/>
      <c r="R199" s="2"/>
      <c r="S199" s="2"/>
    </row>
    <row r="200" spans="2:37">
      <c r="B200" s="2"/>
      <c r="C200" s="2"/>
      <c r="D200" s="1"/>
      <c r="E200" s="2" t="s">
        <v>18</v>
      </c>
      <c r="F200" s="2" t="s">
        <v>153</v>
      </c>
      <c r="M200" s="2"/>
      <c r="N200" s="2"/>
      <c r="O200" s="2"/>
      <c r="P200" s="2"/>
      <c r="Q200" s="2"/>
      <c r="R200" s="2"/>
      <c r="S200" s="2"/>
    </row>
    <row r="201" spans="2:37">
      <c r="B201" s="2"/>
      <c r="C201" s="2"/>
      <c r="D201" s="1"/>
      <c r="E201" s="2" t="s">
        <v>31</v>
      </c>
      <c r="F201" s="2" t="s">
        <v>154</v>
      </c>
      <c r="I201" s="2"/>
      <c r="J201" s="2"/>
      <c r="M201" s="2"/>
      <c r="N201" s="2"/>
      <c r="O201" s="2"/>
      <c r="P201" s="2"/>
      <c r="Q201" s="2"/>
      <c r="R201" s="2"/>
      <c r="S201" s="2"/>
      <c r="T201" s="2"/>
      <c r="U201" s="2"/>
      <c r="V201" s="2"/>
      <c r="W201" s="2"/>
      <c r="X201" s="2"/>
      <c r="Y201" s="2"/>
      <c r="Z201" s="2"/>
      <c r="AA201" s="2"/>
      <c r="AB201" s="2"/>
      <c r="AC201" s="2"/>
      <c r="AD201" s="2"/>
      <c r="AE201" s="2"/>
      <c r="AF201" s="2"/>
      <c r="AG201" s="2"/>
    </row>
    <row r="202" spans="2:37">
      <c r="B202" s="2"/>
      <c r="C202" s="2"/>
      <c r="D202" s="1"/>
      <c r="E202" s="2" t="s">
        <v>39</v>
      </c>
      <c r="F202" s="2" t="s">
        <v>155</v>
      </c>
      <c r="I202" s="2"/>
      <c r="J202" s="2"/>
      <c r="M202" s="2"/>
      <c r="N202" s="2"/>
      <c r="O202" s="2"/>
      <c r="P202" s="2"/>
      <c r="Q202" s="2"/>
      <c r="R202" s="2"/>
      <c r="S202" s="2"/>
      <c r="T202" s="2"/>
      <c r="U202" s="2"/>
      <c r="V202" s="2"/>
      <c r="W202" s="2"/>
      <c r="X202" s="2"/>
      <c r="Y202" s="2"/>
      <c r="Z202" s="2"/>
      <c r="AA202" s="2"/>
      <c r="AB202" s="2"/>
      <c r="AC202" s="2"/>
      <c r="AD202" s="2"/>
      <c r="AE202" s="2"/>
      <c r="AF202" s="2"/>
      <c r="AG202" s="2"/>
    </row>
    <row r="203" spans="2:37">
      <c r="B203" s="2"/>
      <c r="C203" s="2"/>
      <c r="F203" s="2" t="s">
        <v>20</v>
      </c>
      <c r="G203" s="2" t="s">
        <v>156</v>
      </c>
      <c r="I203" s="2"/>
      <c r="J203" s="2"/>
      <c r="M203" s="2"/>
      <c r="N203" s="2"/>
      <c r="O203" s="2"/>
      <c r="P203" s="2"/>
      <c r="Q203" s="2"/>
      <c r="R203" s="2"/>
      <c r="S203" s="2"/>
      <c r="T203" s="2"/>
      <c r="U203" s="2"/>
      <c r="V203" s="2"/>
      <c r="W203" s="2"/>
      <c r="X203" s="2"/>
      <c r="Y203" s="2"/>
    </row>
    <row r="204" spans="2:37">
      <c r="B204" s="2"/>
      <c r="C204" s="2"/>
      <c r="D204" s="1"/>
      <c r="E204" s="2" t="s">
        <v>82</v>
      </c>
      <c r="F204" s="2" t="s">
        <v>157</v>
      </c>
      <c r="M204" s="2"/>
      <c r="N204" s="2"/>
      <c r="O204" s="2"/>
      <c r="P204" s="2"/>
      <c r="Q204" s="2"/>
      <c r="R204" s="2"/>
      <c r="S204" s="2"/>
    </row>
    <row r="205" spans="2:37">
      <c r="B205" s="2"/>
      <c r="C205" s="2"/>
      <c r="D205" s="1"/>
      <c r="F205" t="s">
        <v>20</v>
      </c>
      <c r="G205" s="1223" t="s">
        <v>158</v>
      </c>
      <c r="H205" s="1223"/>
      <c r="I205" s="1223"/>
      <c r="J205" s="1223"/>
      <c r="K205" s="1223"/>
      <c r="L205" s="1223"/>
      <c r="M205" s="1223"/>
      <c r="N205" s="1223"/>
      <c r="O205" s="1223"/>
      <c r="P205" s="1223"/>
      <c r="Q205" s="1223"/>
      <c r="R205" s="1223"/>
      <c r="S205" s="1223"/>
      <c r="T205" s="1223"/>
      <c r="U205" s="1223"/>
      <c r="V205" s="1223"/>
      <c r="W205" s="1223"/>
      <c r="X205" s="1223"/>
      <c r="Y205" s="1223"/>
      <c r="Z205" s="1223"/>
      <c r="AA205" s="1223"/>
      <c r="AB205" s="1223"/>
      <c r="AC205" s="1223"/>
      <c r="AD205" s="1223"/>
      <c r="AE205" s="1223"/>
      <c r="AF205" s="1223"/>
      <c r="AG205" s="1223"/>
      <c r="AH205" s="1223"/>
      <c r="AI205" s="1223"/>
      <c r="AJ205" s="1223"/>
      <c r="AK205" s="1223"/>
    </row>
    <row r="206" spans="2:37">
      <c r="B206" s="2"/>
      <c r="C206" s="2"/>
      <c r="D206" s="1"/>
      <c r="G206" s="1223"/>
      <c r="H206" s="1223"/>
      <c r="I206" s="1223"/>
      <c r="J206" s="1223"/>
      <c r="K206" s="1223"/>
      <c r="L206" s="1223"/>
      <c r="M206" s="1223"/>
      <c r="N206" s="1223"/>
      <c r="O206" s="1223"/>
      <c r="P206" s="1223"/>
      <c r="Q206" s="1223"/>
      <c r="R206" s="1223"/>
      <c r="S206" s="1223"/>
      <c r="T206" s="1223"/>
      <c r="U206" s="1223"/>
      <c r="V206" s="1223"/>
      <c r="W206" s="1223"/>
      <c r="X206" s="1223"/>
      <c r="Y206" s="1223"/>
      <c r="Z206" s="1223"/>
      <c r="AA206" s="1223"/>
      <c r="AB206" s="1223"/>
      <c r="AC206" s="1223"/>
      <c r="AD206" s="1223"/>
      <c r="AE206" s="1223"/>
      <c r="AF206" s="1223"/>
      <c r="AG206" s="1223"/>
      <c r="AH206" s="1223"/>
      <c r="AI206" s="1223"/>
      <c r="AJ206" s="1223"/>
      <c r="AK206" s="1223"/>
    </row>
    <row r="207" spans="2:37">
      <c r="B207" s="2"/>
      <c r="C207" s="2"/>
      <c r="D207" s="1"/>
      <c r="M207" s="2"/>
      <c r="N207" s="2"/>
      <c r="O207" s="2"/>
      <c r="P207" s="2"/>
      <c r="Q207" s="2"/>
      <c r="R207" s="2"/>
      <c r="S207" s="2"/>
    </row>
    <row r="208" spans="2:37">
      <c r="B208" s="2"/>
      <c r="C208" s="2"/>
      <c r="D208" s="1" t="s">
        <v>127</v>
      </c>
      <c r="E208" s="1" t="s">
        <v>159</v>
      </c>
      <c r="G208" s="2"/>
      <c r="H208" s="2"/>
      <c r="I208" s="2"/>
      <c r="J208" s="2"/>
      <c r="M208" s="2"/>
      <c r="N208" s="2"/>
      <c r="O208" s="2"/>
      <c r="P208" s="2"/>
      <c r="Q208" s="2"/>
      <c r="R208" s="2"/>
      <c r="S208" s="2"/>
      <c r="T208" s="2"/>
      <c r="U208" s="2"/>
      <c r="V208" s="2"/>
      <c r="W208" s="2"/>
    </row>
    <row r="209" spans="1:38">
      <c r="B209" s="2"/>
      <c r="C209" s="2"/>
      <c r="E209" s="2" t="s">
        <v>160</v>
      </c>
      <c r="F209" s="2"/>
      <c r="I209" s="2"/>
      <c r="J209" s="2"/>
      <c r="M209" s="2"/>
      <c r="N209" s="2"/>
      <c r="O209" s="2"/>
      <c r="P209" s="2"/>
      <c r="Q209" s="2"/>
      <c r="R209" s="2"/>
      <c r="S209" s="2"/>
      <c r="T209" s="2"/>
      <c r="U209" s="2"/>
      <c r="V209" s="2"/>
      <c r="W209" s="2"/>
    </row>
    <row r="210" spans="1:38">
      <c r="B210" s="2"/>
      <c r="C210" s="2"/>
      <c r="F210" s="2"/>
      <c r="G210" s="2"/>
      <c r="I210" s="2"/>
      <c r="J210" s="2"/>
      <c r="M210" s="2"/>
      <c r="N210" s="2"/>
      <c r="O210" s="2"/>
      <c r="P210" s="2"/>
      <c r="Q210" s="2"/>
      <c r="R210" s="2"/>
      <c r="S210" s="2"/>
      <c r="T210" s="2"/>
      <c r="U210" s="2"/>
      <c r="V210" s="2"/>
      <c r="W210" s="2"/>
    </row>
    <row r="211" spans="1:38">
      <c r="B211" s="2"/>
      <c r="C211" s="2"/>
      <c r="D211" s="1" t="s">
        <v>161</v>
      </c>
      <c r="E211" s="1" t="s">
        <v>162</v>
      </c>
      <c r="F211" s="2"/>
      <c r="G211" s="2"/>
      <c r="I211" s="2"/>
      <c r="J211" s="2"/>
      <c r="M211" s="2"/>
      <c r="N211" s="2"/>
      <c r="O211" s="2"/>
      <c r="P211" s="2"/>
      <c r="Q211" s="2"/>
      <c r="R211" s="2"/>
      <c r="S211" s="2"/>
      <c r="T211" s="2"/>
      <c r="U211" s="2"/>
      <c r="V211" s="2"/>
      <c r="W211" s="2"/>
    </row>
    <row r="212" spans="1:38">
      <c r="B212" s="2"/>
      <c r="C212" s="2"/>
      <c r="D212" s="1"/>
      <c r="E212" s="2" t="s">
        <v>144</v>
      </c>
      <c r="F212" s="2"/>
      <c r="G212" s="2"/>
      <c r="I212" s="2"/>
      <c r="J212" s="2"/>
      <c r="M212" s="2"/>
      <c r="N212" s="2"/>
      <c r="O212" s="2"/>
      <c r="P212" s="2"/>
      <c r="Q212" s="2"/>
      <c r="R212" s="2"/>
      <c r="S212" s="2"/>
      <c r="T212" s="2"/>
      <c r="U212" s="2"/>
      <c r="V212" s="2"/>
      <c r="W212" s="2"/>
    </row>
    <row r="213" spans="1:38">
      <c r="B213" s="2"/>
      <c r="C213" s="2"/>
      <c r="D213" s="1"/>
      <c r="M213" s="2"/>
      <c r="N213" s="2"/>
      <c r="O213" s="2"/>
      <c r="P213" s="2"/>
      <c r="Q213" s="2"/>
      <c r="R213" s="2"/>
      <c r="S213" s="2"/>
    </row>
    <row r="214" spans="1:38">
      <c r="C214" s="1" t="s">
        <v>163</v>
      </c>
      <c r="D214" s="1"/>
      <c r="G214" s="1" t="s">
        <v>164</v>
      </c>
      <c r="M214" s="2"/>
      <c r="N214" s="2"/>
      <c r="O214" s="2"/>
      <c r="P214" s="2"/>
      <c r="Q214" s="2"/>
      <c r="R214" s="2"/>
      <c r="S214" s="2"/>
    </row>
    <row r="215" spans="1:38">
      <c r="B215" s="2"/>
      <c r="C215" s="2"/>
      <c r="E215" t="s">
        <v>18</v>
      </c>
      <c r="F215" s="2" t="s">
        <v>165</v>
      </c>
      <c r="G215" s="2"/>
      <c r="H215" s="2"/>
      <c r="I215" s="2"/>
      <c r="L215" s="2"/>
      <c r="N215" s="2"/>
      <c r="O215" s="2"/>
      <c r="P215" s="2"/>
      <c r="Q215" s="2"/>
      <c r="R215" s="2"/>
      <c r="S215" s="2"/>
    </row>
    <row r="216" spans="1:38">
      <c r="B216" s="2"/>
      <c r="C216" s="2"/>
      <c r="F216" s="2" t="s">
        <v>20</v>
      </c>
      <c r="G216" s="2" t="s">
        <v>166</v>
      </c>
      <c r="I216" s="2"/>
      <c r="M216" s="2"/>
      <c r="N216" s="2"/>
      <c r="O216" s="2"/>
      <c r="P216" s="2"/>
      <c r="Q216" s="2"/>
      <c r="R216" s="2"/>
      <c r="S216" s="2"/>
    </row>
    <row r="217" spans="1:38">
      <c r="B217" s="2"/>
      <c r="C217" s="2"/>
      <c r="E217" t="s">
        <v>31</v>
      </c>
      <c r="F217" s="2" t="s">
        <v>167</v>
      </c>
      <c r="G217" s="2"/>
      <c r="H217" s="2"/>
      <c r="I217" s="2"/>
      <c r="M217" s="2"/>
      <c r="N217" s="2"/>
      <c r="O217" s="2"/>
      <c r="P217" s="2"/>
      <c r="Q217" s="2"/>
      <c r="R217" s="2"/>
      <c r="S217" s="2"/>
    </row>
    <row r="218" spans="1:38">
      <c r="B218" s="2"/>
      <c r="C218" s="2"/>
      <c r="F218" s="2" t="s">
        <v>20</v>
      </c>
      <c r="G218" s="2" t="s">
        <v>168</v>
      </c>
      <c r="I218" s="2"/>
      <c r="M218" s="2"/>
      <c r="N218" s="2"/>
      <c r="O218" s="2"/>
      <c r="P218" s="2"/>
      <c r="Q218" s="2"/>
      <c r="R218" s="2"/>
      <c r="S218" s="2"/>
    </row>
    <row r="219" spans="1:38">
      <c r="B219" s="2"/>
      <c r="C219" s="2"/>
      <c r="F219" s="2"/>
      <c r="G219" s="2" t="s">
        <v>169</v>
      </c>
      <c r="I219" s="2"/>
      <c r="M219" s="2"/>
      <c r="N219" s="2"/>
      <c r="O219" s="2"/>
      <c r="P219" s="2"/>
      <c r="Q219" s="2"/>
      <c r="R219" s="2"/>
      <c r="S219" s="2"/>
    </row>
    <row r="220" spans="1:38">
      <c r="B220" s="2"/>
      <c r="C220" s="2"/>
      <c r="F220" s="2"/>
      <c r="K220" s="2"/>
      <c r="M220" s="2"/>
      <c r="N220" s="2"/>
      <c r="O220" s="2"/>
      <c r="P220" s="2"/>
      <c r="Q220" s="2"/>
      <c r="R220" s="2"/>
      <c r="S220" s="2"/>
    </row>
    <row r="221" spans="1:38">
      <c r="A221" s="4"/>
      <c r="B221" s="9" t="s">
        <v>170</v>
      </c>
      <c r="C221" s="9" t="s">
        <v>171</v>
      </c>
      <c r="D221" s="4"/>
      <c r="E221" s="968"/>
      <c r="F221" s="968"/>
      <c r="G221" s="968"/>
      <c r="H221" s="968"/>
      <c r="I221" s="968"/>
      <c r="J221" s="968"/>
      <c r="K221" s="4"/>
      <c r="L221" s="968"/>
      <c r="M221" s="968"/>
      <c r="N221" s="968"/>
      <c r="O221" s="968"/>
      <c r="P221" s="968"/>
      <c r="Q221" s="968"/>
      <c r="R221" s="968"/>
      <c r="S221" s="968"/>
      <c r="T221" s="4"/>
      <c r="U221" s="4"/>
      <c r="V221" s="4"/>
      <c r="W221" s="4"/>
      <c r="X221" s="4"/>
      <c r="Y221" s="4"/>
      <c r="Z221" s="4"/>
      <c r="AA221" s="4"/>
      <c r="AB221" s="4"/>
      <c r="AC221" s="4"/>
      <c r="AD221" s="4"/>
      <c r="AE221" s="4"/>
      <c r="AF221" s="4"/>
      <c r="AG221" s="4"/>
      <c r="AH221" s="4"/>
      <c r="AI221" s="4"/>
      <c r="AJ221" s="4"/>
      <c r="AK221" s="4"/>
      <c r="AL221" s="4"/>
    </row>
    <row r="222" spans="1:38">
      <c r="B222" s="1"/>
      <c r="D222" s="1"/>
      <c r="E222" s="2"/>
      <c r="F222" s="2"/>
      <c r="G222" s="2"/>
      <c r="H222" s="2"/>
      <c r="I222" s="2"/>
      <c r="J222" s="2"/>
      <c r="L222" s="2"/>
      <c r="M222" s="2"/>
      <c r="N222" s="2"/>
      <c r="O222" s="2"/>
      <c r="P222" s="2"/>
      <c r="Q222" s="2"/>
      <c r="R222" s="2"/>
      <c r="S222" s="2"/>
    </row>
    <row r="223" spans="1:38">
      <c r="B223" s="2"/>
      <c r="C223" s="1" t="s">
        <v>71</v>
      </c>
      <c r="D223" s="2"/>
      <c r="E223" s="2"/>
      <c r="F223" s="2"/>
      <c r="G223" s="1" t="s">
        <v>172</v>
      </c>
      <c r="I223" s="2"/>
      <c r="J223" s="2"/>
      <c r="K223" s="2"/>
      <c r="M223" s="2"/>
      <c r="N223" s="2"/>
      <c r="O223" s="2"/>
      <c r="P223" s="2"/>
      <c r="Q223" s="2"/>
      <c r="R223" s="2"/>
      <c r="S223" s="2"/>
    </row>
    <row r="224" spans="1:38">
      <c r="B224" s="1"/>
      <c r="E224" s="2" t="s">
        <v>18</v>
      </c>
      <c r="F224" s="2" t="s">
        <v>173</v>
      </c>
      <c r="G224" s="2"/>
      <c r="I224" s="2"/>
      <c r="J224" s="2"/>
      <c r="K224" s="2"/>
      <c r="L224" s="2"/>
      <c r="M224" s="2"/>
      <c r="N224" s="2"/>
      <c r="O224" s="2"/>
      <c r="P224" s="2"/>
      <c r="Q224" s="2"/>
      <c r="R224" s="2"/>
      <c r="S224" s="2"/>
    </row>
    <row r="225" spans="2:19">
      <c r="B225" s="1"/>
      <c r="E225" s="2" t="s">
        <v>31</v>
      </c>
      <c r="F225" s="2" t="s">
        <v>174</v>
      </c>
      <c r="G225" s="2"/>
      <c r="I225" s="2"/>
      <c r="J225" s="2"/>
      <c r="K225" s="2"/>
      <c r="L225" s="2"/>
      <c r="M225" s="2"/>
      <c r="N225" s="2"/>
      <c r="O225" s="2"/>
      <c r="P225" s="2"/>
      <c r="Q225" s="2"/>
      <c r="R225" s="2"/>
      <c r="S225" s="2"/>
    </row>
    <row r="226" spans="2:19">
      <c r="B226" s="1"/>
      <c r="E226" s="2"/>
      <c r="F226" s="2"/>
      <c r="G226" s="2"/>
      <c r="H226" s="2"/>
      <c r="I226" s="2"/>
      <c r="J226" s="2"/>
      <c r="K226" s="2"/>
      <c r="L226" s="2"/>
      <c r="M226" s="2"/>
      <c r="N226" s="2"/>
      <c r="O226" s="2"/>
      <c r="P226" s="2"/>
      <c r="Q226" s="2"/>
      <c r="R226" s="2"/>
      <c r="S226" s="2"/>
    </row>
    <row r="227" spans="2:19">
      <c r="B227" s="1"/>
      <c r="C227" s="1" t="s">
        <v>89</v>
      </c>
      <c r="D227" s="2"/>
      <c r="E227" s="2"/>
      <c r="F227" s="2"/>
      <c r="G227" s="1" t="s">
        <v>175</v>
      </c>
      <c r="I227" s="2"/>
      <c r="J227" s="2"/>
      <c r="K227" s="2"/>
      <c r="L227" s="2"/>
      <c r="M227" s="2"/>
      <c r="N227" s="2"/>
      <c r="O227" s="2"/>
      <c r="P227" s="2"/>
      <c r="Q227" s="2"/>
      <c r="R227" s="2"/>
      <c r="S227" s="2"/>
    </row>
    <row r="228" spans="2:19">
      <c r="B228" s="1"/>
      <c r="E228" s="2" t="s">
        <v>18</v>
      </c>
      <c r="F228" s="2" t="s">
        <v>176</v>
      </c>
      <c r="G228" s="2"/>
      <c r="I228" s="2"/>
      <c r="J228" s="2"/>
      <c r="K228" s="2"/>
      <c r="L228" s="2"/>
      <c r="M228" s="2"/>
      <c r="N228" s="2"/>
      <c r="O228" s="2"/>
      <c r="P228" s="2"/>
      <c r="Q228" s="2"/>
      <c r="R228" s="2"/>
      <c r="S228" s="2"/>
    </row>
    <row r="229" spans="2:19">
      <c r="B229" s="1"/>
      <c r="E229" s="2"/>
      <c r="F229" s="2" t="s">
        <v>177</v>
      </c>
      <c r="G229" s="2"/>
      <c r="H229" s="2"/>
      <c r="I229" s="2"/>
      <c r="J229" s="2"/>
      <c r="K229" s="2"/>
      <c r="L229" s="2"/>
      <c r="M229" s="2"/>
      <c r="N229" s="2"/>
      <c r="O229" s="2"/>
      <c r="P229" s="2"/>
      <c r="Q229" s="2"/>
      <c r="R229" s="2"/>
      <c r="S229" s="2"/>
    </row>
    <row r="230" spans="2:19">
      <c r="B230" s="1"/>
      <c r="D230" s="2"/>
      <c r="E230" s="2" t="s">
        <v>31</v>
      </c>
      <c r="F230" s="2" t="s">
        <v>174</v>
      </c>
      <c r="G230" s="2"/>
      <c r="I230" s="2"/>
      <c r="J230" s="2"/>
      <c r="K230" s="2"/>
      <c r="L230" s="2"/>
      <c r="M230" s="2"/>
      <c r="N230" s="2"/>
      <c r="O230" s="2"/>
      <c r="P230" s="2"/>
      <c r="Q230" s="2"/>
      <c r="R230" s="2"/>
      <c r="S230" s="2"/>
    </row>
    <row r="231" spans="2:19">
      <c r="B231" s="1"/>
      <c r="E231" s="2" t="s">
        <v>39</v>
      </c>
      <c r="F231" s="57" t="s">
        <v>178</v>
      </c>
      <c r="G231" s="2"/>
      <c r="I231" s="2"/>
      <c r="J231" s="2"/>
      <c r="K231" s="2"/>
      <c r="L231" s="2"/>
      <c r="M231" s="2"/>
      <c r="N231" s="2"/>
      <c r="O231" s="2"/>
      <c r="P231" s="2"/>
      <c r="Q231" s="2"/>
      <c r="R231" s="2"/>
      <c r="S231" s="2"/>
    </row>
    <row r="232" spans="2:19">
      <c r="B232" s="1"/>
      <c r="D232" s="2"/>
      <c r="E232" s="2"/>
      <c r="F232" s="2"/>
      <c r="G232" s="2"/>
      <c r="H232" s="2"/>
      <c r="I232" s="2"/>
      <c r="J232" s="2"/>
      <c r="K232" s="2"/>
      <c r="L232" s="2"/>
      <c r="M232" s="2"/>
      <c r="N232" s="2"/>
      <c r="O232" s="2"/>
      <c r="P232" s="2"/>
      <c r="Q232" s="2"/>
      <c r="R232" s="2"/>
      <c r="S232" s="2"/>
    </row>
    <row r="233" spans="2:19">
      <c r="B233" s="2"/>
      <c r="C233" s="1"/>
      <c r="E233" s="1" t="s">
        <v>179</v>
      </c>
      <c r="F233" s="2"/>
      <c r="J233" s="2"/>
      <c r="K233" s="2"/>
      <c r="M233" s="2"/>
      <c r="N233" s="2"/>
      <c r="O233" s="2"/>
      <c r="P233" s="2"/>
      <c r="Q233" s="2"/>
      <c r="R233" s="2"/>
      <c r="S233" s="2"/>
    </row>
    <row r="234" spans="2:19">
      <c r="B234" s="2"/>
      <c r="C234" s="2"/>
      <c r="E234" t="s">
        <v>18</v>
      </c>
      <c r="F234" s="2" t="s">
        <v>179</v>
      </c>
      <c r="G234" s="1"/>
      <c r="H234" s="1"/>
      <c r="I234" s="1"/>
      <c r="L234" s="1"/>
      <c r="M234" s="1"/>
      <c r="N234" s="1"/>
      <c r="O234" s="1"/>
      <c r="P234" s="1"/>
      <c r="Q234" s="1"/>
      <c r="R234" s="2"/>
      <c r="S234" s="2"/>
    </row>
    <row r="235" spans="2:19">
      <c r="B235" s="2"/>
      <c r="C235" s="2"/>
      <c r="F235" s="2" t="s">
        <v>20</v>
      </c>
      <c r="G235" s="2" t="s">
        <v>180</v>
      </c>
      <c r="I235" s="2"/>
      <c r="M235" s="2"/>
      <c r="N235" s="2"/>
      <c r="O235" s="2"/>
      <c r="P235" s="2"/>
      <c r="Q235" s="2"/>
      <c r="R235" s="2"/>
      <c r="S235" s="2"/>
    </row>
    <row r="236" spans="2:19">
      <c r="B236" s="2"/>
      <c r="C236" s="2"/>
      <c r="F236" s="2"/>
      <c r="G236" s="2" t="s">
        <v>181</v>
      </c>
      <c r="I236" s="2"/>
      <c r="M236" s="2"/>
      <c r="N236" s="2"/>
      <c r="O236" s="2"/>
      <c r="P236" s="2"/>
      <c r="Q236" s="2"/>
      <c r="R236" s="2"/>
      <c r="S236" s="2"/>
    </row>
    <row r="237" spans="2:19">
      <c r="B237" s="2"/>
      <c r="C237" s="2"/>
      <c r="E237" t="s">
        <v>31</v>
      </c>
      <c r="F237" s="766" t="s">
        <v>182</v>
      </c>
      <c r="G237" s="1"/>
      <c r="H237" s="1"/>
      <c r="I237" s="1"/>
      <c r="L237" s="1"/>
      <c r="M237" s="1"/>
      <c r="N237" s="1"/>
      <c r="O237" s="1"/>
      <c r="P237" s="1"/>
      <c r="Q237" s="1"/>
      <c r="R237" s="1"/>
      <c r="S237" s="1"/>
    </row>
    <row r="238" spans="2:19">
      <c r="B238" s="2"/>
      <c r="C238" s="2"/>
      <c r="F238" s="2" t="s">
        <v>20</v>
      </c>
      <c r="G238" s="2" t="s">
        <v>183</v>
      </c>
      <c r="I238" s="2"/>
      <c r="M238" s="2"/>
      <c r="N238" s="2"/>
      <c r="O238" s="2"/>
      <c r="P238" s="2"/>
      <c r="Q238" s="2"/>
      <c r="R238" s="2"/>
      <c r="S238" s="2"/>
    </row>
    <row r="239" spans="2:19">
      <c r="B239" s="2"/>
      <c r="C239" s="2"/>
      <c r="F239" s="2"/>
      <c r="G239" s="2" t="s">
        <v>22</v>
      </c>
      <c r="H239" s="2" t="s">
        <v>184</v>
      </c>
      <c r="I239" s="2"/>
      <c r="M239" s="2"/>
      <c r="N239" s="2"/>
      <c r="O239" s="2"/>
      <c r="P239" s="2"/>
      <c r="Q239" s="2"/>
      <c r="R239" s="2"/>
      <c r="S239" s="2"/>
    </row>
    <row r="240" spans="2:19">
      <c r="B240" s="2"/>
      <c r="C240" s="2"/>
      <c r="F240" s="2" t="s">
        <v>24</v>
      </c>
      <c r="G240" s="766" t="s">
        <v>185</v>
      </c>
      <c r="I240" s="2"/>
      <c r="M240" s="2"/>
      <c r="N240" s="2"/>
      <c r="O240" s="2"/>
      <c r="P240" s="2"/>
      <c r="Q240" s="2"/>
      <c r="R240" s="2"/>
      <c r="S240" s="2"/>
    </row>
    <row r="241" spans="2:21">
      <c r="B241" s="2"/>
      <c r="C241" s="2"/>
      <c r="E241" t="s">
        <v>39</v>
      </c>
      <c r="F241" s="2" t="s">
        <v>20</v>
      </c>
      <c r="G241" s="766" t="s">
        <v>186</v>
      </c>
      <c r="I241" s="2"/>
      <c r="M241" s="2"/>
      <c r="N241" s="2"/>
      <c r="O241" s="2"/>
      <c r="P241" s="2"/>
      <c r="Q241" s="2"/>
      <c r="R241" s="2"/>
      <c r="S241" s="2"/>
    </row>
    <row r="242" spans="2:21">
      <c r="B242" s="2"/>
      <c r="C242" s="2"/>
      <c r="F242" s="2" t="s">
        <v>24</v>
      </c>
      <c r="G242" s="766" t="s">
        <v>187</v>
      </c>
      <c r="I242" s="2"/>
      <c r="M242" s="2"/>
      <c r="N242" s="2"/>
      <c r="O242" s="2"/>
      <c r="P242" s="2"/>
      <c r="Q242" s="2"/>
      <c r="R242" s="2"/>
      <c r="S242" s="2"/>
    </row>
    <row r="243" spans="2:21">
      <c r="B243" s="2"/>
      <c r="C243" s="2"/>
      <c r="F243" s="2" t="s">
        <v>29</v>
      </c>
      <c r="G243" s="766" t="s">
        <v>188</v>
      </c>
      <c r="I243" s="2"/>
      <c r="M243" s="2"/>
      <c r="N243" s="2"/>
      <c r="O243" s="2"/>
      <c r="P243" s="2"/>
      <c r="Q243" s="2"/>
      <c r="R243" s="2"/>
      <c r="S243" s="2"/>
    </row>
    <row r="244" spans="2:21">
      <c r="B244" s="2"/>
      <c r="C244" s="2"/>
      <c r="F244" s="2"/>
      <c r="G244" s="766" t="s">
        <v>189</v>
      </c>
      <c r="I244" s="2"/>
      <c r="M244" s="2"/>
      <c r="N244" s="2"/>
      <c r="O244" s="2"/>
      <c r="P244" s="2"/>
      <c r="Q244" s="2"/>
      <c r="R244" s="2"/>
      <c r="S244" s="2"/>
    </row>
    <row r="245" spans="2:21">
      <c r="B245" s="2"/>
      <c r="C245" s="2"/>
      <c r="D245" s="1"/>
      <c r="E245" s="2" t="s">
        <v>39</v>
      </c>
      <c r="F245" s="2" t="s">
        <v>190</v>
      </c>
      <c r="H245" s="2"/>
      <c r="I245" s="2"/>
      <c r="M245" s="2"/>
      <c r="N245" s="2"/>
      <c r="O245" s="2"/>
      <c r="P245" s="2"/>
      <c r="Q245" s="2"/>
      <c r="R245" s="2"/>
      <c r="S245" s="2"/>
    </row>
    <row r="246" spans="2:21">
      <c r="B246" s="2"/>
      <c r="C246" s="2"/>
      <c r="D246" s="1"/>
      <c r="E246" s="1"/>
      <c r="F246" t="s">
        <v>20</v>
      </c>
      <c r="G246" s="2" t="s">
        <v>191</v>
      </c>
      <c r="I246" s="2"/>
      <c r="M246" s="2"/>
      <c r="N246" s="2"/>
      <c r="O246" s="2"/>
      <c r="P246" s="2"/>
      <c r="Q246" s="2"/>
      <c r="R246" s="2"/>
      <c r="S246" s="2"/>
    </row>
    <row r="247" spans="2:21">
      <c r="B247" s="2"/>
      <c r="C247" s="2"/>
      <c r="D247" s="1"/>
      <c r="E247" s="1"/>
      <c r="F247" s="2"/>
      <c r="G247" s="2" t="s">
        <v>192</v>
      </c>
      <c r="I247" s="2"/>
      <c r="M247" s="2"/>
      <c r="N247" s="2"/>
      <c r="O247" s="2"/>
      <c r="P247" s="2"/>
      <c r="Q247" s="2"/>
      <c r="R247" s="2"/>
      <c r="S247" s="2"/>
    </row>
    <row r="248" spans="2:21">
      <c r="B248" s="2"/>
      <c r="C248" s="2"/>
      <c r="D248" s="1"/>
      <c r="E248" s="1"/>
      <c r="F248" s="2"/>
      <c r="G248" s="2"/>
      <c r="I248" s="2"/>
      <c r="M248" s="2"/>
      <c r="N248" s="2"/>
      <c r="O248" s="2"/>
      <c r="P248" s="2"/>
      <c r="Q248" s="2"/>
      <c r="R248" s="2"/>
      <c r="S248" s="2"/>
    </row>
    <row r="249" spans="2:21">
      <c r="B249" s="1"/>
      <c r="C249" s="1" t="s">
        <v>109</v>
      </c>
      <c r="E249" s="2"/>
      <c r="F249" s="2"/>
      <c r="G249" s="1" t="s">
        <v>193</v>
      </c>
      <c r="I249" s="2"/>
      <c r="J249" s="2"/>
      <c r="K249" s="2"/>
      <c r="L249" s="2"/>
      <c r="M249" s="2"/>
      <c r="N249" s="2"/>
      <c r="O249" s="2"/>
      <c r="P249" s="2"/>
      <c r="Q249" s="2"/>
      <c r="R249" s="2"/>
      <c r="S249" s="2"/>
    </row>
    <row r="250" spans="2:21">
      <c r="B250" s="1"/>
      <c r="C250" s="1"/>
      <c r="E250" s="2" t="s">
        <v>18</v>
      </c>
      <c r="F250" s="2" t="s">
        <v>194</v>
      </c>
      <c r="G250" s="2"/>
      <c r="I250" s="2"/>
      <c r="J250" s="2"/>
      <c r="K250" s="2"/>
      <c r="L250" s="2"/>
      <c r="M250" s="2"/>
      <c r="N250" s="2"/>
      <c r="O250" s="2"/>
      <c r="P250" s="2"/>
      <c r="Q250" s="2"/>
      <c r="R250" s="2"/>
      <c r="S250" s="2"/>
      <c r="T250" s="2"/>
      <c r="U250" s="2"/>
    </row>
    <row r="251" spans="2:21">
      <c r="B251" s="1"/>
      <c r="C251" s="1"/>
      <c r="E251" s="2"/>
      <c r="F251" s="70" t="s">
        <v>195</v>
      </c>
      <c r="G251" s="2"/>
      <c r="I251" s="70"/>
      <c r="J251" s="2"/>
      <c r="K251" s="2"/>
      <c r="L251" s="2"/>
      <c r="M251" s="2"/>
      <c r="N251" s="2"/>
      <c r="O251" s="2"/>
      <c r="P251" s="2"/>
      <c r="Q251" s="2"/>
      <c r="R251" s="2"/>
      <c r="S251" s="2"/>
      <c r="T251" s="2"/>
      <c r="U251" s="2"/>
    </row>
    <row r="252" spans="2:21">
      <c r="B252" s="1"/>
      <c r="C252" s="1"/>
      <c r="E252" s="2" t="s">
        <v>31</v>
      </c>
      <c r="F252" s="2" t="s">
        <v>196</v>
      </c>
      <c r="I252" s="2"/>
      <c r="J252" s="2"/>
      <c r="K252" s="2"/>
      <c r="L252" s="2"/>
      <c r="M252" s="2"/>
      <c r="N252" s="2"/>
      <c r="O252" s="2"/>
      <c r="P252" s="2"/>
      <c r="Q252" s="2"/>
      <c r="R252" s="2"/>
      <c r="S252" s="2"/>
      <c r="T252" s="2"/>
      <c r="U252" s="2"/>
    </row>
    <row r="253" spans="2:21">
      <c r="B253" s="1"/>
      <c r="C253" s="1"/>
      <c r="E253" s="2"/>
      <c r="F253" s="107" t="s">
        <v>20</v>
      </c>
      <c r="G253" s="107" t="s">
        <v>197</v>
      </c>
      <c r="I253" s="2"/>
      <c r="K253" s="2"/>
      <c r="L253" s="2"/>
      <c r="M253" s="2"/>
      <c r="N253" s="2"/>
      <c r="O253" s="2"/>
      <c r="Q253" s="2"/>
      <c r="R253" s="2"/>
      <c r="S253" s="2"/>
      <c r="T253" s="2"/>
      <c r="U253" s="2"/>
    </row>
    <row r="254" spans="2:21">
      <c r="B254" s="1"/>
      <c r="C254" s="1"/>
      <c r="E254" s="2"/>
      <c r="F254" s="107"/>
      <c r="G254" s="107" t="s">
        <v>198</v>
      </c>
      <c r="I254" s="2"/>
      <c r="K254" s="2"/>
      <c r="L254" s="2"/>
      <c r="M254" s="2"/>
      <c r="N254" s="2"/>
      <c r="O254" s="2"/>
      <c r="P254" s="2"/>
    </row>
    <row r="255" spans="2:21">
      <c r="B255" s="1"/>
      <c r="C255" s="1"/>
      <c r="E255" s="2"/>
      <c r="F255" s="107" t="s">
        <v>24</v>
      </c>
      <c r="G255" s="107" t="s">
        <v>199</v>
      </c>
      <c r="I255" s="2"/>
      <c r="K255" s="2"/>
      <c r="L255" s="2"/>
      <c r="M255" s="2"/>
      <c r="N255" s="2"/>
      <c r="O255" s="2"/>
      <c r="P255" s="2"/>
    </row>
    <row r="256" spans="2:21">
      <c r="B256" s="1"/>
      <c r="C256" s="1"/>
      <c r="E256" s="2"/>
      <c r="F256" s="107"/>
      <c r="G256" s="107" t="s">
        <v>200</v>
      </c>
      <c r="I256" s="2"/>
      <c r="K256" s="2"/>
      <c r="L256" s="2"/>
      <c r="M256" s="2"/>
      <c r="N256" s="2"/>
      <c r="O256" s="2"/>
      <c r="P256" s="2"/>
      <c r="Q256" s="2"/>
      <c r="R256" s="2"/>
      <c r="S256" s="2"/>
      <c r="T256" s="2"/>
      <c r="U256" s="2"/>
    </row>
    <row r="257" spans="2:21">
      <c r="B257" s="1"/>
      <c r="C257" s="1"/>
      <c r="E257" s="2"/>
      <c r="G257" s="2"/>
      <c r="I257" s="2"/>
      <c r="K257" s="2"/>
      <c r="L257" s="2"/>
      <c r="M257" s="2"/>
      <c r="N257" s="2"/>
      <c r="O257" s="2"/>
      <c r="P257" s="2"/>
      <c r="Q257" s="2"/>
      <c r="R257" s="2"/>
      <c r="S257" s="2"/>
      <c r="T257" s="2"/>
      <c r="U257" s="2"/>
    </row>
    <row r="258" spans="2:21">
      <c r="B258" s="1"/>
      <c r="C258" s="1"/>
      <c r="D258" s="1" t="s">
        <v>3</v>
      </c>
      <c r="E258" s="1" t="s">
        <v>201</v>
      </c>
      <c r="G258" s="2"/>
      <c r="H258" s="2"/>
      <c r="I258" s="2"/>
      <c r="J258" s="2"/>
      <c r="K258" s="2"/>
      <c r="L258" s="2"/>
      <c r="M258" s="2"/>
      <c r="N258" s="2"/>
      <c r="O258" s="2"/>
      <c r="P258" s="2"/>
      <c r="Q258" s="2"/>
      <c r="R258" s="2"/>
      <c r="S258" s="2"/>
    </row>
    <row r="259" spans="2:21">
      <c r="B259" s="1"/>
      <c r="C259" s="1"/>
      <c r="E259" s="2" t="s">
        <v>18</v>
      </c>
      <c r="F259" s="2" t="s">
        <v>202</v>
      </c>
      <c r="G259" s="2"/>
      <c r="I259" s="2"/>
      <c r="J259" s="2"/>
      <c r="K259" s="2"/>
      <c r="L259" s="2"/>
      <c r="M259" s="2"/>
      <c r="N259" s="2"/>
      <c r="O259" s="2"/>
      <c r="P259" s="2"/>
      <c r="Q259" s="2"/>
      <c r="R259" s="2"/>
      <c r="S259" s="2"/>
    </row>
    <row r="260" spans="2:21">
      <c r="B260" s="1"/>
      <c r="C260" s="1"/>
      <c r="E260" s="2" t="s">
        <v>31</v>
      </c>
      <c r="F260" s="2" t="s">
        <v>203</v>
      </c>
      <c r="G260" s="2"/>
      <c r="I260" s="2"/>
      <c r="J260" s="2"/>
      <c r="K260" s="2"/>
      <c r="L260" s="2"/>
      <c r="M260" s="2"/>
      <c r="N260" s="2"/>
      <c r="O260" s="2"/>
      <c r="P260" s="2"/>
      <c r="Q260" s="2"/>
      <c r="R260" s="2"/>
      <c r="S260" s="2"/>
    </row>
    <row r="261" spans="2:21">
      <c r="B261" s="1"/>
      <c r="C261" s="1"/>
      <c r="E261" s="2" t="s">
        <v>39</v>
      </c>
      <c r="F261" s="2" t="s">
        <v>204</v>
      </c>
      <c r="I261" s="2"/>
      <c r="J261" s="2"/>
      <c r="K261" s="2"/>
      <c r="L261" s="2"/>
      <c r="M261" s="2"/>
      <c r="N261" s="2"/>
      <c r="O261" s="2"/>
      <c r="P261" s="2"/>
      <c r="Q261" s="2"/>
      <c r="R261" s="2"/>
      <c r="S261" s="2"/>
    </row>
    <row r="262" spans="2:21">
      <c r="B262" s="1"/>
      <c r="C262" s="1"/>
      <c r="E262" s="1"/>
      <c r="F262" s="2" t="s">
        <v>205</v>
      </c>
      <c r="I262" s="2"/>
      <c r="J262" s="2"/>
      <c r="K262" s="2"/>
      <c r="L262" s="2"/>
      <c r="M262" s="2"/>
      <c r="N262" s="2"/>
      <c r="O262" s="2"/>
      <c r="P262" s="2"/>
      <c r="Q262" s="2"/>
      <c r="R262" s="2"/>
      <c r="S262" s="2"/>
    </row>
    <row r="263" spans="2:21">
      <c r="B263" s="1"/>
      <c r="C263" s="1"/>
      <c r="E263" s="2" t="s">
        <v>82</v>
      </c>
      <c r="F263" s="107" t="s">
        <v>206</v>
      </c>
      <c r="I263" s="2"/>
      <c r="J263" s="2"/>
      <c r="K263" s="2"/>
      <c r="L263" s="2"/>
      <c r="M263" s="2"/>
      <c r="N263" s="2"/>
      <c r="O263" s="2"/>
      <c r="P263" s="2"/>
      <c r="Q263" s="2"/>
      <c r="R263" s="2"/>
      <c r="S263" s="2"/>
    </row>
    <row r="264" spans="2:21">
      <c r="B264" s="1"/>
      <c r="C264" s="1"/>
      <c r="E264" s="1"/>
      <c r="F264" s="2"/>
      <c r="H264" s="2"/>
      <c r="I264" s="2"/>
      <c r="J264" s="2"/>
      <c r="K264" s="2"/>
      <c r="L264" s="2"/>
      <c r="M264" s="2"/>
      <c r="N264" s="2"/>
      <c r="O264" s="2"/>
      <c r="P264" s="2"/>
      <c r="Q264" s="2"/>
      <c r="R264" s="2"/>
      <c r="S264" s="2"/>
    </row>
    <row r="265" spans="2:21">
      <c r="B265" s="1"/>
      <c r="C265" s="1"/>
      <c r="D265" s="1" t="s">
        <v>16</v>
      </c>
      <c r="E265" s="1" t="s">
        <v>207</v>
      </c>
      <c r="G265" s="2"/>
      <c r="H265" s="2"/>
      <c r="I265" s="2"/>
      <c r="J265" s="2"/>
      <c r="K265" s="2"/>
      <c r="L265" s="2"/>
      <c r="M265" s="2"/>
      <c r="N265" s="2"/>
      <c r="O265" s="2"/>
      <c r="P265" s="2"/>
      <c r="Q265" s="2"/>
      <c r="R265" s="2"/>
      <c r="S265" s="2"/>
    </row>
    <row r="266" spans="2:21">
      <c r="B266" s="1"/>
      <c r="C266" s="1"/>
      <c r="E266" s="2" t="s">
        <v>208</v>
      </c>
      <c r="F266" s="2"/>
      <c r="G266" s="2"/>
      <c r="O266" s="2"/>
      <c r="P266" s="2"/>
      <c r="Q266" s="2"/>
      <c r="R266" s="2"/>
      <c r="S266" s="2"/>
    </row>
    <row r="267" spans="2:21">
      <c r="B267" s="1"/>
      <c r="C267" s="1"/>
      <c r="E267" s="1"/>
      <c r="G267" s="2"/>
      <c r="H267" s="2"/>
      <c r="O267" s="2"/>
      <c r="P267" s="2"/>
      <c r="Q267" s="2"/>
      <c r="R267" s="2"/>
      <c r="S267" s="2"/>
    </row>
    <row r="268" spans="2:21">
      <c r="B268" s="1"/>
      <c r="C268" s="1"/>
      <c r="D268" s="1" t="s">
        <v>94</v>
      </c>
      <c r="E268" s="1" t="s">
        <v>209</v>
      </c>
      <c r="G268" s="2"/>
    </row>
    <row r="269" spans="2:21">
      <c r="B269" s="1"/>
      <c r="C269" s="1"/>
      <c r="E269" s="2" t="s">
        <v>210</v>
      </c>
      <c r="F269" s="2"/>
      <c r="G269" s="2"/>
      <c r="J269" s="2"/>
      <c r="K269" s="2"/>
      <c r="L269" s="2"/>
      <c r="M269" s="2"/>
      <c r="N269" s="2"/>
    </row>
    <row r="270" spans="2:21">
      <c r="B270" s="1"/>
      <c r="C270" s="1"/>
      <c r="E270" s="2" t="s">
        <v>211</v>
      </c>
      <c r="F270" s="2"/>
      <c r="G270" s="2"/>
      <c r="J270" s="2"/>
      <c r="K270" s="2"/>
      <c r="L270" s="2"/>
      <c r="M270" s="2"/>
      <c r="N270" s="2"/>
    </row>
    <row r="271" spans="2:21">
      <c r="B271" s="1"/>
      <c r="C271" s="1"/>
      <c r="E271" s="1"/>
      <c r="G271" s="2"/>
      <c r="H271" s="2"/>
      <c r="J271" s="2"/>
      <c r="K271" s="2"/>
      <c r="L271" s="2"/>
      <c r="M271" s="2"/>
      <c r="N271" s="2"/>
      <c r="O271" s="2"/>
      <c r="P271" s="2"/>
      <c r="Q271" s="2"/>
      <c r="R271" s="2"/>
      <c r="S271" s="2"/>
      <c r="T271" s="2"/>
      <c r="U271" s="2"/>
    </row>
    <row r="272" spans="2:21">
      <c r="B272" s="1"/>
      <c r="D272" s="1" t="s">
        <v>99</v>
      </c>
      <c r="E272" s="1" t="s">
        <v>212</v>
      </c>
      <c r="G272" s="2"/>
      <c r="H272" s="2"/>
      <c r="J272" s="2"/>
      <c r="K272" s="2"/>
      <c r="L272" s="2"/>
      <c r="M272" s="2"/>
      <c r="N272" s="2"/>
      <c r="O272" s="2"/>
      <c r="P272" s="2"/>
      <c r="Q272" s="2"/>
      <c r="R272" s="2"/>
      <c r="S272" s="2"/>
      <c r="T272" s="2"/>
      <c r="U272" s="2"/>
    </row>
    <row r="273" spans="2:23">
      <c r="B273" s="1"/>
      <c r="D273" s="2"/>
      <c r="E273" s="2" t="s">
        <v>213</v>
      </c>
      <c r="J273" s="2"/>
      <c r="K273" s="2"/>
      <c r="L273" s="2"/>
      <c r="M273" s="2"/>
      <c r="N273" s="2"/>
      <c r="O273" s="2"/>
      <c r="P273" s="2"/>
      <c r="Q273" s="2"/>
      <c r="R273" s="2"/>
      <c r="S273" s="2"/>
      <c r="T273" s="2"/>
      <c r="U273" s="2"/>
    </row>
    <row r="274" spans="2:23">
      <c r="B274" s="1"/>
      <c r="D274" s="2"/>
      <c r="E274" s="2" t="s">
        <v>214</v>
      </c>
      <c r="J274" s="2"/>
      <c r="K274" s="2"/>
      <c r="L274" s="2"/>
      <c r="M274" s="2"/>
      <c r="N274" s="2"/>
      <c r="O274" s="2"/>
      <c r="P274" s="2"/>
      <c r="Q274" s="2"/>
      <c r="R274" s="2"/>
      <c r="S274" s="2"/>
      <c r="T274" s="2"/>
      <c r="U274" s="2"/>
    </row>
    <row r="275" spans="2:23">
      <c r="B275" s="1"/>
      <c r="D275" s="2"/>
      <c r="E275" s="2"/>
      <c r="J275" s="2"/>
      <c r="K275" s="2"/>
      <c r="L275" s="2"/>
      <c r="M275" s="2"/>
      <c r="N275" s="2"/>
      <c r="O275" s="2"/>
      <c r="P275" s="2"/>
      <c r="Q275" s="2"/>
      <c r="R275" s="2"/>
      <c r="S275" s="2"/>
      <c r="T275" s="2"/>
      <c r="U275" s="2"/>
    </row>
    <row r="276" spans="2:23">
      <c r="B276" s="1"/>
      <c r="D276" s="1" t="s">
        <v>102</v>
      </c>
      <c r="E276" s="1" t="s">
        <v>215</v>
      </c>
      <c r="K276" s="2"/>
      <c r="L276" s="2"/>
      <c r="M276" s="2"/>
      <c r="N276" s="2"/>
      <c r="O276" s="2"/>
      <c r="P276" s="2"/>
      <c r="Q276" s="2"/>
      <c r="R276" s="2"/>
      <c r="S276" s="2"/>
      <c r="T276" s="2"/>
      <c r="U276" s="2"/>
    </row>
    <row r="277" spans="2:23">
      <c r="B277" s="1"/>
      <c r="D277" s="1"/>
      <c r="E277" t="s">
        <v>216</v>
      </c>
      <c r="K277" s="2"/>
      <c r="L277" s="2"/>
      <c r="M277" s="2"/>
      <c r="N277" s="2"/>
      <c r="O277" s="2"/>
      <c r="P277" s="2"/>
      <c r="Q277" s="2"/>
      <c r="R277" s="2"/>
      <c r="S277" s="2"/>
    </row>
    <row r="278" spans="2:23">
      <c r="B278" s="1"/>
      <c r="D278" s="2"/>
      <c r="E278" s="2" t="s">
        <v>217</v>
      </c>
      <c r="I278" s="2"/>
      <c r="J278" s="2"/>
      <c r="K278" s="2"/>
      <c r="L278" s="2"/>
      <c r="M278" s="2"/>
      <c r="N278" s="2"/>
      <c r="O278" s="2"/>
      <c r="P278" s="2"/>
      <c r="Q278" s="2"/>
      <c r="R278" s="2"/>
      <c r="S278" s="2"/>
    </row>
    <row r="279" spans="2:23">
      <c r="B279" s="1"/>
      <c r="D279" s="2"/>
      <c r="E279" s="2"/>
      <c r="I279" s="2"/>
      <c r="J279" s="2"/>
      <c r="K279" s="2"/>
      <c r="L279" s="2"/>
      <c r="M279" s="2"/>
      <c r="N279" s="2"/>
      <c r="O279" s="2"/>
      <c r="P279" s="2"/>
      <c r="Q279" s="2"/>
      <c r="R279" s="2"/>
      <c r="S279" s="2"/>
    </row>
    <row r="280" spans="2:23">
      <c r="B280" s="1"/>
      <c r="D280" s="1" t="s">
        <v>106</v>
      </c>
      <c r="E280" s="1" t="s">
        <v>218</v>
      </c>
      <c r="G280" s="2"/>
      <c r="H280" s="2"/>
      <c r="I280" s="2"/>
      <c r="J280" s="2"/>
      <c r="K280" s="2"/>
      <c r="L280" s="2"/>
      <c r="M280" s="2"/>
      <c r="O280" s="2"/>
      <c r="P280" s="2"/>
      <c r="Q280" s="2"/>
      <c r="R280" s="2"/>
      <c r="S280" s="2"/>
    </row>
    <row r="281" spans="2:23">
      <c r="B281" s="1"/>
      <c r="D281" s="1"/>
      <c r="E281" t="s">
        <v>219</v>
      </c>
      <c r="G281" s="2"/>
      <c r="H281" s="2"/>
      <c r="I281" s="2"/>
      <c r="J281" s="2"/>
      <c r="K281" s="2"/>
      <c r="L281" s="2"/>
      <c r="M281" s="2"/>
      <c r="P281" s="2"/>
      <c r="Q281" s="2"/>
      <c r="R281" s="2"/>
      <c r="S281" s="2"/>
    </row>
    <row r="282" spans="2:23">
      <c r="B282" s="1"/>
      <c r="D282" s="1"/>
      <c r="E282" t="s">
        <v>220</v>
      </c>
      <c r="G282" s="2"/>
      <c r="H282" s="2"/>
      <c r="I282" s="2"/>
      <c r="J282" s="2"/>
      <c r="K282" s="2"/>
      <c r="L282" s="2"/>
      <c r="M282" s="2"/>
      <c r="P282" s="2"/>
      <c r="Q282" s="2"/>
      <c r="R282" s="2"/>
      <c r="S282" s="2"/>
    </row>
    <row r="283" spans="2:23">
      <c r="B283" s="1"/>
      <c r="D283" s="1"/>
      <c r="E283" s="70" t="s">
        <v>221</v>
      </c>
      <c r="F283" s="70"/>
      <c r="G283" s="2"/>
      <c r="H283" s="70"/>
      <c r="I283" s="70"/>
      <c r="J283" s="2"/>
      <c r="K283" s="2"/>
      <c r="L283" s="2"/>
      <c r="M283" s="2"/>
      <c r="P283" s="2"/>
      <c r="Q283" s="2"/>
      <c r="R283" s="2"/>
      <c r="S283" s="2"/>
    </row>
    <row r="284" spans="2:23">
      <c r="B284" s="1"/>
      <c r="D284" s="1"/>
      <c r="E284" s="264" t="s">
        <v>222</v>
      </c>
      <c r="G284" s="2"/>
      <c r="H284" s="70"/>
      <c r="I284" s="70"/>
      <c r="J284" s="2"/>
      <c r="K284" s="2"/>
      <c r="L284" s="2"/>
      <c r="M284" s="2"/>
      <c r="O284" s="2"/>
      <c r="P284" s="2"/>
      <c r="Q284" s="2"/>
      <c r="R284" s="2"/>
      <c r="S284" s="2"/>
    </row>
    <row r="285" spans="2:23">
      <c r="B285" s="1"/>
      <c r="D285" s="1"/>
      <c r="E285" s="2"/>
      <c r="F285" s="2"/>
      <c r="G285" s="2"/>
      <c r="H285" s="2"/>
      <c r="I285" s="2"/>
      <c r="J285" s="2"/>
      <c r="K285" s="2"/>
      <c r="L285" s="2"/>
      <c r="M285" s="2"/>
    </row>
    <row r="286" spans="2:23">
      <c r="B286" s="1"/>
      <c r="D286" s="1" t="s">
        <v>127</v>
      </c>
      <c r="E286" s="1" t="s">
        <v>223</v>
      </c>
      <c r="K286" s="2"/>
      <c r="L286" s="2"/>
      <c r="M286" s="2"/>
      <c r="N286" s="2"/>
    </row>
    <row r="287" spans="2:23">
      <c r="B287" s="1"/>
      <c r="D287" s="2"/>
      <c r="E287" s="2" t="s">
        <v>18</v>
      </c>
      <c r="F287" s="2" t="s">
        <v>224</v>
      </c>
      <c r="G287" s="2"/>
      <c r="O287" s="2"/>
      <c r="P287" s="2"/>
      <c r="Q287" s="2"/>
      <c r="R287" s="2"/>
      <c r="S287" s="2"/>
      <c r="T287" s="2"/>
      <c r="U287" s="2"/>
      <c r="V287" s="2"/>
      <c r="W287" s="2"/>
    </row>
    <row r="288" spans="2:23">
      <c r="B288" s="1"/>
      <c r="D288" s="2"/>
      <c r="E288" s="2"/>
      <c r="F288" s="70" t="s">
        <v>225</v>
      </c>
      <c r="G288" s="70"/>
      <c r="H288" s="70"/>
      <c r="I288" s="70"/>
      <c r="J288" s="70"/>
      <c r="K288" s="70"/>
      <c r="L288" s="70"/>
      <c r="M288" s="70"/>
      <c r="N288" s="70"/>
      <c r="O288" s="2"/>
      <c r="P288" s="2"/>
      <c r="Q288" s="2"/>
      <c r="R288" s="2"/>
      <c r="S288" s="2"/>
      <c r="T288" s="2"/>
      <c r="U288" s="2"/>
      <c r="V288" s="2"/>
      <c r="W288" s="2"/>
    </row>
    <row r="289" spans="2:23">
      <c r="B289" s="1"/>
      <c r="D289" s="2"/>
      <c r="E289" s="2" t="s">
        <v>31</v>
      </c>
      <c r="F289" s="2" t="s">
        <v>226</v>
      </c>
      <c r="G289" s="2"/>
      <c r="L289" s="2"/>
      <c r="M289" s="2"/>
      <c r="N289" s="2"/>
      <c r="O289" s="2"/>
      <c r="P289" s="2"/>
      <c r="Q289" s="2"/>
      <c r="R289" s="2"/>
      <c r="S289" s="2"/>
      <c r="T289" s="2"/>
      <c r="U289" s="2"/>
      <c r="V289" s="2"/>
      <c r="W289" s="2"/>
    </row>
    <row r="290" spans="2:23">
      <c r="B290" s="1"/>
      <c r="D290" s="2"/>
      <c r="E290" s="2" t="s">
        <v>39</v>
      </c>
      <c r="F290" s="2" t="s">
        <v>227</v>
      </c>
      <c r="G290" s="2"/>
      <c r="H290" s="2"/>
      <c r="K290" s="2"/>
      <c r="L290" s="2"/>
      <c r="M290" s="2"/>
      <c r="N290" s="2"/>
      <c r="O290" s="2"/>
      <c r="P290" s="2"/>
      <c r="Q290" s="2"/>
      <c r="R290" s="2"/>
      <c r="S290" s="2"/>
      <c r="T290" s="2"/>
      <c r="U290" s="2"/>
      <c r="V290" s="2"/>
      <c r="W290" s="2"/>
    </row>
    <row r="291" spans="2:23">
      <c r="B291" s="1"/>
      <c r="D291" s="2"/>
      <c r="E291" s="2"/>
      <c r="F291" s="2" t="s">
        <v>20</v>
      </c>
      <c r="G291" s="2" t="s">
        <v>228</v>
      </c>
      <c r="K291" s="2"/>
      <c r="L291" s="2"/>
      <c r="M291" s="2"/>
      <c r="N291" s="2"/>
      <c r="O291" s="2"/>
      <c r="P291" s="2"/>
      <c r="Q291" s="2"/>
      <c r="R291" s="2"/>
      <c r="S291" s="2"/>
      <c r="T291" s="2"/>
      <c r="U291" s="2"/>
      <c r="V291" s="2"/>
      <c r="W291" s="2"/>
    </row>
    <row r="292" spans="2:23">
      <c r="B292" s="1"/>
      <c r="D292" s="2"/>
      <c r="E292" s="2"/>
      <c r="F292" s="2" t="s">
        <v>24</v>
      </c>
      <c r="G292" s="2" t="s">
        <v>229</v>
      </c>
      <c r="H292" s="2"/>
      <c r="K292" s="2"/>
      <c r="L292" s="2"/>
      <c r="M292" s="2"/>
      <c r="N292" s="2"/>
      <c r="O292" s="2"/>
      <c r="P292" s="2"/>
      <c r="Q292" s="2"/>
      <c r="R292" s="2"/>
      <c r="S292" s="2"/>
      <c r="T292" s="2"/>
      <c r="U292" s="2"/>
      <c r="V292" s="2"/>
      <c r="W292" s="2"/>
    </row>
    <row r="293" spans="2:23">
      <c r="B293" s="1"/>
      <c r="D293" s="2"/>
      <c r="E293" s="2"/>
      <c r="F293" s="2" t="s">
        <v>29</v>
      </c>
      <c r="G293" s="2" t="s">
        <v>230</v>
      </c>
      <c r="K293" s="2"/>
      <c r="L293" s="2"/>
      <c r="M293" s="2"/>
      <c r="N293" s="2"/>
      <c r="O293" s="2"/>
      <c r="P293" s="2"/>
      <c r="Q293" s="2"/>
      <c r="R293" s="2"/>
      <c r="S293" s="2"/>
      <c r="T293" s="2"/>
      <c r="U293" s="2"/>
      <c r="V293" s="2"/>
      <c r="W293" s="2"/>
    </row>
    <row r="294" spans="2:23">
      <c r="B294" s="1"/>
      <c r="D294" s="2"/>
      <c r="E294" s="2"/>
      <c r="F294" s="2" t="s">
        <v>57</v>
      </c>
      <c r="G294" s="2" t="s">
        <v>231</v>
      </c>
      <c r="H294" s="2"/>
      <c r="K294" s="2"/>
      <c r="L294" s="2"/>
      <c r="M294" s="2"/>
      <c r="N294" s="2"/>
      <c r="O294" s="2"/>
      <c r="P294" s="2"/>
      <c r="Q294" s="2"/>
      <c r="R294" s="2"/>
      <c r="S294" s="2"/>
      <c r="T294" s="2"/>
      <c r="U294" s="2"/>
      <c r="V294" s="2"/>
      <c r="W294" s="2"/>
    </row>
    <row r="295" spans="2:23">
      <c r="B295" s="1"/>
      <c r="D295" s="2"/>
      <c r="E295" s="2"/>
      <c r="F295" s="2" t="s">
        <v>60</v>
      </c>
      <c r="G295" s="2" t="s">
        <v>232</v>
      </c>
      <c r="K295" s="2"/>
      <c r="L295" s="2"/>
      <c r="M295" s="2"/>
      <c r="N295" s="2"/>
      <c r="O295" s="2"/>
      <c r="P295" s="2"/>
      <c r="Q295" s="2"/>
      <c r="R295" s="2"/>
      <c r="S295" s="2"/>
      <c r="T295" s="2"/>
      <c r="U295" s="2"/>
      <c r="V295" s="2"/>
      <c r="W295" s="2"/>
    </row>
    <row r="296" spans="2:23">
      <c r="B296" s="1"/>
      <c r="D296" s="2"/>
      <c r="E296" s="2"/>
      <c r="F296" s="2" t="s">
        <v>63</v>
      </c>
      <c r="G296" s="2" t="s">
        <v>233</v>
      </c>
      <c r="H296" s="2"/>
      <c r="K296" s="2"/>
      <c r="L296" s="2"/>
      <c r="M296" s="2"/>
      <c r="N296" s="2"/>
      <c r="O296" s="2"/>
      <c r="P296" s="2"/>
      <c r="Q296" s="2"/>
      <c r="R296" s="2"/>
      <c r="S296" s="2"/>
      <c r="T296" s="2"/>
      <c r="U296" s="2"/>
      <c r="V296" s="2"/>
      <c r="W296" s="2"/>
    </row>
    <row r="297" spans="2:23">
      <c r="B297" s="1"/>
      <c r="D297" s="2"/>
      <c r="E297" s="2" t="s">
        <v>82</v>
      </c>
      <c r="F297" s="2" t="s">
        <v>234</v>
      </c>
      <c r="G297" s="2"/>
      <c r="K297" s="2"/>
      <c r="L297" s="2"/>
      <c r="M297" s="2"/>
      <c r="N297" s="2"/>
      <c r="O297" s="2"/>
      <c r="P297" s="2"/>
      <c r="Q297" s="2"/>
      <c r="R297" s="2"/>
      <c r="S297" s="2"/>
      <c r="T297" s="2"/>
      <c r="U297" s="2"/>
      <c r="V297" s="2"/>
      <c r="W297" s="2"/>
    </row>
    <row r="298" spans="2:23">
      <c r="B298" s="1"/>
      <c r="D298" s="2"/>
      <c r="E298" s="2" t="s">
        <v>86</v>
      </c>
      <c r="F298" s="2" t="s">
        <v>235</v>
      </c>
      <c r="G298" s="2"/>
      <c r="K298" s="2"/>
      <c r="L298" s="2"/>
      <c r="M298" s="2"/>
      <c r="N298" s="2"/>
      <c r="O298" s="2"/>
      <c r="P298" s="2"/>
      <c r="Q298" s="2"/>
      <c r="R298" s="2"/>
      <c r="S298" s="2"/>
      <c r="T298" s="2"/>
      <c r="U298" s="2"/>
      <c r="V298" s="2"/>
      <c r="W298" s="2"/>
    </row>
    <row r="299" spans="2:23">
      <c r="B299" s="1"/>
      <c r="D299" s="2"/>
      <c r="E299" s="2"/>
      <c r="F299" s="70" t="s">
        <v>236</v>
      </c>
      <c r="G299" s="70"/>
      <c r="H299" s="70"/>
      <c r="I299" s="70"/>
      <c r="J299" s="70"/>
      <c r="K299" s="70"/>
      <c r="L299" s="70"/>
      <c r="M299" s="2"/>
      <c r="N299" s="2"/>
      <c r="O299" s="2"/>
      <c r="P299" s="2"/>
      <c r="Q299" s="2"/>
      <c r="R299" s="2"/>
      <c r="S299" s="2"/>
      <c r="T299" s="2"/>
      <c r="U299" s="2"/>
      <c r="V299" s="2"/>
      <c r="W299" s="2"/>
    </row>
    <row r="300" spans="2:23">
      <c r="B300" s="1"/>
      <c r="D300" s="2"/>
      <c r="E300" s="2"/>
      <c r="F300" s="70" t="s">
        <v>237</v>
      </c>
      <c r="G300" s="70"/>
      <c r="H300" s="70"/>
      <c r="I300" s="70"/>
      <c r="J300" s="70"/>
      <c r="K300" s="70"/>
      <c r="L300" s="70"/>
      <c r="M300" s="2"/>
      <c r="N300" s="2"/>
      <c r="O300" s="2"/>
      <c r="P300" s="2"/>
      <c r="Q300" s="2"/>
      <c r="R300" s="2"/>
      <c r="S300" s="2"/>
      <c r="T300" s="2"/>
      <c r="U300" s="2"/>
      <c r="V300" s="2"/>
      <c r="W300" s="2"/>
    </row>
    <row r="301" spans="2:23">
      <c r="B301" s="1"/>
      <c r="D301" s="2"/>
      <c r="E301" s="2"/>
      <c r="F301" s="70" t="s">
        <v>238</v>
      </c>
      <c r="G301" s="70"/>
      <c r="H301" s="70"/>
      <c r="I301" s="70"/>
      <c r="J301" s="70"/>
      <c r="K301" s="70"/>
      <c r="L301" s="70"/>
      <c r="M301" s="2"/>
      <c r="N301" s="2"/>
      <c r="O301" s="2"/>
      <c r="P301" s="2"/>
      <c r="Q301" s="2"/>
      <c r="R301" s="2"/>
      <c r="S301" s="2"/>
      <c r="T301" s="2"/>
      <c r="U301" s="2"/>
      <c r="V301" s="2"/>
      <c r="W301" s="2"/>
    </row>
    <row r="302" spans="2:23">
      <c r="B302" s="1"/>
      <c r="D302" s="2"/>
      <c r="E302" s="2"/>
      <c r="F302" s="70"/>
      <c r="G302" s="70"/>
      <c r="H302" s="70"/>
      <c r="I302" s="70"/>
      <c r="J302" s="70"/>
      <c r="K302" s="70"/>
      <c r="L302" s="70"/>
      <c r="M302" s="2"/>
      <c r="N302" s="2"/>
      <c r="O302" s="2"/>
      <c r="P302" s="2"/>
      <c r="Q302" s="2"/>
      <c r="R302" s="2"/>
      <c r="S302" s="2"/>
      <c r="T302" s="2"/>
      <c r="U302" s="2"/>
      <c r="V302" s="2"/>
      <c r="W302" s="2"/>
    </row>
    <row r="303" spans="2:23">
      <c r="B303" s="1"/>
      <c r="D303" s="1" t="s">
        <v>161</v>
      </c>
      <c r="E303" s="1" t="s">
        <v>239</v>
      </c>
      <c r="G303" s="2"/>
      <c r="H303" s="2"/>
      <c r="I303" s="2"/>
      <c r="J303" s="2"/>
      <c r="K303" s="2"/>
      <c r="L303" s="2"/>
      <c r="M303" s="2"/>
      <c r="N303" s="2"/>
      <c r="O303" s="2"/>
      <c r="P303" s="2"/>
      <c r="Q303" s="2"/>
      <c r="R303" s="2"/>
      <c r="S303" s="2"/>
      <c r="T303" s="2"/>
      <c r="U303" s="2"/>
      <c r="V303" s="2"/>
      <c r="W303" s="2"/>
    </row>
    <row r="304" spans="2:23">
      <c r="B304" s="1"/>
      <c r="D304" s="1"/>
      <c r="E304" s="2" t="s">
        <v>240</v>
      </c>
      <c r="F304" s="2"/>
      <c r="K304" s="2"/>
      <c r="L304" s="2"/>
      <c r="M304" s="2"/>
      <c r="N304" s="2"/>
      <c r="O304" s="2"/>
      <c r="P304" s="2"/>
      <c r="Q304" s="2"/>
      <c r="R304" s="2"/>
      <c r="S304" s="2"/>
      <c r="T304" s="2"/>
      <c r="U304" s="2"/>
      <c r="V304" s="2"/>
      <c r="W304" s="2"/>
    </row>
    <row r="305" spans="2:23">
      <c r="B305" s="1"/>
      <c r="D305" s="1"/>
      <c r="E305" s="2" t="s">
        <v>217</v>
      </c>
      <c r="F305" s="2"/>
      <c r="I305" s="2"/>
      <c r="J305" s="2"/>
      <c r="K305" s="2"/>
      <c r="L305" s="2"/>
      <c r="M305" s="2"/>
      <c r="N305" s="2"/>
      <c r="O305" s="2"/>
      <c r="P305" s="2"/>
      <c r="Q305" s="2"/>
      <c r="R305" s="2"/>
      <c r="S305" s="2"/>
      <c r="T305" s="2"/>
      <c r="U305" s="2"/>
      <c r="V305" s="2"/>
      <c r="W305" s="2"/>
    </row>
    <row r="306" spans="2:23">
      <c r="B306" s="1"/>
      <c r="D306" s="2"/>
      <c r="E306" s="2"/>
      <c r="F306" s="70"/>
      <c r="G306" s="70"/>
      <c r="H306" s="70"/>
      <c r="I306" s="70"/>
      <c r="J306" s="70"/>
      <c r="K306" s="70"/>
      <c r="L306" s="70"/>
      <c r="M306" s="2"/>
      <c r="N306" s="2"/>
      <c r="O306" s="2"/>
      <c r="P306" s="2"/>
      <c r="Q306" s="2"/>
      <c r="R306" s="2"/>
      <c r="S306" s="2"/>
      <c r="T306" s="2"/>
      <c r="U306" s="2"/>
      <c r="V306" s="2"/>
      <c r="W306" s="2"/>
    </row>
    <row r="307" spans="2:23">
      <c r="B307" s="1"/>
      <c r="C307" s="1" t="s">
        <v>131</v>
      </c>
      <c r="D307" s="1"/>
      <c r="F307" s="1"/>
      <c r="G307" s="1" t="s">
        <v>241</v>
      </c>
      <c r="I307" s="2"/>
      <c r="J307" s="2"/>
      <c r="K307" s="2"/>
      <c r="L307" s="2"/>
      <c r="M307" s="2"/>
      <c r="N307" s="2"/>
      <c r="O307" s="2"/>
      <c r="P307" s="2"/>
    </row>
    <row r="308" spans="2:23">
      <c r="B308" s="1"/>
      <c r="D308" s="1" t="s">
        <v>3</v>
      </c>
      <c r="E308" s="1" t="s">
        <v>242</v>
      </c>
      <c r="G308" s="1"/>
      <c r="H308" s="1"/>
      <c r="I308" s="1"/>
      <c r="J308" s="1"/>
      <c r="K308" s="1"/>
      <c r="L308" s="1"/>
      <c r="M308" s="1"/>
      <c r="N308" s="1"/>
      <c r="O308" s="1"/>
      <c r="P308" s="1"/>
      <c r="Q308" s="1"/>
      <c r="R308" s="1"/>
    </row>
    <row r="309" spans="2:23">
      <c r="B309" s="1"/>
      <c r="D309" s="1"/>
      <c r="E309" t="s">
        <v>243</v>
      </c>
      <c r="G309" s="2"/>
      <c r="I309" s="2"/>
      <c r="K309" s="2"/>
    </row>
    <row r="310" spans="2:23">
      <c r="B310" s="1"/>
      <c r="D310" s="1"/>
      <c r="E310" s="2" t="s">
        <v>244</v>
      </c>
      <c r="F310" s="2"/>
      <c r="G310" s="2"/>
      <c r="I310" s="2"/>
      <c r="K310" s="2"/>
    </row>
    <row r="311" spans="2:23">
      <c r="B311" s="1"/>
      <c r="D311" s="1"/>
      <c r="E311" s="2" t="s">
        <v>245</v>
      </c>
      <c r="F311" s="2"/>
      <c r="G311" s="2"/>
      <c r="I311" s="2"/>
      <c r="K311" s="2"/>
    </row>
    <row r="312" spans="2:23">
      <c r="B312" s="1"/>
      <c r="D312" s="1"/>
      <c r="E312" s="2" t="s">
        <v>246</v>
      </c>
      <c r="F312" s="2"/>
      <c r="G312" s="2"/>
      <c r="I312" s="2"/>
      <c r="K312" s="2"/>
    </row>
    <row r="313" spans="2:23">
      <c r="B313" s="1"/>
      <c r="D313" s="1"/>
      <c r="G313" s="2"/>
      <c r="I313" s="2"/>
      <c r="K313" s="2"/>
    </row>
    <row r="314" spans="2:23">
      <c r="B314" s="1"/>
      <c r="D314" s="1" t="s">
        <v>16</v>
      </c>
      <c r="E314" s="1" t="s">
        <v>247</v>
      </c>
      <c r="G314" s="2"/>
      <c r="H314" s="2"/>
      <c r="I314" s="2"/>
      <c r="J314" s="2"/>
      <c r="K314" s="2"/>
      <c r="P314" s="2"/>
      <c r="Q314" s="2"/>
      <c r="R314" s="2"/>
      <c r="S314" s="2"/>
    </row>
    <row r="315" spans="2:23">
      <c r="B315" s="1"/>
      <c r="D315" s="1"/>
      <c r="E315" t="s">
        <v>248</v>
      </c>
      <c r="G315" s="2"/>
      <c r="I315" s="2"/>
      <c r="J315" s="2"/>
      <c r="K315" s="2"/>
      <c r="L315" s="2"/>
      <c r="M315" s="2"/>
      <c r="N315" s="2"/>
      <c r="O315" s="2"/>
      <c r="P315" s="2"/>
      <c r="Q315" s="2"/>
      <c r="R315" s="2"/>
      <c r="S315" s="2"/>
    </row>
    <row r="316" spans="2:23">
      <c r="B316" s="1"/>
      <c r="D316" s="1"/>
      <c r="G316" s="2"/>
      <c r="I316" s="2"/>
      <c r="J316" s="2"/>
      <c r="K316" s="2"/>
      <c r="L316" s="2"/>
      <c r="M316" s="2"/>
      <c r="N316" s="2"/>
      <c r="O316" s="2"/>
      <c r="P316" s="2"/>
      <c r="Q316" s="2"/>
      <c r="R316" s="2"/>
      <c r="S316" s="2"/>
    </row>
    <row r="317" spans="2:23">
      <c r="B317" s="1"/>
      <c r="D317" s="1" t="s">
        <v>94</v>
      </c>
      <c r="E317" s="1" t="s">
        <v>249</v>
      </c>
      <c r="F317" s="2"/>
      <c r="G317" s="2"/>
      <c r="H317" s="2"/>
      <c r="I317" s="2"/>
      <c r="J317" s="2"/>
      <c r="K317" s="2"/>
      <c r="L317" s="2"/>
      <c r="M317" s="2"/>
      <c r="N317" s="2"/>
      <c r="O317" s="2"/>
      <c r="P317" s="2"/>
      <c r="Q317" s="2"/>
      <c r="R317" s="2"/>
      <c r="S317" s="2"/>
    </row>
    <row r="318" spans="2:23">
      <c r="B318" s="1"/>
      <c r="E318" t="s">
        <v>250</v>
      </c>
      <c r="I318" s="2"/>
      <c r="J318" s="2"/>
      <c r="K318" s="2"/>
      <c r="L318" s="2"/>
      <c r="M318" s="2"/>
      <c r="N318" s="2"/>
      <c r="O318" s="2"/>
      <c r="P318" s="2"/>
      <c r="Q318" s="2"/>
      <c r="R318" s="2"/>
      <c r="S318" s="2"/>
    </row>
    <row r="319" spans="2:23">
      <c r="B319" s="1"/>
      <c r="E319" t="s">
        <v>251</v>
      </c>
      <c r="I319" s="2"/>
      <c r="J319" s="2"/>
      <c r="K319" s="2"/>
      <c r="L319" s="2"/>
      <c r="M319" s="2"/>
      <c r="N319" s="2"/>
      <c r="O319" s="2"/>
      <c r="P319" s="2"/>
      <c r="Q319" s="2"/>
      <c r="R319" s="2"/>
      <c r="S319" s="2"/>
    </row>
    <row r="320" spans="2:23">
      <c r="B320" s="1"/>
      <c r="E320" t="s">
        <v>252</v>
      </c>
      <c r="I320" s="2"/>
      <c r="J320" s="2"/>
      <c r="K320" s="2"/>
      <c r="L320" s="2"/>
      <c r="M320" s="2"/>
      <c r="N320" s="2"/>
      <c r="O320" s="2"/>
      <c r="P320" s="2"/>
      <c r="Q320" s="2"/>
      <c r="R320" s="2"/>
      <c r="S320" s="2"/>
    </row>
    <row r="321" spans="1:38">
      <c r="B321" s="1"/>
      <c r="I321" s="2"/>
      <c r="J321" s="2"/>
      <c r="K321" s="2"/>
      <c r="L321" s="2"/>
      <c r="M321" s="2"/>
      <c r="N321" s="2"/>
      <c r="O321" s="2"/>
      <c r="P321" s="2"/>
      <c r="Q321" s="2"/>
      <c r="R321" s="2"/>
      <c r="S321" s="2"/>
    </row>
    <row r="322" spans="1:38">
      <c r="B322" s="1"/>
      <c r="C322" s="1" t="s">
        <v>134</v>
      </c>
      <c r="G322" s="1" t="s">
        <v>253</v>
      </c>
      <c r="I322" s="2"/>
      <c r="J322" s="2"/>
      <c r="K322" s="2"/>
      <c r="L322" s="2"/>
      <c r="M322" s="2"/>
      <c r="N322" s="2"/>
      <c r="O322" s="2"/>
      <c r="P322" s="2"/>
      <c r="Q322" s="2"/>
      <c r="R322" s="2"/>
      <c r="S322" s="2"/>
    </row>
    <row r="323" spans="1:38">
      <c r="A323" t="s">
        <v>254</v>
      </c>
      <c r="D323" s="1" t="s">
        <v>3</v>
      </c>
      <c r="E323" s="1" t="s">
        <v>253</v>
      </c>
      <c r="J323" s="1"/>
      <c r="K323" s="1"/>
      <c r="L323" s="1"/>
      <c r="M323" s="2"/>
      <c r="N323" s="2"/>
      <c r="O323" s="2"/>
      <c r="P323" s="2"/>
      <c r="Q323" s="2"/>
      <c r="R323" s="2"/>
      <c r="S323" s="2"/>
    </row>
    <row r="324" spans="1:38">
      <c r="E324" t="s">
        <v>18</v>
      </c>
      <c r="F324" s="2" t="s">
        <v>255</v>
      </c>
      <c r="J324" s="2"/>
      <c r="K324" s="2"/>
      <c r="L324" s="2"/>
      <c r="M324" s="2"/>
      <c r="N324" s="2"/>
      <c r="O324" s="2"/>
      <c r="P324" s="2"/>
      <c r="Q324" s="2"/>
      <c r="R324" s="2"/>
      <c r="S324" s="2"/>
    </row>
    <row r="325" spans="1:38">
      <c r="E325" s="2" t="s">
        <v>31</v>
      </c>
      <c r="F325" t="s">
        <v>256</v>
      </c>
      <c r="J325" s="2"/>
      <c r="K325" s="2"/>
      <c r="L325" s="2"/>
      <c r="M325" s="2"/>
      <c r="N325" s="2"/>
      <c r="O325" s="2"/>
      <c r="P325" s="2"/>
      <c r="Q325" s="2"/>
      <c r="R325" s="2"/>
      <c r="S325" s="2"/>
    </row>
    <row r="326" spans="1:38">
      <c r="F326" s="70" t="s">
        <v>257</v>
      </c>
      <c r="I326" s="70"/>
      <c r="J326" s="2"/>
      <c r="K326" s="2"/>
      <c r="L326" s="2"/>
      <c r="M326" s="2"/>
      <c r="N326" s="2"/>
      <c r="O326" s="2"/>
      <c r="P326" s="2"/>
      <c r="Q326" s="2"/>
      <c r="R326" s="2"/>
      <c r="S326" s="2"/>
    </row>
    <row r="327" spans="1:38">
      <c r="F327" s="70" t="s">
        <v>258</v>
      </c>
      <c r="I327" s="70"/>
      <c r="J327" s="2"/>
      <c r="K327" s="2"/>
      <c r="L327" s="2"/>
      <c r="M327" s="2"/>
      <c r="N327" s="2"/>
      <c r="O327" s="2"/>
      <c r="P327" s="2"/>
      <c r="Q327" s="2"/>
      <c r="R327" s="2"/>
      <c r="S327" s="2"/>
    </row>
    <row r="328" spans="1:38">
      <c r="J328" s="2"/>
      <c r="K328" s="2"/>
      <c r="L328" s="2"/>
      <c r="M328" s="2"/>
      <c r="N328" s="2"/>
      <c r="O328" s="2"/>
      <c r="P328" s="2"/>
      <c r="Q328" s="2"/>
      <c r="R328" s="2"/>
      <c r="S328" s="2"/>
    </row>
    <row r="329" spans="1:38">
      <c r="A329" s="4"/>
      <c r="B329" s="9" t="s">
        <v>259</v>
      </c>
      <c r="C329" s="9" t="s">
        <v>55</v>
      </c>
      <c r="D329" s="4"/>
      <c r="E329" s="9"/>
      <c r="F329" s="9"/>
      <c r="G329" s="9"/>
      <c r="H329" s="9"/>
      <c r="I329" s="9"/>
      <c r="J329" s="968"/>
      <c r="K329" s="968"/>
      <c r="L329" s="968"/>
      <c r="M329" s="968"/>
      <c r="N329" s="968"/>
      <c r="O329" s="968"/>
      <c r="P329" s="968"/>
      <c r="Q329" s="968"/>
      <c r="R329" s="968"/>
      <c r="S329" s="968"/>
      <c r="T329" s="4"/>
      <c r="U329" s="4"/>
      <c r="V329" s="4"/>
      <c r="W329" s="4"/>
      <c r="X329" s="4"/>
      <c r="Y329" s="4"/>
      <c r="Z329" s="4"/>
      <c r="AA329" s="4"/>
      <c r="AB329" s="4"/>
      <c r="AC329" s="4"/>
      <c r="AD329" s="4"/>
      <c r="AE329" s="4"/>
      <c r="AF329" s="4"/>
      <c r="AG329" s="4"/>
      <c r="AH329" s="4"/>
      <c r="AI329" s="4"/>
      <c r="AJ329" s="4"/>
      <c r="AK329" s="4"/>
      <c r="AL329" s="4"/>
    </row>
    <row r="330" spans="1:38">
      <c r="B330" s="1"/>
      <c r="D330" s="1"/>
      <c r="E330" s="1"/>
      <c r="F330" s="1"/>
      <c r="G330" s="1"/>
      <c r="H330" s="1"/>
      <c r="I330" s="1"/>
      <c r="J330" s="2"/>
      <c r="K330" s="2"/>
      <c r="L330" s="2"/>
      <c r="M330" s="2"/>
      <c r="N330" s="2"/>
      <c r="O330" s="2"/>
      <c r="P330" s="2"/>
      <c r="Q330" s="2"/>
      <c r="R330" s="2"/>
      <c r="S330" s="2"/>
    </row>
    <row r="331" spans="1:38">
      <c r="B331" s="1"/>
      <c r="C331" s="1" t="s">
        <v>71</v>
      </c>
      <c r="G331" s="1" t="s">
        <v>55</v>
      </c>
      <c r="I331" s="1"/>
      <c r="J331" s="2"/>
      <c r="K331" s="2"/>
      <c r="L331" s="2"/>
      <c r="M331" s="2"/>
      <c r="N331" s="2"/>
      <c r="O331" s="2"/>
      <c r="P331" s="2"/>
      <c r="Q331" s="2"/>
      <c r="R331" s="2"/>
      <c r="S331" s="2"/>
    </row>
    <row r="332" spans="1:38">
      <c r="B332" s="1"/>
      <c r="C332" s="1"/>
      <c r="D332" s="1" t="s">
        <v>3</v>
      </c>
      <c r="E332" s="1" t="s">
        <v>55</v>
      </c>
      <c r="G332" s="1"/>
      <c r="I332" s="1"/>
      <c r="J332" s="2"/>
      <c r="K332" s="2"/>
      <c r="L332" s="2"/>
      <c r="M332" s="2"/>
      <c r="N332" s="2"/>
      <c r="O332" s="2"/>
      <c r="P332" s="2"/>
      <c r="Q332" s="2"/>
      <c r="R332" s="2"/>
      <c r="S332" s="2"/>
    </row>
    <row r="333" spans="1:38">
      <c r="B333" s="1"/>
      <c r="E333" t="s">
        <v>18</v>
      </c>
      <c r="F333" t="s">
        <v>260</v>
      </c>
      <c r="J333" s="2"/>
      <c r="K333" s="2"/>
      <c r="L333" s="2"/>
      <c r="M333" s="2"/>
      <c r="N333" s="2"/>
      <c r="O333" s="2"/>
      <c r="P333" s="2"/>
      <c r="Q333" s="2"/>
      <c r="R333" s="2"/>
      <c r="S333" s="2"/>
    </row>
    <row r="334" spans="1:38">
      <c r="B334" s="1"/>
      <c r="E334" s="2"/>
      <c r="F334" s="2" t="s">
        <v>261</v>
      </c>
      <c r="J334" s="2"/>
      <c r="K334" s="2"/>
      <c r="L334" s="2"/>
      <c r="M334" s="2"/>
      <c r="N334" s="2"/>
      <c r="O334" s="2"/>
      <c r="P334" s="2"/>
      <c r="Q334" s="2"/>
      <c r="R334" s="2"/>
      <c r="S334" s="2"/>
    </row>
    <row r="335" spans="1:38">
      <c r="B335" s="1"/>
      <c r="E335" s="2"/>
      <c r="F335" s="2" t="s">
        <v>262</v>
      </c>
      <c r="I335" s="2"/>
      <c r="J335" s="2"/>
      <c r="K335" s="2"/>
      <c r="L335" s="2"/>
      <c r="M335" s="2"/>
      <c r="N335" s="2"/>
      <c r="O335" s="2"/>
      <c r="P335" s="2"/>
      <c r="Q335" s="2"/>
      <c r="R335" s="2"/>
      <c r="S335" s="2"/>
    </row>
    <row r="336" spans="1:38">
      <c r="B336" s="1"/>
      <c r="E336" s="2" t="s">
        <v>31</v>
      </c>
      <c r="F336" s="1223" t="s">
        <v>263</v>
      </c>
      <c r="G336" s="1223"/>
      <c r="H336" s="1223"/>
      <c r="I336" s="1223"/>
      <c r="J336" s="1223"/>
      <c r="K336" s="1223"/>
      <c r="L336" s="1223"/>
      <c r="M336" s="1223"/>
      <c r="N336" s="1223"/>
      <c r="O336" s="1223"/>
      <c r="P336" s="1223"/>
      <c r="Q336" s="1223"/>
      <c r="R336" s="1223"/>
      <c r="S336" s="1223"/>
      <c r="T336" s="1223"/>
      <c r="U336" s="1223"/>
      <c r="V336" s="1223"/>
      <c r="W336" s="1223"/>
      <c r="X336" s="1223"/>
      <c r="Y336" s="1223"/>
      <c r="Z336" s="1223"/>
      <c r="AA336" s="1223"/>
      <c r="AB336" s="1223"/>
      <c r="AC336" s="1223"/>
      <c r="AD336" s="1223"/>
      <c r="AE336" s="1223"/>
      <c r="AF336" s="1223"/>
      <c r="AG336" s="1223"/>
      <c r="AH336" s="1223"/>
      <c r="AI336" s="1223"/>
      <c r="AJ336" s="1223"/>
      <c r="AK336" s="1223"/>
    </row>
    <row r="337" spans="2:37">
      <c r="B337" s="1"/>
      <c r="E337" s="2"/>
      <c r="F337" s="1223"/>
      <c r="G337" s="1223"/>
      <c r="H337" s="1223"/>
      <c r="I337" s="1223"/>
      <c r="J337" s="1223"/>
      <c r="K337" s="1223"/>
      <c r="L337" s="1223"/>
      <c r="M337" s="1223"/>
      <c r="N337" s="1223"/>
      <c r="O337" s="1223"/>
      <c r="P337" s="1223"/>
      <c r="Q337" s="1223"/>
      <c r="R337" s="1223"/>
      <c r="S337" s="1223"/>
      <c r="T337" s="1223"/>
      <c r="U337" s="1223"/>
      <c r="V337" s="1223"/>
      <c r="W337" s="1223"/>
      <c r="X337" s="1223"/>
      <c r="Y337" s="1223"/>
      <c r="Z337" s="1223"/>
      <c r="AA337" s="1223"/>
      <c r="AB337" s="1223"/>
      <c r="AC337" s="1223"/>
      <c r="AD337" s="1223"/>
      <c r="AE337" s="1223"/>
      <c r="AF337" s="1223"/>
      <c r="AG337" s="1223"/>
      <c r="AH337" s="1223"/>
      <c r="AI337" s="1223"/>
      <c r="AJ337" s="1223"/>
      <c r="AK337" s="1223"/>
    </row>
    <row r="338" spans="2:37">
      <c r="B338" s="1"/>
      <c r="E338" s="2"/>
      <c r="F338" s="1223"/>
      <c r="G338" s="1223"/>
      <c r="H338" s="1223"/>
      <c r="I338" s="1223"/>
      <c r="J338" s="1223"/>
      <c r="K338" s="1223"/>
      <c r="L338" s="1223"/>
      <c r="M338" s="1223"/>
      <c r="N338" s="1223"/>
      <c r="O338" s="1223"/>
      <c r="P338" s="1223"/>
      <c r="Q338" s="1223"/>
      <c r="R338" s="1223"/>
      <c r="S338" s="1223"/>
      <c r="T338" s="1223"/>
      <c r="U338" s="1223"/>
      <c r="V338" s="1223"/>
      <c r="W338" s="1223"/>
      <c r="X338" s="1223"/>
      <c r="Y338" s="1223"/>
      <c r="Z338" s="1223"/>
      <c r="AA338" s="1223"/>
      <c r="AB338" s="1223"/>
      <c r="AC338" s="1223"/>
      <c r="AD338" s="1223"/>
      <c r="AE338" s="1223"/>
      <c r="AF338" s="1223"/>
      <c r="AG338" s="1223"/>
      <c r="AH338" s="1223"/>
      <c r="AI338" s="1223"/>
      <c r="AJ338" s="1223"/>
      <c r="AK338" s="1223"/>
    </row>
    <row r="339" spans="2:37">
      <c r="B339" s="1"/>
      <c r="F339" s="2"/>
      <c r="H339" s="2"/>
      <c r="I339" s="2"/>
      <c r="J339" s="2"/>
      <c r="K339" s="2"/>
      <c r="L339" s="2"/>
      <c r="M339" s="2"/>
      <c r="N339" s="2"/>
      <c r="O339" s="2"/>
      <c r="P339" s="2"/>
      <c r="Q339" s="2"/>
      <c r="R339" s="2"/>
      <c r="S339" s="2"/>
    </row>
    <row r="340" spans="2:37">
      <c r="B340" s="1"/>
      <c r="C340" s="1" t="s">
        <v>89</v>
      </c>
      <c r="G340" s="1" t="s">
        <v>264</v>
      </c>
      <c r="I340" s="1"/>
      <c r="J340" s="2"/>
      <c r="K340" s="2"/>
      <c r="L340" s="2"/>
      <c r="M340" s="2"/>
      <c r="N340" s="2"/>
      <c r="O340" s="2"/>
      <c r="P340" s="2"/>
      <c r="Q340" s="2"/>
      <c r="R340" s="2"/>
      <c r="S340" s="2"/>
    </row>
    <row r="341" spans="2:37" ht="13.35" customHeight="1">
      <c r="B341" s="1"/>
      <c r="E341" s="1228" t="s">
        <v>265</v>
      </c>
      <c r="F341" s="1228"/>
      <c r="G341" s="1228"/>
      <c r="H341" s="1228"/>
      <c r="I341" s="1228"/>
      <c r="J341" s="1228"/>
      <c r="K341" s="1228"/>
      <c r="L341" s="1228"/>
      <c r="M341" s="1228"/>
      <c r="N341" s="1228"/>
      <c r="O341" s="1228"/>
      <c r="P341" s="1228"/>
      <c r="Q341" s="1228"/>
      <c r="R341" s="1228"/>
      <c r="S341" s="1228"/>
      <c r="T341" s="1228"/>
      <c r="U341" s="1228"/>
      <c r="V341" s="1228"/>
      <c r="W341" s="1228"/>
      <c r="X341" s="1228"/>
      <c r="Y341" s="1228"/>
      <c r="Z341" s="1228"/>
      <c r="AA341" s="1228"/>
      <c r="AB341" s="1228"/>
      <c r="AC341" s="1228"/>
      <c r="AD341" s="1228"/>
      <c r="AE341" s="1228"/>
      <c r="AF341" s="1228"/>
      <c r="AG341" s="1228"/>
      <c r="AH341" s="1228"/>
      <c r="AI341" s="1228"/>
      <c r="AJ341" s="1228"/>
      <c r="AK341" s="1228"/>
    </row>
    <row r="342" spans="2:37">
      <c r="B342" s="1"/>
      <c r="E342" s="1228"/>
      <c r="F342" s="1228"/>
      <c r="G342" s="1228"/>
      <c r="H342" s="1228"/>
      <c r="I342" s="1228"/>
      <c r="J342" s="1228"/>
      <c r="K342" s="1228"/>
      <c r="L342" s="1228"/>
      <c r="M342" s="1228"/>
      <c r="N342" s="1228"/>
      <c r="O342" s="1228"/>
      <c r="P342" s="1228"/>
      <c r="Q342" s="1228"/>
      <c r="R342" s="1228"/>
      <c r="S342" s="1228"/>
      <c r="T342" s="1228"/>
      <c r="U342" s="1228"/>
      <c r="V342" s="1228"/>
      <c r="W342" s="1228"/>
      <c r="X342" s="1228"/>
      <c r="Y342" s="1228"/>
      <c r="Z342" s="1228"/>
      <c r="AA342" s="1228"/>
      <c r="AB342" s="1228"/>
      <c r="AC342" s="1228"/>
      <c r="AD342" s="1228"/>
      <c r="AE342" s="1228"/>
      <c r="AF342" s="1228"/>
      <c r="AG342" s="1228"/>
      <c r="AH342" s="1228"/>
      <c r="AI342" s="1228"/>
      <c r="AJ342" s="1228"/>
      <c r="AK342" s="1228"/>
    </row>
    <row r="343" spans="2:37">
      <c r="B343" s="1"/>
      <c r="E343" s="1228"/>
      <c r="F343" s="1228"/>
      <c r="G343" s="1228"/>
      <c r="H343" s="1228"/>
      <c r="I343" s="1228"/>
      <c r="J343" s="1228"/>
      <c r="K343" s="1228"/>
      <c r="L343" s="1228"/>
      <c r="M343" s="1228"/>
      <c r="N343" s="1228"/>
      <c r="O343" s="1228"/>
      <c r="P343" s="1228"/>
      <c r="Q343" s="1228"/>
      <c r="R343" s="1228"/>
      <c r="S343" s="1228"/>
      <c r="T343" s="1228"/>
      <c r="U343" s="1228"/>
      <c r="V343" s="1228"/>
      <c r="W343" s="1228"/>
      <c r="X343" s="1228"/>
      <c r="Y343" s="1228"/>
      <c r="Z343" s="1228"/>
      <c r="AA343" s="1228"/>
      <c r="AB343" s="1228"/>
      <c r="AC343" s="1228"/>
      <c r="AD343" s="1228"/>
      <c r="AE343" s="1228"/>
      <c r="AF343" s="1228"/>
      <c r="AG343" s="1228"/>
      <c r="AH343" s="1228"/>
      <c r="AI343" s="1228"/>
      <c r="AJ343" s="1228"/>
      <c r="AK343" s="1228"/>
    </row>
    <row r="344" spans="2:37">
      <c r="B344" s="1"/>
      <c r="E344" s="1228"/>
      <c r="F344" s="1228"/>
      <c r="G344" s="1228"/>
      <c r="H344" s="1228"/>
      <c r="I344" s="1228"/>
      <c r="J344" s="1228"/>
      <c r="K344" s="1228"/>
      <c r="L344" s="1228"/>
      <c r="M344" s="1228"/>
      <c r="N344" s="1228"/>
      <c r="O344" s="1228"/>
      <c r="P344" s="1228"/>
      <c r="Q344" s="1228"/>
      <c r="R344" s="1228"/>
      <c r="S344" s="1228"/>
      <c r="T344" s="1228"/>
      <c r="U344" s="1228"/>
      <c r="V344" s="1228"/>
      <c r="W344" s="1228"/>
      <c r="X344" s="1228"/>
      <c r="Y344" s="1228"/>
      <c r="Z344" s="1228"/>
      <c r="AA344" s="1228"/>
      <c r="AB344" s="1228"/>
      <c r="AC344" s="1228"/>
      <c r="AD344" s="1228"/>
      <c r="AE344" s="1228"/>
      <c r="AF344" s="1228"/>
      <c r="AG344" s="1228"/>
      <c r="AH344" s="1228"/>
      <c r="AI344" s="1228"/>
      <c r="AJ344" s="1228"/>
      <c r="AK344" s="1228"/>
    </row>
    <row r="345" spans="2:37">
      <c r="B345" s="1"/>
      <c r="E345" s="1228"/>
      <c r="F345" s="1228"/>
      <c r="G345" s="1228"/>
      <c r="H345" s="1228"/>
      <c r="I345" s="1228"/>
      <c r="J345" s="1228"/>
      <c r="K345" s="1228"/>
      <c r="L345" s="1228"/>
      <c r="M345" s="1228"/>
      <c r="N345" s="1228"/>
      <c r="O345" s="1228"/>
      <c r="P345" s="1228"/>
      <c r="Q345" s="1228"/>
      <c r="R345" s="1228"/>
      <c r="S345" s="1228"/>
      <c r="T345" s="1228"/>
      <c r="U345" s="1228"/>
      <c r="V345" s="1228"/>
      <c r="W345" s="1228"/>
      <c r="X345" s="1228"/>
      <c r="Y345" s="1228"/>
      <c r="Z345" s="1228"/>
      <c r="AA345" s="1228"/>
      <c r="AB345" s="1228"/>
      <c r="AC345" s="1228"/>
      <c r="AD345" s="1228"/>
      <c r="AE345" s="1228"/>
      <c r="AF345" s="1228"/>
      <c r="AG345" s="1228"/>
      <c r="AH345" s="1228"/>
      <c r="AI345" s="1228"/>
      <c r="AJ345" s="1228"/>
      <c r="AK345" s="1228"/>
    </row>
    <row r="346" spans="2:37">
      <c r="B346" s="1"/>
      <c r="E346" s="2" t="s">
        <v>18</v>
      </c>
      <c r="F346" s="1223" t="s">
        <v>266</v>
      </c>
      <c r="G346" s="1223"/>
      <c r="H346" s="1223"/>
      <c r="I346" s="1223"/>
      <c r="J346" s="1223"/>
      <c r="K346" s="1223"/>
      <c r="L346" s="1223"/>
      <c r="M346" s="1223"/>
      <c r="N346" s="1223"/>
      <c r="O346" s="1223"/>
      <c r="P346" s="1223"/>
      <c r="Q346" s="1223"/>
      <c r="R346" s="1223"/>
      <c r="S346" s="1223"/>
      <c r="T346" s="1223"/>
      <c r="U346" s="1223"/>
      <c r="V346" s="1223"/>
      <c r="W346" s="1223"/>
      <c r="X346" s="1223"/>
      <c r="Y346" s="1223"/>
      <c r="Z346" s="1223"/>
      <c r="AA346" s="1223"/>
      <c r="AB346" s="1223"/>
      <c r="AC346" s="1223"/>
      <c r="AD346" s="1223"/>
      <c r="AE346" s="1223"/>
      <c r="AF346" s="1223"/>
      <c r="AG346" s="1223"/>
      <c r="AH346" s="1223"/>
      <c r="AI346" s="1223"/>
      <c r="AJ346" s="1223"/>
      <c r="AK346" s="1223"/>
    </row>
    <row r="347" spans="2:37">
      <c r="B347" s="1"/>
      <c r="E347" s="2"/>
      <c r="F347" s="1223"/>
      <c r="G347" s="1223"/>
      <c r="H347" s="1223"/>
      <c r="I347" s="1223"/>
      <c r="J347" s="1223"/>
      <c r="K347" s="1223"/>
      <c r="L347" s="1223"/>
      <c r="M347" s="1223"/>
      <c r="N347" s="1223"/>
      <c r="O347" s="1223"/>
      <c r="P347" s="1223"/>
      <c r="Q347" s="1223"/>
      <c r="R347" s="1223"/>
      <c r="S347" s="1223"/>
      <c r="T347" s="1223"/>
      <c r="U347" s="1223"/>
      <c r="V347" s="1223"/>
      <c r="W347" s="1223"/>
      <c r="X347" s="1223"/>
      <c r="Y347" s="1223"/>
      <c r="Z347" s="1223"/>
      <c r="AA347" s="1223"/>
      <c r="AB347" s="1223"/>
      <c r="AC347" s="1223"/>
      <c r="AD347" s="1223"/>
      <c r="AE347" s="1223"/>
      <c r="AF347" s="1223"/>
      <c r="AG347" s="1223"/>
      <c r="AH347" s="1223"/>
      <c r="AI347" s="1223"/>
      <c r="AJ347" s="1223"/>
      <c r="AK347" s="1223"/>
    </row>
    <row r="348" spans="2:37">
      <c r="B348" s="1"/>
      <c r="E348" s="2"/>
      <c r="F348" s="1223"/>
      <c r="G348" s="1223"/>
      <c r="H348" s="1223"/>
      <c r="I348" s="1223"/>
      <c r="J348" s="1223"/>
      <c r="K348" s="1223"/>
      <c r="L348" s="1223"/>
      <c r="M348" s="1223"/>
      <c r="N348" s="1223"/>
      <c r="O348" s="1223"/>
      <c r="P348" s="1223"/>
      <c r="Q348" s="1223"/>
      <c r="R348" s="1223"/>
      <c r="S348" s="1223"/>
      <c r="T348" s="1223"/>
      <c r="U348" s="1223"/>
      <c r="V348" s="1223"/>
      <c r="W348" s="1223"/>
      <c r="X348" s="1223"/>
      <c r="Y348" s="1223"/>
      <c r="Z348" s="1223"/>
      <c r="AA348" s="1223"/>
      <c r="AB348" s="1223"/>
      <c r="AC348" s="1223"/>
      <c r="AD348" s="1223"/>
      <c r="AE348" s="1223"/>
      <c r="AF348" s="1223"/>
      <c r="AG348" s="1223"/>
      <c r="AH348" s="1223"/>
      <c r="AI348" s="1223"/>
      <c r="AJ348" s="1223"/>
      <c r="AK348" s="1223"/>
    </row>
    <row r="349" spans="2:37">
      <c r="B349" s="1"/>
      <c r="E349" s="2"/>
      <c r="F349" s="1223"/>
      <c r="G349" s="1223"/>
      <c r="H349" s="1223"/>
      <c r="I349" s="1223"/>
      <c r="J349" s="1223"/>
      <c r="K349" s="1223"/>
      <c r="L349" s="1223"/>
      <c r="M349" s="1223"/>
      <c r="N349" s="1223"/>
      <c r="O349" s="1223"/>
      <c r="P349" s="1223"/>
      <c r="Q349" s="1223"/>
      <c r="R349" s="1223"/>
      <c r="S349" s="1223"/>
      <c r="T349" s="1223"/>
      <c r="U349" s="1223"/>
      <c r="V349" s="1223"/>
      <c r="W349" s="1223"/>
      <c r="X349" s="1223"/>
      <c r="Y349" s="1223"/>
      <c r="Z349" s="1223"/>
      <c r="AA349" s="1223"/>
      <c r="AB349" s="1223"/>
      <c r="AC349" s="1223"/>
      <c r="AD349" s="1223"/>
      <c r="AE349" s="1223"/>
      <c r="AF349" s="1223"/>
      <c r="AG349" s="1223"/>
      <c r="AH349" s="1223"/>
      <c r="AI349" s="1223"/>
      <c r="AJ349" s="1223"/>
      <c r="AK349" s="1223"/>
    </row>
    <row r="350" spans="2:37">
      <c r="B350" s="1"/>
      <c r="E350" s="2" t="s">
        <v>31</v>
      </c>
      <c r="F350" s="1223" t="s">
        <v>267</v>
      </c>
      <c r="G350" s="1223"/>
      <c r="H350" s="1223"/>
      <c r="I350" s="1223"/>
      <c r="J350" s="1223"/>
      <c r="K350" s="1223"/>
      <c r="L350" s="1223"/>
      <c r="M350" s="1223"/>
      <c r="N350" s="1223"/>
      <c r="O350" s="1223"/>
      <c r="P350" s="1223"/>
      <c r="Q350" s="1223"/>
      <c r="R350" s="1223"/>
      <c r="S350" s="1223"/>
      <c r="T350" s="1223"/>
      <c r="U350" s="1223"/>
      <c r="V350" s="1223"/>
      <c r="W350" s="1223"/>
      <c r="X350" s="1223"/>
      <c r="Y350" s="1223"/>
      <c r="Z350" s="1223"/>
      <c r="AA350" s="1223"/>
      <c r="AB350" s="1223"/>
      <c r="AC350" s="1223"/>
      <c r="AD350" s="1223"/>
      <c r="AE350" s="1223"/>
      <c r="AF350" s="1223"/>
      <c r="AG350" s="1223"/>
      <c r="AH350" s="1223"/>
      <c r="AI350" s="1223"/>
      <c r="AJ350" s="1223"/>
      <c r="AK350" s="1223"/>
    </row>
    <row r="351" spans="2:37">
      <c r="B351" s="1"/>
      <c r="F351" s="1223"/>
      <c r="G351" s="1223"/>
      <c r="H351" s="1223"/>
      <c r="I351" s="1223"/>
      <c r="J351" s="1223"/>
      <c r="K351" s="1223"/>
      <c r="L351" s="1223"/>
      <c r="M351" s="1223"/>
      <c r="N351" s="1223"/>
      <c r="O351" s="1223"/>
      <c r="P351" s="1223"/>
      <c r="Q351" s="1223"/>
      <c r="R351" s="1223"/>
      <c r="S351" s="1223"/>
      <c r="T351" s="1223"/>
      <c r="U351" s="1223"/>
      <c r="V351" s="1223"/>
      <c r="W351" s="1223"/>
      <c r="X351" s="1223"/>
      <c r="Y351" s="1223"/>
      <c r="Z351" s="1223"/>
      <c r="AA351" s="1223"/>
      <c r="AB351" s="1223"/>
      <c r="AC351" s="1223"/>
      <c r="AD351" s="1223"/>
      <c r="AE351" s="1223"/>
      <c r="AF351" s="1223"/>
      <c r="AG351" s="1223"/>
      <c r="AH351" s="1223"/>
      <c r="AI351" s="1223"/>
      <c r="AJ351" s="1223"/>
      <c r="AK351" s="1223"/>
    </row>
    <row r="352" spans="2:37">
      <c r="B352" s="1"/>
      <c r="F352" s="1223"/>
      <c r="G352" s="1223"/>
      <c r="H352" s="1223"/>
      <c r="I352" s="1223"/>
      <c r="J352" s="1223"/>
      <c r="K352" s="1223"/>
      <c r="L352" s="1223"/>
      <c r="M352" s="1223"/>
      <c r="N352" s="1223"/>
      <c r="O352" s="1223"/>
      <c r="P352" s="1223"/>
      <c r="Q352" s="1223"/>
      <c r="R352" s="1223"/>
      <c r="S352" s="1223"/>
      <c r="T352" s="1223"/>
      <c r="U352" s="1223"/>
      <c r="V352" s="1223"/>
      <c r="W352" s="1223"/>
      <c r="X352" s="1223"/>
      <c r="Y352" s="1223"/>
      <c r="Z352" s="1223"/>
      <c r="AA352" s="1223"/>
      <c r="AB352" s="1223"/>
      <c r="AC352" s="1223"/>
      <c r="AD352" s="1223"/>
      <c r="AE352" s="1223"/>
      <c r="AF352" s="1223"/>
      <c r="AG352" s="1223"/>
      <c r="AH352" s="1223"/>
      <c r="AI352" s="1223"/>
      <c r="AJ352" s="1223"/>
      <c r="AK352" s="1223"/>
    </row>
    <row r="353" spans="1:38">
      <c r="B353" s="1"/>
      <c r="F353" s="2"/>
      <c r="H353" s="2"/>
      <c r="I353" s="2"/>
      <c r="J353" s="2"/>
      <c r="K353" s="2"/>
      <c r="L353" s="2"/>
      <c r="M353" s="2"/>
      <c r="N353" s="2"/>
      <c r="O353" s="2"/>
      <c r="P353" s="2"/>
      <c r="Q353" s="2"/>
      <c r="R353" s="2"/>
      <c r="S353" s="2"/>
    </row>
    <row r="354" spans="1:38">
      <c r="A354" s="4"/>
      <c r="B354" s="9" t="s">
        <v>268</v>
      </c>
      <c r="C354" s="9" t="s">
        <v>58</v>
      </c>
      <c r="D354" s="4"/>
      <c r="E354" s="9"/>
      <c r="F354" s="4"/>
      <c r="G354" s="4"/>
      <c r="H354" s="4"/>
      <c r="I354" s="4"/>
      <c r="J354" s="4"/>
      <c r="K354" s="4"/>
      <c r="L354" s="4"/>
      <c r="M354" s="968"/>
      <c r="N354" s="968"/>
      <c r="O354" s="968"/>
      <c r="P354" s="968"/>
      <c r="Q354" s="968"/>
      <c r="R354" s="968"/>
      <c r="S354" s="968"/>
      <c r="T354" s="968"/>
      <c r="U354" s="4"/>
      <c r="V354" s="4"/>
      <c r="W354" s="4"/>
      <c r="X354" s="4"/>
      <c r="Y354" s="4"/>
      <c r="Z354" s="4"/>
      <c r="AA354" s="4"/>
      <c r="AB354" s="4"/>
      <c r="AC354" s="4"/>
      <c r="AD354" s="4"/>
      <c r="AE354" s="4"/>
      <c r="AF354" s="4"/>
      <c r="AG354" s="4"/>
      <c r="AH354" s="4"/>
      <c r="AI354" s="4"/>
      <c r="AJ354" s="4"/>
      <c r="AK354" s="4"/>
      <c r="AL354" s="4"/>
    </row>
    <row r="355" spans="1:38">
      <c r="B355" s="1"/>
      <c r="D355" s="315"/>
      <c r="E355" s="1"/>
      <c r="M355" s="2"/>
      <c r="N355" s="2"/>
      <c r="O355" s="2"/>
      <c r="P355" s="2"/>
      <c r="Q355" s="2"/>
      <c r="R355" s="2"/>
      <c r="S355" s="2"/>
      <c r="T355" s="2"/>
    </row>
    <row r="356" spans="1:38" ht="13.35" customHeight="1">
      <c r="B356" s="1"/>
      <c r="C356" s="9" t="s">
        <v>269</v>
      </c>
      <c r="D356" s="4"/>
      <c r="E356" s="4"/>
      <c r="F356" s="4"/>
      <c r="G356" s="4"/>
      <c r="H356" s="4"/>
      <c r="I356" s="265"/>
      <c r="J356" s="265"/>
      <c r="K356" s="265"/>
      <c r="L356" s="265"/>
      <c r="M356" s="265"/>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row>
    <row r="357" spans="1:38" ht="13.35" customHeight="1">
      <c r="B357" s="1"/>
      <c r="C357" s="1"/>
      <c r="E357" s="1115"/>
      <c r="F357" s="1115"/>
      <c r="G357" s="1115"/>
      <c r="H357" s="1115"/>
      <c r="I357" s="1115"/>
      <c r="J357" s="1115"/>
      <c r="K357" s="1115"/>
      <c r="L357" s="1115"/>
      <c r="M357" s="1115"/>
      <c r="N357" s="1115"/>
      <c r="O357" s="1115"/>
      <c r="P357" s="1115"/>
      <c r="Q357" s="1115"/>
      <c r="R357" s="1115"/>
      <c r="S357" s="1115"/>
      <c r="T357" s="1115"/>
      <c r="U357" s="1115"/>
      <c r="V357" s="1115"/>
      <c r="W357" s="1115"/>
      <c r="X357" s="1115"/>
      <c r="Y357" s="1115"/>
      <c r="Z357" s="1115"/>
      <c r="AA357" s="1115"/>
      <c r="AB357" s="1115"/>
      <c r="AC357" s="1115"/>
      <c r="AD357" s="1115"/>
      <c r="AE357" s="1115"/>
      <c r="AF357" s="1115"/>
      <c r="AG357" s="1115"/>
      <c r="AH357" s="1115"/>
      <c r="AI357" s="1115"/>
      <c r="AJ357" s="1115"/>
      <c r="AK357" s="1115"/>
    </row>
    <row r="358" spans="1:38">
      <c r="B358" s="1"/>
      <c r="D358" s="1" t="s">
        <v>3</v>
      </c>
      <c r="E358" s="1" t="s">
        <v>270</v>
      </c>
      <c r="I358" s="2"/>
      <c r="J358" s="2"/>
      <c r="K358" s="2"/>
      <c r="L358" s="2"/>
      <c r="M358" s="2"/>
      <c r="N358" s="2"/>
      <c r="O358" s="2"/>
      <c r="P358" s="2"/>
      <c r="Q358" s="2"/>
      <c r="R358" s="2"/>
      <c r="S358" s="2"/>
    </row>
    <row r="359" spans="1:38">
      <c r="B359" s="1"/>
      <c r="E359" t="s">
        <v>18</v>
      </c>
      <c r="F359" s="2" t="s">
        <v>271</v>
      </c>
      <c r="I359" s="2"/>
      <c r="J359" s="2"/>
      <c r="K359" s="2"/>
      <c r="L359" s="2"/>
      <c r="M359" s="2"/>
      <c r="N359" s="2"/>
      <c r="O359" s="2"/>
      <c r="P359" s="2"/>
      <c r="Q359" s="2"/>
      <c r="R359" s="2"/>
      <c r="S359" s="2"/>
    </row>
    <row r="360" spans="1:38">
      <c r="B360" s="1"/>
      <c r="F360" s="2" t="s">
        <v>272</v>
      </c>
      <c r="I360" s="2"/>
      <c r="J360" s="2"/>
      <c r="K360" s="2"/>
      <c r="L360" s="2"/>
      <c r="M360" s="2"/>
      <c r="N360" s="2"/>
      <c r="O360" s="2"/>
      <c r="P360" s="2"/>
      <c r="Q360" s="2"/>
      <c r="R360" s="2"/>
      <c r="S360" s="2"/>
    </row>
    <row r="361" spans="1:38">
      <c r="B361" s="1"/>
      <c r="F361" s="2" t="s">
        <v>273</v>
      </c>
      <c r="G361" s="2"/>
      <c r="K361" s="2"/>
      <c r="L361" s="2"/>
      <c r="M361" s="2"/>
      <c r="N361" s="2"/>
      <c r="O361" s="2"/>
      <c r="P361" s="2"/>
      <c r="Q361" s="2"/>
      <c r="R361" s="2"/>
      <c r="S361" s="2"/>
    </row>
    <row r="362" spans="1:38">
      <c r="B362" s="1"/>
      <c r="E362" t="s">
        <v>31</v>
      </c>
      <c r="F362" s="2" t="s">
        <v>274</v>
      </c>
      <c r="I362" s="2"/>
      <c r="J362" s="2"/>
      <c r="K362" s="2"/>
      <c r="L362" s="2"/>
      <c r="M362" s="2"/>
      <c r="N362" s="2"/>
      <c r="O362" s="2"/>
      <c r="P362" s="2"/>
      <c r="Q362" s="2"/>
      <c r="R362" s="2"/>
      <c r="S362" s="2"/>
    </row>
    <row r="363" spans="1:38">
      <c r="B363" s="1"/>
      <c r="E363" t="s">
        <v>39</v>
      </c>
      <c r="F363" s="2" t="s">
        <v>275</v>
      </c>
      <c r="I363" s="2"/>
      <c r="J363" s="2"/>
      <c r="K363" s="2"/>
      <c r="L363" s="2"/>
      <c r="M363" s="2"/>
      <c r="N363" s="2"/>
      <c r="O363" s="2"/>
      <c r="P363" s="2"/>
      <c r="Q363" s="2"/>
      <c r="R363" s="2"/>
      <c r="S363" s="2"/>
    </row>
    <row r="364" spans="1:38">
      <c r="B364" s="1"/>
      <c r="F364" s="2" t="s">
        <v>276</v>
      </c>
      <c r="J364" s="2"/>
      <c r="K364" s="2"/>
      <c r="L364" s="2"/>
      <c r="M364" s="2"/>
      <c r="N364" s="2"/>
      <c r="O364" s="2"/>
      <c r="P364" s="2"/>
      <c r="Q364" s="2"/>
      <c r="R364" s="2"/>
      <c r="S364" s="2"/>
    </row>
    <row r="365" spans="1:38">
      <c r="B365" s="1"/>
      <c r="E365" s="1231" t="s">
        <v>277</v>
      </c>
      <c r="F365" s="1231"/>
      <c r="G365" s="1231"/>
      <c r="H365" s="1231"/>
      <c r="I365" s="1231"/>
      <c r="J365" s="1231"/>
      <c r="K365" s="1231"/>
      <c r="L365" s="1231"/>
      <c r="M365" s="1231"/>
      <c r="N365" s="1231"/>
      <c r="O365" s="1231"/>
      <c r="P365" s="1231"/>
      <c r="Q365" s="1231"/>
      <c r="R365" s="1231"/>
      <c r="S365" s="1231"/>
      <c r="T365" s="1231"/>
      <c r="U365" s="1231"/>
      <c r="V365" s="1231"/>
      <c r="W365" s="1231"/>
      <c r="X365" s="1231"/>
      <c r="Y365" s="1231"/>
      <c r="Z365" s="1231"/>
      <c r="AA365" s="1231"/>
      <c r="AB365" s="1231"/>
      <c r="AC365" s="1231"/>
      <c r="AD365" s="1231"/>
      <c r="AE365" s="1231"/>
      <c r="AF365" s="1231"/>
      <c r="AG365" s="1231"/>
      <c r="AH365" s="1231"/>
      <c r="AI365" s="1231"/>
      <c r="AJ365" s="1231"/>
      <c r="AK365" s="1231"/>
      <c r="AL365" s="1231"/>
    </row>
    <row r="366" spans="1:38">
      <c r="B366" s="1"/>
      <c r="E366" s="1231"/>
      <c r="F366" s="1231"/>
      <c r="G366" s="1231"/>
      <c r="H366" s="1231"/>
      <c r="I366" s="1231"/>
      <c r="J366" s="1231"/>
      <c r="K366" s="1231"/>
      <c r="L366" s="1231"/>
      <c r="M366" s="1231"/>
      <c r="N366" s="1231"/>
      <c r="O366" s="1231"/>
      <c r="P366" s="1231"/>
      <c r="Q366" s="1231"/>
      <c r="R366" s="1231"/>
      <c r="S366" s="1231"/>
      <c r="T366" s="1231"/>
      <c r="U366" s="1231"/>
      <c r="V366" s="1231"/>
      <c r="W366" s="1231"/>
      <c r="X366" s="1231"/>
      <c r="Y366" s="1231"/>
      <c r="Z366" s="1231"/>
      <c r="AA366" s="1231"/>
      <c r="AB366" s="1231"/>
      <c r="AC366" s="1231"/>
      <c r="AD366" s="1231"/>
      <c r="AE366" s="1231"/>
      <c r="AF366" s="1231"/>
      <c r="AG366" s="1231"/>
      <c r="AH366" s="1231"/>
      <c r="AI366" s="1231"/>
      <c r="AJ366" s="1231"/>
      <c r="AK366" s="1231"/>
      <c r="AL366" s="1231"/>
    </row>
    <row r="367" spans="1:38" s="1232" customFormat="1">
      <c r="A367"/>
      <c r="B367" s="1"/>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2" customFormat="1">
      <c r="A368"/>
      <c r="B368" s="1"/>
      <c r="C368" s="1"/>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1"/>
      <c r="E369" s="2"/>
      <c r="F369" s="1127"/>
      <c r="G369" s="1127"/>
      <c r="H369" s="1127"/>
      <c r="I369" s="1127"/>
      <c r="J369" s="1127"/>
      <c r="K369" s="1127"/>
      <c r="L369" s="1127"/>
      <c r="M369" s="1127"/>
      <c r="N369" s="1127"/>
      <c r="O369" s="1127"/>
      <c r="P369" s="1127"/>
      <c r="Q369" s="1127"/>
      <c r="R369" s="1127"/>
      <c r="S369" s="1127"/>
      <c r="T369" s="1127"/>
      <c r="U369" s="1127"/>
      <c r="V369" s="1127"/>
      <c r="W369" s="1127"/>
      <c r="X369" s="1127"/>
      <c r="Y369" s="1127"/>
      <c r="Z369" s="1127"/>
      <c r="AA369" s="1127"/>
      <c r="AB369" s="1127"/>
      <c r="AC369" s="1127"/>
      <c r="AD369" s="1127"/>
      <c r="AE369" s="1127"/>
      <c r="AF369" s="1127"/>
      <c r="AG369" s="1127"/>
      <c r="AH369" s="1127"/>
      <c r="AI369" s="1127"/>
      <c r="AJ369" s="1127"/>
      <c r="AK369" s="1127"/>
    </row>
    <row r="370" spans="1:38">
      <c r="B370" s="1"/>
      <c r="D370" s="1" t="s">
        <v>16</v>
      </c>
      <c r="E370" s="1" t="s">
        <v>279</v>
      </c>
      <c r="J370" s="2"/>
      <c r="K370" s="2"/>
      <c r="L370" s="2"/>
      <c r="M370" s="2"/>
      <c r="N370" s="2"/>
      <c r="O370" s="2"/>
      <c r="P370" s="2"/>
      <c r="Q370" s="2"/>
      <c r="R370" s="2"/>
      <c r="S370" s="2"/>
    </row>
    <row r="371" spans="1:38">
      <c r="B371" s="1"/>
      <c r="E371" s="2" t="s">
        <v>280</v>
      </c>
      <c r="F371" s="2"/>
      <c r="G371" s="2"/>
      <c r="H371" s="2"/>
      <c r="I371" s="2"/>
      <c r="J371" s="2"/>
      <c r="K371" s="2"/>
      <c r="L371" s="2"/>
      <c r="M371" s="2"/>
      <c r="N371" s="2"/>
      <c r="O371" s="2"/>
      <c r="P371" s="2"/>
      <c r="Q371" s="2"/>
      <c r="R371" s="2"/>
      <c r="S371" s="2"/>
    </row>
    <row r="372" spans="1:38">
      <c r="B372" s="1"/>
      <c r="E372" s="2" t="s">
        <v>281</v>
      </c>
      <c r="F372" s="2"/>
      <c r="G372" s="2"/>
      <c r="H372" s="2"/>
      <c r="I372" s="2"/>
      <c r="J372" s="2"/>
      <c r="K372" s="2"/>
      <c r="L372" s="2"/>
      <c r="M372" s="2"/>
      <c r="N372" s="2"/>
      <c r="O372" s="2"/>
      <c r="P372" s="2"/>
      <c r="Q372" s="2"/>
      <c r="R372" s="2"/>
      <c r="S372" s="2"/>
    </row>
    <row r="373" spans="1:38">
      <c r="B373" s="1"/>
      <c r="E373" s="2"/>
      <c r="F373" s="2"/>
      <c r="G373" s="2"/>
      <c r="H373" s="2"/>
      <c r="I373" s="2"/>
      <c r="J373" s="2"/>
      <c r="K373" s="2"/>
      <c r="L373" s="2"/>
      <c r="M373" s="2"/>
      <c r="N373" s="2"/>
      <c r="O373" s="2"/>
      <c r="P373" s="2"/>
      <c r="Q373" s="2"/>
      <c r="R373" s="2"/>
      <c r="S373" s="2"/>
    </row>
    <row r="374" spans="1:38">
      <c r="B374" s="1"/>
      <c r="D374" s="1" t="s">
        <v>94</v>
      </c>
      <c r="E374" s="1" t="s">
        <v>282</v>
      </c>
      <c r="J374" s="2"/>
      <c r="K374" s="2"/>
      <c r="L374" s="2"/>
      <c r="M374" s="2"/>
      <c r="N374" s="2"/>
      <c r="O374" s="2"/>
      <c r="P374" s="2"/>
      <c r="Q374" s="2"/>
      <c r="R374" s="2"/>
      <c r="S374" s="2"/>
    </row>
    <row r="375" spans="1:38">
      <c r="B375" s="1"/>
      <c r="E375" s="2" t="s">
        <v>18</v>
      </c>
      <c r="F375" s="2" t="s">
        <v>283</v>
      </c>
      <c r="G375" s="2"/>
      <c r="I375" s="2"/>
      <c r="J375" s="2"/>
      <c r="K375" s="2"/>
      <c r="L375" s="2"/>
      <c r="M375" s="2"/>
      <c r="N375" s="2"/>
      <c r="O375" s="2"/>
      <c r="P375" s="2"/>
      <c r="Q375" s="2"/>
      <c r="R375" s="2"/>
      <c r="S375" s="2"/>
    </row>
    <row r="376" spans="1:38">
      <c r="B376" s="1"/>
      <c r="E376" s="2"/>
      <c r="F376" s="70" t="s">
        <v>284</v>
      </c>
      <c r="G376" s="2"/>
      <c r="I376" s="70"/>
      <c r="J376" s="2"/>
      <c r="K376" s="2"/>
      <c r="L376" s="2"/>
      <c r="M376" s="2"/>
      <c r="N376" s="2"/>
      <c r="O376" s="2"/>
      <c r="P376" s="2"/>
      <c r="Q376" s="2"/>
      <c r="R376" s="2"/>
      <c r="S376" s="2"/>
    </row>
    <row r="377" spans="1:38">
      <c r="B377" s="1"/>
      <c r="E377" s="2" t="s">
        <v>31</v>
      </c>
      <c r="F377" s="2" t="s">
        <v>285</v>
      </c>
      <c r="G377" s="2"/>
      <c r="I377" s="70"/>
      <c r="J377" s="2"/>
      <c r="K377" s="2"/>
      <c r="L377" s="2"/>
      <c r="M377" s="2"/>
      <c r="N377" s="2"/>
      <c r="O377" s="2"/>
      <c r="P377" s="2"/>
      <c r="Q377" s="2"/>
      <c r="R377" s="2"/>
      <c r="S377" s="2"/>
    </row>
    <row r="378" spans="1:38">
      <c r="B378" s="1"/>
      <c r="E378" s="2"/>
      <c r="F378" s="2"/>
      <c r="G378" s="2"/>
      <c r="I378" s="70"/>
      <c r="J378" s="2"/>
      <c r="K378" s="2"/>
      <c r="L378" s="2"/>
      <c r="M378" s="2"/>
      <c r="N378" s="2"/>
      <c r="O378" s="2"/>
      <c r="P378" s="2"/>
      <c r="Q378" s="2"/>
      <c r="R378" s="2"/>
      <c r="S378" s="2"/>
    </row>
    <row r="379" spans="1:38">
      <c r="B379" s="1"/>
      <c r="D379" s="1" t="s">
        <v>99</v>
      </c>
      <c r="E379" s="1" t="s">
        <v>286</v>
      </c>
      <c r="J379" s="2"/>
      <c r="K379" s="2"/>
      <c r="L379" s="2"/>
      <c r="M379" s="2"/>
      <c r="N379" s="2"/>
      <c r="O379" s="2"/>
      <c r="P379" s="2"/>
      <c r="Q379" s="2"/>
      <c r="R379" s="2"/>
      <c r="S379" s="2"/>
    </row>
    <row r="380" spans="1:38">
      <c r="B380" s="1"/>
      <c r="D380" s="1"/>
      <c r="E380" s="2" t="s">
        <v>280</v>
      </c>
      <c r="F380" s="2"/>
      <c r="G380" s="2"/>
      <c r="J380" s="2"/>
      <c r="K380" s="2"/>
      <c r="L380" s="2"/>
      <c r="M380" s="2"/>
      <c r="N380" s="2"/>
      <c r="O380" s="2"/>
      <c r="P380" s="2"/>
      <c r="Q380" s="2"/>
      <c r="R380" s="2"/>
      <c r="S380" s="2"/>
    </row>
    <row r="381" spans="1:38">
      <c r="B381" s="1"/>
      <c r="D381" s="1"/>
      <c r="E381" s="2" t="s">
        <v>287</v>
      </c>
      <c r="F381" s="2"/>
      <c r="G381" s="2"/>
      <c r="J381" s="2"/>
      <c r="K381" s="2"/>
      <c r="L381" s="2"/>
      <c r="M381" s="2"/>
      <c r="N381" s="2"/>
      <c r="O381" s="2"/>
      <c r="P381" s="2"/>
      <c r="Q381" s="2"/>
      <c r="R381" s="2"/>
      <c r="S381" s="2"/>
    </row>
    <row r="382" spans="1:38">
      <c r="B382" s="1"/>
      <c r="D382" s="1"/>
      <c r="E382" s="2"/>
      <c r="F382" s="2"/>
      <c r="G382" s="2"/>
      <c r="J382" s="2"/>
      <c r="K382" s="2"/>
      <c r="L382" s="2"/>
      <c r="M382" s="2"/>
      <c r="N382" s="2"/>
      <c r="O382" s="2"/>
      <c r="P382" s="2"/>
      <c r="Q382" s="2"/>
      <c r="R382" s="2"/>
      <c r="S382" s="2"/>
    </row>
    <row r="383" spans="1:38" s="90" customFormat="1">
      <c r="A383"/>
      <c r="B383" s="1"/>
      <c r="C383"/>
      <c r="D383" s="1" t="s">
        <v>102</v>
      </c>
      <c r="E383" s="1" t="s">
        <v>288</v>
      </c>
      <c r="F383"/>
      <c r="G383"/>
      <c r="H383"/>
      <c r="I383"/>
      <c r="J383" s="2"/>
      <c r="K383" s="2"/>
      <c r="L383" s="2"/>
      <c r="M383" s="2"/>
      <c r="N383" s="2"/>
      <c r="O383" s="2"/>
      <c r="P383" s="2"/>
      <c r="Q383" s="2"/>
      <c r="R383" s="2"/>
      <c r="S383" s="2"/>
      <c r="T383"/>
      <c r="U383"/>
      <c r="V383"/>
      <c r="W383"/>
      <c r="X383"/>
      <c r="Y383"/>
      <c r="Z383"/>
      <c r="AA383"/>
      <c r="AB383"/>
      <c r="AC383"/>
      <c r="AD383"/>
      <c r="AE383"/>
      <c r="AF383"/>
      <c r="AG383"/>
      <c r="AH383"/>
      <c r="AI383"/>
      <c r="AJ383"/>
      <c r="AK383"/>
      <c r="AL383"/>
    </row>
    <row r="384" spans="1:38" s="90" customFormat="1">
      <c r="A384"/>
      <c r="B384" s="1"/>
      <c r="C384"/>
      <c r="D384"/>
      <c r="E384" s="2" t="s">
        <v>18</v>
      </c>
      <c r="F384" s="2" t="s">
        <v>289</v>
      </c>
      <c r="G384" s="2"/>
      <c r="H384"/>
      <c r="I384" s="2"/>
      <c r="J384" s="2"/>
      <c r="K384" s="2"/>
      <c r="L384" s="2"/>
      <c r="M384" s="2"/>
      <c r="N384" s="2"/>
      <c r="O384" s="2"/>
      <c r="P384" s="2"/>
      <c r="Q384" s="2"/>
      <c r="R384" s="2"/>
      <c r="S384" s="2"/>
      <c r="T384"/>
      <c r="U384"/>
      <c r="V384"/>
      <c r="W384"/>
      <c r="X384"/>
      <c r="Y384"/>
      <c r="Z384"/>
      <c r="AA384"/>
      <c r="AB384"/>
      <c r="AC384"/>
      <c r="AD384"/>
      <c r="AE384"/>
      <c r="AF384"/>
      <c r="AG384"/>
      <c r="AH384"/>
      <c r="AI384"/>
      <c r="AJ384"/>
      <c r="AK384"/>
      <c r="AL384"/>
    </row>
    <row r="385" spans="1:38" s="90" customFormat="1">
      <c r="A385"/>
      <c r="B385" s="1"/>
      <c r="C385"/>
      <c r="D385"/>
      <c r="E385" s="2"/>
      <c r="F385" s="70" t="s">
        <v>284</v>
      </c>
      <c r="G385" s="2"/>
      <c r="H385"/>
      <c r="I385" s="2"/>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c r="B386" s="1"/>
      <c r="E386" s="2" t="s">
        <v>31</v>
      </c>
      <c r="F386" s="1223" t="s">
        <v>290</v>
      </c>
      <c r="G386" s="1223"/>
      <c r="H386" s="1223"/>
      <c r="I386" s="1223"/>
      <c r="J386" s="1223"/>
      <c r="K386" s="1223"/>
      <c r="L386" s="1223"/>
      <c r="M386" s="1223"/>
      <c r="N386" s="1223"/>
      <c r="O386" s="1223"/>
      <c r="P386" s="1223"/>
      <c r="Q386" s="1223"/>
      <c r="R386" s="1223"/>
      <c r="S386" s="1223"/>
      <c r="T386" s="1223"/>
      <c r="U386" s="1223"/>
      <c r="V386" s="1223"/>
      <c r="W386" s="1223"/>
      <c r="X386" s="1223"/>
      <c r="Y386" s="1223"/>
      <c r="Z386" s="1223"/>
      <c r="AA386" s="1223"/>
      <c r="AB386" s="1223"/>
      <c r="AC386" s="1223"/>
      <c r="AD386" s="1223"/>
      <c r="AE386" s="1223"/>
      <c r="AF386" s="1223"/>
      <c r="AG386" s="1223"/>
      <c r="AH386" s="1223"/>
      <c r="AI386" s="1223"/>
      <c r="AJ386" s="1223"/>
      <c r="AK386" s="1223"/>
    </row>
    <row r="387" spans="1:38">
      <c r="B387" s="1"/>
      <c r="E387" s="2"/>
      <c r="F387" s="1223"/>
      <c r="G387" s="1223"/>
      <c r="H387" s="1223"/>
      <c r="I387" s="1223"/>
      <c r="J387" s="1223"/>
      <c r="K387" s="1223"/>
      <c r="L387" s="1223"/>
      <c r="M387" s="1223"/>
      <c r="N387" s="1223"/>
      <c r="O387" s="1223"/>
      <c r="P387" s="1223"/>
      <c r="Q387" s="1223"/>
      <c r="R387" s="1223"/>
      <c r="S387" s="1223"/>
      <c r="T387" s="1223"/>
      <c r="U387" s="1223"/>
      <c r="V387" s="1223"/>
      <c r="W387" s="1223"/>
      <c r="X387" s="1223"/>
      <c r="Y387" s="1223"/>
      <c r="Z387" s="1223"/>
      <c r="AA387" s="1223"/>
      <c r="AB387" s="1223"/>
      <c r="AC387" s="1223"/>
      <c r="AD387" s="1223"/>
      <c r="AE387" s="1223"/>
      <c r="AF387" s="1223"/>
      <c r="AG387" s="1223"/>
      <c r="AH387" s="1223"/>
      <c r="AI387" s="1223"/>
      <c r="AJ387" s="1223"/>
      <c r="AK387" s="1223"/>
    </row>
    <row r="388" spans="1:38">
      <c r="B388" s="1"/>
      <c r="E388" s="2"/>
      <c r="F388" s="1223"/>
      <c r="G388" s="1223"/>
      <c r="H388" s="1223"/>
      <c r="I388" s="1223"/>
      <c r="J388" s="1223"/>
      <c r="K388" s="1223"/>
      <c r="L388" s="1223"/>
      <c r="M388" s="1223"/>
      <c r="N388" s="1223"/>
      <c r="O388" s="1223"/>
      <c r="P388" s="1223"/>
      <c r="Q388" s="1223"/>
      <c r="R388" s="1223"/>
      <c r="S388" s="1223"/>
      <c r="T388" s="1223"/>
      <c r="U388" s="1223"/>
      <c r="V388" s="1223"/>
      <c r="W388" s="1223"/>
      <c r="X388" s="1223"/>
      <c r="Y388" s="1223"/>
      <c r="Z388" s="1223"/>
      <c r="AA388" s="1223"/>
      <c r="AB388" s="1223"/>
      <c r="AC388" s="1223"/>
      <c r="AD388" s="1223"/>
      <c r="AE388" s="1223"/>
      <c r="AF388" s="1223"/>
      <c r="AG388" s="1223"/>
      <c r="AH388" s="1223"/>
      <c r="AI388" s="1223"/>
      <c r="AJ388" s="1223"/>
      <c r="AK388" s="1223"/>
    </row>
    <row r="389" spans="1:38">
      <c r="B389" s="1"/>
      <c r="E389" s="2"/>
      <c r="F389" s="1113"/>
      <c r="G389" s="1113"/>
      <c r="H389" s="1113"/>
      <c r="I389" s="1113"/>
      <c r="J389" s="1113"/>
      <c r="K389" s="1113"/>
      <c r="L389" s="1113"/>
      <c r="M389" s="1113"/>
      <c r="N389" s="1113"/>
      <c r="O389" s="1113"/>
      <c r="P389" s="1113"/>
      <c r="Q389" s="1113"/>
      <c r="R389" s="1113"/>
      <c r="S389" s="1113"/>
      <c r="T389" s="1113"/>
      <c r="U389" s="1113"/>
      <c r="V389" s="1113"/>
      <c r="W389" s="1113"/>
      <c r="X389" s="1113"/>
      <c r="Y389" s="1113"/>
      <c r="Z389" s="1113"/>
      <c r="AA389" s="1113"/>
      <c r="AB389" s="1113"/>
      <c r="AC389" s="1113"/>
      <c r="AD389" s="1113"/>
      <c r="AE389" s="1113"/>
      <c r="AF389" s="1113"/>
      <c r="AG389" s="1113"/>
      <c r="AH389" s="1113"/>
      <c r="AI389" s="1113"/>
      <c r="AJ389" s="1113"/>
      <c r="AK389" s="1113"/>
      <c r="AL389" s="1115"/>
    </row>
    <row r="390" spans="1:38">
      <c r="B390" s="1"/>
      <c r="C390" s="1"/>
      <c r="D390" s="1" t="s">
        <v>106</v>
      </c>
      <c r="E390" s="1" t="s">
        <v>291</v>
      </c>
      <c r="F390" s="2"/>
      <c r="G390" s="1"/>
      <c r="I390" s="70"/>
      <c r="J390" s="2"/>
      <c r="K390" s="2"/>
      <c r="L390" s="2"/>
      <c r="M390" s="2"/>
      <c r="N390" s="2"/>
      <c r="O390" s="2"/>
      <c r="P390" s="2"/>
      <c r="Q390" s="2"/>
      <c r="R390" s="2"/>
      <c r="S390" s="2"/>
    </row>
    <row r="391" spans="1:38" ht="13.35" customHeight="1">
      <c r="B391" s="1"/>
      <c r="D391" s="1"/>
      <c r="E391" s="2" t="s">
        <v>292</v>
      </c>
      <c r="F391" s="1127"/>
      <c r="G391" s="1127"/>
      <c r="H391" s="1127"/>
      <c r="I391" s="1127"/>
      <c r="J391" s="1127"/>
      <c r="K391" s="1127"/>
      <c r="L391" s="1127"/>
      <c r="M391" s="1127"/>
      <c r="N391" s="1127"/>
      <c r="O391" s="1127"/>
      <c r="P391" s="1127"/>
      <c r="Q391" s="1127"/>
      <c r="R391" s="1127"/>
      <c r="S391" s="1127"/>
      <c r="T391" s="1127"/>
      <c r="U391" s="1127"/>
      <c r="V391" s="1127"/>
      <c r="W391" s="1127"/>
      <c r="X391" s="1127"/>
      <c r="Y391" s="1127"/>
      <c r="Z391" s="1127"/>
      <c r="AA391" s="1127"/>
      <c r="AB391" s="1127"/>
      <c r="AC391" s="1127"/>
      <c r="AD391" s="1127"/>
      <c r="AE391" s="1127"/>
      <c r="AF391" s="1127"/>
      <c r="AG391" s="1127"/>
      <c r="AH391" s="1127"/>
      <c r="AI391" s="1127"/>
      <c r="AJ391" s="1127"/>
      <c r="AK391" s="1127"/>
    </row>
    <row r="392" spans="1:38">
      <c r="B392" s="1"/>
      <c r="E392" t="s">
        <v>287</v>
      </c>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5"/>
      <c r="AB392" s="265"/>
      <c r="AC392" s="265"/>
      <c r="AD392" s="265"/>
      <c r="AE392" s="265"/>
      <c r="AF392" s="265"/>
      <c r="AG392" s="265"/>
      <c r="AH392" s="265"/>
      <c r="AI392" s="265"/>
      <c r="AJ392" s="265"/>
      <c r="AK392" s="265"/>
      <c r="AL392" s="265"/>
    </row>
    <row r="393" spans="1:38" s="90" customFormat="1">
      <c r="A393"/>
      <c r="B393" s="1"/>
      <c r="C393"/>
      <c r="D393"/>
      <c r="E393"/>
      <c r="F393"/>
      <c r="G393"/>
      <c r="H393"/>
      <c r="I393"/>
      <c r="J393"/>
      <c r="K393"/>
      <c r="L393"/>
      <c r="M393"/>
      <c r="N393"/>
      <c r="O393"/>
      <c r="P393"/>
      <c r="Q393"/>
      <c r="R393"/>
      <c r="S393" s="2"/>
      <c r="T393"/>
      <c r="U393"/>
      <c r="V393"/>
      <c r="W393"/>
      <c r="X393"/>
      <c r="Y393"/>
      <c r="Z393"/>
      <c r="AA393"/>
      <c r="AB393"/>
      <c r="AC393"/>
      <c r="AD393"/>
      <c r="AE393"/>
      <c r="AF393"/>
      <c r="AG393"/>
      <c r="AH393"/>
      <c r="AI393"/>
      <c r="AJ393"/>
      <c r="AK393"/>
      <c r="AL393"/>
    </row>
    <row r="394" spans="1:38" s="90" customFormat="1" hidden="1">
      <c r="A394"/>
      <c r="B394" s="1"/>
      <c r="C394"/>
      <c r="D394"/>
      <c r="E394"/>
      <c r="F394"/>
      <c r="G394"/>
      <c r="H394"/>
      <c r="I394"/>
      <c r="J394"/>
      <c r="K394"/>
      <c r="L394"/>
      <c r="M394"/>
      <c r="N394"/>
      <c r="O394"/>
      <c r="P394"/>
      <c r="Q394"/>
      <c r="R394"/>
      <c r="S394" s="2"/>
      <c r="T394"/>
      <c r="U394"/>
      <c r="V394"/>
      <c r="W394"/>
      <c r="X394"/>
      <c r="Y394"/>
      <c r="Z394"/>
      <c r="AA394"/>
      <c r="AB394"/>
      <c r="AC394"/>
      <c r="AD394"/>
      <c r="AE394"/>
      <c r="AF394"/>
      <c r="AG394"/>
      <c r="AH394"/>
      <c r="AI394"/>
      <c r="AJ394"/>
      <c r="AK394"/>
      <c r="AL394"/>
    </row>
    <row r="395" spans="1:38" hidden="1">
      <c r="B395" s="1"/>
      <c r="S395" s="2"/>
    </row>
    <row r="396" spans="1:38" hidden="1">
      <c r="B396" s="1"/>
      <c r="S396" s="2"/>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D406" s="1"/>
      <c r="E406" s="2"/>
      <c r="F406" s="2"/>
      <c r="G406" s="2"/>
      <c r="H406" s="2"/>
      <c r="I406" s="2"/>
      <c r="J406" s="2"/>
      <c r="K406" s="2"/>
      <c r="L406" s="2"/>
      <c r="M406" s="2"/>
      <c r="N406" s="2"/>
      <c r="O406" s="2"/>
      <c r="P406" s="2"/>
      <c r="Q406" s="2"/>
      <c r="R406" s="2"/>
      <c r="S406" s="2"/>
    </row>
    <row r="407" spans="2:19" hidden="1">
      <c r="B407" s="1"/>
      <c r="D407" s="1"/>
      <c r="E407" s="2"/>
      <c r="F407" s="2"/>
      <c r="G407" s="2"/>
      <c r="H407" s="2"/>
      <c r="I407" s="2"/>
      <c r="J407" s="2"/>
      <c r="K407" s="2"/>
      <c r="L407" s="2"/>
      <c r="M407" s="2"/>
      <c r="N407" s="2"/>
      <c r="O407" s="2"/>
      <c r="P407" s="2"/>
      <c r="Q407" s="2"/>
      <c r="R407" s="2"/>
      <c r="S407" s="2"/>
    </row>
    <row r="408" spans="2:19" hidden="1">
      <c r="J408" s="2"/>
      <c r="K408" s="2"/>
      <c r="L408" s="2"/>
      <c r="M408" s="2"/>
      <c r="N408" s="2"/>
      <c r="O408" s="2"/>
      <c r="P408" s="2"/>
      <c r="Q408" s="2"/>
      <c r="R408" s="2"/>
      <c r="S408" s="2"/>
    </row>
    <row r="409" spans="2:19" hidden="1">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L417" s="2"/>
      <c r="M417" s="2"/>
      <c r="N417" s="2"/>
      <c r="O417" s="2"/>
      <c r="P417" s="2"/>
      <c r="Q417" s="2"/>
      <c r="R417" s="2"/>
      <c r="S417" s="2"/>
    </row>
    <row r="418" spans="2:19" hidden="1">
      <c r="J418" s="2"/>
      <c r="K418" s="2"/>
      <c r="L418" s="2"/>
      <c r="M418" s="2"/>
      <c r="N418" s="2"/>
      <c r="O418" s="2"/>
      <c r="P418" s="2"/>
      <c r="Q418" s="2"/>
      <c r="R418" s="2"/>
      <c r="S418" s="2"/>
    </row>
    <row r="419" spans="2:19" hidden="1">
      <c r="B419" s="1"/>
      <c r="D419" s="1"/>
      <c r="E419" s="2"/>
      <c r="F419" s="2"/>
      <c r="G419" s="2"/>
      <c r="H419" s="2"/>
      <c r="I419" s="2"/>
      <c r="J419" s="2"/>
      <c r="K419" s="2"/>
      <c r="L419" s="2"/>
      <c r="M419" s="2"/>
      <c r="N419" s="2"/>
      <c r="O419" s="2"/>
      <c r="P419" s="2"/>
      <c r="Q419" s="2"/>
      <c r="R419" s="2"/>
      <c r="S419" s="2"/>
    </row>
    <row r="420" spans="2:19" hidden="1">
      <c r="B420" s="1"/>
      <c r="C420" s="1"/>
      <c r="D420" s="1"/>
      <c r="E420" s="2"/>
      <c r="F420" s="2"/>
      <c r="G420" s="2"/>
      <c r="H420" s="2"/>
      <c r="I420" s="2"/>
      <c r="J420" s="2"/>
      <c r="K420" s="2"/>
      <c r="L420" s="2"/>
      <c r="M420" s="2"/>
      <c r="N420" s="2"/>
      <c r="O420" s="2"/>
      <c r="P420" s="2"/>
      <c r="Q420" s="2"/>
      <c r="R420" s="2"/>
      <c r="S420" s="2"/>
    </row>
    <row r="421" spans="2:19" hidden="1">
      <c r="D421" s="1"/>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70" zoomScaleNormal="70" workbookViewId="0">
      <selection activeCell="G32" sqref="G32"/>
    </sheetView>
  </sheetViews>
  <sheetFormatPr defaultColWidth="9.109375" defaultRowHeight="13.8"/>
  <cols>
    <col min="1" max="1" width="2.44140625" style="772" customWidth="1"/>
    <col min="2" max="9" width="14.6640625" style="772" customWidth="1"/>
    <col min="10" max="10" width="2.33203125" style="772" customWidth="1"/>
    <col min="11" max="11" width="11.88671875" style="773" customWidth="1"/>
    <col min="12" max="12" width="10.6640625" style="772" customWidth="1"/>
    <col min="13" max="13" width="10.44140625" style="772" customWidth="1"/>
    <col min="14" max="14" width="10.88671875" style="772" customWidth="1"/>
    <col min="15" max="18" width="9.109375" style="772"/>
    <col min="19" max="19" width="9.44140625" style="772" bestFit="1" customWidth="1"/>
    <col min="20" max="16384" width="9.109375" style="772"/>
  </cols>
  <sheetData>
    <row r="1" spans="1:13" ht="30" customHeight="1">
      <c r="A1" s="2602" t="s">
        <v>2590</v>
      </c>
      <c r="B1" s="2602"/>
      <c r="C1" s="2602"/>
      <c r="D1" s="2602"/>
      <c r="E1" s="2602"/>
      <c r="F1" s="2602"/>
      <c r="G1" s="2602"/>
      <c r="H1" s="2602"/>
      <c r="I1" s="2602"/>
      <c r="J1" s="2602"/>
    </row>
    <row r="2" spans="1:13" ht="15" customHeight="1" thickBot="1">
      <c r="A2" s="774"/>
      <c r="B2" s="774"/>
      <c r="I2" s="775"/>
      <c r="K2" s="776"/>
    </row>
    <row r="3" spans="1:13" s="779" customFormat="1" ht="20.100000000000001" customHeight="1">
      <c r="A3" s="819"/>
      <c r="B3" s="820"/>
      <c r="C3" s="821"/>
      <c r="D3" s="826"/>
      <c r="E3" s="821"/>
      <c r="F3" s="822" t="s">
        <v>2591</v>
      </c>
      <c r="G3" s="821"/>
      <c r="H3" s="823">
        <f>E18</f>
        <v>36259190.000000007</v>
      </c>
      <c r="I3" s="824"/>
    </row>
    <row r="4" spans="1:13" s="779" customFormat="1" ht="20.100000000000001" customHeight="1">
      <c r="B4" s="813"/>
      <c r="D4" s="827"/>
      <c r="F4" s="811" t="s">
        <v>2592</v>
      </c>
      <c r="G4" s="810" t="s">
        <v>2593</v>
      </c>
      <c r="H4" s="812">
        <f>I18</f>
        <v>60861156.192565359</v>
      </c>
      <c r="I4" s="814"/>
      <c r="K4" s="783"/>
    </row>
    <row r="5" spans="1:13" s="779" customFormat="1" ht="20.100000000000001" customHeight="1" thickBot="1">
      <c r="B5" s="815"/>
      <c r="C5" s="816"/>
      <c r="D5" s="828"/>
      <c r="E5" s="817"/>
      <c r="F5" s="828" t="s">
        <v>2594</v>
      </c>
      <c r="G5" s="829"/>
      <c r="H5" s="825">
        <f>IFERROR(H3/H4,0)</f>
        <v>0.59576899731046085</v>
      </c>
      <c r="I5" s="818"/>
      <c r="K5" s="783"/>
    </row>
    <row r="6" spans="1:13" s="779" customFormat="1" ht="15" customHeight="1">
      <c r="B6" s="780"/>
      <c r="C6" s="781"/>
      <c r="F6" s="782"/>
      <c r="K6" s="783"/>
    </row>
    <row r="7" spans="1:13" s="779" customFormat="1" ht="15" customHeight="1">
      <c r="E7" s="784"/>
      <c r="F7" s="782"/>
      <c r="K7" s="785"/>
    </row>
    <row r="8" spans="1:13" s="779" customFormat="1" ht="15" customHeight="1">
      <c r="A8" s="786"/>
      <c r="B8" s="2605" t="s">
        <v>2595</v>
      </c>
      <c r="C8" s="2606"/>
      <c r="D8" s="2606"/>
      <c r="E8" s="2607"/>
      <c r="G8" s="2582" t="s">
        <v>2596</v>
      </c>
      <c r="H8" s="2583"/>
      <c r="I8" s="2584"/>
      <c r="K8" s="785"/>
    </row>
    <row r="9" spans="1:13" ht="15" customHeight="1">
      <c r="A9" s="774"/>
      <c r="B9" s="2603" t="s">
        <v>2597</v>
      </c>
      <c r="C9" s="2603"/>
      <c r="D9" s="2603"/>
      <c r="E9" s="1078">
        <f>G33</f>
        <v>7662500</v>
      </c>
      <c r="G9" s="2595" t="s">
        <v>2598</v>
      </c>
      <c r="H9" s="2595"/>
      <c r="I9" s="1079">
        <f>SUMIF(Application!M554:M565,"Loan, Tax-Exempt",Application!AM554:AM565)</f>
        <v>51523983</v>
      </c>
      <c r="K9" s="787"/>
      <c r="M9" s="788"/>
    </row>
    <row r="10" spans="1:13" ht="15" customHeight="1" thickBot="1">
      <c r="A10" s="774"/>
      <c r="B10" s="2603" t="s">
        <v>2599</v>
      </c>
      <c r="C10" s="2603"/>
      <c r="D10" s="2603"/>
      <c r="E10" s="1079">
        <f>G47</f>
        <v>13757940.000000006</v>
      </c>
      <c r="G10" s="2609" t="s">
        <v>2600</v>
      </c>
      <c r="H10" s="2609"/>
      <c r="I10" s="858">
        <f>'Basis &amp; Credits'!AB78</f>
        <v>25600000</v>
      </c>
      <c r="M10" s="788"/>
    </row>
    <row r="11" spans="1:13" ht="15" customHeight="1">
      <c r="A11" s="774"/>
      <c r="B11" s="2596" t="s">
        <v>2601</v>
      </c>
      <c r="C11" s="2597"/>
      <c r="D11" s="2598"/>
      <c r="E11" s="1079">
        <f>SUM(E12,E13)</f>
        <v>280000</v>
      </c>
      <c r="G11" s="2594" t="s">
        <v>2602</v>
      </c>
      <c r="H11" s="2594"/>
      <c r="I11" s="857">
        <f>I9+I10</f>
        <v>77123983</v>
      </c>
      <c r="M11" s="788"/>
    </row>
    <row r="12" spans="1:13" ht="15" customHeight="1">
      <c r="A12" s="789"/>
      <c r="B12" s="2604" t="s">
        <v>2603</v>
      </c>
      <c r="C12" s="2604"/>
      <c r="D12" s="2604"/>
      <c r="E12" s="1080">
        <f>G56</f>
        <v>0</v>
      </c>
      <c r="M12" s="788"/>
    </row>
    <row r="13" spans="1:13" ht="15" customHeight="1">
      <c r="A13" s="777"/>
      <c r="B13" s="2604" t="s">
        <v>2604</v>
      </c>
      <c r="C13" s="2604"/>
      <c r="D13" s="2604"/>
      <c r="E13" s="1080">
        <f>G65</f>
        <v>280000</v>
      </c>
      <c r="G13" s="2582" t="s">
        <v>2605</v>
      </c>
      <c r="H13" s="2583"/>
      <c r="I13" s="2584"/>
      <c r="M13" s="788"/>
    </row>
    <row r="14" spans="1:13" ht="15" customHeight="1">
      <c r="A14" s="777"/>
      <c r="B14" s="2596" t="s">
        <v>2606</v>
      </c>
      <c r="C14" s="2597"/>
      <c r="D14" s="2598"/>
      <c r="E14" s="1081">
        <f>MAX(E15,E16)+E17</f>
        <v>14558750</v>
      </c>
      <c r="G14" s="2595" t="s">
        <v>1789</v>
      </c>
      <c r="H14" s="2595"/>
      <c r="I14" s="1082">
        <f>15%*(AND(G120="Yes",G122&lt;&gt;""))</f>
        <v>0.15</v>
      </c>
      <c r="M14" s="788"/>
    </row>
    <row r="15" spans="1:13" ht="15" customHeight="1">
      <c r="A15" s="777"/>
      <c r="B15" s="2579" t="s">
        <v>2607</v>
      </c>
      <c r="C15" s="2580"/>
      <c r="D15" s="2581"/>
      <c r="E15" s="1080">
        <f>G80</f>
        <v>4597500</v>
      </c>
      <c r="G15" s="1222" t="s">
        <v>1913</v>
      </c>
      <c r="H15" s="1222"/>
      <c r="I15" s="1082">
        <f>IF(Application!AJ1032&gt;0,10%,IF(Application!AJ1036&gt;0,5%,0))</f>
        <v>0</v>
      </c>
      <c r="M15" s="788"/>
    </row>
    <row r="16" spans="1:13" ht="15" customHeight="1">
      <c r="A16" s="777"/>
      <c r="B16" s="2579" t="s">
        <v>2608</v>
      </c>
      <c r="C16" s="2580"/>
      <c r="D16" s="2581"/>
      <c r="E16" s="1080">
        <f>G90</f>
        <v>0</v>
      </c>
      <c r="G16" s="2595" t="s">
        <v>2609</v>
      </c>
      <c r="H16" s="2595"/>
      <c r="I16" s="1082">
        <f>G132</f>
        <v>6.0866013071895424E-2</v>
      </c>
    </row>
    <row r="17" spans="1:21" ht="15" customHeight="1" thickBot="1">
      <c r="A17" s="777"/>
      <c r="B17" s="2579" t="s">
        <v>2610</v>
      </c>
      <c r="C17" s="2580"/>
      <c r="D17" s="2581"/>
      <c r="E17" s="1080">
        <f>G115</f>
        <v>9961250</v>
      </c>
      <c r="G17" s="2595" t="s">
        <v>2611</v>
      </c>
      <c r="H17" s="2595"/>
      <c r="I17" s="1082">
        <f>IF(AND(G139="Yes",OR(G136,G137)),IF(G143&gt;15%,15%,G143),0)</f>
        <v>0</v>
      </c>
    </row>
    <row r="18" spans="1:21" ht="15" customHeight="1">
      <c r="A18" s="774"/>
      <c r="B18" s="2608" t="s">
        <v>2612</v>
      </c>
      <c r="C18" s="2608"/>
      <c r="D18" s="2608"/>
      <c r="E18" s="830">
        <f>SUM(E9:E11,E14)</f>
        <v>36259190.000000007</v>
      </c>
      <c r="G18" s="856" t="s">
        <v>2613</v>
      </c>
      <c r="H18" s="856"/>
      <c r="I18" s="831">
        <f>I11-((I11*I14)+(I11*I15)+(I11*I16)+(I11*I17))</f>
        <v>60861156.192565359</v>
      </c>
      <c r="M18" s="790">
        <f>SUM(Cdlac[Quantity])</f>
        <v>127</v>
      </c>
      <c r="O18" s="804" t="s">
        <v>931</v>
      </c>
      <c r="P18" s="772">
        <f>MATCH(Application!T189,Application!CB160:CB217,0)</f>
        <v>19</v>
      </c>
      <c r="T18" s="790">
        <f>SUM(Cdlac[Population])</f>
        <v>0</v>
      </c>
    </row>
    <row r="19" spans="1:21" ht="15" customHeight="1">
      <c r="A19" s="774"/>
      <c r="B19" s="774"/>
      <c r="C19" s="774"/>
      <c r="D19" s="774"/>
      <c r="E19" s="774"/>
      <c r="L19" s="772" t="s">
        <v>2614</v>
      </c>
      <c r="M19" s="772" t="s">
        <v>2615</v>
      </c>
      <c r="N19" s="772" t="s">
        <v>2616</v>
      </c>
      <c r="O19" s="772" t="s">
        <v>2617</v>
      </c>
      <c r="P19" s="772" t="s">
        <v>2618</v>
      </c>
      <c r="Q19" s="772" t="s">
        <v>2619</v>
      </c>
      <c r="R19" s="772" t="s">
        <v>2620</v>
      </c>
      <c r="S19" s="772" t="s">
        <v>2621</v>
      </c>
      <c r="T19" s="772" t="s">
        <v>2622</v>
      </c>
      <c r="U19" s="772" t="s">
        <v>994</v>
      </c>
    </row>
    <row r="20" spans="1:21" ht="15" customHeight="1">
      <c r="B20" s="791" t="str">
        <f>B9</f>
        <v>A. Unit Production Benefit</v>
      </c>
      <c r="C20" s="792"/>
      <c r="D20" s="792"/>
      <c r="E20" s="792"/>
      <c r="F20" s="792"/>
      <c r="G20" s="792"/>
      <c r="H20" s="792"/>
      <c r="I20" s="793"/>
      <c r="L20" s="772">
        <f>IFERROR(MIN(4,MATCH(Application!B718,UnitSizes,0)-1),"")</f>
        <v>1</v>
      </c>
      <c r="M20" s="790">
        <f>Application!G718</f>
        <v>22</v>
      </c>
      <c r="N20" s="796">
        <f>Application!AC718</f>
        <v>0.7</v>
      </c>
      <c r="O20" s="796">
        <f>IF(Cdlac[[#This Row],[Quantity]]&gt;0,IF(Cdlac[[#This Row],[Federal]],30%,IF(AND(OR(NOT($G$38),$G$38=""),$G$43),40%,Cdlac[[#This Row],[iAMI]])),"")</f>
        <v>0.7</v>
      </c>
      <c r="P20" s="790" cm="1">
        <f t="array" ref="P20">IF(Cdlac[[#This Row],[Quantity]]&gt;0,INDEX(TcacRents,$P$18,Cdlac[[#This Row],[Bedrooms]]+1)*Cdlac[[#This Row],[AMI]],"")</f>
        <v>1987.9999999999998</v>
      </c>
      <c r="Q20" s="878"/>
      <c r="R20" s="790" cm="1">
        <f t="array" ref="R20">IF(Cdlac[[#This Row],[Quantity]]&gt;0,INDEX(HudFmrs,$P$18,Cdlac[[#This Row],[Bedrooms]]+1),"")</f>
        <v>2081</v>
      </c>
      <c r="S20" s="790">
        <f>IF(Cdlac[[#This Row],[Quantity]]&gt;0,MAX(0,Cdlac[[#This Row],[Fair Market Rent]]-IF(AND($G$37,$G$38,$G$38&lt;&gt;"",NOT(Cdlac[[#This Row],[Federal]]),Cdlac[[#This Row],[Preservation Rent]]&lt;&gt;""),Cdlac[[#This Row],[Preservation Rent]],Cdlac[[#This Row],[Restricted Rent]])),"")</f>
        <v>93.000000000000227</v>
      </c>
      <c r="T20" s="772">
        <f>IF(Cdlac[[#This Row],[Quantity]]&gt;0,AND(Application!AK718&lt;&gt;"N/A",Application!AK718&lt;&gt;"")*Cdlac[[#This Row],[Quantity]],"")</f>
        <v>0</v>
      </c>
      <c r="U20" s="772" t="b">
        <f>AND('Subsidy Contract Calculation'!F4&gt;0,OR('Subsidy Contract Calculation'!C4="Federal",'Subsidy Contract Calculation'!C4="Local - Approved by ED"),Cdlac[[#This Row],[Quantity]]&gt;0)</f>
        <v>0</v>
      </c>
    </row>
    <row r="21" spans="1:21" ht="15" customHeight="1">
      <c r="A21" s="774"/>
      <c r="B21" s="774"/>
      <c r="I21" s="794"/>
      <c r="L21" s="772">
        <f>IFERROR(MIN(4,MATCH(Application!B719,UnitSizes,0)-1),"")</f>
        <v>1</v>
      </c>
      <c r="M21" s="790">
        <f>Application!G719</f>
        <v>23</v>
      </c>
      <c r="N21" s="796">
        <f>Application!AC719</f>
        <v>0.6</v>
      </c>
      <c r="O21" s="796">
        <f>IF(Cdlac[[#This Row],[Quantity]]&gt;0,IF(Cdlac[[#This Row],[Federal]],30%,IF(AND(OR(NOT($G$38),$G$38=""),$G$43),40%,Cdlac[[#This Row],[iAMI]])),"")</f>
        <v>0.6</v>
      </c>
      <c r="P21" s="790" cm="1">
        <f t="array" ref="P21">IF(Cdlac[[#This Row],[Quantity]]&gt;0,INDEX(TcacRents,$P$18,Cdlac[[#This Row],[Bedrooms]]+1)*Cdlac[[#This Row],[AMI]],"")</f>
        <v>1704</v>
      </c>
      <c r="Q21" s="878"/>
      <c r="R21" s="790" cm="1">
        <f t="array" ref="R21">IF(Cdlac[[#This Row],[Quantity]]&gt;0,INDEX(HudFmrs,$P$18,Cdlac[[#This Row],[Bedrooms]]+1),"")</f>
        <v>2081</v>
      </c>
      <c r="S21" s="790">
        <f>IF(Cdlac[[#This Row],[Quantity]]&gt;0,MAX(0,Cdlac[[#This Row],[Fair Market Rent]]-IF(AND($G$37,$G$38,$G$38&lt;&gt;"",NOT(Cdlac[[#This Row],[Federal]]),Cdlac[[#This Row],[Preservation Rent]]&lt;&gt;""),Cdlac[[#This Row],[Preservation Rent]],Cdlac[[#This Row],[Restricted Rent]])),"")</f>
        <v>377</v>
      </c>
      <c r="T21" s="772">
        <f>IF(Cdlac[[#This Row],[Quantity]]&gt;0,AND(Application!AK719&lt;&gt;"N/A",Application!AK719&lt;&gt;"")*Cdlac[[#This Row],[Quantity]],"")</f>
        <v>0</v>
      </c>
      <c r="U21" s="772" t="b">
        <f>AND('Subsidy Contract Calculation'!F5&gt;0,OR('Subsidy Contract Calculation'!C5="Federal",'Subsidy Contract Calculation'!C5="Local - Approved by ED"),Cdlac[[#This Row],[Quantity]]&gt;0)</f>
        <v>0</v>
      </c>
    </row>
    <row r="22" spans="1:21" ht="15" customHeight="1">
      <c r="A22" s="777"/>
      <c r="C22" s="2586" t="s">
        <v>2623</v>
      </c>
      <c r="D22" s="2586" t="s">
        <v>2624</v>
      </c>
      <c r="E22" s="2586" t="s">
        <v>2625</v>
      </c>
      <c r="F22" s="2586" t="s">
        <v>2626</v>
      </c>
      <c r="G22" s="2586" t="s">
        <v>2627</v>
      </c>
      <c r="H22" s="795"/>
      <c r="I22" s="794"/>
      <c r="L22" s="772">
        <f>IFERROR(MIN(4,MATCH(Application!B720,UnitSizes,0)-1),"")</f>
        <v>1</v>
      </c>
      <c r="M22" s="790">
        <f>Application!G720</f>
        <v>6</v>
      </c>
      <c r="N22" s="796">
        <f>Application!AC720</f>
        <v>0.5</v>
      </c>
      <c r="O22" s="796">
        <f>IF(Cdlac[[#This Row],[Quantity]]&gt;0,IF(Cdlac[[#This Row],[Federal]],30%,IF(AND(OR(NOT($G$38),$G$38=""),$G$43),40%,Cdlac[[#This Row],[iAMI]])),"")</f>
        <v>0.5</v>
      </c>
      <c r="P22" s="790" cm="1">
        <f t="array" ref="P22">IF(Cdlac[[#This Row],[Quantity]]&gt;0,INDEX(TcacRents,$P$18,Cdlac[[#This Row],[Bedrooms]]+1)*Cdlac[[#This Row],[AMI]],"")</f>
        <v>1420</v>
      </c>
      <c r="Q22" s="878"/>
      <c r="R22" s="790" cm="1">
        <f t="array" ref="R22">IF(Cdlac[[#This Row],[Quantity]]&gt;0,INDEX(HudFmrs,$P$18,Cdlac[[#This Row],[Bedrooms]]+1),"")</f>
        <v>2081</v>
      </c>
      <c r="S22" s="790">
        <f>IF(Cdlac[[#This Row],[Quantity]]&gt;0,MAX(0,Cdlac[[#This Row],[Fair Market Rent]]-IF(AND($G$37,$G$38,$G$38&lt;&gt;"",NOT(Cdlac[[#This Row],[Federal]]),Cdlac[[#This Row],[Preservation Rent]]&lt;&gt;""),Cdlac[[#This Row],[Preservation Rent]],Cdlac[[#This Row],[Restricted Rent]])),"")</f>
        <v>661</v>
      </c>
      <c r="T22" s="772">
        <f>IF(Cdlac[[#This Row],[Quantity]]&gt;0,AND(Application!AK720&lt;&gt;"N/A",Application!AK720&lt;&gt;"")*Cdlac[[#This Row],[Quantity]],"")</f>
        <v>0</v>
      </c>
      <c r="U22" s="772" t="b">
        <f>AND('Subsidy Contract Calculation'!F6&gt;0,OR('Subsidy Contract Calculation'!C6="Federal",'Subsidy Contract Calculation'!C6="Local - Approved by ED"),Cdlac[[#This Row],[Quantity]]&gt;0)</f>
        <v>0</v>
      </c>
    </row>
    <row r="23" spans="1:21" ht="15" customHeight="1">
      <c r="A23" s="777"/>
      <c r="C23" s="2587"/>
      <c r="D23" s="2587"/>
      <c r="E23" s="2587"/>
      <c r="F23" s="2587"/>
      <c r="G23" s="2587"/>
      <c r="H23" s="795"/>
      <c r="I23" s="794"/>
      <c r="L23" s="772">
        <f>IFERROR(MIN(4,MATCH(Application!B721,UnitSizes,0)-1),"")</f>
        <v>1</v>
      </c>
      <c r="M23" s="790">
        <f>Application!G721</f>
        <v>6</v>
      </c>
      <c r="N23" s="796">
        <f>Application!AC721</f>
        <v>0.3</v>
      </c>
      <c r="O23" s="796">
        <f>IF(Cdlac[[#This Row],[Quantity]]&gt;0,IF(Cdlac[[#This Row],[Federal]],30%,IF(AND(OR(NOT($G$38),$G$38=""),$G$43),40%,Cdlac[[#This Row],[iAMI]])),"")</f>
        <v>0.3</v>
      </c>
      <c r="P23" s="790" cm="1">
        <f t="array" ref="P23">IF(Cdlac[[#This Row],[Quantity]]&gt;0,INDEX(TcacRents,$P$18,Cdlac[[#This Row],[Bedrooms]]+1)*Cdlac[[#This Row],[AMI]],"")</f>
        <v>852</v>
      </c>
      <c r="Q23" s="878"/>
      <c r="R23" s="790" cm="1">
        <f t="array" ref="R23">IF(Cdlac[[#This Row],[Quantity]]&gt;0,INDEX(HudFmrs,$P$18,Cdlac[[#This Row],[Bedrooms]]+1),"")</f>
        <v>2081</v>
      </c>
      <c r="S23" s="790">
        <f>IF(Cdlac[[#This Row],[Quantity]]&gt;0,MAX(0,Cdlac[[#This Row],[Fair Market Rent]]-IF(AND($G$37,$G$38,$G$38&lt;&gt;"",NOT(Cdlac[[#This Row],[Federal]]),Cdlac[[#This Row],[Preservation Rent]]&lt;&gt;""),Cdlac[[#This Row],[Preservation Rent]],Cdlac[[#This Row],[Restricted Rent]])),"")</f>
        <v>1229</v>
      </c>
      <c r="T23" s="772">
        <f>IF(Cdlac[[#This Row],[Quantity]]&gt;0,AND(Application!AK721&lt;&gt;"N/A",Application!AK721&lt;&gt;"")*Cdlac[[#This Row],[Quantity]],"")</f>
        <v>0</v>
      </c>
      <c r="U23" s="772" t="b">
        <f>AND('Subsidy Contract Calculation'!F7&gt;0,OR('Subsidy Contract Calculation'!C7="Federal",'Subsidy Contract Calculation'!C7="Local - Approved by ED"),Cdlac[[#This Row],[Quantity]]&gt;0)</f>
        <v>0</v>
      </c>
    </row>
    <row r="24" spans="1:21" ht="15" customHeight="1">
      <c r="C24" s="1083">
        <v>0</v>
      </c>
      <c r="D24" s="1084">
        <v>0.9</v>
      </c>
      <c r="E24" s="1083">
        <f>SUMIFS(Cdlac[Quantity],Cdlac[Bedrooms],C24)</f>
        <v>0</v>
      </c>
      <c r="F24" s="1083">
        <f>E24</f>
        <v>0</v>
      </c>
      <c r="G24" s="1083">
        <f>D24*F24</f>
        <v>0</v>
      </c>
      <c r="L24" s="772">
        <f>IFERROR(MIN(4,MATCH(Application!B722,UnitSizes,0)-1),"")</f>
        <v>2</v>
      </c>
      <c r="M24" s="790">
        <f>Application!G722</f>
        <v>16</v>
      </c>
      <c r="N24" s="796">
        <f>Application!AC722</f>
        <v>0.7</v>
      </c>
      <c r="O24" s="796">
        <f>IF(Cdlac[[#This Row],[Quantity]]&gt;0,IF(Cdlac[[#This Row],[Federal]],30%,IF(AND(OR(NOT($G$38),$G$38=""),$G$43),40%,Cdlac[[#This Row],[iAMI]])),"")</f>
        <v>0.7</v>
      </c>
      <c r="P24" s="790" cm="1">
        <f t="array" ref="P24">IF(Cdlac[[#This Row],[Quantity]]&gt;0,INDEX(TcacRents,$P$18,Cdlac[[#This Row],[Bedrooms]]+1)*Cdlac[[#This Row],[AMI]],"")</f>
        <v>2384.1999999999998</v>
      </c>
      <c r="Q24" s="878"/>
      <c r="R24" s="790" cm="1">
        <f t="array" ref="R24">IF(Cdlac[[#This Row],[Quantity]]&gt;0,INDEX(HudFmrs,$P$18,Cdlac[[#This Row],[Bedrooms]]+1),"")</f>
        <v>2625</v>
      </c>
      <c r="S24" s="790">
        <f>IF(Cdlac[[#This Row],[Quantity]]&gt;0,MAX(0,Cdlac[[#This Row],[Fair Market Rent]]-IF(AND($G$37,$G$38,$G$38&lt;&gt;"",NOT(Cdlac[[#This Row],[Federal]]),Cdlac[[#This Row],[Preservation Rent]]&lt;&gt;""),Cdlac[[#This Row],[Preservation Rent]],Cdlac[[#This Row],[Restricted Rent]])),"")</f>
        <v>240.80000000000018</v>
      </c>
      <c r="T24" s="772">
        <f>IF(Cdlac[[#This Row],[Quantity]]&gt;0,AND(Application!AK722&lt;&gt;"N/A",Application!AK722&lt;&gt;"")*Cdlac[[#This Row],[Quantity]],"")</f>
        <v>0</v>
      </c>
      <c r="U24" s="772" t="b">
        <f>AND('Subsidy Contract Calculation'!F8&gt;0,OR('Subsidy Contract Calculation'!C8="Federal",'Subsidy Contract Calculation'!C8="Local - Approved by ED"),Cdlac[[#This Row],[Quantity]]&gt;0)</f>
        <v>0</v>
      </c>
    </row>
    <row r="25" spans="1:21" ht="15" customHeight="1">
      <c r="C25" s="1083">
        <v>1</v>
      </c>
      <c r="D25" s="1084">
        <v>1</v>
      </c>
      <c r="E25" s="1083">
        <f>SUMIFS(Cdlac[Quantity],Cdlac[Bedrooms],C25)</f>
        <v>57</v>
      </c>
      <c r="F25" s="1083">
        <f>E25</f>
        <v>57</v>
      </c>
      <c r="G25" s="1083">
        <f>D25*F25</f>
        <v>57</v>
      </c>
      <c r="L25" s="772">
        <f>IFERROR(MIN(4,MATCH(Application!B723,UnitSizes,0)-1),"")</f>
        <v>2</v>
      </c>
      <c r="M25" s="790">
        <f>Application!G723</f>
        <v>11</v>
      </c>
      <c r="N25" s="796">
        <f>Application!AC723</f>
        <v>0.6</v>
      </c>
      <c r="O25" s="796">
        <f>IF(Cdlac[[#This Row],[Quantity]]&gt;0,IF(Cdlac[[#This Row],[Federal]],30%,IF(AND(OR(NOT($G$38),$G$38=""),$G$43),40%,Cdlac[[#This Row],[iAMI]])),"")</f>
        <v>0.6</v>
      </c>
      <c r="P25" s="790" cm="1">
        <f t="array" ref="P25">IF(Cdlac[[#This Row],[Quantity]]&gt;0,INDEX(TcacRents,$P$18,Cdlac[[#This Row],[Bedrooms]]+1)*Cdlac[[#This Row],[AMI]],"")</f>
        <v>2043.6</v>
      </c>
      <c r="Q25" s="878"/>
      <c r="R25" s="790" cm="1">
        <f t="array" ref="R25">IF(Cdlac[[#This Row],[Quantity]]&gt;0,INDEX(HudFmrs,$P$18,Cdlac[[#This Row],[Bedrooms]]+1),"")</f>
        <v>2625</v>
      </c>
      <c r="S25" s="790">
        <f>IF(Cdlac[[#This Row],[Quantity]]&gt;0,MAX(0,Cdlac[[#This Row],[Fair Market Rent]]-IF(AND($G$37,$G$38,$G$38&lt;&gt;"",NOT(Cdlac[[#This Row],[Federal]]),Cdlac[[#This Row],[Preservation Rent]]&lt;&gt;""),Cdlac[[#This Row],[Preservation Rent]],Cdlac[[#This Row],[Restricted Rent]])),"")</f>
        <v>581.40000000000009</v>
      </c>
      <c r="T25" s="772">
        <f>IF(Cdlac[[#This Row],[Quantity]]&gt;0,AND(Application!AK723&lt;&gt;"N/A",Application!AK723&lt;&gt;"")*Cdlac[[#This Row],[Quantity]],"")</f>
        <v>0</v>
      </c>
      <c r="U25" s="772" t="b">
        <f>AND('Subsidy Contract Calculation'!F9&gt;0,OR('Subsidy Contract Calculation'!C9="Federal",'Subsidy Contract Calculation'!C9="Local - Approved by ED"),Cdlac[[#This Row],[Quantity]]&gt;0)</f>
        <v>0</v>
      </c>
    </row>
    <row r="26" spans="1:21" ht="15" customHeight="1">
      <c r="A26" s="797"/>
      <c r="C26" s="1085">
        <v>2</v>
      </c>
      <c r="D26" s="1084">
        <v>1.25</v>
      </c>
      <c r="E26" s="1083">
        <f>SUMIFS(Cdlac[Quantity],Cdlac[Bedrooms],C26)</f>
        <v>35</v>
      </c>
      <c r="F26" s="1085">
        <f>SUM(E26:E28)-SUM(F27:F28)</f>
        <v>35</v>
      </c>
      <c r="G26" s="1083">
        <f>D26*F26</f>
        <v>43.75</v>
      </c>
      <c r="H26" s="797"/>
      <c r="I26" s="797"/>
      <c r="L26" s="772">
        <f>IFERROR(MIN(4,MATCH(Application!B724,UnitSizes,0)-1),"")</f>
        <v>2</v>
      </c>
      <c r="M26" s="790">
        <f>Application!G724</f>
        <v>4</v>
      </c>
      <c r="N26" s="796">
        <f>Application!AC724</f>
        <v>0.5</v>
      </c>
      <c r="O26" s="796">
        <f>IF(Cdlac[[#This Row],[Quantity]]&gt;0,IF(Cdlac[[#This Row],[Federal]],30%,IF(AND(OR(NOT($G$38),$G$38=""),$G$43),40%,Cdlac[[#This Row],[iAMI]])),"")</f>
        <v>0.5</v>
      </c>
      <c r="P26" s="790" cm="1">
        <f t="array" ref="P26">IF(Cdlac[[#This Row],[Quantity]]&gt;0,INDEX(TcacRents,$P$18,Cdlac[[#This Row],[Bedrooms]]+1)*Cdlac[[#This Row],[AMI]],"")</f>
        <v>1703</v>
      </c>
      <c r="Q26" s="878"/>
      <c r="R26" s="790" cm="1">
        <f t="array" ref="R26">IF(Cdlac[[#This Row],[Quantity]]&gt;0,INDEX(HudFmrs,$P$18,Cdlac[[#This Row],[Bedrooms]]+1),"")</f>
        <v>2625</v>
      </c>
      <c r="S26" s="790">
        <f>IF(Cdlac[[#This Row],[Quantity]]&gt;0,MAX(0,Cdlac[[#This Row],[Fair Market Rent]]-IF(AND($G$37,$G$38,$G$38&lt;&gt;"",NOT(Cdlac[[#This Row],[Federal]]),Cdlac[[#This Row],[Preservation Rent]]&lt;&gt;""),Cdlac[[#This Row],[Preservation Rent]],Cdlac[[#This Row],[Restricted Rent]])),"")</f>
        <v>922</v>
      </c>
      <c r="T26" s="772">
        <f>IF(Cdlac[[#This Row],[Quantity]]&gt;0,AND(Application!AK724&lt;&gt;"N/A",Application!AK724&lt;&gt;"")*Cdlac[[#This Row],[Quantity]],"")</f>
        <v>0</v>
      </c>
      <c r="U26" s="772" t="b">
        <f>AND('Subsidy Contract Calculation'!F10&gt;0,OR('Subsidy Contract Calculation'!C10="Federal",'Subsidy Contract Calculation'!C10="Local - Approved by ED"),Cdlac[[#This Row],[Quantity]]&gt;0)</f>
        <v>0</v>
      </c>
    </row>
    <row r="27" spans="1:21" ht="15" customHeight="1">
      <c r="A27" s="797"/>
      <c r="C27" s="1085">
        <v>3</v>
      </c>
      <c r="D27" s="1084">
        <f>1.5+0.25*0</f>
        <v>1.5</v>
      </c>
      <c r="E27" s="1083">
        <f>SUMIFS(Cdlac[Quantity],Cdlac[Bedrooms],C27)</f>
        <v>35</v>
      </c>
      <c r="F27" s="1085">
        <f>MIN(E27,ROUNDDOWN(E29*30%,0))</f>
        <v>35</v>
      </c>
      <c r="G27" s="1083">
        <f>D27*F27</f>
        <v>52.5</v>
      </c>
      <c r="H27" s="797"/>
      <c r="I27" s="797"/>
      <c r="L27" s="772">
        <f>IFERROR(MIN(4,MATCH(Application!B725,UnitSizes,0)-1),"")</f>
        <v>2</v>
      </c>
      <c r="M27" s="790">
        <f>Application!G725</f>
        <v>4</v>
      </c>
      <c r="N27" s="796">
        <f>Application!AC725</f>
        <v>0.3</v>
      </c>
      <c r="O27" s="796">
        <f>IF(Cdlac[[#This Row],[Quantity]]&gt;0,IF(Cdlac[[#This Row],[Federal]],30%,IF(AND(OR(NOT($G$38),$G$38=""),$G$43),40%,Cdlac[[#This Row],[iAMI]])),"")</f>
        <v>0.3</v>
      </c>
      <c r="P27" s="790" cm="1">
        <f t="array" ref="P27">IF(Cdlac[[#This Row],[Quantity]]&gt;0,INDEX(TcacRents,$P$18,Cdlac[[#This Row],[Bedrooms]]+1)*Cdlac[[#This Row],[AMI]],"")</f>
        <v>1021.8</v>
      </c>
      <c r="Q27" s="878"/>
      <c r="R27" s="790" cm="1">
        <f t="array" ref="R27">IF(Cdlac[[#This Row],[Quantity]]&gt;0,INDEX(HudFmrs,$P$18,Cdlac[[#This Row],[Bedrooms]]+1),"")</f>
        <v>2625</v>
      </c>
      <c r="S27" s="790">
        <f>IF(Cdlac[[#This Row],[Quantity]]&gt;0,MAX(0,Cdlac[[#This Row],[Fair Market Rent]]-IF(AND($G$37,$G$38,$G$38&lt;&gt;"",NOT(Cdlac[[#This Row],[Federal]]),Cdlac[[#This Row],[Preservation Rent]]&lt;&gt;""),Cdlac[[#This Row],[Preservation Rent]],Cdlac[[#This Row],[Restricted Rent]])),"")</f>
        <v>1603.2</v>
      </c>
      <c r="T27" s="772">
        <f>IF(Cdlac[[#This Row],[Quantity]]&gt;0,AND(Application!AK725&lt;&gt;"N/A",Application!AK725&lt;&gt;"")*Cdlac[[#This Row],[Quantity]],"")</f>
        <v>0</v>
      </c>
      <c r="U27" s="772" t="b">
        <f>AND('Subsidy Contract Calculation'!F11&gt;0,OR('Subsidy Contract Calculation'!C11="Federal",'Subsidy Contract Calculation'!C11="Local - Approved by ED"),Cdlac[[#This Row],[Quantity]]&gt;0)</f>
        <v>0</v>
      </c>
    </row>
    <row r="28" spans="1:21" ht="15" customHeight="1" thickBot="1">
      <c r="A28" s="797"/>
      <c r="C28" s="805">
        <v>4</v>
      </c>
      <c r="D28" s="806">
        <f>1.75+0.25*0</f>
        <v>1.75</v>
      </c>
      <c r="E28" s="807">
        <f>SUMIFS(Cdlac[Quantity],Cdlac[Bedrooms],C28)</f>
        <v>0</v>
      </c>
      <c r="F28" s="805">
        <f>MIN(E28,ROUNDDOWN(E29*10%,0))</f>
        <v>0</v>
      </c>
      <c r="G28" s="807">
        <f>D28*F28</f>
        <v>0</v>
      </c>
      <c r="H28" s="797"/>
      <c r="I28" s="797"/>
      <c r="L28" s="772">
        <f>IFERROR(MIN(4,MATCH(Application!B726,UnitSizes,0)-1),"")</f>
        <v>3</v>
      </c>
      <c r="M28" s="790">
        <f>Application!G726</f>
        <v>16</v>
      </c>
      <c r="N28" s="796">
        <f>Application!AC726</f>
        <v>0.7</v>
      </c>
      <c r="O28" s="796">
        <f>IF(Cdlac[[#This Row],[Quantity]]&gt;0,IF(Cdlac[[#This Row],[Federal]],30%,IF(AND(OR(NOT($G$38),$G$38=""),$G$43),40%,Cdlac[[#This Row],[iAMI]])),"")</f>
        <v>0.7</v>
      </c>
      <c r="P28" s="790" cm="1">
        <f t="array" ref="P28">IF(Cdlac[[#This Row],[Quantity]]&gt;0,INDEX(TcacRents,$P$18,Cdlac[[#This Row],[Bedrooms]]+1)*Cdlac[[#This Row],[AMI]],"")</f>
        <v>2756.6</v>
      </c>
      <c r="Q28" s="878"/>
      <c r="R28" s="790" cm="1">
        <f t="array" ref="R28">IF(Cdlac[[#This Row],[Quantity]]&gt;0,INDEX(HudFmrs,$P$18,Cdlac[[#This Row],[Bedrooms]]+1),"")</f>
        <v>3335</v>
      </c>
      <c r="S28" s="790">
        <f>IF(Cdlac[[#This Row],[Quantity]]&gt;0,MAX(0,Cdlac[[#This Row],[Fair Market Rent]]-IF(AND($G$37,$G$38,$G$38&lt;&gt;"",NOT(Cdlac[[#This Row],[Federal]]),Cdlac[[#This Row],[Preservation Rent]]&lt;&gt;""),Cdlac[[#This Row],[Preservation Rent]],Cdlac[[#This Row],[Restricted Rent]])),"")</f>
        <v>578.40000000000009</v>
      </c>
      <c r="T28" s="772">
        <f>IF(Cdlac[[#This Row],[Quantity]]&gt;0,AND(Application!AK726&lt;&gt;"N/A",Application!AK726&lt;&gt;"")*Cdlac[[#This Row],[Quantity]],"")</f>
        <v>0</v>
      </c>
      <c r="U28" s="772" t="b">
        <f>AND('Subsidy Contract Calculation'!F12&gt;0,OR('Subsidy Contract Calculation'!C12="Federal",'Subsidy Contract Calculation'!C12="Local - Approved by ED"),Cdlac[[#This Row],[Quantity]]&gt;0)</f>
        <v>0</v>
      </c>
    </row>
    <row r="29" spans="1:21" ht="15" customHeight="1">
      <c r="A29" s="797"/>
      <c r="C29" s="2588" t="s">
        <v>1930</v>
      </c>
      <c r="D29" s="2589"/>
      <c r="E29" s="808">
        <f>SUM(E24:E28)</f>
        <v>127</v>
      </c>
      <c r="F29" s="808">
        <f>SUM(F24:F28)</f>
        <v>127</v>
      </c>
      <c r="G29" s="809">
        <f>SUMPRODUCT(D24:D28,F24:F28)</f>
        <v>153.25</v>
      </c>
      <c r="H29" s="797"/>
      <c r="I29" s="797"/>
      <c r="L29" s="772">
        <f>IFERROR(MIN(4,MATCH(Application!B727,UnitSizes,0)-1),"")</f>
        <v>3</v>
      </c>
      <c r="M29" s="790">
        <f>Application!G727</f>
        <v>11</v>
      </c>
      <c r="N29" s="796">
        <f>Application!AC727</f>
        <v>0.6</v>
      </c>
      <c r="O29" s="796">
        <f>IF(Cdlac[[#This Row],[Quantity]]&gt;0,IF(Cdlac[[#This Row],[Federal]],30%,IF(AND(OR(NOT($G$38),$G$38=""),$G$43),40%,Cdlac[[#This Row],[iAMI]])),"")</f>
        <v>0.6</v>
      </c>
      <c r="P29" s="790" cm="1">
        <f t="array" ref="P29">IF(Cdlac[[#This Row],[Quantity]]&gt;0,INDEX(TcacRents,$P$18,Cdlac[[#This Row],[Bedrooms]]+1)*Cdlac[[#This Row],[AMI]],"")</f>
        <v>2362.7999999999997</v>
      </c>
      <c r="Q29" s="878"/>
      <c r="R29" s="790" cm="1">
        <f t="array" ref="R29">IF(Cdlac[[#This Row],[Quantity]]&gt;0,INDEX(HudFmrs,$P$18,Cdlac[[#This Row],[Bedrooms]]+1),"")</f>
        <v>3335</v>
      </c>
      <c r="S29" s="790">
        <f>IF(Cdlac[[#This Row],[Quantity]]&gt;0,MAX(0,Cdlac[[#This Row],[Fair Market Rent]]-IF(AND($G$37,$G$38,$G$38&lt;&gt;"",NOT(Cdlac[[#This Row],[Federal]]),Cdlac[[#This Row],[Preservation Rent]]&lt;&gt;""),Cdlac[[#This Row],[Preservation Rent]],Cdlac[[#This Row],[Restricted Rent]])),"")</f>
        <v>972.20000000000027</v>
      </c>
      <c r="T29" s="772">
        <f>IF(Cdlac[[#This Row],[Quantity]]&gt;0,AND(Application!AK727&lt;&gt;"N/A",Application!AK727&lt;&gt;"")*Cdlac[[#This Row],[Quantity]],"")</f>
        <v>0</v>
      </c>
      <c r="U29" s="772" t="b">
        <f>AND('Subsidy Contract Calculation'!F13&gt;0,OR('Subsidy Contract Calculation'!C13="Federal",'Subsidy Contract Calculation'!C13="Local - Approved by ED"),Cdlac[[#This Row],[Quantity]]&gt;0)</f>
        <v>0</v>
      </c>
    </row>
    <row r="30" spans="1:21" ht="15" customHeight="1">
      <c r="A30" s="797"/>
      <c r="C30" s="797"/>
      <c r="D30" s="797"/>
      <c r="E30" s="797"/>
      <c r="F30" s="797"/>
      <c r="G30" s="797"/>
      <c r="H30" s="797"/>
      <c r="I30" s="797"/>
      <c r="L30" s="772">
        <f>IFERROR(MIN(4,MATCH(Application!B728,UnitSizes,0)-1),"")</f>
        <v>3</v>
      </c>
      <c r="M30" s="790">
        <f>Application!G728</f>
        <v>4</v>
      </c>
      <c r="N30" s="796">
        <f>Application!AC728</f>
        <v>0.5</v>
      </c>
      <c r="O30" s="796">
        <f>IF(Cdlac[[#This Row],[Quantity]]&gt;0,IF(Cdlac[[#This Row],[Federal]],30%,IF(AND(OR(NOT($G$38),$G$38=""),$G$43),40%,Cdlac[[#This Row],[iAMI]])),"")</f>
        <v>0.5</v>
      </c>
      <c r="P30" s="790" cm="1">
        <f t="array" ref="P30">IF(Cdlac[[#This Row],[Quantity]]&gt;0,INDEX(TcacRents,$P$18,Cdlac[[#This Row],[Bedrooms]]+1)*Cdlac[[#This Row],[AMI]],"")</f>
        <v>1969</v>
      </c>
      <c r="Q30" s="878"/>
      <c r="R30" s="790" cm="1">
        <f t="array" ref="R30">IF(Cdlac[[#This Row],[Quantity]]&gt;0,INDEX(HudFmrs,$P$18,Cdlac[[#This Row],[Bedrooms]]+1),"")</f>
        <v>3335</v>
      </c>
      <c r="S30" s="790">
        <f>IF(Cdlac[[#This Row],[Quantity]]&gt;0,MAX(0,Cdlac[[#This Row],[Fair Market Rent]]-IF(AND($G$37,$G$38,$G$38&lt;&gt;"",NOT(Cdlac[[#This Row],[Federal]]),Cdlac[[#This Row],[Preservation Rent]]&lt;&gt;""),Cdlac[[#This Row],[Preservation Rent]],Cdlac[[#This Row],[Restricted Rent]])),"")</f>
        <v>1366</v>
      </c>
      <c r="T30" s="772">
        <f>IF(Cdlac[[#This Row],[Quantity]]&gt;0,AND(Application!AK728&lt;&gt;"N/A",Application!AK728&lt;&gt;"")*Cdlac[[#This Row],[Quantity]],"")</f>
        <v>0</v>
      </c>
      <c r="U30" s="772" t="b">
        <f>AND('Subsidy Contract Calculation'!F14&gt;0,OR('Subsidy Contract Calculation'!C14="Federal",'Subsidy Contract Calculation'!C14="Local - Approved by ED"),Cdlac[[#This Row],[Quantity]]&gt;0)</f>
        <v>0</v>
      </c>
    </row>
    <row r="31" spans="1:21" ht="15" customHeight="1">
      <c r="A31" s="797"/>
      <c r="E31" s="836" t="s">
        <v>2627</v>
      </c>
      <c r="G31" s="833">
        <f>G29</f>
        <v>153.25</v>
      </c>
      <c r="H31" s="797"/>
      <c r="I31" s="797"/>
      <c r="L31" s="772">
        <f>IFERROR(MIN(4,MATCH(Application!B729,UnitSizes,0)-1),"")</f>
        <v>3</v>
      </c>
      <c r="M31" s="790">
        <f>Application!G729</f>
        <v>4</v>
      </c>
      <c r="N31" s="796">
        <f>Application!AC729</f>
        <v>0.3</v>
      </c>
      <c r="O31" s="796">
        <f>IF(Cdlac[[#This Row],[Quantity]]&gt;0,IF(Cdlac[[#This Row],[Federal]],30%,IF(AND(OR(NOT($G$38),$G$38=""),$G$43),40%,Cdlac[[#This Row],[iAMI]])),"")</f>
        <v>0.3</v>
      </c>
      <c r="P31" s="790" cm="1">
        <f t="array" ref="P31">IF(Cdlac[[#This Row],[Quantity]]&gt;0,INDEX(TcacRents,$P$18,Cdlac[[#This Row],[Bedrooms]]+1)*Cdlac[[#This Row],[AMI]],"")</f>
        <v>1181.3999999999999</v>
      </c>
      <c r="Q31" s="878"/>
      <c r="R31" s="790" cm="1">
        <f t="array" ref="R31">IF(Cdlac[[#This Row],[Quantity]]&gt;0,INDEX(HudFmrs,$P$18,Cdlac[[#This Row],[Bedrooms]]+1),"")</f>
        <v>3335</v>
      </c>
      <c r="S31" s="790">
        <f>IF(Cdlac[[#This Row],[Quantity]]&gt;0,MAX(0,Cdlac[[#This Row],[Fair Market Rent]]-IF(AND($G$37,$G$38,$G$38&lt;&gt;"",NOT(Cdlac[[#This Row],[Federal]]),Cdlac[[#This Row],[Preservation Rent]]&lt;&gt;""),Cdlac[[#This Row],[Preservation Rent]],Cdlac[[#This Row],[Restricted Rent]])),"")</f>
        <v>2153.6000000000004</v>
      </c>
      <c r="T31" s="772">
        <f>IF(Cdlac[[#This Row],[Quantity]]&gt;0,AND(Application!AK729&lt;&gt;"N/A",Application!AK729&lt;&gt;"")*Cdlac[[#This Row],[Quantity]],"")</f>
        <v>0</v>
      </c>
      <c r="U31" s="772" t="b">
        <f>AND('Subsidy Contract Calculation'!F15&gt;0,OR('Subsidy Contract Calculation'!C15="Federal",'Subsidy Contract Calculation'!C15="Local - Approved by ED"),Cdlac[[#This Row],[Quantity]]&gt;0)</f>
        <v>0</v>
      </c>
    </row>
    <row r="32" spans="1:21" ht="15" customHeight="1">
      <c r="A32" s="797"/>
      <c r="E32" s="836" t="s">
        <v>2628</v>
      </c>
      <c r="F32" s="832" t="s">
        <v>2629</v>
      </c>
      <c r="G32" s="834">
        <v>50000</v>
      </c>
      <c r="H32" s="797"/>
      <c r="I32" s="797"/>
      <c r="L32" s="772" t="str">
        <f>IFERROR(MIN(4,MATCH(Application!B730,UnitSizes,0)-1),"")</f>
        <v/>
      </c>
      <c r="M32" s="790">
        <f>Application!G730</f>
        <v>0</v>
      </c>
      <c r="N32" s="796">
        <f>Application!AC730</f>
        <v>0</v>
      </c>
      <c r="O32" s="796" t="str">
        <f>IF(Cdlac[[#This Row],[Quantity]]&gt;0,IF(Cdlac[[#This Row],[Federal]],30%,IF(AND(OR(NOT($G$38),$G$38=""),$G$43),40%,Cdlac[[#This Row],[iAMI]])),"")</f>
        <v/>
      </c>
      <c r="P32" s="790" t="str" cm="1">
        <f t="array" ref="P32">IF(Cdlac[[#This Row],[Quantity]]&gt;0,INDEX(TcacRents,$P$18,Cdlac[[#This Row],[Bedrooms]]+1)*Cdlac[[#This Row],[AMI]],"")</f>
        <v/>
      </c>
      <c r="Q32" s="878"/>
      <c r="R32" s="790" t="str" cm="1">
        <f t="array" ref="R32">IF(Cdlac[[#This Row],[Quantity]]&gt;0,INDEX(HudFmrs,$P$18,Cdlac[[#This Row],[Bedrooms]]+1),"")</f>
        <v/>
      </c>
      <c r="S32" s="790" t="str">
        <f>IF(Cdlac[[#This Row],[Quantity]]&gt;0,MAX(0,Cdlac[[#This Row],[Fair Market Rent]]-IF(AND($G$37,$G$38,$G$38&lt;&gt;"",NOT(Cdlac[[#This Row],[Federal]]),Cdlac[[#This Row],[Preservation Rent]]&lt;&gt;""),Cdlac[[#This Row],[Preservation Rent]],Cdlac[[#This Row],[Restricted Rent]])),"")</f>
        <v/>
      </c>
      <c r="T32" s="772" t="str">
        <f>IF(Cdlac[[#This Row],[Quantity]]&gt;0,AND(Application!AK730&lt;&gt;"N/A",Application!AK730&lt;&gt;"")*Cdlac[[#This Row],[Quantity]],"")</f>
        <v/>
      </c>
      <c r="U32" s="772" t="b">
        <f>AND('Subsidy Contract Calculation'!F16&gt;0,OR('Subsidy Contract Calculation'!C16="Federal",'Subsidy Contract Calculation'!C16="Local - Approved by ED"),Cdlac[[#This Row],[Quantity]]&gt;0)</f>
        <v>0</v>
      </c>
    </row>
    <row r="33" spans="1:21" ht="15" customHeight="1">
      <c r="A33" s="797"/>
      <c r="E33" s="837" t="s">
        <v>2630</v>
      </c>
      <c r="F33" s="774"/>
      <c r="G33" s="838">
        <f>G32*G31</f>
        <v>7662500</v>
      </c>
      <c r="H33" s="797"/>
      <c r="I33" s="797"/>
      <c r="L33" s="772" t="str">
        <f>IFERROR(MIN(4,MATCH(Application!B731,UnitSizes,0)-1),"")</f>
        <v/>
      </c>
      <c r="M33" s="790">
        <f>Application!G731</f>
        <v>0</v>
      </c>
      <c r="N33" s="796">
        <f>Application!AC731</f>
        <v>0</v>
      </c>
      <c r="O33" s="796" t="str">
        <f>IF(Cdlac[[#This Row],[Quantity]]&gt;0,IF(Cdlac[[#This Row],[Federal]],30%,IF(AND(OR(NOT($G$38),$G$38=""),$G$43),40%,Cdlac[[#This Row],[iAMI]])),"")</f>
        <v/>
      </c>
      <c r="P33" s="790" t="str" cm="1">
        <f t="array" ref="P33">IF(Cdlac[[#This Row],[Quantity]]&gt;0,INDEX(TcacRents,$P$18,Cdlac[[#This Row],[Bedrooms]]+1)*Cdlac[[#This Row],[AMI]],"")</f>
        <v/>
      </c>
      <c r="Q33" s="878"/>
      <c r="R33" s="790" t="str" cm="1">
        <f t="array" ref="R33">IF(Cdlac[[#This Row],[Quantity]]&gt;0,INDEX(HudFmrs,$P$18,Cdlac[[#This Row],[Bedrooms]]+1),"")</f>
        <v/>
      </c>
      <c r="S33" s="790" t="str">
        <f>IF(Cdlac[[#This Row],[Quantity]]&gt;0,MAX(0,Cdlac[[#This Row],[Fair Market Rent]]-IF(AND($G$37,$G$38,$G$38&lt;&gt;"",NOT(Cdlac[[#This Row],[Federal]]),Cdlac[[#This Row],[Preservation Rent]]&lt;&gt;""),Cdlac[[#This Row],[Preservation Rent]],Cdlac[[#This Row],[Restricted Rent]])),"")</f>
        <v/>
      </c>
      <c r="T33" s="772" t="str">
        <f>IF(Cdlac[[#This Row],[Quantity]]&gt;0,AND(Application!AK731&lt;&gt;"N/A",Application!AK731&lt;&gt;"")*Cdlac[[#This Row],[Quantity]],"")</f>
        <v/>
      </c>
      <c r="U33" s="772" t="b">
        <f>AND('Subsidy Contract Calculation'!F17&gt;0,OR('Subsidy Contract Calculation'!C17="Federal",'Subsidy Contract Calculation'!C17="Local - Approved by ED"),Cdlac[[#This Row],[Quantity]]&gt;0)</f>
        <v>0</v>
      </c>
    </row>
    <row r="34" spans="1:21" ht="15" customHeight="1">
      <c r="A34" s="797"/>
      <c r="B34" s="797"/>
      <c r="C34" s="797"/>
      <c r="D34" s="797"/>
      <c r="E34" s="797"/>
      <c r="F34" s="797"/>
      <c r="G34" s="797"/>
      <c r="H34" s="797"/>
      <c r="I34" s="797"/>
      <c r="L34" s="772" t="str">
        <f>IFERROR(MIN(4,MATCH(Application!B732,UnitSizes,0)-1),"")</f>
        <v/>
      </c>
      <c r="M34" s="790">
        <f>Application!G732</f>
        <v>0</v>
      </c>
      <c r="N34" s="796">
        <f>Application!AC732</f>
        <v>0</v>
      </c>
      <c r="O34" s="796" t="str">
        <f>IF(Cdlac[[#This Row],[Quantity]]&gt;0,IF(Cdlac[[#This Row],[Federal]],30%,IF(AND(OR(NOT($G$38),$G$38=""),$G$43),40%,Cdlac[[#This Row],[iAMI]])),"")</f>
        <v/>
      </c>
      <c r="P34" s="790" t="str" cm="1">
        <f t="array" ref="P34">IF(Cdlac[[#This Row],[Quantity]]&gt;0,INDEX(TcacRents,$P$18,Cdlac[[#This Row],[Bedrooms]]+1)*Cdlac[[#This Row],[AMI]],"")</f>
        <v/>
      </c>
      <c r="Q34" s="878"/>
      <c r="R34" s="790" t="str" cm="1">
        <f t="array" ref="R34">IF(Cdlac[[#This Row],[Quantity]]&gt;0,INDEX(HudFmrs,$P$18,Cdlac[[#This Row],[Bedrooms]]+1),"")</f>
        <v/>
      </c>
      <c r="S34" s="790" t="str">
        <f>IF(Cdlac[[#This Row],[Quantity]]&gt;0,MAX(0,Cdlac[[#This Row],[Fair Market Rent]]-IF(AND($G$37,$G$38,$G$38&lt;&gt;"",NOT(Cdlac[[#This Row],[Federal]]),Cdlac[[#This Row],[Preservation Rent]]&lt;&gt;""),Cdlac[[#This Row],[Preservation Rent]],Cdlac[[#This Row],[Restricted Rent]])),"")</f>
        <v/>
      </c>
      <c r="T34" s="772" t="str">
        <f>IF(Cdlac[[#This Row],[Quantity]]&gt;0,AND(Application!AK732&lt;&gt;"N/A",Application!AK732&lt;&gt;"")*Cdlac[[#This Row],[Quantity]],"")</f>
        <v/>
      </c>
      <c r="U34" s="772" t="b">
        <f>AND('Subsidy Contract Calculation'!F18&gt;0,OR('Subsidy Contract Calculation'!C18="Federal",'Subsidy Contract Calculation'!C18="Local - Approved by ED"),Cdlac[[#This Row],[Quantity]]&gt;0)</f>
        <v>0</v>
      </c>
    </row>
    <row r="35" spans="1:21" ht="15" customHeight="1">
      <c r="B35" s="791" t="str">
        <f>B10</f>
        <v>B. Rent Savings Benefit</v>
      </c>
      <c r="C35" s="792"/>
      <c r="D35" s="792"/>
      <c r="E35" s="792"/>
      <c r="F35" s="792"/>
      <c r="G35" s="792"/>
      <c r="H35" s="792"/>
      <c r="I35" s="793"/>
      <c r="L35" s="772" t="str">
        <f>IFERROR(MIN(4,MATCH(Application!B733,UnitSizes,0)-1),"")</f>
        <v/>
      </c>
      <c r="M35" s="790">
        <f>Application!G733</f>
        <v>0</v>
      </c>
      <c r="N35" s="796">
        <f>Application!AC733</f>
        <v>0</v>
      </c>
      <c r="O35" s="796" t="str">
        <f>IF(Cdlac[[#This Row],[Quantity]]&gt;0,IF(Cdlac[[#This Row],[Federal]],30%,IF(AND(OR(NOT($G$38),$G$38=""),$G$43),40%,Cdlac[[#This Row],[iAMI]])),"")</f>
        <v/>
      </c>
      <c r="P35" s="790" t="str" cm="1">
        <f t="array" ref="P35">IF(Cdlac[[#This Row],[Quantity]]&gt;0,INDEX(TcacRents,$P$18,Cdlac[[#This Row],[Bedrooms]]+1)*Cdlac[[#This Row],[AMI]],"")</f>
        <v/>
      </c>
      <c r="Q35" s="878"/>
      <c r="R35" s="790" t="str" cm="1">
        <f t="array" ref="R35">IF(Cdlac[[#This Row],[Quantity]]&gt;0,INDEX(HudFmrs,$P$18,Cdlac[[#This Row],[Bedrooms]]+1),"")</f>
        <v/>
      </c>
      <c r="S35" s="790" t="str">
        <f>IF(Cdlac[[#This Row],[Quantity]]&gt;0,MAX(0,Cdlac[[#This Row],[Fair Market Rent]]-IF(AND($G$37,$G$38,$G$38&lt;&gt;"",NOT(Cdlac[[#This Row],[Federal]]),Cdlac[[#This Row],[Preservation Rent]]&lt;&gt;""),Cdlac[[#This Row],[Preservation Rent]],Cdlac[[#This Row],[Restricted Rent]])),"")</f>
        <v/>
      </c>
      <c r="T35" s="772" t="str">
        <f>IF(Cdlac[[#This Row],[Quantity]]&gt;0,AND(Application!AK733&lt;&gt;"N/A",Application!AK733&lt;&gt;"")*Cdlac[[#This Row],[Quantity]],"")</f>
        <v/>
      </c>
      <c r="U35" s="772" t="b">
        <f>AND('Subsidy Contract Calculation'!F19&gt;0,OR('Subsidy Contract Calculation'!C19="Federal",'Subsidy Contract Calculation'!C19="Local - Approved by ED"),Cdlac[[#This Row],[Quantity]]&gt;0)</f>
        <v>0</v>
      </c>
    </row>
    <row r="36" spans="1:21" ht="15" customHeight="1">
      <c r="L36" s="772" t="str">
        <f>IFERROR(MIN(4,MATCH(Application!B734,UnitSizes,0)-1),"")</f>
        <v/>
      </c>
      <c r="M36" s="790">
        <f>Application!G734</f>
        <v>0</v>
      </c>
      <c r="N36" s="796">
        <f>Application!AC734</f>
        <v>0</v>
      </c>
      <c r="O36" s="796" t="str">
        <f>IF(Cdlac[[#This Row],[Quantity]]&gt;0,IF(Cdlac[[#This Row],[Federal]],30%,IF(AND(OR(NOT($G$38),$G$38=""),$G$43),40%,Cdlac[[#This Row],[iAMI]])),"")</f>
        <v/>
      </c>
      <c r="P36" s="790" t="str" cm="1">
        <f t="array" ref="P36">IF(Cdlac[[#This Row],[Quantity]]&gt;0,INDEX(TcacRents,$P$18,Cdlac[[#This Row],[Bedrooms]]+1)*Cdlac[[#This Row],[AMI]],"")</f>
        <v/>
      </c>
      <c r="Q36" s="878"/>
      <c r="R36" s="790" t="str" cm="1">
        <f t="array" ref="R36">IF(Cdlac[[#This Row],[Quantity]]&gt;0,INDEX(HudFmrs,$P$18,Cdlac[[#This Row],[Bedrooms]]+1),"")</f>
        <v/>
      </c>
      <c r="S36" s="790" t="str">
        <f>IF(Cdlac[[#This Row],[Quantity]]&gt;0,MAX(0,Cdlac[[#This Row],[Fair Market Rent]]-IF(AND($G$37,$G$38,$G$38&lt;&gt;"",NOT(Cdlac[[#This Row],[Federal]]),Cdlac[[#This Row],[Preservation Rent]]&lt;&gt;""),Cdlac[[#This Row],[Preservation Rent]],Cdlac[[#This Row],[Restricted Rent]])),"")</f>
        <v/>
      </c>
      <c r="T36" s="772" t="str">
        <f>IF(Cdlac[[#This Row],[Quantity]]&gt;0,AND(Application!AK734&lt;&gt;"N/A",Application!AK734&lt;&gt;"")*Cdlac[[#This Row],[Quantity]],"")</f>
        <v/>
      </c>
      <c r="U36" s="772" t="b">
        <f>AND('Subsidy Contract Calculation'!F20&gt;0,OR('Subsidy Contract Calculation'!C20="Federal",'Subsidy Contract Calculation'!C20="Local - Approved by ED"),Cdlac[[#This Row],[Quantity]]&gt;0)</f>
        <v>0</v>
      </c>
    </row>
    <row r="37" spans="1:21" ht="15" customHeight="1">
      <c r="E37" s="804" t="s">
        <v>2631</v>
      </c>
      <c r="G37" s="772" t="b">
        <f>OR('Points System'!B13="Yes",'Points System'!B16="Yes",'Points System'!B22="Yes",'Points System'!B25="Yes",'Points System'!B28="Yes",'Points System'!B33="Yes",'Points System'!B36="Yes",'Points System'!B40="Yes",'Points System'!B45="Yes")</f>
        <v>0</v>
      </c>
      <c r="L37" s="772" t="str">
        <f>IFERROR(MIN(4,MATCH(Application!B735,UnitSizes,0)-1),"")</f>
        <v/>
      </c>
      <c r="M37" s="790">
        <f>Application!G735</f>
        <v>0</v>
      </c>
      <c r="N37" s="796">
        <f>Application!AC735</f>
        <v>0</v>
      </c>
      <c r="O37" s="796" t="str">
        <f>IF(Cdlac[[#This Row],[Quantity]]&gt;0,IF(Cdlac[[#This Row],[Federal]],30%,IF(AND(OR(NOT($G$38),$G$38=""),$G$43),40%,Cdlac[[#This Row],[iAMI]])),"")</f>
        <v/>
      </c>
      <c r="P37" s="790" t="str" cm="1">
        <f t="array" ref="P37">IF(Cdlac[[#This Row],[Quantity]]&gt;0,INDEX(TcacRents,$P$18,Cdlac[[#This Row],[Bedrooms]]+1)*Cdlac[[#This Row],[AMI]],"")</f>
        <v/>
      </c>
      <c r="Q37" s="878"/>
      <c r="R37" s="790" t="str" cm="1">
        <f t="array" ref="R37">IF(Cdlac[[#This Row],[Quantity]]&gt;0,INDEX(HudFmrs,$P$18,Cdlac[[#This Row],[Bedrooms]]+1),"")</f>
        <v/>
      </c>
      <c r="S37" s="790" t="str">
        <f>IF(Cdlac[[#This Row],[Quantity]]&gt;0,MAX(0,Cdlac[[#This Row],[Fair Market Rent]]-IF(AND($G$37,$G$38,$G$38&lt;&gt;"",NOT(Cdlac[[#This Row],[Federal]]),Cdlac[[#This Row],[Preservation Rent]]&lt;&gt;""),Cdlac[[#This Row],[Preservation Rent]],Cdlac[[#This Row],[Restricted Rent]])),"")</f>
        <v/>
      </c>
      <c r="T37" s="772" t="str">
        <f>IF(Cdlac[[#This Row],[Quantity]]&gt;0,AND(Application!AK735&lt;&gt;"N/A",Application!AK735&lt;&gt;"")*Cdlac[[#This Row],[Quantity]],"")</f>
        <v/>
      </c>
      <c r="U37" s="772" t="b">
        <f>AND('Subsidy Contract Calculation'!F21&gt;0,OR('Subsidy Contract Calculation'!C21="Federal",'Subsidy Contract Calculation'!C21="Local - Approved by ED"),Cdlac[[#This Row],[Quantity]]&gt;0)</f>
        <v>0</v>
      </c>
    </row>
    <row r="38" spans="1:21" ht="15" customHeight="1">
      <c r="E38" s="804" t="s">
        <v>2632</v>
      </c>
      <c r="G38" s="877"/>
      <c r="L38" s="772" t="str">
        <f>IFERROR(MIN(4,MATCH(Application!B736,UnitSizes,0)-1),"")</f>
        <v/>
      </c>
      <c r="M38" s="790">
        <f>Application!G736</f>
        <v>0</v>
      </c>
      <c r="N38" s="796">
        <f>Application!AC736</f>
        <v>0</v>
      </c>
      <c r="O38" s="796" t="str">
        <f>IF(Cdlac[[#This Row],[Quantity]]&gt;0,IF(Cdlac[[#This Row],[Federal]],30%,IF(AND(OR(NOT($G$38),$G$38=""),$G$43),40%,Cdlac[[#This Row],[iAMI]])),"")</f>
        <v/>
      </c>
      <c r="P38" s="790" t="str" cm="1">
        <f t="array" ref="P38">IF(Cdlac[[#This Row],[Quantity]]&gt;0,INDEX(TcacRents,$P$18,Cdlac[[#This Row],[Bedrooms]]+1)*Cdlac[[#This Row],[AMI]],"")</f>
        <v/>
      </c>
      <c r="Q38" s="878"/>
      <c r="R38" s="790" t="str" cm="1">
        <f t="array" ref="R38">IF(Cdlac[[#This Row],[Quantity]]&gt;0,INDEX(HudFmrs,$P$18,Cdlac[[#This Row],[Bedrooms]]+1),"")</f>
        <v/>
      </c>
      <c r="S38" s="790" t="str">
        <f>IF(Cdlac[[#This Row],[Quantity]]&gt;0,MAX(0,Cdlac[[#This Row],[Fair Market Rent]]-IF(AND($G$37,$G$38,$G$38&lt;&gt;"",NOT(Cdlac[[#This Row],[Federal]]),Cdlac[[#This Row],[Preservation Rent]]&lt;&gt;""),Cdlac[[#This Row],[Preservation Rent]],Cdlac[[#This Row],[Restricted Rent]])),"")</f>
        <v/>
      </c>
      <c r="T38" s="772" t="str">
        <f>IF(Cdlac[[#This Row],[Quantity]]&gt;0,AND(Application!AK736&lt;&gt;"N/A",Application!AK736&lt;&gt;"")*Cdlac[[#This Row],[Quantity]],"")</f>
        <v/>
      </c>
      <c r="U38" s="772" t="b">
        <f>AND('Subsidy Contract Calculation'!F22&gt;0,OR('Subsidy Contract Calculation'!C22="Federal",'Subsidy Contract Calculation'!C22="Local - Approved by ED"),Cdlac[[#This Row],[Quantity]]&gt;0)</f>
        <v>0</v>
      </c>
    </row>
    <row r="39" spans="1:21" ht="15" customHeight="1">
      <c r="C39" s="2591" t="str">
        <f>IF(AND(G37,G38,G38&lt;&gt;""),"Enter the average rent charged for each unit type over the last three years, as documented with rent rolls or property audits, in cells Q20:Q44","")</f>
        <v/>
      </c>
      <c r="D39" s="2591"/>
      <c r="E39" s="2591"/>
      <c r="F39" s="2591"/>
      <c r="G39" s="2591"/>
      <c r="H39" s="2591"/>
      <c r="L39" s="772" t="str">
        <f>IFERROR(MIN(4,MATCH(Application!B737,UnitSizes,0)-1),"")</f>
        <v/>
      </c>
      <c r="M39" s="790">
        <f>Application!G737</f>
        <v>0</v>
      </c>
      <c r="N39" s="796">
        <f>Application!AC737</f>
        <v>0</v>
      </c>
      <c r="O39" s="796" t="str">
        <f>IF(Cdlac[[#This Row],[Quantity]]&gt;0,IF(Cdlac[[#This Row],[Federal]],30%,IF(AND(OR(NOT($G$38),$G$38=""),$G$43),40%,Cdlac[[#This Row],[iAMI]])),"")</f>
        <v/>
      </c>
      <c r="P39" s="790" t="str" cm="1">
        <f t="array" ref="P39">IF(Cdlac[[#This Row],[Quantity]]&gt;0,INDEX(TcacRents,$P$18,Cdlac[[#This Row],[Bedrooms]]+1)*Cdlac[[#This Row],[AMI]],"")</f>
        <v/>
      </c>
      <c r="Q39" s="878"/>
      <c r="R39" s="790" t="str" cm="1">
        <f t="array" ref="R39">IF(Cdlac[[#This Row],[Quantity]]&gt;0,INDEX(HudFmrs,$P$18,Cdlac[[#This Row],[Bedrooms]]+1),"")</f>
        <v/>
      </c>
      <c r="S39" s="790" t="str">
        <f>IF(Cdlac[[#This Row],[Quantity]]&gt;0,MAX(0,Cdlac[[#This Row],[Fair Market Rent]]-IF(AND($G$37,$G$38,$G$38&lt;&gt;"",NOT(Cdlac[[#This Row],[Federal]]),Cdlac[[#This Row],[Preservation Rent]]&lt;&gt;""),Cdlac[[#This Row],[Preservation Rent]],Cdlac[[#This Row],[Restricted Rent]])),"")</f>
        <v/>
      </c>
      <c r="T39" s="772" t="str">
        <f>IF(Cdlac[[#This Row],[Quantity]]&gt;0,AND(Application!AK737&lt;&gt;"N/A",Application!AK737&lt;&gt;"")*Cdlac[[#This Row],[Quantity]],"")</f>
        <v/>
      </c>
      <c r="U39" s="772" t="b">
        <f>AND('Subsidy Contract Calculation'!F23&gt;0,OR('Subsidy Contract Calculation'!C23="Federal",'Subsidy Contract Calculation'!C23="Local - Approved by ED"),Cdlac[[#This Row],[Quantity]]&gt;0)</f>
        <v>0</v>
      </c>
    </row>
    <row r="40" spans="1:21" ht="15" customHeight="1">
      <c r="C40" s="2591"/>
      <c r="D40" s="2591"/>
      <c r="E40" s="2591"/>
      <c r="F40" s="2591"/>
      <c r="G40" s="2591"/>
      <c r="H40" s="2591"/>
      <c r="L40" s="772" t="str">
        <f>IFERROR(MIN(4,MATCH(Application!B738,UnitSizes,0)-1),"")</f>
        <v/>
      </c>
      <c r="M40" s="790">
        <f>Application!G738</f>
        <v>0</v>
      </c>
      <c r="N40" s="796">
        <f>Application!AC738</f>
        <v>0</v>
      </c>
      <c r="O40" s="796" t="str">
        <f>IF(Cdlac[[#This Row],[Quantity]]&gt;0,IF(Cdlac[[#This Row],[Federal]],30%,IF(AND(OR(NOT($G$38),$G$38=""),$G$43),40%,Cdlac[[#This Row],[iAMI]])),"")</f>
        <v/>
      </c>
      <c r="P40" s="790" t="str" cm="1">
        <f t="array" ref="P40">IF(Cdlac[[#This Row],[Quantity]]&gt;0,INDEX(TcacRents,$P$18,Cdlac[[#This Row],[Bedrooms]]+1)*Cdlac[[#This Row],[AMI]],"")</f>
        <v/>
      </c>
      <c r="Q40" s="878"/>
      <c r="R40" s="790" t="str" cm="1">
        <f t="array" ref="R40">IF(Cdlac[[#This Row],[Quantity]]&gt;0,INDEX(HudFmrs,$P$18,Cdlac[[#This Row],[Bedrooms]]+1),"")</f>
        <v/>
      </c>
      <c r="S40" s="790" t="str">
        <f>IF(Cdlac[[#This Row],[Quantity]]&gt;0,MAX(0,Cdlac[[#This Row],[Fair Market Rent]]-IF(AND($G$37,$G$38,$G$38&lt;&gt;"",NOT(Cdlac[[#This Row],[Federal]]),Cdlac[[#This Row],[Preservation Rent]]&lt;&gt;""),Cdlac[[#This Row],[Preservation Rent]],Cdlac[[#This Row],[Restricted Rent]])),"")</f>
        <v/>
      </c>
      <c r="T40" s="772" t="str">
        <f>IF(Cdlac[[#This Row],[Quantity]]&gt;0,AND(Application!AK738&lt;&gt;"N/A",Application!AK738&lt;&gt;"")*Cdlac[[#This Row],[Quantity]],"")</f>
        <v/>
      </c>
      <c r="U40" s="772" t="b">
        <f>AND('Subsidy Contract Calculation'!F24&gt;0,OR('Subsidy Contract Calculation'!C24="Federal",'Subsidy Contract Calculation'!C24="Local - Approved by ED"),Cdlac[[#This Row],[Quantity]]&gt;0)</f>
        <v>0</v>
      </c>
    </row>
    <row r="41" spans="1:21" ht="15" customHeight="1">
      <c r="C41" s="2591"/>
      <c r="D41" s="2591"/>
      <c r="E41" s="2591"/>
      <c r="F41" s="2591"/>
      <c r="G41" s="2591"/>
      <c r="H41" s="2591"/>
      <c r="L41" s="772" t="str">
        <f>IFERROR(MIN(4,MATCH(Application!B739,UnitSizes,0)-1),"")</f>
        <v/>
      </c>
      <c r="M41" s="790">
        <f>Application!G739</f>
        <v>0</v>
      </c>
      <c r="N41" s="796">
        <f>Application!AC739</f>
        <v>0</v>
      </c>
      <c r="O41" s="796" t="str">
        <f>IF(Cdlac[[#This Row],[Quantity]]&gt;0,IF(Cdlac[[#This Row],[Federal]],30%,IF(AND(OR(NOT($G$38),$G$38=""),$G$43),40%,Cdlac[[#This Row],[iAMI]])),"")</f>
        <v/>
      </c>
      <c r="P41" s="790" t="str" cm="1">
        <f t="array" ref="P41">IF(Cdlac[[#This Row],[Quantity]]&gt;0,INDEX(TcacRents,$P$18,Cdlac[[#This Row],[Bedrooms]]+1)*Cdlac[[#This Row],[AMI]],"")</f>
        <v/>
      </c>
      <c r="Q41" s="878"/>
      <c r="R41" s="790" t="str" cm="1">
        <f t="array" ref="R41">IF(Cdlac[[#This Row],[Quantity]]&gt;0,INDEX(HudFmrs,$P$18,Cdlac[[#This Row],[Bedrooms]]+1),"")</f>
        <v/>
      </c>
      <c r="S41" s="790" t="str">
        <f>IF(Cdlac[[#This Row],[Quantity]]&gt;0,MAX(0,Cdlac[[#This Row],[Fair Market Rent]]-IF(AND($G$37,$G$38,$G$38&lt;&gt;"",NOT(Cdlac[[#This Row],[Federal]]),Cdlac[[#This Row],[Preservation Rent]]&lt;&gt;""),Cdlac[[#This Row],[Preservation Rent]],Cdlac[[#This Row],[Restricted Rent]])),"")</f>
        <v/>
      </c>
      <c r="T41" s="772" t="str">
        <f>IF(Cdlac[[#This Row],[Quantity]]&gt;0,AND(Application!AK739&lt;&gt;"N/A",Application!AK739&lt;&gt;"")*Cdlac[[#This Row],[Quantity]],"")</f>
        <v/>
      </c>
      <c r="U41" s="772" t="b">
        <f>AND('Subsidy Contract Calculation'!F25&gt;0,OR('Subsidy Contract Calculation'!C25="Federal",'Subsidy Contract Calculation'!C25="Local - Approved by ED"),Cdlac[[#This Row],[Quantity]]&gt;0)</f>
        <v>0</v>
      </c>
    </row>
    <row r="42" spans="1:21" ht="15" customHeight="1">
      <c r="E42" s="804" t="s">
        <v>2633</v>
      </c>
      <c r="G42" s="839" cm="1">
        <f t="array" ref="G42">SUMPRODUCT(Cdlac[Quantity],Cdlac[iAMI],IF(Cdlac[Federal],0,1))/SUMIFS(Cdlac[Quantity],Cdlac[Federal],FALSE)</f>
        <v>0.59842519685039364</v>
      </c>
      <c r="L42" s="772" t="str">
        <f>IFERROR(MIN(4,MATCH(Application!B740,UnitSizes,0)-1),"")</f>
        <v/>
      </c>
      <c r="M42" s="790">
        <f>Application!G740</f>
        <v>0</v>
      </c>
      <c r="N42" s="796">
        <f>Application!AC740</f>
        <v>0</v>
      </c>
      <c r="O42" s="796" t="str">
        <f>IF(Cdlac[[#This Row],[Quantity]]&gt;0,IF(Cdlac[[#This Row],[Federal]],30%,IF(AND(OR(NOT($G$38),$G$38=""),$G$43),40%,Cdlac[[#This Row],[iAMI]])),"")</f>
        <v/>
      </c>
      <c r="P42" s="790" t="str" cm="1">
        <f t="array" ref="P42">IF(Cdlac[[#This Row],[Quantity]]&gt;0,INDEX(TcacRents,$P$18,Cdlac[[#This Row],[Bedrooms]]+1)*Cdlac[[#This Row],[AMI]],"")</f>
        <v/>
      </c>
      <c r="Q42" s="878"/>
      <c r="R42" s="790" t="str" cm="1">
        <f t="array" ref="R42">IF(Cdlac[[#This Row],[Quantity]]&gt;0,INDEX(HudFmrs,$P$18,Cdlac[[#This Row],[Bedrooms]]+1),"")</f>
        <v/>
      </c>
      <c r="S42" s="790" t="str">
        <f>IF(Cdlac[[#This Row],[Quantity]]&gt;0,MAX(0,Cdlac[[#This Row],[Fair Market Rent]]-IF(AND($G$37,$G$38,$G$38&lt;&gt;"",NOT(Cdlac[[#This Row],[Federal]]),Cdlac[[#This Row],[Preservation Rent]]&lt;&gt;""),Cdlac[[#This Row],[Preservation Rent]],Cdlac[[#This Row],[Restricted Rent]])),"")</f>
        <v/>
      </c>
      <c r="T42" s="772" t="str">
        <f>IF(Cdlac[[#This Row],[Quantity]]&gt;0,AND(Application!AK740&lt;&gt;"N/A",Application!AK740&lt;&gt;"")*Cdlac[[#This Row],[Quantity]],"")</f>
        <v/>
      </c>
      <c r="U42" s="772" t="b">
        <f>AND('Subsidy Contract Calculation'!F26&gt;0,OR('Subsidy Contract Calculation'!C26="Federal",'Subsidy Contract Calculation'!C26="Local - Approved by ED"),Cdlac[[#This Row],[Quantity]]&gt;0)</f>
        <v>0</v>
      </c>
    </row>
    <row r="43" spans="1:21" ht="15" customHeight="1">
      <c r="E43" s="804" t="s">
        <v>2634</v>
      </c>
      <c r="G43" s="803" t="b">
        <f>G42&lt;40%</f>
        <v>0</v>
      </c>
      <c r="L43" s="772" t="str">
        <f>IFERROR(MIN(4,MATCH(Application!B741,UnitSizes,0)-1),"")</f>
        <v/>
      </c>
      <c r="M43" s="790">
        <f>Application!G741</f>
        <v>0</v>
      </c>
      <c r="N43" s="796">
        <f>Application!AC741</f>
        <v>0</v>
      </c>
      <c r="O43" s="796" t="str">
        <f>IF(Cdlac[[#This Row],[Quantity]]&gt;0,IF(Cdlac[[#This Row],[Federal]],30%,IF(AND(OR(NOT($G$38),$G$38=""),$G$43),40%,Cdlac[[#This Row],[iAMI]])),"")</f>
        <v/>
      </c>
      <c r="P43" s="790" t="str" cm="1">
        <f t="array" ref="P43">IF(Cdlac[[#This Row],[Quantity]]&gt;0,INDEX(TcacRents,$P$18,Cdlac[[#This Row],[Bedrooms]]+1)*Cdlac[[#This Row],[AMI]],"")</f>
        <v/>
      </c>
      <c r="Q43" s="878"/>
      <c r="R43" s="790" t="str" cm="1">
        <f t="array" ref="R43">IF(Cdlac[[#This Row],[Quantity]]&gt;0,INDEX(HudFmrs,$P$18,Cdlac[[#This Row],[Bedrooms]]+1),"")</f>
        <v/>
      </c>
      <c r="S43" s="790" t="str">
        <f>IF(Cdlac[[#This Row],[Quantity]]&gt;0,MAX(0,Cdlac[[#This Row],[Fair Market Rent]]-IF(AND($G$37,$G$38,$G$38&lt;&gt;"",NOT(Cdlac[[#This Row],[Federal]]),Cdlac[[#This Row],[Preservation Rent]]&lt;&gt;""),Cdlac[[#This Row],[Preservation Rent]],Cdlac[[#This Row],[Restricted Rent]])),"")</f>
        <v/>
      </c>
      <c r="T43" s="772" t="str">
        <f>IF(Cdlac[[#This Row],[Quantity]]&gt;0,AND(Application!AK741&lt;&gt;"N/A",Application!AK741&lt;&gt;"")*Cdlac[[#This Row],[Quantity]],"")</f>
        <v/>
      </c>
      <c r="U43" s="772" t="b">
        <f>AND('Subsidy Contract Calculation'!F27&gt;0,OR('Subsidy Contract Calculation'!C27="Federal",'Subsidy Contract Calculation'!C27="Local - Approved by ED"),Cdlac[[#This Row],[Quantity]]&gt;0)</f>
        <v>0</v>
      </c>
    </row>
    <row r="44" spans="1:21" ht="15" customHeight="1">
      <c r="L44" s="772" t="str">
        <f>IFERROR(MIN(4,MATCH(Application!B742,UnitSizes,0)-1),"")</f>
        <v/>
      </c>
      <c r="M44" s="790">
        <f>Application!G742</f>
        <v>0</v>
      </c>
      <c r="N44" s="796">
        <f>Application!AC742</f>
        <v>0</v>
      </c>
      <c r="O44" s="796" t="str">
        <f>IF(Cdlac[[#This Row],[Quantity]]&gt;0,IF(Cdlac[[#This Row],[Federal]],30%,IF(AND(OR(NOT($G$38),$G$38=""),$G$43),40%,Cdlac[[#This Row],[iAMI]])),"")</f>
        <v/>
      </c>
      <c r="P44" s="790" t="str" cm="1">
        <f t="array" ref="P44">IF(Cdlac[[#This Row],[Quantity]]&gt;0,INDEX(TcacRents,$P$18,Cdlac[[#This Row],[Bedrooms]]+1)*Cdlac[[#This Row],[AMI]],"")</f>
        <v/>
      </c>
      <c r="Q44" s="878"/>
      <c r="R44" s="790" t="str" cm="1">
        <f t="array" ref="R44">IF(Cdlac[[#This Row],[Quantity]]&gt;0,INDEX(HudFmrs,$P$18,Cdlac[[#This Row],[Bedrooms]]+1),"")</f>
        <v/>
      </c>
      <c r="S44" s="790" t="str">
        <f>IF(Cdlac[[#This Row],[Quantity]]&gt;0,MAX(0,Cdlac[[#This Row],[Fair Market Rent]]-IF(AND($G$37,$G$38,$G$38&lt;&gt;"",NOT(Cdlac[[#This Row],[Federal]]),Cdlac[[#This Row],[Preservation Rent]]&lt;&gt;""),Cdlac[[#This Row],[Preservation Rent]],Cdlac[[#This Row],[Restricted Rent]])),"")</f>
        <v/>
      </c>
      <c r="T44" s="772" t="str">
        <f>IF(Cdlac[[#This Row],[Quantity]]&gt;0,AND(Application!AK742&lt;&gt;"N/A",Application!AK742&lt;&gt;"")*Cdlac[[#This Row],[Quantity]],"")</f>
        <v/>
      </c>
      <c r="U44" s="772" t="b">
        <f>AND('Subsidy Contract Calculation'!F28&gt;0,OR('Subsidy Contract Calculation'!C28="Federal",'Subsidy Contract Calculation'!C28="Local - Approved by ED"),Cdlac[[#This Row],[Quantity]]&gt;0)</f>
        <v>0</v>
      </c>
    </row>
    <row r="45" spans="1:21" ht="15" customHeight="1">
      <c r="E45" s="804" t="s">
        <v>2635</v>
      </c>
      <c r="G45" s="800">
        <f>IFERROR(SUMPRODUCT(Cdlac[Quantity],Cdlac[Delta]),0)</f>
        <v>76433.000000000029</v>
      </c>
      <c r="L45" s="772" t="str">
        <f>IFERROR(MIN(4,MATCH(Application!B743,UnitSizes,0)-1),"")</f>
        <v/>
      </c>
      <c r="M45" s="790">
        <f>Application!G743</f>
        <v>0</v>
      </c>
      <c r="N45" s="796">
        <f>Application!AC743</f>
        <v>0</v>
      </c>
      <c r="O45" s="796" t="str">
        <f>IF(Cdlac[[#This Row],[Quantity]]&gt;0,IF(Cdlac[[#This Row],[Federal]],30%,IF(AND(OR(NOT($G$38),$G$38=""),$G$43),40%,Cdlac[[#This Row],[iAMI]])),"")</f>
        <v/>
      </c>
      <c r="P45" s="790" t="str" cm="1">
        <f t="array" ref="P45">IF(Cdlac[[#This Row],[Quantity]]&gt;0,INDEX(TcacRents,$P$18,Cdlac[[#This Row],[Bedrooms]]+1)*Cdlac[[#This Row],[AMI]],"")</f>
        <v/>
      </c>
      <c r="Q45" s="878"/>
      <c r="R45" s="790" t="str" cm="1">
        <f t="array" ref="R45">IF(Cdlac[[#This Row],[Quantity]]&gt;0,INDEX(HudFmrs,$P$18,Cdlac[[#This Row],[Bedrooms]]+1),"")</f>
        <v/>
      </c>
      <c r="S45" s="790" t="str">
        <f>IF(Cdlac[[#This Row],[Quantity]]&gt;0,MAX(0,Cdlac[[#This Row],[Fair Market Rent]]-IF(AND($G$37,$G$38,$G$38&lt;&gt;"",NOT(Cdlac[[#This Row],[Federal]]),Cdlac[[#This Row],[Preservation Rent]]&lt;&gt;""),Cdlac[[#This Row],[Preservation Rent]],Cdlac[[#This Row],[Restricted Rent]])),"")</f>
        <v/>
      </c>
      <c r="T45" s="772" t="str">
        <f>IF(Cdlac[[#This Row],[Quantity]]&gt;0,AND(Application!AK743&lt;&gt;"N/A",Application!AK743&lt;&gt;"")*Cdlac[[#This Row],[Quantity]],"")</f>
        <v/>
      </c>
      <c r="U45" s="772" t="b">
        <f>AND('Subsidy Contract Calculation'!F29&gt;0,OR('Subsidy Contract Calculation'!C29="Federal",'Subsidy Contract Calculation'!C29="Local - Approved by ED"),Cdlac[[#This Row],[Quantity]]&gt;0)</f>
        <v>0</v>
      </c>
    </row>
    <row r="46" spans="1:21" ht="15" customHeight="1">
      <c r="E46" s="836" t="s">
        <v>2636</v>
      </c>
      <c r="F46" s="832" t="s">
        <v>2629</v>
      </c>
      <c r="G46" s="840">
        <f>12*15</f>
        <v>180</v>
      </c>
      <c r="L46" s="772" t="str">
        <f>IFERROR(MIN(4,MATCH(Application!B744,UnitSizes,0)-1),"")</f>
        <v/>
      </c>
      <c r="M46" s="790">
        <f>Application!G744</f>
        <v>0</v>
      </c>
      <c r="N46" s="796">
        <f>Application!AC744</f>
        <v>0</v>
      </c>
      <c r="O46" s="796" t="str">
        <f>IF(Cdlac[[#This Row],[Quantity]]&gt;0,IF(Cdlac[[#This Row],[Federal]],30%,IF(AND(OR(NOT($G$38),$G$38=""),$G$43),40%,Cdlac[[#This Row],[iAMI]])),"")</f>
        <v/>
      </c>
      <c r="P46" s="790" t="str" cm="1">
        <f t="array" ref="P46">IF(Cdlac[[#This Row],[Quantity]]&gt;0,INDEX(TcacRents,$P$18,Cdlac[[#This Row],[Bedrooms]]+1)*Cdlac[[#This Row],[AMI]],"")</f>
        <v/>
      </c>
      <c r="Q46" s="878"/>
      <c r="R46" s="790" t="str" cm="1">
        <f t="array" ref="R46">IF(Cdlac[[#This Row],[Quantity]]&gt;0,INDEX(HudFmrs,$P$18,Cdlac[[#This Row],[Bedrooms]]+1),"")</f>
        <v/>
      </c>
      <c r="S46" s="790" t="str">
        <f>IF(Cdlac[[#This Row],[Quantity]]&gt;0,MAX(0,Cdlac[[#This Row],[Fair Market Rent]]-IF(AND($G$37,$G$38,$G$38&lt;&gt;"",NOT(Cdlac[[#This Row],[Federal]]),Cdlac[[#This Row],[Preservation Rent]]&lt;&gt;""),Cdlac[[#This Row],[Preservation Rent]],Cdlac[[#This Row],[Restricted Rent]])),"")</f>
        <v/>
      </c>
      <c r="T46" s="772" t="str">
        <f>IF(Cdlac[[#This Row],[Quantity]]&gt;0,AND(Application!AK744&lt;&gt;"N/A",Application!AK744&lt;&gt;"")*Cdlac[[#This Row],[Quantity]],"")</f>
        <v/>
      </c>
      <c r="U46" s="772" t="b">
        <f>AND('Subsidy Contract Calculation'!F30&gt;0,OR('Subsidy Contract Calculation'!C30="Federal",'Subsidy Contract Calculation'!C30="Local - Approved by ED"),Cdlac[[#This Row],[Quantity]]&gt;0)</f>
        <v>0</v>
      </c>
    </row>
    <row r="47" spans="1:21" ht="15" customHeight="1">
      <c r="E47" s="841" t="s">
        <v>2637</v>
      </c>
      <c r="F47" s="774"/>
      <c r="G47" s="842">
        <f>G45*G46</f>
        <v>13757940.000000006</v>
      </c>
      <c r="L47" s="772" t="str">
        <f>IFERROR(MIN(4,MATCH(Application!B745,UnitSizes,0)-1),"")</f>
        <v/>
      </c>
      <c r="M47" s="790">
        <f>Application!G745</f>
        <v>0</v>
      </c>
      <c r="N47" s="796">
        <f>Application!AC745</f>
        <v>0</v>
      </c>
      <c r="O47" s="796" t="str">
        <f>IF(Cdlac[[#This Row],[Quantity]]&gt;0,IF(Cdlac[[#This Row],[Federal]],30%,IF(AND(OR(NOT($G$38),$G$38=""),$G$43),40%,Cdlac[[#This Row],[iAMI]])),"")</f>
        <v/>
      </c>
      <c r="P47" s="790" t="str" cm="1">
        <f t="array" ref="P47">IF(Cdlac[[#This Row],[Quantity]]&gt;0,INDEX(TcacRents,$P$18,Cdlac[[#This Row],[Bedrooms]]+1)*Cdlac[[#This Row],[AMI]],"")</f>
        <v/>
      </c>
      <c r="Q47" s="878"/>
      <c r="R47" s="790" t="str" cm="1">
        <f t="array" ref="R47">IF(Cdlac[[#This Row],[Quantity]]&gt;0,INDEX(HudFmrs,$P$18,Cdlac[[#This Row],[Bedrooms]]+1),"")</f>
        <v/>
      </c>
      <c r="S47" s="790" t="str">
        <f>IF(Cdlac[[#This Row],[Quantity]]&gt;0,MAX(0,Cdlac[[#This Row],[Fair Market Rent]]-IF(AND($G$37,$G$38,$G$38&lt;&gt;"",NOT(Cdlac[[#This Row],[Federal]]),Cdlac[[#This Row],[Preservation Rent]]&lt;&gt;""),Cdlac[[#This Row],[Preservation Rent]],Cdlac[[#This Row],[Restricted Rent]])),"")</f>
        <v/>
      </c>
      <c r="T47" s="772" t="str">
        <f>IF(Cdlac[[#This Row],[Quantity]]&gt;0,AND(Application!AK745&lt;&gt;"N/A",Application!AK745&lt;&gt;"")*Cdlac[[#This Row],[Quantity]],"")</f>
        <v/>
      </c>
      <c r="U47" s="772" t="b">
        <f>AND('Subsidy Contract Calculation'!F31&gt;0,OR('Subsidy Contract Calculation'!C31="Federal",'Subsidy Contract Calculation'!C31="Local - Approved by ED"),Cdlac[[#This Row],[Quantity]]&gt;0)</f>
        <v>0</v>
      </c>
    </row>
    <row r="48" spans="1:21" ht="15" customHeight="1">
      <c r="L48" s="772" t="str">
        <f>IFERROR(MIN(4,MATCH(Application!B746,UnitSizes,0)-1),"")</f>
        <v/>
      </c>
      <c r="M48" s="790">
        <f>Application!G746</f>
        <v>0</v>
      </c>
      <c r="N48" s="796">
        <f>Application!AC746</f>
        <v>0</v>
      </c>
      <c r="O48" s="796" t="str">
        <f>IF(Cdlac[[#This Row],[Quantity]]&gt;0,IF(Cdlac[[#This Row],[Federal]],30%,IF(AND(OR(NOT($G$38),$G$38=""),$G$43),40%,Cdlac[[#This Row],[iAMI]])),"")</f>
        <v/>
      </c>
      <c r="P48" s="790" t="str" cm="1">
        <f t="array" ref="P48">IF(Cdlac[[#This Row],[Quantity]]&gt;0,INDEX(TcacRents,$P$18,Cdlac[[#This Row],[Bedrooms]]+1)*Cdlac[[#This Row],[AMI]],"")</f>
        <v/>
      </c>
      <c r="Q48" s="878"/>
      <c r="R48" s="790" t="str" cm="1">
        <f t="array" ref="R48">IF(Cdlac[[#This Row],[Quantity]]&gt;0,INDEX(HudFmrs,$P$18,Cdlac[[#This Row],[Bedrooms]]+1),"")</f>
        <v/>
      </c>
      <c r="S48" s="790" t="str">
        <f>IF(Cdlac[[#This Row],[Quantity]]&gt;0,MAX(0,Cdlac[[#This Row],[Fair Market Rent]]-IF(AND($G$37,$G$38,$G$38&lt;&gt;"",NOT(Cdlac[[#This Row],[Federal]]),Cdlac[[#This Row],[Preservation Rent]]&lt;&gt;""),Cdlac[[#This Row],[Preservation Rent]],Cdlac[[#This Row],[Restricted Rent]])),"")</f>
        <v/>
      </c>
      <c r="T48" s="772" t="str">
        <f>IF(Cdlac[[#This Row],[Quantity]]&gt;0,AND(Application!AK746&lt;&gt;"N/A",Application!AK746&lt;&gt;"")*Cdlac[[#This Row],[Quantity]],"")</f>
        <v/>
      </c>
      <c r="U48" s="772" t="b">
        <f>AND('Subsidy Contract Calculation'!F32&gt;0,OR('Subsidy Contract Calculation'!C32="Federal",'Subsidy Contract Calculation'!C32="Local - Approved by ED"),Cdlac[[#This Row],[Quantity]]&gt;0)</f>
        <v>0</v>
      </c>
    </row>
    <row r="49" spans="2:21" ht="15" customHeight="1">
      <c r="B49" s="791" t="str">
        <f>B11&amp;": "&amp;B12</f>
        <v>C. Population Benefit: (1) Special Needs Population Benefit</v>
      </c>
      <c r="C49" s="792"/>
      <c r="D49" s="792"/>
      <c r="E49" s="792"/>
      <c r="F49" s="792"/>
      <c r="G49" s="792"/>
      <c r="H49" s="792"/>
      <c r="I49" s="793"/>
      <c r="L49" s="772" t="str">
        <f>IFERROR(MIN(4,MATCH(Application!B747,UnitSizes,0)-1),"")</f>
        <v/>
      </c>
      <c r="M49" s="790">
        <f>Application!G747</f>
        <v>0</v>
      </c>
      <c r="N49" s="796">
        <f>Application!AC747</f>
        <v>0</v>
      </c>
      <c r="O49" s="796" t="str">
        <f>IF(Cdlac[[#This Row],[Quantity]]&gt;0,IF(Cdlac[[#This Row],[Federal]],30%,IF(AND(OR(NOT($G$38),$G$38=""),$G$43),40%,Cdlac[[#This Row],[iAMI]])),"")</f>
        <v/>
      </c>
      <c r="P49" s="790" t="str" cm="1">
        <f t="array" ref="P49">IF(Cdlac[[#This Row],[Quantity]]&gt;0,INDEX(TcacRents,$P$18,Cdlac[[#This Row],[Bedrooms]]+1)*Cdlac[[#This Row],[AMI]],"")</f>
        <v/>
      </c>
      <c r="Q49" s="878"/>
      <c r="R49" s="790" t="str" cm="1">
        <f t="array" ref="R49">IF(Cdlac[[#This Row],[Quantity]]&gt;0,INDEX(HudFmrs,$P$18,Cdlac[[#This Row],[Bedrooms]]+1),"")</f>
        <v/>
      </c>
      <c r="S49" s="790" t="str">
        <f>IF(Cdlac[[#This Row],[Quantity]]&gt;0,MAX(0,Cdlac[[#This Row],[Fair Market Rent]]-IF(AND($G$37,$G$38,$G$38&lt;&gt;"",NOT(Cdlac[[#This Row],[Federal]]),Cdlac[[#This Row],[Preservation Rent]]&lt;&gt;""),Cdlac[[#This Row],[Preservation Rent]],Cdlac[[#This Row],[Restricted Rent]])),"")</f>
        <v/>
      </c>
      <c r="T49" s="772" t="str">
        <f>IF(Cdlac[[#This Row],[Quantity]]&gt;0,AND(Application!AK747&lt;&gt;"N/A",Application!AK747&lt;&gt;"")*Cdlac[[#This Row],[Quantity]],"")</f>
        <v/>
      </c>
      <c r="U49" s="772" t="b">
        <f>AND('Subsidy Contract Calculation'!F33&gt;0,OR('Subsidy Contract Calculation'!C33="Federal",'Subsidy Contract Calculation'!C33="Local - Approved by ED"),Cdlac[[#This Row],[Quantity]]&gt;0)</f>
        <v>0</v>
      </c>
    </row>
    <row r="50" spans="2:21" ht="15" customHeight="1">
      <c r="L50" s="772" t="str">
        <f>IFERROR(MIN(4,MATCH(Application!B748,UnitSizes,0)-1),"")</f>
        <v/>
      </c>
      <c r="M50" s="790">
        <f>Application!G748</f>
        <v>0</v>
      </c>
      <c r="N50" s="796">
        <f>Application!AC748</f>
        <v>0</v>
      </c>
      <c r="O50" s="796" t="str">
        <f>IF(Cdlac[[#This Row],[Quantity]]&gt;0,IF(Cdlac[[#This Row],[Federal]],30%,IF(AND(OR(NOT($G$38),$G$38=""),$G$43),40%,Cdlac[[#This Row],[iAMI]])),"")</f>
        <v/>
      </c>
      <c r="P50" s="790" t="str" cm="1">
        <f t="array" ref="P50">IF(Cdlac[[#This Row],[Quantity]]&gt;0,INDEX(TcacRents,$P$18,Cdlac[[#This Row],[Bedrooms]]+1)*Cdlac[[#This Row],[AMI]],"")</f>
        <v/>
      </c>
      <c r="Q50" s="878"/>
      <c r="R50" s="790" t="str" cm="1">
        <f t="array" ref="R50">IF(Cdlac[[#This Row],[Quantity]]&gt;0,INDEX(HudFmrs,$P$18,Cdlac[[#This Row],[Bedrooms]]+1),"")</f>
        <v/>
      </c>
      <c r="S50" s="790" t="str">
        <f>IF(Cdlac[[#This Row],[Quantity]]&gt;0,MAX(0,Cdlac[[#This Row],[Fair Market Rent]]-IF(AND($G$37,$G$38,$G$38&lt;&gt;"",NOT(Cdlac[[#This Row],[Federal]]),Cdlac[[#This Row],[Preservation Rent]]&lt;&gt;""),Cdlac[[#This Row],[Preservation Rent]],Cdlac[[#This Row],[Restricted Rent]])),"")</f>
        <v/>
      </c>
      <c r="T50" s="772" t="str">
        <f>IF(Cdlac[[#This Row],[Quantity]]&gt;0,AND(Application!AK748&lt;&gt;"N/A",Application!AK748&lt;&gt;"")*Cdlac[[#This Row],[Quantity]],"")</f>
        <v/>
      </c>
      <c r="U50" s="772" t="b">
        <f>AND('Subsidy Contract Calculation'!F34&gt;0,OR('Subsidy Contract Calculation'!C34="Federal",'Subsidy Contract Calculation'!C34="Local - Approved by ED"),Cdlac[[#This Row],[Quantity]]&gt;0)</f>
        <v>0</v>
      </c>
    </row>
    <row r="51" spans="2:21" ht="15" customHeight="1">
      <c r="E51" s="836" t="s">
        <v>2638</v>
      </c>
      <c r="G51" s="833">
        <f>T18</f>
        <v>0</v>
      </c>
      <c r="L51" s="772" t="str">
        <f>IFERROR(MIN(4,MATCH(Application!B749,UnitSizes,0)-1),"")</f>
        <v/>
      </c>
      <c r="M51" s="790">
        <f>Application!G749</f>
        <v>0</v>
      </c>
      <c r="N51" s="796">
        <f>Application!AC749</f>
        <v>0</v>
      </c>
      <c r="O51" s="796" t="str">
        <f>IF(Cdlac[[#This Row],[Quantity]]&gt;0,IF(Cdlac[[#This Row],[Federal]],30%,IF(AND(OR(NOT($G$38),$G$38=""),$G$43),40%,Cdlac[[#This Row],[iAMI]])),"")</f>
        <v/>
      </c>
      <c r="P51" s="790" t="str" cm="1">
        <f t="array" ref="P51">IF(Cdlac[[#This Row],[Quantity]]&gt;0,INDEX(TcacRents,$P$18,Cdlac[[#This Row],[Bedrooms]]+1)*Cdlac[[#This Row],[AMI]],"")</f>
        <v/>
      </c>
      <c r="Q51" s="878"/>
      <c r="R51" s="790" t="str" cm="1">
        <f t="array" ref="R51">IF(Cdlac[[#This Row],[Quantity]]&gt;0,INDEX(HudFmrs,$P$18,Cdlac[[#This Row],[Bedrooms]]+1),"")</f>
        <v/>
      </c>
      <c r="S51" s="790" t="str">
        <f>IF(Cdlac[[#This Row],[Quantity]]&gt;0,MAX(0,Cdlac[[#This Row],[Fair Market Rent]]-IF(AND($G$37,$G$38,$G$38&lt;&gt;"",NOT(Cdlac[[#This Row],[Federal]]),Cdlac[[#This Row],[Preservation Rent]]&lt;&gt;""),Cdlac[[#This Row],[Preservation Rent]],Cdlac[[#This Row],[Restricted Rent]])),"")</f>
        <v/>
      </c>
      <c r="T51" s="772" t="str">
        <f>IF(Cdlac[[#This Row],[Quantity]]&gt;0,AND(Application!AK749&lt;&gt;"N/A",Application!AK749&lt;&gt;"")*Cdlac[[#This Row],[Quantity]],"")</f>
        <v/>
      </c>
      <c r="U51" s="772" t="b">
        <f>AND('Subsidy Contract Calculation'!F35&gt;0,OR('Subsidy Contract Calculation'!C35="Federal",'Subsidy Contract Calculation'!C35="Local - Approved by ED"),Cdlac[[#This Row],[Quantity]]&gt;0)</f>
        <v>0</v>
      </c>
    </row>
    <row r="52" spans="2:21" ht="15" customHeight="1">
      <c r="E52" s="836" t="s">
        <v>2639</v>
      </c>
      <c r="G52" s="833">
        <f>ROUNDDOWN(E29*50%,0)</f>
        <v>63</v>
      </c>
      <c r="L52" s="772" t="str">
        <f>IFERROR(MIN(4,MATCH(Application!B750,UnitSizes,0)-1),"")</f>
        <v/>
      </c>
      <c r="M52" s="790">
        <f>Application!G750</f>
        <v>0</v>
      </c>
      <c r="N52" s="796">
        <f>Application!AC750</f>
        <v>0</v>
      </c>
      <c r="O52" s="796" t="str">
        <f>IF(Cdlac[[#This Row],[Quantity]]&gt;0,IF(Cdlac[[#This Row],[Federal]],30%,IF(AND(OR(NOT($G$38),$G$38=""),$G$43),40%,Cdlac[[#This Row],[iAMI]])),"")</f>
        <v/>
      </c>
      <c r="P52" s="790" t="str" cm="1">
        <f t="array" ref="P52">IF(Cdlac[[#This Row],[Quantity]]&gt;0,INDEX(TcacRents,$P$18,Cdlac[[#This Row],[Bedrooms]]+1)*Cdlac[[#This Row],[AMI]],"")</f>
        <v/>
      </c>
      <c r="Q52" s="878"/>
      <c r="R52" s="790" t="str" cm="1">
        <f t="array" ref="R52">IF(Cdlac[[#This Row],[Quantity]]&gt;0,INDEX(HudFmrs,$P$18,Cdlac[[#This Row],[Bedrooms]]+1),"")</f>
        <v/>
      </c>
      <c r="S52" s="790" t="str">
        <f>IF(Cdlac[[#This Row],[Quantity]]&gt;0,MAX(0,Cdlac[[#This Row],[Fair Market Rent]]-IF(AND($G$37,$G$38,$G$38&lt;&gt;"",NOT(Cdlac[[#This Row],[Federal]]),Cdlac[[#This Row],[Preservation Rent]]&lt;&gt;""),Cdlac[[#This Row],[Preservation Rent]],Cdlac[[#This Row],[Restricted Rent]])),"")</f>
        <v/>
      </c>
      <c r="T52" s="772" t="str">
        <f>IF(Cdlac[[#This Row],[Quantity]]&gt;0,AND(Application!AK750&lt;&gt;"N/A",Application!AK750&lt;&gt;"")*Cdlac[[#This Row],[Quantity]],"")</f>
        <v/>
      </c>
      <c r="U52" s="772" t="b">
        <f>AND('Subsidy Contract Calculation'!F36&gt;0,OR('Subsidy Contract Calculation'!C36="Federal",'Subsidy Contract Calculation'!C36="Local - Approved by ED"),Cdlac[[#This Row],[Quantity]]&gt;0)</f>
        <v>0</v>
      </c>
    </row>
    <row r="53" spans="2:21" ht="15" customHeight="1">
      <c r="E53" s="836"/>
      <c r="G53" s="844"/>
      <c r="L53" s="772" t="str">
        <f>IFERROR(MIN(4,MATCH(Application!B751,UnitSizes,0)-1),"")</f>
        <v/>
      </c>
      <c r="M53" s="790">
        <f>Application!G751</f>
        <v>0</v>
      </c>
      <c r="N53" s="796">
        <f>Application!AC751</f>
        <v>0</v>
      </c>
      <c r="O53" s="796" t="str">
        <f>IF(Cdlac[[#This Row],[Quantity]]&gt;0,IF(Cdlac[[#This Row],[Federal]],30%,IF(AND(OR(NOT($G$38),$G$38=""),$G$43),40%,Cdlac[[#This Row],[iAMI]])),"")</f>
        <v/>
      </c>
      <c r="P53" s="790" t="str" cm="1">
        <f t="array" ref="P53">IF(Cdlac[[#This Row],[Quantity]]&gt;0,INDEX(TcacRents,$P$18,Cdlac[[#This Row],[Bedrooms]]+1)*Cdlac[[#This Row],[AMI]],"")</f>
        <v/>
      </c>
      <c r="Q53" s="878"/>
      <c r="R53" s="790" t="str" cm="1">
        <f t="array" ref="R53">IF(Cdlac[[#This Row],[Quantity]]&gt;0,INDEX(HudFmrs,$P$18,Cdlac[[#This Row],[Bedrooms]]+1),"")</f>
        <v/>
      </c>
      <c r="S53" s="790" t="str">
        <f>IF(Cdlac[[#This Row],[Quantity]]&gt;0,MAX(0,Cdlac[[#This Row],[Fair Market Rent]]-IF(AND($G$37,$G$38,$G$38&lt;&gt;"",NOT(Cdlac[[#This Row],[Federal]]),Cdlac[[#This Row],[Preservation Rent]]&lt;&gt;""),Cdlac[[#This Row],[Preservation Rent]],Cdlac[[#This Row],[Restricted Rent]])),"")</f>
        <v/>
      </c>
      <c r="T53" s="772" t="str">
        <f>IF(Cdlac[[#This Row],[Quantity]]&gt;0,AND(Application!AK751&lt;&gt;"N/A",Application!AK751&lt;&gt;"")*Cdlac[[#This Row],[Quantity]],"")</f>
        <v/>
      </c>
      <c r="U53" s="772" t="b">
        <f>AND('Subsidy Contract Calculation'!F37&gt;0,OR('Subsidy Contract Calculation'!C37="Federal",'Subsidy Contract Calculation'!C37="Local - Approved by ED"),Cdlac[[#This Row],[Quantity]]&gt;0)</f>
        <v>0</v>
      </c>
    </row>
    <row r="54" spans="2:21" ht="15" customHeight="1">
      <c r="E54" s="836" t="s">
        <v>2640</v>
      </c>
      <c r="G54" s="833">
        <f>MIN(G51:G52)</f>
        <v>0</v>
      </c>
      <c r="L54" s="772" t="str">
        <f>IFERROR(MIN(4,MATCH(Application!B752,UnitSizes,0)-1),"")</f>
        <v/>
      </c>
      <c r="M54" s="790">
        <f>Application!G752</f>
        <v>0</v>
      </c>
      <c r="N54" s="796">
        <f>Application!AC752</f>
        <v>0</v>
      </c>
      <c r="O54" s="796" t="str">
        <f>IF(Cdlac[[#This Row],[Quantity]]&gt;0,IF(Cdlac[[#This Row],[Federal]],30%,IF(AND(OR(NOT($G$38),$G$38=""),$G$43),40%,Cdlac[[#This Row],[iAMI]])),"")</f>
        <v/>
      </c>
      <c r="P54" s="790" t="str" cm="1">
        <f t="array" ref="P54">IF(Cdlac[[#This Row],[Quantity]]&gt;0,INDEX(TcacRents,$P$18,Cdlac[[#This Row],[Bedrooms]]+1)*Cdlac[[#This Row],[AMI]],"")</f>
        <v/>
      </c>
      <c r="Q54" s="878"/>
      <c r="R54" s="790" t="str" cm="1">
        <f t="array" ref="R54">IF(Cdlac[[#This Row],[Quantity]]&gt;0,INDEX(HudFmrs,$P$18,Cdlac[[#This Row],[Bedrooms]]+1),"")</f>
        <v/>
      </c>
      <c r="S54" s="790" t="str">
        <f>IF(Cdlac[[#This Row],[Quantity]]&gt;0,MAX(0,Cdlac[[#This Row],[Fair Market Rent]]-IF(AND($G$37,$G$38,$G$38&lt;&gt;"",NOT(Cdlac[[#This Row],[Federal]]),Cdlac[[#This Row],[Preservation Rent]]&lt;&gt;""),Cdlac[[#This Row],[Preservation Rent]],Cdlac[[#This Row],[Restricted Rent]])),"")</f>
        <v/>
      </c>
      <c r="T54" s="772" t="str">
        <f>IF(Cdlac[[#This Row],[Quantity]]&gt;0,AND(Application!AK752&lt;&gt;"N/A",Application!AK752&lt;&gt;"")*Cdlac[[#This Row],[Quantity]],"")</f>
        <v/>
      </c>
      <c r="U54" s="772" t="b">
        <f>AND('Subsidy Contract Calculation'!F38&gt;0,OR('Subsidy Contract Calculation'!C38="Federal",'Subsidy Contract Calculation'!C38="Local - Approved by ED"),Cdlac[[#This Row],[Quantity]]&gt;0)</f>
        <v>0</v>
      </c>
    </row>
    <row r="55" spans="2:21" ht="15" customHeight="1">
      <c r="E55" s="836" t="s">
        <v>2628</v>
      </c>
      <c r="F55" s="832" t="s">
        <v>2629</v>
      </c>
      <c r="G55" s="843">
        <v>10000</v>
      </c>
      <c r="M55" s="790"/>
      <c r="N55" s="796"/>
      <c r="O55" s="796"/>
      <c r="P55" s="790"/>
      <c r="Q55" s="878"/>
      <c r="R55" s="790"/>
      <c r="S55" s="790"/>
    </row>
    <row r="56" spans="2:21" ht="15" customHeight="1">
      <c r="E56" s="837" t="s">
        <v>2641</v>
      </c>
      <c r="F56" s="774"/>
      <c r="G56" s="842">
        <f>G54*G55</f>
        <v>0</v>
      </c>
    </row>
    <row r="57" spans="2:21" ht="15" customHeight="1"/>
    <row r="58" spans="2:21" ht="15" customHeight="1">
      <c r="B58" s="791" t="str">
        <f>B11&amp;": "&amp;B13</f>
        <v>C. Population Benefit: (2) Extremely Low Income Benefit</v>
      </c>
      <c r="C58" s="792"/>
      <c r="D58" s="792"/>
      <c r="E58" s="792"/>
      <c r="F58" s="792"/>
      <c r="G58" s="792"/>
      <c r="H58" s="792"/>
      <c r="I58" s="793"/>
    </row>
    <row r="59" spans="2:21" ht="15" customHeight="1"/>
    <row r="60" spans="2:21" ht="15" customHeight="1">
      <c r="E60" s="836" t="s">
        <v>2642</v>
      </c>
      <c r="G60" s="801">
        <f>SUMIFS(Cdlac[Quantity],Cdlac[iAMI],"&lt;=30%")</f>
        <v>14</v>
      </c>
    </row>
    <row r="61" spans="2:21" ht="15" customHeight="1">
      <c r="E61" s="836" t="s">
        <v>2639</v>
      </c>
      <c r="G61" s="801">
        <f>ROUNDDOWN(E29*50%,0)</f>
        <v>63</v>
      </c>
    </row>
    <row r="62" spans="2:21" ht="15" customHeight="1">
      <c r="E62" s="836"/>
      <c r="G62" s="801"/>
    </row>
    <row r="63" spans="2:21" ht="15" customHeight="1">
      <c r="E63" s="836" t="s">
        <v>2640</v>
      </c>
      <c r="G63" s="833">
        <f>MIN(G60:G61)</f>
        <v>14</v>
      </c>
    </row>
    <row r="64" spans="2:21" ht="15" customHeight="1">
      <c r="E64" s="836" t="s">
        <v>2628</v>
      </c>
      <c r="F64" s="832" t="s">
        <v>2629</v>
      </c>
      <c r="G64" s="843">
        <v>20000</v>
      </c>
    </row>
    <row r="65" spans="2:14" ht="15" customHeight="1">
      <c r="E65" s="837" t="s">
        <v>2643</v>
      </c>
      <c r="F65" s="774"/>
      <c r="G65" s="842">
        <f>G63*G64</f>
        <v>280000</v>
      </c>
    </row>
    <row r="66" spans="2:14" ht="15" customHeight="1"/>
    <row r="67" spans="2:14" ht="15" customHeight="1">
      <c r="B67" s="791" t="str">
        <f>B14&amp;": "&amp;B15</f>
        <v>D. Location Benefit: (1) Resource Area Benefit</v>
      </c>
      <c r="C67" s="792"/>
      <c r="D67" s="792"/>
      <c r="E67" s="792"/>
      <c r="F67" s="792"/>
      <c r="G67" s="792"/>
      <c r="H67" s="792"/>
      <c r="I67" s="793"/>
    </row>
    <row r="68" spans="2:14" ht="15" customHeight="1"/>
    <row r="69" spans="2:14" ht="15" customHeight="1">
      <c r="C69" s="799" t="s">
        <v>2644</v>
      </c>
      <c r="G69" s="771" t="s">
        <v>694</v>
      </c>
    </row>
    <row r="70" spans="2:14" ht="15" customHeight="1">
      <c r="C70" s="799" t="s">
        <v>2645</v>
      </c>
      <c r="G70" s="803" t="str">
        <f>IF(Application!D211="Large Family","Yes","No")</f>
        <v>Yes</v>
      </c>
    </row>
    <row r="71" spans="2:14" ht="15" customHeight="1" thickBot="1">
      <c r="C71" s="799" t="s">
        <v>2646</v>
      </c>
      <c r="G71" s="771" t="s">
        <v>843</v>
      </c>
    </row>
    <row r="72" spans="2:14" ht="15" customHeight="1">
      <c r="C72" s="799" t="s">
        <v>2647</v>
      </c>
      <c r="G72" s="772" t="str">
        <f>Application!T193</f>
        <v>Highest Resource</v>
      </c>
      <c r="L72" s="2599" t="s">
        <v>879</v>
      </c>
      <c r="M72" s="2600"/>
      <c r="N72" s="850">
        <v>30000</v>
      </c>
    </row>
    <row r="73" spans="2:14" ht="15" customHeight="1">
      <c r="C73" s="2601" t="s">
        <v>2648</v>
      </c>
      <c r="D73" s="2601"/>
      <c r="E73" s="2601"/>
      <c r="F73" s="2601"/>
      <c r="G73" s="771" t="s">
        <v>843</v>
      </c>
      <c r="L73" s="2610" t="s">
        <v>883</v>
      </c>
      <c r="M73" s="2611"/>
      <c r="N73" s="851">
        <v>20000</v>
      </c>
    </row>
    <row r="74" spans="2:14" ht="15" customHeight="1" thickBot="1">
      <c r="C74" s="2601"/>
      <c r="D74" s="2601"/>
      <c r="E74" s="2601"/>
      <c r="F74" s="2601"/>
      <c r="L74" s="2612" t="s">
        <v>890</v>
      </c>
      <c r="M74" s="2613"/>
      <c r="N74" s="852">
        <v>10000</v>
      </c>
    </row>
    <row r="75" spans="2:14" ht="15" customHeight="1">
      <c r="C75" s="799"/>
    </row>
    <row r="76" spans="2:14" ht="15" customHeight="1">
      <c r="E76" s="804" t="s">
        <v>2649</v>
      </c>
      <c r="G76" s="801" t="b">
        <f>OR(AND(COUNTIFS(G70:G71,"Yes")&gt;=1,G69="Yes"),G73="Yes")</f>
        <v>1</v>
      </c>
    </row>
    <row r="77" spans="2:14" ht="15" customHeight="1">
      <c r="E77" s="804"/>
      <c r="G77" s="801"/>
    </row>
    <row r="78" spans="2:14" ht="15" customHeight="1">
      <c r="E78" s="804" t="s">
        <v>2628</v>
      </c>
      <c r="G78" s="800">
        <f>IFERROR(IF($G$73="Yes",30000,INDEX(N72:N74,MATCH(LEFT(G72,17),L72:L74,0))),0)</f>
        <v>30000</v>
      </c>
    </row>
    <row r="79" spans="2:14" ht="15" customHeight="1">
      <c r="E79" s="804" t="str">
        <f>E96</f>
        <v>Bedroom-Adjusted Low-Income Units</v>
      </c>
      <c r="F79" s="832" t="s">
        <v>2629</v>
      </c>
      <c r="G79" s="833">
        <f>G29</f>
        <v>153.25</v>
      </c>
    </row>
    <row r="80" spans="2:14" ht="15" customHeight="1">
      <c r="D80" s="774"/>
      <c r="E80" s="837" t="s">
        <v>2650</v>
      </c>
      <c r="F80" s="774"/>
      <c r="G80" s="842">
        <f>G79*G78*G76</f>
        <v>4597500</v>
      </c>
    </row>
    <row r="81" spans="2:9" ht="15" customHeight="1"/>
    <row r="82" spans="2:9" ht="15" customHeight="1">
      <c r="B82" s="791" t="str">
        <f>B14&amp;": "&amp;B16</f>
        <v>D. Location Benefit: (2) Community Revitalization Benefit</v>
      </c>
      <c r="C82" s="792"/>
      <c r="D82" s="792"/>
      <c r="E82" s="792"/>
      <c r="F82" s="792"/>
      <c r="G82" s="792"/>
      <c r="H82" s="792"/>
      <c r="I82" s="793"/>
    </row>
    <row r="83" spans="2:9" ht="15" customHeight="1"/>
    <row r="84" spans="2:9" ht="15" customHeight="1">
      <c r="F84" s="835" t="s">
        <v>2651</v>
      </c>
      <c r="G84" s="771" t="s">
        <v>843</v>
      </c>
    </row>
    <row r="85" spans="2:9" ht="15" customHeight="1">
      <c r="F85" s="835"/>
    </row>
    <row r="86" spans="2:9" ht="15" customHeight="1">
      <c r="E86" s="804" t="s">
        <v>2649</v>
      </c>
      <c r="G86" s="801" t="b">
        <f>G84="Yes"</f>
        <v>0</v>
      </c>
    </row>
    <row r="87" spans="2:9" ht="15" customHeight="1"/>
    <row r="88" spans="2:9" ht="15" customHeight="1">
      <c r="E88" s="804" t="str">
        <f>E96</f>
        <v>Bedroom-Adjusted Low-Income Units</v>
      </c>
      <c r="G88" s="833">
        <f>G29</f>
        <v>153.25</v>
      </c>
    </row>
    <row r="89" spans="2:9" ht="15" customHeight="1">
      <c r="E89" s="804" t="s">
        <v>2628</v>
      </c>
      <c r="F89" s="832" t="s">
        <v>2629</v>
      </c>
      <c r="G89" s="778">
        <v>20000</v>
      </c>
    </row>
    <row r="90" spans="2:9" ht="15" customHeight="1">
      <c r="E90" s="837" t="s">
        <v>2652</v>
      </c>
      <c r="F90" s="774"/>
      <c r="G90" s="842">
        <f>G86*G89*G88</f>
        <v>0</v>
      </c>
    </row>
    <row r="91" spans="2:9" ht="15" customHeight="1"/>
    <row r="92" spans="2:9" ht="15" customHeight="1">
      <c r="B92" s="791" t="str">
        <f>B14&amp;": "&amp;B17</f>
        <v>D. Location Benefit: (3) Transit/Walkability Benefit</v>
      </c>
      <c r="C92" s="792"/>
      <c r="D92" s="792"/>
      <c r="E92" s="792"/>
      <c r="F92" s="792"/>
      <c r="G92" s="792"/>
      <c r="H92" s="792"/>
      <c r="I92" s="793"/>
    </row>
    <row r="93" spans="2:9" ht="15" customHeight="1"/>
    <row r="94" spans="2:9" ht="15" customHeight="1">
      <c r="E94" s="804" t="s">
        <v>2653</v>
      </c>
      <c r="G94" s="833">
        <f>VLOOKUP('Points System'!$H$606,'Points System'!$AO$586:$AP$591,2,FALSE)</f>
        <v>7</v>
      </c>
    </row>
    <row r="95" spans="2:9" ht="15" customHeight="1">
      <c r="E95" s="804" t="s">
        <v>2628</v>
      </c>
      <c r="F95" s="832" t="s">
        <v>2629</v>
      </c>
      <c r="G95" s="798">
        <v>4000</v>
      </c>
    </row>
    <row r="96" spans="2:9" ht="15" customHeight="1" thickBot="1">
      <c r="E96" s="804" t="s">
        <v>2654</v>
      </c>
      <c r="F96" s="832" t="s">
        <v>2629</v>
      </c>
      <c r="G96" s="845">
        <f>G29</f>
        <v>153.25</v>
      </c>
    </row>
    <row r="97" spans="2:14" ht="15" customHeight="1">
      <c r="E97" s="837" t="s">
        <v>2655</v>
      </c>
      <c r="F97" s="774"/>
      <c r="G97" s="842">
        <f>G94*G95*G96</f>
        <v>4291000</v>
      </c>
      <c r="L97" s="846" t="str">
        <f>'Points System'!H638</f>
        <v>(ii)</v>
      </c>
      <c r="M97" s="2618" t="s">
        <v>2506</v>
      </c>
      <c r="N97" s="2619"/>
    </row>
    <row r="98" spans="2:14" ht="15" customHeight="1">
      <c r="C98" s="799"/>
      <c r="G98" s="833"/>
      <c r="L98" s="847" t="str">
        <f>'Points System'!H650</f>
        <v>(ii)</v>
      </c>
      <c r="M98" s="2614" t="s">
        <v>2656</v>
      </c>
      <c r="N98" s="2615"/>
    </row>
    <row r="99" spans="2:14" ht="15" customHeight="1">
      <c r="E99" s="804" t="s">
        <v>2657</v>
      </c>
      <c r="G99" s="845">
        <f>COUNTIFS(L97:L104,"(i)")</f>
        <v>3</v>
      </c>
      <c r="L99" s="847" t="str">
        <f>'Points System'!H685</f>
        <v>(i)</v>
      </c>
      <c r="M99" s="2614" t="s">
        <v>2658</v>
      </c>
      <c r="N99" s="2615"/>
    </row>
    <row r="100" spans="2:14" ht="15" customHeight="1">
      <c r="E100" s="804" t="s">
        <v>2628</v>
      </c>
      <c r="F100" s="832" t="s">
        <v>2629</v>
      </c>
      <c r="G100" s="843">
        <v>4000</v>
      </c>
      <c r="L100" s="847" t="str">
        <f>IF(OR('Points System'!H709="(ii)",'Points System'!H709="(i)"),"(i)","N/A")</f>
        <v>N/A</v>
      </c>
      <c r="M100" s="2614" t="s">
        <v>2659</v>
      </c>
      <c r="N100" s="2615"/>
    </row>
    <row r="101" spans="2:14" ht="15" customHeight="1">
      <c r="E101" s="837" t="s">
        <v>2660</v>
      </c>
      <c r="F101" s="774"/>
      <c r="G101" s="842">
        <f>G96*G99*G100</f>
        <v>1839000</v>
      </c>
      <c r="L101" s="848" t="str">
        <f>'Points System'!H723</f>
        <v>N/A</v>
      </c>
      <c r="M101" s="2614" t="s">
        <v>2546</v>
      </c>
      <c r="N101" s="2615"/>
    </row>
    <row r="102" spans="2:14" ht="15" customHeight="1">
      <c r="L102" s="847" t="str">
        <f>'Points System'!H735</f>
        <v>N/A</v>
      </c>
      <c r="M102" s="2614" t="s">
        <v>2661</v>
      </c>
      <c r="N102" s="2615"/>
    </row>
    <row r="103" spans="2:14" ht="15" customHeight="1">
      <c r="C103" s="802" t="s">
        <v>2662</v>
      </c>
      <c r="L103" s="847" t="str">
        <f>'Points System'!H751</f>
        <v>(i)</v>
      </c>
      <c r="M103" s="2614" t="s">
        <v>2663</v>
      </c>
      <c r="N103" s="2615"/>
    </row>
    <row r="104" spans="2:14" ht="15" customHeight="1" thickBot="1">
      <c r="C104" s="799" t="s">
        <v>2664</v>
      </c>
      <c r="G104" s="771"/>
      <c r="L104" s="849" t="str">
        <f>'Points System'!H763</f>
        <v>(i)</v>
      </c>
      <c r="M104" s="2616" t="s">
        <v>2550</v>
      </c>
      <c r="N104" s="2617"/>
    </row>
    <row r="105" spans="2:14" ht="15" customHeight="1">
      <c r="C105" s="799" t="s">
        <v>2665</v>
      </c>
      <c r="G105" s="771"/>
    </row>
    <row r="106" spans="2:14" ht="15" customHeight="1">
      <c r="C106" s="799" t="s">
        <v>2666</v>
      </c>
      <c r="G106" s="771" t="s">
        <v>694</v>
      </c>
    </row>
    <row r="107" spans="2:14" ht="15" customHeight="1">
      <c r="C107" s="799" t="s">
        <v>2667</v>
      </c>
      <c r="G107" s="771"/>
    </row>
    <row r="108" spans="2:14" ht="15" customHeight="1"/>
    <row r="109" spans="2:14" ht="15" customHeight="1">
      <c r="B109" s="800"/>
      <c r="C109" s="799"/>
      <c r="E109" s="804" t="s">
        <v>2649</v>
      </c>
      <c r="G109" s="801" t="b">
        <f>COUNTIFS(G104:G107,"Yes")&gt;=1</f>
        <v>1</v>
      </c>
    </row>
    <row r="110" spans="2:14" ht="15" customHeight="1">
      <c r="E110" s="799"/>
    </row>
    <row r="111" spans="2:14" ht="15" customHeight="1">
      <c r="E111" s="804" t="s">
        <v>2654</v>
      </c>
      <c r="F111" s="832" t="s">
        <v>2629</v>
      </c>
      <c r="G111" s="833">
        <f>G29</f>
        <v>153.25</v>
      </c>
    </row>
    <row r="112" spans="2:14" ht="15" customHeight="1">
      <c r="E112" s="804" t="s">
        <v>2628</v>
      </c>
      <c r="F112" s="832" t="s">
        <v>2629</v>
      </c>
      <c r="G112" s="843">
        <v>25000</v>
      </c>
    </row>
    <row r="113" spans="2:9" ht="15" customHeight="1">
      <c r="E113" s="837" t="s">
        <v>2668</v>
      </c>
      <c r="F113" s="774"/>
      <c r="G113" s="842">
        <f>G109*G112*G96</f>
        <v>3831250</v>
      </c>
    </row>
    <row r="114" spans="2:9" ht="15" customHeight="1">
      <c r="C114" s="799"/>
      <c r="E114" s="799"/>
    </row>
    <row r="115" spans="2:9" ht="15" customHeight="1">
      <c r="E115" s="837" t="s">
        <v>2669</v>
      </c>
      <c r="G115" s="842">
        <f>G113+G101+G97</f>
        <v>9961250</v>
      </c>
    </row>
    <row r="116" spans="2:9" ht="15" customHeight="1"/>
    <row r="117" spans="2:9" ht="15" customHeight="1">
      <c r="B117" s="791" t="s">
        <v>1789</v>
      </c>
      <c r="C117" s="792"/>
      <c r="D117" s="792"/>
      <c r="E117" s="792"/>
      <c r="F117" s="792"/>
      <c r="G117" s="792"/>
      <c r="H117" s="792"/>
      <c r="I117" s="793"/>
    </row>
    <row r="118" spans="2:9" ht="15" customHeight="1"/>
    <row r="119" spans="2:9" ht="15" customHeight="1">
      <c r="C119" s="2590" t="s">
        <v>2670</v>
      </c>
      <c r="D119" s="2590"/>
      <c r="E119" s="2590"/>
      <c r="F119" s="2590"/>
    </row>
    <row r="120" spans="2:9" ht="15" customHeight="1">
      <c r="C120" s="2590"/>
      <c r="D120" s="2590"/>
      <c r="E120" s="2590"/>
      <c r="F120" s="2590"/>
      <c r="G120" s="771" t="s">
        <v>694</v>
      </c>
    </row>
    <row r="121" spans="2:9" ht="15" customHeight="1"/>
    <row r="122" spans="2:9" ht="15" customHeight="1">
      <c r="C122" s="772" t="s">
        <v>2671</v>
      </c>
      <c r="G122" s="2592" t="s">
        <v>1681</v>
      </c>
      <c r="H122" s="2592"/>
    </row>
    <row r="123" spans="2:9" ht="15" customHeight="1">
      <c r="G123" s="2592"/>
      <c r="H123" s="2592"/>
    </row>
    <row r="124" spans="2:9" ht="15" customHeight="1">
      <c r="G124" s="2593"/>
      <c r="H124" s="2593"/>
    </row>
    <row r="125" spans="2:9" ht="15" customHeight="1">
      <c r="G125" s="876"/>
      <c r="H125" s="876"/>
    </row>
    <row r="126" spans="2:9" ht="15" customHeight="1">
      <c r="B126" s="791" t="s">
        <v>2672</v>
      </c>
      <c r="C126" s="792"/>
      <c r="D126" s="792"/>
      <c r="E126" s="792"/>
      <c r="F126" s="792"/>
      <c r="G126" s="792"/>
      <c r="H126" s="792"/>
      <c r="I126" s="793"/>
    </row>
    <row r="128" spans="2:9">
      <c r="E128" s="804" t="s">
        <v>931</v>
      </c>
      <c r="G128" s="772" t="str">
        <f>IF(Application!T189="","",Application!T189)</f>
        <v>Los Angeles</v>
      </c>
    </row>
    <row r="129" spans="2:9">
      <c r="E129" s="804"/>
      <c r="G129" s="800"/>
    </row>
    <row r="130" spans="2:9">
      <c r="E130" s="804" t="str">
        <f>"2-Bedroom "&amp;G128&amp;" County Basis Limit"</f>
        <v>2-Bedroom Los Angeles County Basis Limit</v>
      </c>
      <c r="G130" s="800">
        <f>Application!R988</f>
        <v>608800</v>
      </c>
    </row>
    <row r="131" spans="2:9">
      <c r="E131" s="804" t="s">
        <v>2673</v>
      </c>
      <c r="G131" s="800">
        <f>MEDIAN((Application!CU160:CU217))</f>
        <v>489600</v>
      </c>
    </row>
    <row r="132" spans="2:9">
      <c r="D132" s="774"/>
      <c r="E132" s="837" t="s">
        <v>2674</v>
      </c>
      <c r="F132" s="853"/>
      <c r="G132" s="854">
        <f>((G130-G131)/G131)*0.25</f>
        <v>6.0866013071895424E-2</v>
      </c>
      <c r="H132" s="770"/>
      <c r="I132" s="770"/>
    </row>
    <row r="133" spans="2:9">
      <c r="D133" s="773"/>
      <c r="E133" s="773"/>
    </row>
    <row r="134" spans="2:9">
      <c r="B134" s="791" t="s">
        <v>2675</v>
      </c>
      <c r="C134" s="792"/>
      <c r="D134" s="792"/>
      <c r="E134" s="792"/>
      <c r="F134" s="792"/>
      <c r="G134" s="792"/>
      <c r="H134" s="792"/>
      <c r="I134" s="793"/>
    </row>
    <row r="136" spans="2:9">
      <c r="E136" s="804" t="s">
        <v>2631</v>
      </c>
      <c r="G136" s="772" t="b">
        <f>G37</f>
        <v>0</v>
      </c>
    </row>
    <row r="137" spans="2:9">
      <c r="E137" s="804" t="s">
        <v>2676</v>
      </c>
      <c r="G137" s="772" t="b">
        <f>OR('Points System'!B52="Yes", 'Points System'!B56="Yes",'Points System'!B58="Yes")</f>
        <v>0</v>
      </c>
    </row>
    <row r="138" spans="2:9">
      <c r="C138" s="2585" t="s">
        <v>2677</v>
      </c>
      <c r="D138" s="2585"/>
      <c r="E138" s="2585"/>
      <c r="F138" s="2585"/>
    </row>
    <row r="139" spans="2:9">
      <c r="B139" s="773"/>
      <c r="C139" s="2585"/>
      <c r="D139" s="2585"/>
      <c r="E139" s="2585"/>
      <c r="F139" s="2585"/>
      <c r="G139" s="771"/>
    </row>
    <row r="140" spans="2:9">
      <c r="B140" s="773"/>
      <c r="C140" s="773"/>
      <c r="D140" s="773"/>
      <c r="E140" s="773"/>
      <c r="F140" s="773"/>
    </row>
    <row r="141" spans="2:9" ht="14.25" customHeight="1">
      <c r="E141" s="804" t="s">
        <v>2678</v>
      </c>
      <c r="G141" s="881"/>
    </row>
    <row r="143" spans="2:9">
      <c r="E143" s="804" t="s">
        <v>2679</v>
      </c>
      <c r="G143" s="880">
        <f>IF(I9=0,0,G141/I9)</f>
        <v>0</v>
      </c>
    </row>
    <row r="144" spans="2:9">
      <c r="E144" s="804" t="s">
        <v>2680</v>
      </c>
      <c r="G144" s="879">
        <f>I9*0.15</f>
        <v>7728597.4499999993</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6"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4" zoomScale="70" zoomScaleNormal="70" workbookViewId="0">
      <selection activeCell="A43" sqref="A43:J44"/>
    </sheetView>
  </sheetViews>
  <sheetFormatPr defaultColWidth="9.109375" defaultRowHeight="13.8" zeroHeight="1"/>
  <cols>
    <col min="1" max="2" width="15.6640625" style="163" customWidth="1"/>
    <col min="3" max="3" width="11" style="163" customWidth="1"/>
    <col min="4" max="4" width="15.6640625" style="163" customWidth="1"/>
    <col min="5" max="5" width="3.6640625" style="163" customWidth="1"/>
    <col min="6" max="7" width="15.6640625" style="163" customWidth="1"/>
    <col min="8" max="8" width="3.6640625" style="163" customWidth="1"/>
    <col min="9" max="10" width="15.6640625" style="163" customWidth="1"/>
    <col min="11" max="11" width="3.33203125" style="163" customWidth="1"/>
    <col min="12" max="17" width="15.6640625" style="163" customWidth="1"/>
    <col min="18" max="16384" width="9.109375" style="163"/>
  </cols>
  <sheetData>
    <row r="1" spans="1:12">
      <c r="A1" s="2620" t="s">
        <v>2681</v>
      </c>
      <c r="B1" s="2620"/>
      <c r="C1" s="2620"/>
      <c r="D1" s="2620"/>
      <c r="E1" s="2620"/>
      <c r="F1" s="2620"/>
      <c r="G1" s="2620"/>
      <c r="H1" s="2620"/>
      <c r="I1" s="2620"/>
      <c r="J1" s="2620"/>
      <c r="K1" s="107"/>
      <c r="L1" s="107"/>
    </row>
    <row r="2" spans="1:12">
      <c r="A2" s="111"/>
      <c r="B2" s="111"/>
      <c r="C2" s="111"/>
      <c r="D2" s="111"/>
      <c r="E2" s="111"/>
      <c r="F2" s="111"/>
      <c r="G2" s="111"/>
      <c r="H2" s="111"/>
      <c r="I2" s="111"/>
      <c r="J2" s="111"/>
    </row>
    <row r="3" spans="1:12" ht="83.4">
      <c r="A3" s="1086" t="s">
        <v>2682</v>
      </c>
      <c r="B3" s="1086" t="s">
        <v>2683</v>
      </c>
      <c r="C3" s="1086" t="s">
        <v>2684</v>
      </c>
      <c r="D3" s="1087" t="s">
        <v>2685</v>
      </c>
      <c r="E3" s="107"/>
      <c r="F3" s="1087" t="s">
        <v>2686</v>
      </c>
      <c r="G3" s="1086" t="s">
        <v>2687</v>
      </c>
      <c r="H3" s="253"/>
      <c r="I3" s="1086" t="s">
        <v>2688</v>
      </c>
      <c r="J3" s="1086" t="s">
        <v>2689</v>
      </c>
      <c r="K3" s="107"/>
      <c r="L3" s="164"/>
    </row>
    <row r="4" spans="1:12">
      <c r="A4" s="1088" t="str">
        <f>Application!B718</f>
        <v>1 Bedroom</v>
      </c>
      <c r="B4" s="1089">
        <f>Application!G718</f>
        <v>22</v>
      </c>
      <c r="C4" s="1090"/>
      <c r="D4" s="1088">
        <f>Application!O718</f>
        <v>1891</v>
      </c>
      <c r="E4" s="254"/>
      <c r="F4" s="1091"/>
      <c r="G4" s="1088">
        <f>F4*B4</f>
        <v>0</v>
      </c>
      <c r="H4" s="254"/>
      <c r="I4" s="1088" t="str">
        <f t="shared" ref="I4:I27" si="0">IF(F4=0,"",(F4-D4))</f>
        <v/>
      </c>
      <c r="J4" s="1088" t="str">
        <f t="shared" ref="J4:J27" si="1">IF(F4=0,"",(I4*B4))</f>
        <v/>
      </c>
      <c r="K4" s="107"/>
      <c r="L4" s="164"/>
    </row>
    <row r="5" spans="1:12">
      <c r="A5" s="1088" t="str">
        <f>Application!B719</f>
        <v>1 Bedroom</v>
      </c>
      <c r="B5" s="1089">
        <f>Application!G719</f>
        <v>23</v>
      </c>
      <c r="C5" s="1090"/>
      <c r="D5" s="1088">
        <f>Application!O719</f>
        <v>1607</v>
      </c>
      <c r="E5" s="254"/>
      <c r="F5" s="1091"/>
      <c r="G5" s="1088">
        <f t="shared" ref="G5:G38" si="2">F5*B5</f>
        <v>0</v>
      </c>
      <c r="H5" s="254"/>
      <c r="I5" s="1088" t="str">
        <f t="shared" si="0"/>
        <v/>
      </c>
      <c r="J5" s="1088" t="str">
        <f t="shared" si="1"/>
        <v/>
      </c>
      <c r="K5" s="107"/>
      <c r="L5" s="164"/>
    </row>
    <row r="6" spans="1:12">
      <c r="A6" s="1088" t="str">
        <f>Application!B720</f>
        <v>1 Bedroom</v>
      </c>
      <c r="B6" s="1089">
        <f>Application!G720</f>
        <v>6</v>
      </c>
      <c r="C6" s="1090"/>
      <c r="D6" s="1088">
        <f>Application!O720</f>
        <v>1323</v>
      </c>
      <c r="E6" s="254"/>
      <c r="F6" s="1091"/>
      <c r="G6" s="1088">
        <f t="shared" si="2"/>
        <v>0</v>
      </c>
      <c r="H6" s="254"/>
      <c r="I6" s="1088" t="str">
        <f t="shared" si="0"/>
        <v/>
      </c>
      <c r="J6" s="1088" t="str">
        <f t="shared" si="1"/>
        <v/>
      </c>
      <c r="K6" s="107"/>
      <c r="L6" s="164"/>
    </row>
    <row r="7" spans="1:12">
      <c r="A7" s="1088" t="str">
        <f>Application!B721</f>
        <v>1 Bedroom</v>
      </c>
      <c r="B7" s="1089">
        <f>Application!G721</f>
        <v>6</v>
      </c>
      <c r="C7" s="1090"/>
      <c r="D7" s="1088">
        <f>Application!O721</f>
        <v>755</v>
      </c>
      <c r="E7" s="254"/>
      <c r="F7" s="1091"/>
      <c r="G7" s="1088">
        <f t="shared" si="2"/>
        <v>0</v>
      </c>
      <c r="H7" s="254"/>
      <c r="I7" s="1088" t="str">
        <f t="shared" si="0"/>
        <v/>
      </c>
      <c r="J7" s="1088" t="str">
        <f t="shared" si="1"/>
        <v/>
      </c>
      <c r="K7" s="107"/>
      <c r="L7" s="164"/>
    </row>
    <row r="8" spans="1:12">
      <c r="A8" s="1088" t="str">
        <f>Application!B722</f>
        <v>2 Bedrooms</v>
      </c>
      <c r="B8" s="1089">
        <f>Application!G722</f>
        <v>16</v>
      </c>
      <c r="C8" s="1090"/>
      <c r="D8" s="1088">
        <f>Application!O722</f>
        <v>2263</v>
      </c>
      <c r="E8" s="254"/>
      <c r="F8" s="1091"/>
      <c r="G8" s="1088">
        <f t="shared" si="2"/>
        <v>0</v>
      </c>
      <c r="H8" s="254"/>
      <c r="I8" s="1088" t="str">
        <f t="shared" si="0"/>
        <v/>
      </c>
      <c r="J8" s="1088" t="str">
        <f t="shared" si="1"/>
        <v/>
      </c>
      <c r="K8" s="107"/>
      <c r="L8" s="164"/>
    </row>
    <row r="9" spans="1:12">
      <c r="A9" s="1088" t="str">
        <f>Application!B723</f>
        <v>2 Bedrooms</v>
      </c>
      <c r="B9" s="1089">
        <f>Application!G723</f>
        <v>11</v>
      </c>
      <c r="C9" s="1090"/>
      <c r="D9" s="1088">
        <f>Application!O723</f>
        <v>1922</v>
      </c>
      <c r="E9" s="254"/>
      <c r="F9" s="1091"/>
      <c r="G9" s="1088">
        <f t="shared" si="2"/>
        <v>0</v>
      </c>
      <c r="H9" s="254"/>
      <c r="I9" s="1088" t="str">
        <f t="shared" si="0"/>
        <v/>
      </c>
      <c r="J9" s="1088" t="str">
        <f t="shared" si="1"/>
        <v/>
      </c>
      <c r="K9" s="107"/>
      <c r="L9" s="164"/>
    </row>
    <row r="10" spans="1:12">
      <c r="A10" s="1088" t="str">
        <f>Application!B724</f>
        <v>2 Bedrooms</v>
      </c>
      <c r="B10" s="1089">
        <f>Application!G724</f>
        <v>4</v>
      </c>
      <c r="C10" s="1090"/>
      <c r="D10" s="1088">
        <f>Application!O724</f>
        <v>1581</v>
      </c>
      <c r="E10" s="254"/>
      <c r="F10" s="1091"/>
      <c r="G10" s="1088">
        <f t="shared" si="2"/>
        <v>0</v>
      </c>
      <c r="H10" s="254"/>
      <c r="I10" s="1088" t="str">
        <f t="shared" si="0"/>
        <v/>
      </c>
      <c r="J10" s="1088" t="str">
        <f t="shared" si="1"/>
        <v/>
      </c>
      <c r="K10" s="107"/>
      <c r="L10" s="164"/>
    </row>
    <row r="11" spans="1:12">
      <c r="A11" s="1088" t="str">
        <f>Application!B725</f>
        <v>2 Bedrooms</v>
      </c>
      <c r="B11" s="1089">
        <f>Application!G725</f>
        <v>4</v>
      </c>
      <c r="C11" s="1090"/>
      <c r="D11" s="1088">
        <f>Application!O725</f>
        <v>900</v>
      </c>
      <c r="E11" s="254"/>
      <c r="F11" s="1091"/>
      <c r="G11" s="1088">
        <f t="shared" si="2"/>
        <v>0</v>
      </c>
      <c r="H11" s="254"/>
      <c r="I11" s="1088" t="str">
        <f t="shared" si="0"/>
        <v/>
      </c>
      <c r="J11" s="1088" t="str">
        <f t="shared" si="1"/>
        <v/>
      </c>
      <c r="K11" s="107"/>
      <c r="L11" s="164"/>
    </row>
    <row r="12" spans="1:12">
      <c r="A12" s="1088" t="str">
        <f>Application!B726</f>
        <v>3 Bedrooms</v>
      </c>
      <c r="B12" s="1089">
        <f>Application!G726</f>
        <v>16</v>
      </c>
      <c r="C12" s="1090"/>
      <c r="D12" s="1088">
        <f>Application!O726</f>
        <v>2607</v>
      </c>
      <c r="E12" s="254"/>
      <c r="F12" s="1091"/>
      <c r="G12" s="1088">
        <f t="shared" si="2"/>
        <v>0</v>
      </c>
      <c r="H12" s="254"/>
      <c r="I12" s="1088" t="str">
        <f t="shared" si="0"/>
        <v/>
      </c>
      <c r="J12" s="1088" t="str">
        <f t="shared" si="1"/>
        <v/>
      </c>
      <c r="K12" s="107"/>
      <c r="L12" s="164"/>
    </row>
    <row r="13" spans="1:12">
      <c r="A13" s="1088" t="str">
        <f>Application!B727</f>
        <v>3 Bedrooms</v>
      </c>
      <c r="B13" s="1089">
        <f>Application!G727</f>
        <v>11</v>
      </c>
      <c r="C13" s="1090"/>
      <c r="D13" s="1088">
        <f>Application!O727</f>
        <v>2213</v>
      </c>
      <c r="E13" s="254"/>
      <c r="F13" s="1091"/>
      <c r="G13" s="1088">
        <f t="shared" si="2"/>
        <v>0</v>
      </c>
      <c r="H13" s="254"/>
      <c r="I13" s="1088" t="str">
        <f t="shared" si="0"/>
        <v/>
      </c>
      <c r="J13" s="1088" t="str">
        <f t="shared" si="1"/>
        <v/>
      </c>
      <c r="K13" s="107"/>
      <c r="L13" s="164"/>
    </row>
    <row r="14" spans="1:12">
      <c r="A14" s="1088" t="str">
        <f>Application!B728</f>
        <v>3 Bedrooms</v>
      </c>
      <c r="B14" s="1089">
        <f>Application!G728</f>
        <v>4</v>
      </c>
      <c r="C14" s="1090"/>
      <c r="D14" s="1088">
        <f>Application!O728</f>
        <v>1819</v>
      </c>
      <c r="E14" s="254"/>
      <c r="F14" s="1091"/>
      <c r="G14" s="1088">
        <f t="shared" si="2"/>
        <v>0</v>
      </c>
      <c r="H14" s="254"/>
      <c r="I14" s="1088" t="str">
        <f t="shared" si="0"/>
        <v/>
      </c>
      <c r="J14" s="1088" t="str">
        <f t="shared" si="1"/>
        <v/>
      </c>
      <c r="K14" s="107"/>
      <c r="L14" s="164"/>
    </row>
    <row r="15" spans="1:12">
      <c r="A15" s="1088" t="str">
        <f>Application!B729</f>
        <v>3 Bedrooms</v>
      </c>
      <c r="B15" s="1089">
        <f>Application!G729</f>
        <v>4</v>
      </c>
      <c r="C15" s="1090"/>
      <c r="D15" s="1088">
        <f>Application!O729</f>
        <v>1031</v>
      </c>
      <c r="E15" s="254"/>
      <c r="F15" s="1091"/>
      <c r="G15" s="1088">
        <f t="shared" si="2"/>
        <v>0</v>
      </c>
      <c r="H15" s="254"/>
      <c r="I15" s="1088" t="str">
        <f t="shared" si="0"/>
        <v/>
      </c>
      <c r="J15" s="1088" t="str">
        <f t="shared" si="1"/>
        <v/>
      </c>
      <c r="K15" s="107"/>
      <c r="L15" s="164"/>
    </row>
    <row r="16" spans="1:12">
      <c r="A16" s="1088">
        <f>Application!B730</f>
        <v>0</v>
      </c>
      <c r="B16" s="1089">
        <f>Application!G730</f>
        <v>0</v>
      </c>
      <c r="C16" s="1090"/>
      <c r="D16" s="1088">
        <f>Application!O730</f>
        <v>0</v>
      </c>
      <c r="E16" s="254"/>
      <c r="F16" s="1091"/>
      <c r="G16" s="1088">
        <f t="shared" si="2"/>
        <v>0</v>
      </c>
      <c r="H16" s="254"/>
      <c r="I16" s="1088" t="str">
        <f t="shared" si="0"/>
        <v/>
      </c>
      <c r="J16" s="1088" t="str">
        <f t="shared" si="1"/>
        <v/>
      </c>
      <c r="K16" s="107"/>
      <c r="L16" s="164"/>
    </row>
    <row r="17" spans="1:12">
      <c r="A17" s="1088">
        <f>Application!B731</f>
        <v>0</v>
      </c>
      <c r="B17" s="1089">
        <f>Application!G731</f>
        <v>0</v>
      </c>
      <c r="C17" s="1090"/>
      <c r="D17" s="1088">
        <f>Application!O731</f>
        <v>0</v>
      </c>
      <c r="E17" s="254"/>
      <c r="F17" s="1091"/>
      <c r="G17" s="1088">
        <f t="shared" si="2"/>
        <v>0</v>
      </c>
      <c r="H17" s="254"/>
      <c r="I17" s="1088" t="str">
        <f t="shared" si="0"/>
        <v/>
      </c>
      <c r="J17" s="1088" t="str">
        <f t="shared" si="1"/>
        <v/>
      </c>
      <c r="K17" s="107"/>
      <c r="L17" s="164"/>
    </row>
    <row r="18" spans="1:12">
      <c r="A18" s="1088">
        <f>Application!B732</f>
        <v>0</v>
      </c>
      <c r="B18" s="1089">
        <f>Application!G732</f>
        <v>0</v>
      </c>
      <c r="C18" s="1090"/>
      <c r="D18" s="1088">
        <f>Application!O732</f>
        <v>0</v>
      </c>
      <c r="E18" s="254"/>
      <c r="F18" s="1091"/>
      <c r="G18" s="1088">
        <f t="shared" si="2"/>
        <v>0</v>
      </c>
      <c r="H18" s="254"/>
      <c r="I18" s="1088" t="str">
        <f t="shared" si="0"/>
        <v/>
      </c>
      <c r="J18" s="1088" t="str">
        <f t="shared" si="1"/>
        <v/>
      </c>
      <c r="K18" s="107"/>
      <c r="L18" s="164"/>
    </row>
    <row r="19" spans="1:12">
      <c r="A19" s="1088">
        <f>Application!B733</f>
        <v>0</v>
      </c>
      <c r="B19" s="1089">
        <f>Application!G733</f>
        <v>0</v>
      </c>
      <c r="C19" s="1090"/>
      <c r="D19" s="1088">
        <f>Application!O733</f>
        <v>0</v>
      </c>
      <c r="E19" s="254"/>
      <c r="F19" s="1091"/>
      <c r="G19" s="1088">
        <f t="shared" si="2"/>
        <v>0</v>
      </c>
      <c r="H19" s="254"/>
      <c r="I19" s="1088" t="str">
        <f t="shared" si="0"/>
        <v/>
      </c>
      <c r="J19" s="1088" t="str">
        <f t="shared" si="1"/>
        <v/>
      </c>
      <c r="K19" s="107"/>
      <c r="L19" s="164"/>
    </row>
    <row r="20" spans="1:12">
      <c r="A20" s="1088">
        <f>Application!B734</f>
        <v>0</v>
      </c>
      <c r="B20" s="1089">
        <f>Application!G734</f>
        <v>0</v>
      </c>
      <c r="C20" s="1090"/>
      <c r="D20" s="1088">
        <f>Application!O734</f>
        <v>0</v>
      </c>
      <c r="E20" s="254"/>
      <c r="F20" s="1091"/>
      <c r="G20" s="1088">
        <f t="shared" si="2"/>
        <v>0</v>
      </c>
      <c r="H20" s="254"/>
      <c r="I20" s="1088" t="str">
        <f t="shared" si="0"/>
        <v/>
      </c>
      <c r="J20" s="1088" t="str">
        <f t="shared" si="1"/>
        <v/>
      </c>
      <c r="K20" s="107"/>
      <c r="L20" s="164"/>
    </row>
    <row r="21" spans="1:12">
      <c r="A21" s="1088">
        <f>Application!B735</f>
        <v>0</v>
      </c>
      <c r="B21" s="1089">
        <f>Application!G735</f>
        <v>0</v>
      </c>
      <c r="C21" s="1090"/>
      <c r="D21" s="1088">
        <f>Application!O735</f>
        <v>0</v>
      </c>
      <c r="E21" s="254"/>
      <c r="F21" s="1091"/>
      <c r="G21" s="1088">
        <f t="shared" si="2"/>
        <v>0</v>
      </c>
      <c r="H21" s="254"/>
      <c r="I21" s="1088" t="str">
        <f t="shared" si="0"/>
        <v/>
      </c>
      <c r="J21" s="1088" t="str">
        <f t="shared" si="1"/>
        <v/>
      </c>
      <c r="K21" s="107"/>
      <c r="L21" s="164"/>
    </row>
    <row r="22" spans="1:12">
      <c r="A22" s="1088">
        <f>Application!B736</f>
        <v>0</v>
      </c>
      <c r="B22" s="1089">
        <f>Application!G736</f>
        <v>0</v>
      </c>
      <c r="C22" s="1090"/>
      <c r="D22" s="1088">
        <f>Application!O736</f>
        <v>0</v>
      </c>
      <c r="E22" s="254"/>
      <c r="F22" s="1091"/>
      <c r="G22" s="1088">
        <f t="shared" si="2"/>
        <v>0</v>
      </c>
      <c r="H22" s="254"/>
      <c r="I22" s="1088" t="str">
        <f t="shared" si="0"/>
        <v/>
      </c>
      <c r="J22" s="1088" t="str">
        <f t="shared" si="1"/>
        <v/>
      </c>
      <c r="K22" s="107"/>
      <c r="L22" s="164"/>
    </row>
    <row r="23" spans="1:12">
      <c r="A23" s="1088">
        <f>Application!B737</f>
        <v>0</v>
      </c>
      <c r="B23" s="1089">
        <f>Application!G737</f>
        <v>0</v>
      </c>
      <c r="C23" s="1090"/>
      <c r="D23" s="1088">
        <f>Application!O737</f>
        <v>0</v>
      </c>
      <c r="E23" s="254"/>
      <c r="F23" s="1091"/>
      <c r="G23" s="1088">
        <f t="shared" si="2"/>
        <v>0</v>
      </c>
      <c r="H23" s="254"/>
      <c r="I23" s="1088" t="str">
        <f t="shared" si="0"/>
        <v/>
      </c>
      <c r="J23" s="1088" t="str">
        <f t="shared" si="1"/>
        <v/>
      </c>
      <c r="K23" s="107"/>
      <c r="L23" s="164"/>
    </row>
    <row r="24" spans="1:12">
      <c r="A24" s="1088">
        <f>Application!B738</f>
        <v>0</v>
      </c>
      <c r="B24" s="1089">
        <f>Application!G738</f>
        <v>0</v>
      </c>
      <c r="C24" s="1090"/>
      <c r="D24" s="1088">
        <f>Application!O738</f>
        <v>0</v>
      </c>
      <c r="E24" s="254"/>
      <c r="F24" s="1091"/>
      <c r="G24" s="1088">
        <f t="shared" si="2"/>
        <v>0</v>
      </c>
      <c r="H24" s="254"/>
      <c r="I24" s="1088" t="str">
        <f t="shared" si="0"/>
        <v/>
      </c>
      <c r="J24" s="1088" t="str">
        <f t="shared" si="1"/>
        <v/>
      </c>
      <c r="K24" s="107"/>
      <c r="L24" s="164"/>
    </row>
    <row r="25" spans="1:12">
      <c r="A25" s="1088">
        <f>Application!B739</f>
        <v>0</v>
      </c>
      <c r="B25" s="1089">
        <f>Application!G739</f>
        <v>0</v>
      </c>
      <c r="C25" s="1090"/>
      <c r="D25" s="1088">
        <f>Application!O739</f>
        <v>0</v>
      </c>
      <c r="E25" s="254"/>
      <c r="F25" s="1091"/>
      <c r="G25" s="1088">
        <f t="shared" si="2"/>
        <v>0</v>
      </c>
      <c r="H25" s="254"/>
      <c r="I25" s="1088" t="str">
        <f t="shared" si="0"/>
        <v/>
      </c>
      <c r="J25" s="1088" t="str">
        <f t="shared" si="1"/>
        <v/>
      </c>
      <c r="K25" s="107"/>
      <c r="L25" s="164"/>
    </row>
    <row r="26" spans="1:12">
      <c r="A26" s="1088">
        <f>Application!B740</f>
        <v>0</v>
      </c>
      <c r="B26" s="1089">
        <f>Application!G740</f>
        <v>0</v>
      </c>
      <c r="C26" s="1090"/>
      <c r="D26" s="1088">
        <f>Application!O740</f>
        <v>0</v>
      </c>
      <c r="E26" s="254"/>
      <c r="F26" s="1091"/>
      <c r="G26" s="1088">
        <f t="shared" si="2"/>
        <v>0</v>
      </c>
      <c r="H26" s="254"/>
      <c r="I26" s="1088" t="str">
        <f t="shared" si="0"/>
        <v/>
      </c>
      <c r="J26" s="1088" t="str">
        <f t="shared" si="1"/>
        <v/>
      </c>
      <c r="K26" s="107"/>
      <c r="L26" s="164"/>
    </row>
    <row r="27" spans="1:12">
      <c r="A27" s="1088">
        <f>Application!B741</f>
        <v>0</v>
      </c>
      <c r="B27" s="1089">
        <f>Application!G741</f>
        <v>0</v>
      </c>
      <c r="C27" s="1090"/>
      <c r="D27" s="1088">
        <f>Application!O741</f>
        <v>0</v>
      </c>
      <c r="E27" s="254"/>
      <c r="F27" s="1091"/>
      <c r="G27" s="1088">
        <f t="shared" si="2"/>
        <v>0</v>
      </c>
      <c r="H27" s="254"/>
      <c r="I27" s="1088" t="str">
        <f t="shared" si="0"/>
        <v/>
      </c>
      <c r="J27" s="1088" t="str">
        <f t="shared" si="1"/>
        <v/>
      </c>
      <c r="K27" s="107"/>
      <c r="L27" s="164"/>
    </row>
    <row r="28" spans="1:12">
      <c r="A28" s="1088">
        <f>Application!B742</f>
        <v>0</v>
      </c>
      <c r="B28" s="1089">
        <f>Application!G742</f>
        <v>0</v>
      </c>
      <c r="C28" s="1090"/>
      <c r="D28" s="1088">
        <f>Application!O742</f>
        <v>0</v>
      </c>
      <c r="E28" s="254"/>
      <c r="F28" s="1091"/>
      <c r="G28" s="1088">
        <f t="shared" si="2"/>
        <v>0</v>
      </c>
      <c r="H28" s="254"/>
      <c r="I28" s="1088" t="str">
        <f t="shared" ref="I28:I37" si="3">IF(F28=0,"",(F28-D28))</f>
        <v/>
      </c>
      <c r="J28" s="1088" t="str">
        <f t="shared" ref="J28:J37" si="4">IF(F28=0,"",(I28*B28))</f>
        <v/>
      </c>
      <c r="K28" s="107"/>
      <c r="L28" s="164"/>
    </row>
    <row r="29" spans="1:12">
      <c r="A29" s="1088">
        <f>Application!B743</f>
        <v>0</v>
      </c>
      <c r="B29" s="1089">
        <f>Application!G743</f>
        <v>0</v>
      </c>
      <c r="C29" s="1090"/>
      <c r="D29" s="1088">
        <f>Application!O743</f>
        <v>0</v>
      </c>
      <c r="E29" s="254"/>
      <c r="F29" s="1091"/>
      <c r="G29" s="1088">
        <f t="shared" si="2"/>
        <v>0</v>
      </c>
      <c r="H29" s="254"/>
      <c r="I29" s="1088" t="str">
        <f t="shared" si="3"/>
        <v/>
      </c>
      <c r="J29" s="1088" t="str">
        <f t="shared" si="4"/>
        <v/>
      </c>
      <c r="K29" s="107"/>
      <c r="L29" s="164"/>
    </row>
    <row r="30" spans="1:12">
      <c r="A30" s="1088">
        <f>Application!B744</f>
        <v>0</v>
      </c>
      <c r="B30" s="1089">
        <f>Application!G744</f>
        <v>0</v>
      </c>
      <c r="C30" s="1090"/>
      <c r="D30" s="1088">
        <f>Application!O744</f>
        <v>0</v>
      </c>
      <c r="E30" s="254"/>
      <c r="F30" s="1091"/>
      <c r="G30" s="1088">
        <f t="shared" si="2"/>
        <v>0</v>
      </c>
      <c r="H30" s="254"/>
      <c r="I30" s="1088" t="str">
        <f t="shared" si="3"/>
        <v/>
      </c>
      <c r="J30" s="1088" t="str">
        <f t="shared" si="4"/>
        <v/>
      </c>
      <c r="K30" s="107"/>
      <c r="L30" s="164"/>
    </row>
    <row r="31" spans="1:12">
      <c r="A31" s="1088">
        <f>Application!B745</f>
        <v>0</v>
      </c>
      <c r="B31" s="1089">
        <f>Application!G745</f>
        <v>0</v>
      </c>
      <c r="C31" s="1090"/>
      <c r="D31" s="1088">
        <f>Application!O745</f>
        <v>0</v>
      </c>
      <c r="E31" s="254"/>
      <c r="F31" s="1091"/>
      <c r="G31" s="1088">
        <f t="shared" si="2"/>
        <v>0</v>
      </c>
      <c r="H31" s="254"/>
      <c r="I31" s="1088" t="str">
        <f t="shared" si="3"/>
        <v/>
      </c>
      <c r="J31" s="1088" t="str">
        <f t="shared" si="4"/>
        <v/>
      </c>
      <c r="K31" s="107"/>
      <c r="L31" s="164"/>
    </row>
    <row r="32" spans="1:12">
      <c r="A32" s="1088">
        <f>Application!B746</f>
        <v>0</v>
      </c>
      <c r="B32" s="1089">
        <f>Application!G746</f>
        <v>0</v>
      </c>
      <c r="C32" s="1090"/>
      <c r="D32" s="1088">
        <f>Application!O746</f>
        <v>0</v>
      </c>
      <c r="E32" s="254"/>
      <c r="F32" s="1091"/>
      <c r="G32" s="1088">
        <f t="shared" si="2"/>
        <v>0</v>
      </c>
      <c r="H32" s="254"/>
      <c r="I32" s="1088" t="str">
        <f t="shared" si="3"/>
        <v/>
      </c>
      <c r="J32" s="1088" t="str">
        <f t="shared" si="4"/>
        <v/>
      </c>
      <c r="K32" s="107"/>
      <c r="L32" s="164"/>
    </row>
    <row r="33" spans="1:12">
      <c r="A33" s="1088">
        <f>Application!B747</f>
        <v>0</v>
      </c>
      <c r="B33" s="1089">
        <f>Application!G747</f>
        <v>0</v>
      </c>
      <c r="C33" s="1090"/>
      <c r="D33" s="1088">
        <f>Application!O747</f>
        <v>0</v>
      </c>
      <c r="E33" s="254"/>
      <c r="F33" s="1091"/>
      <c r="G33" s="1088">
        <f t="shared" si="2"/>
        <v>0</v>
      </c>
      <c r="H33" s="254"/>
      <c r="I33" s="1088" t="str">
        <f t="shared" si="3"/>
        <v/>
      </c>
      <c r="J33" s="1088" t="str">
        <f t="shared" si="4"/>
        <v/>
      </c>
      <c r="K33" s="107"/>
      <c r="L33" s="164"/>
    </row>
    <row r="34" spans="1:12">
      <c r="A34" s="1088">
        <f>Application!B748</f>
        <v>0</v>
      </c>
      <c r="B34" s="1089">
        <f>Application!G748</f>
        <v>0</v>
      </c>
      <c r="C34" s="1090"/>
      <c r="D34" s="1088">
        <f>Application!O748</f>
        <v>0</v>
      </c>
      <c r="E34" s="254"/>
      <c r="F34" s="1091"/>
      <c r="G34" s="1088">
        <f t="shared" si="2"/>
        <v>0</v>
      </c>
      <c r="H34" s="254"/>
      <c r="I34" s="1088" t="str">
        <f t="shared" si="3"/>
        <v/>
      </c>
      <c r="J34" s="1088" t="str">
        <f t="shared" si="4"/>
        <v/>
      </c>
      <c r="K34" s="107"/>
      <c r="L34" s="164"/>
    </row>
    <row r="35" spans="1:12">
      <c r="A35" s="1088">
        <f>Application!B749</f>
        <v>0</v>
      </c>
      <c r="B35" s="1089">
        <f>Application!G749</f>
        <v>0</v>
      </c>
      <c r="C35" s="1090"/>
      <c r="D35" s="1088">
        <f>Application!O749</f>
        <v>0</v>
      </c>
      <c r="E35" s="254"/>
      <c r="F35" s="1091"/>
      <c r="G35" s="1088">
        <f t="shared" si="2"/>
        <v>0</v>
      </c>
      <c r="H35" s="254"/>
      <c r="I35" s="1088" t="str">
        <f t="shared" si="3"/>
        <v/>
      </c>
      <c r="J35" s="1088" t="str">
        <f t="shared" si="4"/>
        <v/>
      </c>
      <c r="K35" s="107"/>
      <c r="L35" s="164"/>
    </row>
    <row r="36" spans="1:12">
      <c r="A36" s="1088">
        <f>Application!B750</f>
        <v>0</v>
      </c>
      <c r="B36" s="1089">
        <f>Application!G750</f>
        <v>0</v>
      </c>
      <c r="C36" s="1090"/>
      <c r="D36" s="1088">
        <f>Application!O750</f>
        <v>0</v>
      </c>
      <c r="E36" s="254"/>
      <c r="F36" s="1091"/>
      <c r="G36" s="1088">
        <f t="shared" si="2"/>
        <v>0</v>
      </c>
      <c r="H36" s="254"/>
      <c r="I36" s="1088" t="str">
        <f t="shared" si="3"/>
        <v/>
      </c>
      <c r="J36" s="1088" t="str">
        <f t="shared" si="4"/>
        <v/>
      </c>
      <c r="K36" s="107"/>
      <c r="L36" s="164"/>
    </row>
    <row r="37" spans="1:12">
      <c r="A37" s="1088">
        <f>Application!B751</f>
        <v>0</v>
      </c>
      <c r="B37" s="1089">
        <f>Application!G751</f>
        <v>0</v>
      </c>
      <c r="C37" s="1090"/>
      <c r="D37" s="1088">
        <f>Application!O751</f>
        <v>0</v>
      </c>
      <c r="E37" s="254"/>
      <c r="F37" s="1091"/>
      <c r="G37" s="1088">
        <f t="shared" si="2"/>
        <v>0</v>
      </c>
      <c r="H37" s="254"/>
      <c r="I37" s="1088" t="str">
        <f t="shared" si="3"/>
        <v/>
      </c>
      <c r="J37" s="1088" t="str">
        <f t="shared" si="4"/>
        <v/>
      </c>
      <c r="K37" s="107"/>
      <c r="L37" s="164"/>
    </row>
    <row r="38" spans="1:12">
      <c r="A38" s="1088">
        <f>Application!B752</f>
        <v>0</v>
      </c>
      <c r="B38" s="1089">
        <f>Application!G752</f>
        <v>0</v>
      </c>
      <c r="C38" s="1090"/>
      <c r="D38" s="1088">
        <f>Application!O752</f>
        <v>0</v>
      </c>
      <c r="E38" s="254"/>
      <c r="F38" s="1091"/>
      <c r="G38" s="1088">
        <f t="shared" si="2"/>
        <v>0</v>
      </c>
      <c r="H38" s="254"/>
      <c r="I38" s="1088" t="str">
        <f>IF(F38=0,"",(F38-D38))</f>
        <v/>
      </c>
      <c r="J38" s="1088" t="str">
        <f>IF(F38=0,"",(I38*B38))</f>
        <v/>
      </c>
      <c r="K38" s="107"/>
      <c r="L38" s="164"/>
    </row>
    <row r="39" spans="1:12">
      <c r="A39" s="107"/>
      <c r="B39" s="107"/>
      <c r="C39" s="107"/>
      <c r="D39" s="254"/>
      <c r="E39" s="254"/>
      <c r="F39" s="254"/>
      <c r="G39" s="254"/>
      <c r="H39" s="254"/>
      <c r="I39" s="254"/>
      <c r="J39" s="107"/>
      <c r="K39" s="107"/>
      <c r="L39" s="164"/>
    </row>
    <row r="40" spans="1:12">
      <c r="A40" s="255" t="s">
        <v>2690</v>
      </c>
      <c r="B40" s="256"/>
      <c r="C40" s="256"/>
      <c r="D40" s="1092">
        <f>Application!O753</f>
        <v>235760</v>
      </c>
      <c r="E40" s="254"/>
      <c r="F40" s="254"/>
      <c r="G40" s="1092">
        <f>SUM(G4:G38)*12</f>
        <v>0</v>
      </c>
      <c r="H40" s="257"/>
      <c r="I40" s="256"/>
      <c r="J40" s="1092">
        <f>SUM(J4:J38)*12</f>
        <v>0</v>
      </c>
      <c r="K40" s="107"/>
      <c r="L40" s="165"/>
    </row>
    <row r="41" spans="1:12">
      <c r="A41" s="255"/>
      <c r="B41" s="256"/>
      <c r="C41" s="256"/>
      <c r="D41" s="257"/>
      <c r="E41" s="254"/>
      <c r="F41" s="254"/>
      <c r="G41" s="257"/>
      <c r="H41" s="257"/>
      <c r="I41" s="256"/>
      <c r="J41" s="257"/>
      <c r="K41" s="107"/>
      <c r="L41" s="165"/>
    </row>
    <row r="42" spans="1:12">
      <c r="A42" s="163" t="s">
        <v>2691</v>
      </c>
    </row>
    <row r="43" spans="1:12">
      <c r="A43" s="2621" t="s">
        <v>2692</v>
      </c>
      <c r="B43" s="2621"/>
      <c r="C43" s="2621"/>
      <c r="D43" s="2621"/>
      <c r="E43" s="2621"/>
      <c r="F43" s="2621"/>
      <c r="G43" s="2621"/>
      <c r="H43" s="2621"/>
      <c r="I43" s="2621"/>
      <c r="J43" s="2621"/>
    </row>
    <row r="44" spans="1:12">
      <c r="A44" s="2621"/>
      <c r="B44" s="2621"/>
      <c r="C44" s="2621"/>
      <c r="D44" s="2621"/>
      <c r="E44" s="2621"/>
      <c r="F44" s="2621"/>
      <c r="G44" s="2621"/>
      <c r="H44" s="2621"/>
      <c r="I44" s="2621"/>
      <c r="J44" s="2621"/>
    </row>
    <row r="45" spans="1:12">
      <c r="A45" s="2621" t="s">
        <v>2693</v>
      </c>
      <c r="B45" s="2621"/>
      <c r="C45" s="2621"/>
      <c r="D45" s="2621"/>
      <c r="E45" s="2621"/>
      <c r="F45" s="2621"/>
      <c r="G45" s="2621"/>
      <c r="H45" s="2621"/>
      <c r="I45" s="2621"/>
      <c r="J45" s="2621"/>
    </row>
    <row r="46" spans="1:12">
      <c r="A46" s="2621"/>
      <c r="B46" s="2621"/>
      <c r="C46" s="2621"/>
      <c r="D46" s="2621"/>
      <c r="E46" s="2621"/>
      <c r="F46" s="2621"/>
      <c r="G46" s="2621"/>
      <c r="H46" s="2621"/>
      <c r="I46" s="2621"/>
      <c r="J46" s="262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6" workbookViewId="0">
      <selection activeCell="E65" sqref="E65"/>
    </sheetView>
  </sheetViews>
  <sheetFormatPr defaultColWidth="0" defaultRowHeight="13.2" zeroHeight="1"/>
  <cols>
    <col min="1" max="1" width="3.6640625" customWidth="1"/>
    <col min="2" max="2" width="30.44140625" customWidth="1"/>
    <col min="3" max="3" width="9.109375" style="1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112" t="s">
        <v>2694</v>
      </c>
      <c r="B1" s="112"/>
    </row>
    <row r="2" spans="1:34"/>
    <row r="3" spans="1:34" ht="15.6">
      <c r="A3" s="113" t="s">
        <v>2695</v>
      </c>
      <c r="B3" s="113"/>
      <c r="C3" s="134" t="s">
        <v>2696</v>
      </c>
      <c r="D3" s="1150"/>
      <c r="E3" s="135" t="s">
        <v>2697</v>
      </c>
      <c r="F3" s="106"/>
      <c r="G3" s="135" t="s">
        <v>2698</v>
      </c>
      <c r="H3" s="106"/>
      <c r="I3" s="135" t="s">
        <v>2699</v>
      </c>
      <c r="J3" s="106"/>
      <c r="K3" s="135" t="s">
        <v>2700</v>
      </c>
      <c r="L3" s="106"/>
      <c r="M3" s="135" t="s">
        <v>2701</v>
      </c>
      <c r="N3" s="106"/>
      <c r="O3" s="135" t="s">
        <v>2702</v>
      </c>
      <c r="P3" s="106"/>
      <c r="Q3" s="135" t="s">
        <v>2703</v>
      </c>
      <c r="R3" s="106"/>
      <c r="S3" s="135" t="s">
        <v>2704</v>
      </c>
      <c r="T3" s="106"/>
      <c r="U3" s="135" t="s">
        <v>2705</v>
      </c>
      <c r="V3" s="106"/>
      <c r="W3" s="135" t="s">
        <v>2706</v>
      </c>
      <c r="X3" s="106"/>
      <c r="Y3" s="135" t="s">
        <v>2707</v>
      </c>
      <c r="Z3" s="106"/>
      <c r="AA3" s="135" t="s">
        <v>2708</v>
      </c>
      <c r="AB3" s="106"/>
      <c r="AC3" s="135" t="s">
        <v>2709</v>
      </c>
      <c r="AD3" s="106"/>
      <c r="AE3" s="135" t="s">
        <v>2710</v>
      </c>
      <c r="AF3" s="106"/>
      <c r="AG3" s="135" t="s">
        <v>2711</v>
      </c>
      <c r="AH3" s="1150"/>
    </row>
    <row r="4" spans="1:34" s="119" customFormat="1" ht="13.8">
      <c r="A4" s="119" t="s">
        <v>2712</v>
      </c>
      <c r="C4" s="1093">
        <v>1.0249999999999999</v>
      </c>
      <c r="E4" s="119">
        <f>Application!Y801</f>
        <v>2829120</v>
      </c>
      <c r="G4" s="119">
        <f>E4*$C$4</f>
        <v>2899847.9999999995</v>
      </c>
      <c r="I4" s="119">
        <f>G4*$C$4</f>
        <v>2972344.1999999993</v>
      </c>
      <c r="K4" s="119">
        <f>I4*$C$4</f>
        <v>3046652.8049999988</v>
      </c>
      <c r="M4" s="119">
        <f>K4*$C$4</f>
        <v>3122819.1251249984</v>
      </c>
      <c r="O4" s="119">
        <f>M4*$C$4</f>
        <v>3200889.6032531229</v>
      </c>
      <c r="Q4" s="119">
        <f>O4*$C$4</f>
        <v>3280911.8433344509</v>
      </c>
      <c r="S4" s="119">
        <f>Q4*$C$4</f>
        <v>3362934.6394178118</v>
      </c>
      <c r="U4" s="119">
        <f>S4*$C$4</f>
        <v>3447008.005403257</v>
      </c>
      <c r="W4" s="119">
        <f>U4*$C$4</f>
        <v>3533183.2055383381</v>
      </c>
      <c r="Y4" s="119">
        <f>W4*$C$4</f>
        <v>3621512.785676796</v>
      </c>
      <c r="AA4" s="119">
        <f>Y4*$C$4</f>
        <v>3712050.6053187158</v>
      </c>
      <c r="AC4" s="119">
        <f>AA4*$C$4</f>
        <v>3804851.8704516832</v>
      </c>
      <c r="AE4" s="119">
        <f>AC4*$C$4</f>
        <v>3899973.1672129747</v>
      </c>
      <c r="AG4" s="119">
        <f>AE4*$C$4</f>
        <v>3997472.4963932987</v>
      </c>
    </row>
    <row r="5" spans="1:34" s="111" customFormat="1" ht="13.8">
      <c r="B5" s="111" t="s">
        <v>2280</v>
      </c>
      <c r="C5" s="1094">
        <f>IF(Application!$D$211="Special Needs",(((0.1*Application!$T$212)+(0.05*(1-Application!$T$212)))),0.05)</f>
        <v>0.05</v>
      </c>
      <c r="E5" s="121">
        <f>-E4*$C$5</f>
        <v>-141456</v>
      </c>
      <c r="F5" s="121"/>
      <c r="G5" s="121">
        <f>-G4*$C$5</f>
        <v>-144992.4</v>
      </c>
      <c r="H5" s="121"/>
      <c r="I5" s="121">
        <f>-I4*$C$5</f>
        <v>-148617.20999999996</v>
      </c>
      <c r="J5" s="121"/>
      <c r="K5" s="121">
        <f>-K4*$C$5</f>
        <v>-152332.64024999994</v>
      </c>
      <c r="L5" s="121"/>
      <c r="M5" s="121">
        <f>-M4*$C$5</f>
        <v>-156140.95625624992</v>
      </c>
      <c r="N5" s="121"/>
      <c r="O5" s="121">
        <f>-O4*$C$5</f>
        <v>-160044.48016265617</v>
      </c>
      <c r="P5" s="121"/>
      <c r="Q5" s="121">
        <f>-Q4*$C$5</f>
        <v>-164045.59216672255</v>
      </c>
      <c r="R5" s="121"/>
      <c r="S5" s="121">
        <f>-S4*$C$5</f>
        <v>-168146.7319708906</v>
      </c>
      <c r="T5" s="121"/>
      <c r="U5" s="121">
        <f>-U4*$C$5</f>
        <v>-172350.40027016285</v>
      </c>
      <c r="V5" s="121"/>
      <c r="W5" s="121">
        <f>-W4*$C$5</f>
        <v>-176659.16027691693</v>
      </c>
      <c r="X5" s="121"/>
      <c r="Y5" s="121">
        <f>-Y4*$C$5</f>
        <v>-181075.63928383982</v>
      </c>
      <c r="Z5" s="121"/>
      <c r="AA5" s="121">
        <f>-AA4*$C$5</f>
        <v>-185602.53026593581</v>
      </c>
      <c r="AB5" s="121"/>
      <c r="AC5" s="121">
        <f>-AC4*$C$5</f>
        <v>-190242.59352258418</v>
      </c>
      <c r="AD5" s="121"/>
      <c r="AE5" s="121">
        <f>-AE4*$C$5</f>
        <v>-194998.65836064875</v>
      </c>
      <c r="AF5" s="121"/>
      <c r="AG5" s="121">
        <f>-AG4*$C$5</f>
        <v>-199873.62481966495</v>
      </c>
    </row>
    <row r="6" spans="1:34" s="111" customFormat="1" ht="13.8">
      <c r="A6" s="111" t="s">
        <v>2713</v>
      </c>
      <c r="C6" s="1093">
        <v>1.0249999999999999</v>
      </c>
      <c r="E6" s="122">
        <f>Application!Z809</f>
        <v>0</v>
      </c>
      <c r="F6" s="122"/>
      <c r="G6" s="122">
        <f>E6*$C$6</f>
        <v>0</v>
      </c>
      <c r="H6" s="122"/>
      <c r="I6" s="122">
        <f>G6*$C$6</f>
        <v>0</v>
      </c>
      <c r="J6" s="122"/>
      <c r="K6" s="122">
        <f>I6*$C$6</f>
        <v>0</v>
      </c>
      <c r="L6" s="122"/>
      <c r="M6" s="122">
        <f>K6*$C$6</f>
        <v>0</v>
      </c>
      <c r="N6" s="122"/>
      <c r="O6" s="122">
        <f>M6*$C$6</f>
        <v>0</v>
      </c>
      <c r="P6" s="122"/>
      <c r="Q6" s="122">
        <f>O6*$C$6</f>
        <v>0</v>
      </c>
      <c r="R6" s="122"/>
      <c r="S6" s="122">
        <f>Q6*$C$6</f>
        <v>0</v>
      </c>
      <c r="T6" s="122"/>
      <c r="U6" s="122">
        <f>S6*$C$6</f>
        <v>0</v>
      </c>
      <c r="V6" s="122"/>
      <c r="W6" s="122">
        <f>U6*$C$6</f>
        <v>0</v>
      </c>
      <c r="X6" s="122"/>
      <c r="Y6" s="122">
        <f>W6*$C$6</f>
        <v>0</v>
      </c>
      <c r="Z6" s="122"/>
      <c r="AA6" s="122">
        <f>Y6*$C$6</f>
        <v>0</v>
      </c>
      <c r="AB6" s="122"/>
      <c r="AC6" s="122">
        <f>AA6*$C$6</f>
        <v>0</v>
      </c>
      <c r="AD6" s="122"/>
      <c r="AE6" s="122">
        <f>AC6*$C$6</f>
        <v>0</v>
      </c>
      <c r="AF6" s="122"/>
      <c r="AG6" s="122">
        <f>AE6*$C$6</f>
        <v>0</v>
      </c>
    </row>
    <row r="7" spans="1:34" s="111" customFormat="1" ht="13.8">
      <c r="B7" s="111" t="s">
        <v>2280</v>
      </c>
      <c r="C7" s="1094">
        <f>IF(Application!$D$211="Special Needs",(((0.1*Application!$T$212)+(0.05*(1-Application!$T$212)))),0.05)</f>
        <v>0.05</v>
      </c>
      <c r="E7" s="121">
        <f>-E6*$C$7</f>
        <v>0</v>
      </c>
      <c r="F7" s="121"/>
      <c r="G7" s="121">
        <f>-G6*$C$7</f>
        <v>0</v>
      </c>
      <c r="H7" s="121"/>
      <c r="I7" s="121">
        <f>-I6*$C$7</f>
        <v>0</v>
      </c>
      <c r="J7" s="121"/>
      <c r="K7" s="121">
        <f>-K6*$C$7</f>
        <v>0</v>
      </c>
      <c r="L7" s="121"/>
      <c r="M7" s="121">
        <f>-M6*$C$7</f>
        <v>0</v>
      </c>
      <c r="N7" s="121"/>
      <c r="O7" s="121">
        <f>-O6*$C$7</f>
        <v>0</v>
      </c>
      <c r="P7" s="121"/>
      <c r="Q7" s="121">
        <f>-Q6*$C$7</f>
        <v>0</v>
      </c>
      <c r="R7" s="121"/>
      <c r="S7" s="121">
        <f>-S6*$C$7</f>
        <v>0</v>
      </c>
      <c r="T7" s="121"/>
      <c r="U7" s="121">
        <f>-U6*$C$7</f>
        <v>0</v>
      </c>
      <c r="V7" s="121"/>
      <c r="W7" s="121">
        <f>-W6*$C$7</f>
        <v>0</v>
      </c>
      <c r="X7" s="121"/>
      <c r="Y7" s="121">
        <f>-Y6*$C$7</f>
        <v>0</v>
      </c>
      <c r="Z7" s="121"/>
      <c r="AA7" s="121">
        <f>-AA6*$C$7</f>
        <v>0</v>
      </c>
      <c r="AB7" s="121"/>
      <c r="AC7" s="121">
        <f>-AC6*$C$7</f>
        <v>0</v>
      </c>
      <c r="AD7" s="121"/>
      <c r="AE7" s="121">
        <f>-AE6*$C$7</f>
        <v>0</v>
      </c>
      <c r="AF7" s="121"/>
      <c r="AG7" s="121">
        <f>-AG6*$C$7</f>
        <v>0</v>
      </c>
    </row>
    <row r="8" spans="1:34" s="111" customFormat="1" ht="13.8">
      <c r="A8" s="111" t="s">
        <v>215</v>
      </c>
      <c r="C8" s="1093">
        <v>1.0249999999999999</v>
      </c>
      <c r="E8" s="122">
        <f>Application!Z817</f>
        <v>24624</v>
      </c>
      <c r="F8" s="122"/>
      <c r="G8" s="122">
        <f>E8*$C$8</f>
        <v>25239.599999999999</v>
      </c>
      <c r="H8" s="122"/>
      <c r="I8" s="122">
        <f>G8*$C$8</f>
        <v>25870.589999999997</v>
      </c>
      <c r="J8" s="122"/>
      <c r="K8" s="122">
        <f>I8*$C$8</f>
        <v>26517.354749999995</v>
      </c>
      <c r="L8" s="122"/>
      <c r="M8" s="122">
        <f>K8*$C$8</f>
        <v>27180.288618749993</v>
      </c>
      <c r="N8" s="122"/>
      <c r="O8" s="122">
        <f>M8*$C$8</f>
        <v>27859.795834218741</v>
      </c>
      <c r="P8" s="122"/>
      <c r="Q8" s="122">
        <f>O8*$C$8</f>
        <v>28556.290730074208</v>
      </c>
      <c r="R8" s="122"/>
      <c r="S8" s="122">
        <f>Q8*$C$8</f>
        <v>29270.197998326061</v>
      </c>
      <c r="T8" s="122"/>
      <c r="U8" s="122">
        <f>S8*$C$8</f>
        <v>30001.952948284208</v>
      </c>
      <c r="V8" s="122"/>
      <c r="W8" s="122">
        <f>U8*$C$8</f>
        <v>30752.001771991312</v>
      </c>
      <c r="X8" s="122"/>
      <c r="Y8" s="122">
        <f>W8*$C$8</f>
        <v>31520.801816291092</v>
      </c>
      <c r="Z8" s="122"/>
      <c r="AA8" s="122">
        <f>Y8*$C$8</f>
        <v>32308.821861698365</v>
      </c>
      <c r="AB8" s="122"/>
      <c r="AC8" s="122">
        <f>AA8*$C$8</f>
        <v>33116.542408240821</v>
      </c>
      <c r="AD8" s="122"/>
      <c r="AE8" s="122">
        <f>AC8*$C$8</f>
        <v>33944.45596844684</v>
      </c>
      <c r="AF8" s="122"/>
      <c r="AG8" s="122">
        <f>AE8*$C$8</f>
        <v>34793.067367658012</v>
      </c>
    </row>
    <row r="9" spans="1:34" s="111" customFormat="1" ht="13.8">
      <c r="B9" s="111" t="s">
        <v>2280</v>
      </c>
      <c r="C9" s="1094">
        <f>IF(Application!$D$211="Special Needs",(((0.1*Application!$T$212)+(0.05*(1-Application!$T$212)))),0.05)</f>
        <v>0.05</v>
      </c>
      <c r="E9" s="121">
        <f>-E8*$C$9</f>
        <v>-1231.2</v>
      </c>
      <c r="F9" s="121"/>
      <c r="G9" s="121">
        <f>-G8*$C$9</f>
        <v>-1261.98</v>
      </c>
      <c r="H9" s="121"/>
      <c r="I9" s="121">
        <f>-I8*$C$9</f>
        <v>-1293.5294999999999</v>
      </c>
      <c r="J9" s="121"/>
      <c r="K9" s="121">
        <f>-K8*$C$9</f>
        <v>-1325.8677374999997</v>
      </c>
      <c r="L9" s="121"/>
      <c r="M9" s="121">
        <f>-M8*$C$9</f>
        <v>-1359.0144309374998</v>
      </c>
      <c r="N9" s="121"/>
      <c r="O9" s="121">
        <f>-O8*$C$9</f>
        <v>-1392.9897917109372</v>
      </c>
      <c r="P9" s="121"/>
      <c r="Q9" s="121">
        <f>-Q8*$C$9</f>
        <v>-1427.8145365037105</v>
      </c>
      <c r="R9" s="121"/>
      <c r="S9" s="121">
        <f>-S8*$C$9</f>
        <v>-1463.5098999163031</v>
      </c>
      <c r="T9" s="121"/>
      <c r="U9" s="121">
        <f>-U8*$C$9</f>
        <v>-1500.0976474142105</v>
      </c>
      <c r="V9" s="121"/>
      <c r="W9" s="121">
        <f>-W8*$C$9</f>
        <v>-1537.6000885995657</v>
      </c>
      <c r="X9" s="121"/>
      <c r="Y9" s="121">
        <f>-Y8*$C$9</f>
        <v>-1576.0400908145548</v>
      </c>
      <c r="Z9" s="121"/>
      <c r="AA9" s="121">
        <f>-AA8*$C$9</f>
        <v>-1615.4410930849183</v>
      </c>
      <c r="AB9" s="121"/>
      <c r="AC9" s="121">
        <f>-AC8*$C$9</f>
        <v>-1655.827120412041</v>
      </c>
      <c r="AD9" s="121"/>
      <c r="AE9" s="121">
        <f>-AE8*$C$9</f>
        <v>-1697.2227984223421</v>
      </c>
      <c r="AF9" s="121"/>
      <c r="AG9" s="121">
        <f>-AG8*$C$9</f>
        <v>-1739.6533683829007</v>
      </c>
    </row>
    <row r="10" spans="1:34" s="111" customFormat="1" ht="13.8">
      <c r="A10" s="861" t="s">
        <v>2714</v>
      </c>
      <c r="B10" s="861"/>
      <c r="C10" s="1094"/>
      <c r="E10" s="862"/>
      <c r="F10" s="122"/>
      <c r="G10" s="862"/>
      <c r="H10" s="122"/>
      <c r="I10" s="862"/>
      <c r="J10" s="122"/>
      <c r="K10" s="862"/>
      <c r="L10" s="122"/>
      <c r="M10" s="862"/>
      <c r="N10" s="122"/>
      <c r="O10" s="862"/>
      <c r="P10" s="122"/>
      <c r="Q10" s="862"/>
      <c r="R10" s="122"/>
      <c r="S10" s="862"/>
      <c r="T10" s="122"/>
      <c r="U10" s="862"/>
      <c r="V10" s="122"/>
      <c r="W10" s="862"/>
      <c r="X10" s="122"/>
      <c r="Y10" s="862"/>
      <c r="Z10" s="122"/>
      <c r="AA10" s="862"/>
      <c r="AB10" s="122"/>
      <c r="AC10" s="862"/>
      <c r="AD10" s="122"/>
      <c r="AE10" s="862"/>
      <c r="AF10" s="122"/>
      <c r="AG10" s="862"/>
    </row>
    <row r="11" spans="1:34" s="123" customFormat="1" ht="13.8">
      <c r="A11" s="123" t="s">
        <v>2715</v>
      </c>
      <c r="C11" s="116"/>
      <c r="E11" s="123">
        <f>SUM(E4:E10)</f>
        <v>2711056.8</v>
      </c>
      <c r="G11" s="123">
        <f>SUM(G4:G10)</f>
        <v>2778833.2199999997</v>
      </c>
      <c r="I11" s="123">
        <f>SUM(I4:I10)</f>
        <v>2848304.050499999</v>
      </c>
      <c r="K11" s="123">
        <f>SUM(K4:K10)</f>
        <v>2919511.6517624985</v>
      </c>
      <c r="M11" s="123">
        <f>SUM(M4:M10)</f>
        <v>2992499.4430565611</v>
      </c>
      <c r="O11" s="123">
        <f>SUM(O4:O10)</f>
        <v>3067311.9291329742</v>
      </c>
      <c r="Q11" s="123">
        <f>SUM(Q4:Q10)</f>
        <v>3143994.7273612986</v>
      </c>
      <c r="S11" s="123">
        <f>SUM(S4:S10)</f>
        <v>3222594.5955453315</v>
      </c>
      <c r="U11" s="123">
        <f>SUM(U4:U10)</f>
        <v>3303159.4604339642</v>
      </c>
      <c r="W11" s="123">
        <f>SUM(W4:W10)</f>
        <v>3385738.4469448128</v>
      </c>
      <c r="Y11" s="123">
        <f>SUM(Y4:Y10)</f>
        <v>3470381.9081184329</v>
      </c>
      <c r="AA11" s="123">
        <f>SUM(AA4:AA10)</f>
        <v>3557141.4558213935</v>
      </c>
      <c r="AC11" s="123">
        <f>SUM(AC4:AC10)</f>
        <v>3646069.9922169279</v>
      </c>
      <c r="AE11" s="123">
        <f>SUM(AE4:AE10)</f>
        <v>3737221.7420223504</v>
      </c>
      <c r="AG11" s="123">
        <f>SUM(AG4:AG10)</f>
        <v>3830652.2855729093</v>
      </c>
    </row>
    <row r="12" spans="1:34">
      <c r="C12" s="710"/>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row>
    <row r="13" spans="1:34" ht="15.6">
      <c r="A13" s="113" t="s">
        <v>2716</v>
      </c>
      <c r="C13" s="710"/>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row>
    <row r="14" spans="1:34" s="111" customFormat="1" ht="13.8">
      <c r="A14" s="111" t="s">
        <v>2717</v>
      </c>
      <c r="C14" s="1093">
        <v>1.0349999999999999</v>
      </c>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row>
    <row r="15" spans="1:34" s="119" customFormat="1" ht="13.8">
      <c r="A15" s="119" t="s">
        <v>2718</v>
      </c>
      <c r="C15" s="717"/>
      <c r="E15" s="119">
        <f>Application!W847</f>
        <v>225953</v>
      </c>
      <c r="G15" s="119">
        <f>E15*$C$14</f>
        <v>233861.35499999998</v>
      </c>
      <c r="I15" s="119">
        <f>G15*$C$14</f>
        <v>242046.50242499996</v>
      </c>
      <c r="K15" s="119">
        <f>I15*$C$14</f>
        <v>250518.13000987493</v>
      </c>
      <c r="M15" s="119">
        <f>K15*$C$14</f>
        <v>259286.26456022053</v>
      </c>
      <c r="O15" s="119">
        <f>M15*$C$14</f>
        <v>268361.28381982824</v>
      </c>
      <c r="Q15" s="119">
        <f>O15*$C$14</f>
        <v>277753.92875352222</v>
      </c>
      <c r="S15" s="119">
        <f>Q15*$C$14</f>
        <v>287475.31625989545</v>
      </c>
      <c r="U15" s="119">
        <f>S15*$C$14</f>
        <v>297536.95232899179</v>
      </c>
      <c r="W15" s="119">
        <f>U15*$C$14</f>
        <v>307950.74566050648</v>
      </c>
      <c r="Y15" s="119">
        <f>W15*$C$14</f>
        <v>318729.02175862418</v>
      </c>
      <c r="AA15" s="119">
        <f>Y15*$C$14</f>
        <v>329884.53752017597</v>
      </c>
      <c r="AC15" s="119">
        <f>AA15*$C$14</f>
        <v>341430.49633338209</v>
      </c>
      <c r="AE15" s="119">
        <f>AC15*$C$14</f>
        <v>353380.56370505044</v>
      </c>
      <c r="AG15" s="119">
        <f>AE15*$C$14</f>
        <v>365748.88343472721</v>
      </c>
    </row>
    <row r="16" spans="1:34" s="111" customFormat="1" ht="13.8">
      <c r="A16" s="111" t="s">
        <v>1555</v>
      </c>
      <c r="C16" s="710"/>
      <c r="E16" s="122">
        <f>Application!W849</f>
        <v>91607</v>
      </c>
      <c r="F16" s="122"/>
      <c r="G16" s="122">
        <f t="shared" ref="G16:AG21" si="0">E16*$C$14</f>
        <v>94813.244999999995</v>
      </c>
      <c r="H16" s="122"/>
      <c r="I16" s="122">
        <f t="shared" si="0"/>
        <v>98131.708574999982</v>
      </c>
      <c r="J16" s="122"/>
      <c r="K16" s="122">
        <f t="shared" si="0"/>
        <v>101566.31837512497</v>
      </c>
      <c r="L16" s="122"/>
      <c r="M16" s="122">
        <f t="shared" si="0"/>
        <v>105121.13951825433</v>
      </c>
      <c r="N16" s="122"/>
      <c r="O16" s="122">
        <f t="shared" si="0"/>
        <v>108800.37940139323</v>
      </c>
      <c r="P16" s="122"/>
      <c r="Q16" s="122">
        <f t="shared" si="0"/>
        <v>112608.39268044199</v>
      </c>
      <c r="R16" s="122"/>
      <c r="S16" s="122">
        <f t="shared" si="0"/>
        <v>116549.68642425745</v>
      </c>
      <c r="T16" s="122"/>
      <c r="U16" s="122">
        <f t="shared" si="0"/>
        <v>120628.92544910645</v>
      </c>
      <c r="V16" s="122"/>
      <c r="W16" s="122">
        <f t="shared" si="0"/>
        <v>124850.93783982517</v>
      </c>
      <c r="X16" s="122"/>
      <c r="Y16" s="122">
        <f t="shared" si="0"/>
        <v>129220.72066421904</v>
      </c>
      <c r="Z16" s="122"/>
      <c r="AA16" s="122">
        <f t="shared" si="0"/>
        <v>133743.44588746669</v>
      </c>
      <c r="AB16" s="122"/>
      <c r="AC16" s="122">
        <f t="shared" si="0"/>
        <v>138424.46649352802</v>
      </c>
      <c r="AD16" s="122"/>
      <c r="AE16" s="122">
        <f t="shared" si="0"/>
        <v>143269.32282080149</v>
      </c>
      <c r="AF16" s="122"/>
      <c r="AG16" s="122">
        <f t="shared" si="0"/>
        <v>148283.74911952953</v>
      </c>
    </row>
    <row r="17" spans="1:33" s="111" customFormat="1" ht="13.8">
      <c r="A17" s="111" t="s">
        <v>230</v>
      </c>
      <c r="C17" s="710"/>
      <c r="E17" s="122">
        <f>Application!W855</f>
        <v>110235</v>
      </c>
      <c r="F17" s="122"/>
      <c r="G17" s="122">
        <f t="shared" si="0"/>
        <v>114093.22499999999</v>
      </c>
      <c r="H17" s="122"/>
      <c r="I17" s="122">
        <f t="shared" si="0"/>
        <v>118086.48787499998</v>
      </c>
      <c r="J17" s="122"/>
      <c r="K17" s="122">
        <f t="shared" si="0"/>
        <v>122219.51495062497</v>
      </c>
      <c r="L17" s="122"/>
      <c r="M17" s="122">
        <f t="shared" si="0"/>
        <v>126497.19797389684</v>
      </c>
      <c r="N17" s="122"/>
      <c r="O17" s="122">
        <f t="shared" si="0"/>
        <v>130924.59990298322</v>
      </c>
      <c r="P17" s="122"/>
      <c r="Q17" s="122">
        <f t="shared" si="0"/>
        <v>135506.9608995876</v>
      </c>
      <c r="R17" s="122"/>
      <c r="S17" s="122">
        <f t="shared" si="0"/>
        <v>140249.70453107316</v>
      </c>
      <c r="T17" s="122"/>
      <c r="U17" s="122">
        <f t="shared" si="0"/>
        <v>145158.44418966072</v>
      </c>
      <c r="V17" s="122"/>
      <c r="W17" s="122">
        <f t="shared" si="0"/>
        <v>150238.98973629883</v>
      </c>
      <c r="X17" s="122"/>
      <c r="Y17" s="122">
        <f t="shared" si="0"/>
        <v>155497.35437706928</v>
      </c>
      <c r="Z17" s="122"/>
      <c r="AA17" s="122">
        <f t="shared" si="0"/>
        <v>160939.76178026668</v>
      </c>
      <c r="AB17" s="122"/>
      <c r="AC17" s="122">
        <f t="shared" si="0"/>
        <v>166572.653442576</v>
      </c>
      <c r="AD17" s="122"/>
      <c r="AE17" s="122">
        <f t="shared" si="0"/>
        <v>172402.69631306615</v>
      </c>
      <c r="AF17" s="122"/>
      <c r="AG17" s="122">
        <f t="shared" si="0"/>
        <v>178436.79068402344</v>
      </c>
    </row>
    <row r="18" spans="1:33" s="111" customFormat="1" ht="13.8">
      <c r="A18" s="111" t="s">
        <v>2719</v>
      </c>
      <c r="C18" s="710"/>
      <c r="E18" s="122">
        <f>Application!W862</f>
        <v>72980</v>
      </c>
      <c r="F18" s="122"/>
      <c r="G18" s="122">
        <f t="shared" si="0"/>
        <v>75534.299999999988</v>
      </c>
      <c r="H18" s="122"/>
      <c r="I18" s="122">
        <f t="shared" si="0"/>
        <v>78178.00049999998</v>
      </c>
      <c r="J18" s="122"/>
      <c r="K18" s="122">
        <f t="shared" si="0"/>
        <v>80914.230517499978</v>
      </c>
      <c r="L18" s="122"/>
      <c r="M18" s="122">
        <f t="shared" si="0"/>
        <v>83746.228585612465</v>
      </c>
      <c r="N18" s="122"/>
      <c r="O18" s="122">
        <f t="shared" si="0"/>
        <v>86677.346586108892</v>
      </c>
      <c r="P18" s="122"/>
      <c r="Q18" s="122">
        <f t="shared" si="0"/>
        <v>89711.0537166227</v>
      </c>
      <c r="R18" s="122"/>
      <c r="S18" s="122">
        <f t="shared" si="0"/>
        <v>92850.940596704488</v>
      </c>
      <c r="T18" s="122"/>
      <c r="U18" s="122">
        <f t="shared" si="0"/>
        <v>96100.72351758914</v>
      </c>
      <c r="V18" s="122"/>
      <c r="W18" s="122">
        <f t="shared" si="0"/>
        <v>99464.248840704749</v>
      </c>
      <c r="X18" s="122"/>
      <c r="Y18" s="122">
        <f t="shared" si="0"/>
        <v>102945.49755012941</v>
      </c>
      <c r="Z18" s="122"/>
      <c r="AA18" s="122">
        <f t="shared" si="0"/>
        <v>106548.58996438394</v>
      </c>
      <c r="AB18" s="122"/>
      <c r="AC18" s="122">
        <f t="shared" si="0"/>
        <v>110277.79061313736</v>
      </c>
      <c r="AD18" s="122"/>
      <c r="AE18" s="122">
        <f t="shared" si="0"/>
        <v>114137.51328459715</v>
      </c>
      <c r="AF18" s="122"/>
      <c r="AG18" s="122">
        <f t="shared" si="0"/>
        <v>118132.32624955804</v>
      </c>
    </row>
    <row r="19" spans="1:33" s="111" customFormat="1" ht="13.8">
      <c r="A19" s="111" t="s">
        <v>1810</v>
      </c>
      <c r="C19" s="710"/>
      <c r="E19" s="122">
        <f>Application!W863</f>
        <v>0</v>
      </c>
      <c r="F19" s="122"/>
      <c r="G19" s="122">
        <f t="shared" si="0"/>
        <v>0</v>
      </c>
      <c r="H19" s="122"/>
      <c r="I19" s="122">
        <f t="shared" si="0"/>
        <v>0</v>
      </c>
      <c r="J19" s="122"/>
      <c r="K19" s="122">
        <f t="shared" si="0"/>
        <v>0</v>
      </c>
      <c r="L19" s="122"/>
      <c r="M19" s="122">
        <f t="shared" si="0"/>
        <v>0</v>
      </c>
      <c r="N19" s="122"/>
      <c r="O19" s="122">
        <f t="shared" si="0"/>
        <v>0</v>
      </c>
      <c r="P19" s="122"/>
      <c r="Q19" s="122">
        <f t="shared" si="0"/>
        <v>0</v>
      </c>
      <c r="R19" s="122"/>
      <c r="S19" s="122">
        <f t="shared" si="0"/>
        <v>0</v>
      </c>
      <c r="T19" s="122"/>
      <c r="U19" s="122">
        <f t="shared" si="0"/>
        <v>0</v>
      </c>
      <c r="V19" s="122"/>
      <c r="W19" s="122">
        <f t="shared" si="0"/>
        <v>0</v>
      </c>
      <c r="X19" s="122"/>
      <c r="Y19" s="122">
        <f t="shared" si="0"/>
        <v>0</v>
      </c>
      <c r="Z19" s="122"/>
      <c r="AA19" s="122">
        <f t="shared" si="0"/>
        <v>0</v>
      </c>
      <c r="AB19" s="122"/>
      <c r="AC19" s="122">
        <f t="shared" si="0"/>
        <v>0</v>
      </c>
      <c r="AD19" s="122"/>
      <c r="AE19" s="122">
        <f t="shared" si="0"/>
        <v>0</v>
      </c>
      <c r="AF19" s="122"/>
      <c r="AG19" s="122">
        <f t="shared" si="0"/>
        <v>0</v>
      </c>
    </row>
    <row r="20" spans="1:33" s="111" customFormat="1" ht="13.8">
      <c r="A20" s="111" t="s">
        <v>232</v>
      </c>
      <c r="C20" s="710"/>
      <c r="E20" s="122">
        <f>Application!W872</f>
        <v>146200</v>
      </c>
      <c r="F20" s="122"/>
      <c r="G20" s="122">
        <f t="shared" si="0"/>
        <v>151317</v>
      </c>
      <c r="H20" s="122"/>
      <c r="I20" s="122">
        <f t="shared" si="0"/>
        <v>156613.095</v>
      </c>
      <c r="J20" s="122"/>
      <c r="K20" s="122">
        <f t="shared" si="0"/>
        <v>162094.55332499999</v>
      </c>
      <c r="L20" s="122"/>
      <c r="M20" s="122">
        <f t="shared" si="0"/>
        <v>167767.86269137496</v>
      </c>
      <c r="N20" s="122"/>
      <c r="O20" s="122">
        <f t="shared" si="0"/>
        <v>173639.73788557306</v>
      </c>
      <c r="P20" s="122"/>
      <c r="Q20" s="122">
        <f t="shared" si="0"/>
        <v>179717.1287115681</v>
      </c>
      <c r="R20" s="122"/>
      <c r="S20" s="122">
        <f t="shared" si="0"/>
        <v>186007.22821647298</v>
      </c>
      <c r="T20" s="122"/>
      <c r="U20" s="122">
        <f t="shared" si="0"/>
        <v>192517.48120404952</v>
      </c>
      <c r="V20" s="122"/>
      <c r="W20" s="122">
        <f t="shared" si="0"/>
        <v>199255.59304619124</v>
      </c>
      <c r="X20" s="122"/>
      <c r="Y20" s="122">
        <f t="shared" si="0"/>
        <v>206229.53880280792</v>
      </c>
      <c r="Z20" s="122"/>
      <c r="AA20" s="122">
        <f t="shared" si="0"/>
        <v>213447.57266090618</v>
      </c>
      <c r="AB20" s="122"/>
      <c r="AC20" s="122">
        <f t="shared" si="0"/>
        <v>220918.23770403789</v>
      </c>
      <c r="AD20" s="122"/>
      <c r="AE20" s="122">
        <f t="shared" si="0"/>
        <v>228650.37602367921</v>
      </c>
      <c r="AF20" s="122"/>
      <c r="AG20" s="122">
        <f t="shared" si="0"/>
        <v>236653.13918450798</v>
      </c>
    </row>
    <row r="21" spans="1:33" s="111" customFormat="1" ht="13.8">
      <c r="A21" s="126" t="s">
        <v>2720</v>
      </c>
      <c r="B21" s="126"/>
      <c r="C21" s="710"/>
      <c r="E21" s="132">
        <f>Application!W879</f>
        <v>159425</v>
      </c>
      <c r="F21" s="122"/>
      <c r="G21" s="132">
        <f t="shared" si="0"/>
        <v>165004.875</v>
      </c>
      <c r="H21" s="122"/>
      <c r="I21" s="132">
        <f t="shared" si="0"/>
        <v>170780.045625</v>
      </c>
      <c r="J21" s="122"/>
      <c r="K21" s="132">
        <f t="shared" si="0"/>
        <v>176757.34722187498</v>
      </c>
      <c r="L21" s="122"/>
      <c r="M21" s="132">
        <f t="shared" si="0"/>
        <v>182943.85437464059</v>
      </c>
      <c r="N21" s="122"/>
      <c r="O21" s="132">
        <f t="shared" si="0"/>
        <v>189346.88927775301</v>
      </c>
      <c r="P21" s="122"/>
      <c r="Q21" s="132">
        <f t="shared" si="0"/>
        <v>195974.03040247437</v>
      </c>
      <c r="R21" s="122"/>
      <c r="S21" s="132">
        <f t="shared" si="0"/>
        <v>202833.12146656096</v>
      </c>
      <c r="T21" s="122"/>
      <c r="U21" s="132">
        <f t="shared" si="0"/>
        <v>209932.28071789056</v>
      </c>
      <c r="V21" s="122"/>
      <c r="W21" s="132">
        <f t="shared" si="0"/>
        <v>217279.91054301671</v>
      </c>
      <c r="X21" s="122"/>
      <c r="Y21" s="132">
        <f t="shared" si="0"/>
        <v>224884.70741202228</v>
      </c>
      <c r="Z21" s="122"/>
      <c r="AA21" s="132">
        <f t="shared" si="0"/>
        <v>232755.67217144303</v>
      </c>
      <c r="AB21" s="122"/>
      <c r="AC21" s="132">
        <f t="shared" si="0"/>
        <v>240902.12069744352</v>
      </c>
      <c r="AD21" s="122"/>
      <c r="AE21" s="132">
        <f t="shared" si="0"/>
        <v>249333.69492185401</v>
      </c>
      <c r="AF21" s="122"/>
      <c r="AG21" s="132">
        <f t="shared" si="0"/>
        <v>258060.3742441189</v>
      </c>
    </row>
    <row r="22" spans="1:33" s="123" customFormat="1" ht="13.8">
      <c r="A22" s="123" t="s">
        <v>2721</v>
      </c>
      <c r="C22" s="710"/>
      <c r="E22" s="123">
        <f>SUM(E15:E21)</f>
        <v>806400</v>
      </c>
      <c r="G22" s="123">
        <f>SUM(G15:G21)</f>
        <v>834624</v>
      </c>
      <c r="I22" s="123">
        <f>SUM(I15:I21)</f>
        <v>863835.84</v>
      </c>
      <c r="K22" s="123">
        <f>SUM(K15:K21)</f>
        <v>894070.09439999983</v>
      </c>
      <c r="M22" s="123">
        <f>SUM(M15:M21)</f>
        <v>925362.54770399979</v>
      </c>
      <c r="O22" s="123">
        <f>SUM(O15:O21)</f>
        <v>957750.23687363975</v>
      </c>
      <c r="Q22" s="123">
        <f>SUM(Q15:Q21)</f>
        <v>991271.49516421685</v>
      </c>
      <c r="S22" s="123">
        <f>SUM(S15:S21)</f>
        <v>1025965.9974949645</v>
      </c>
      <c r="U22" s="123">
        <f>SUM(U15:U21)</f>
        <v>1061874.8074072881</v>
      </c>
      <c r="W22" s="123">
        <f>SUM(W15:W21)</f>
        <v>1099040.4256665432</v>
      </c>
      <c r="Y22" s="123">
        <f>SUM(Y15:Y21)</f>
        <v>1137506.8405648721</v>
      </c>
      <c r="AA22" s="123">
        <f>SUM(AA15:AA21)</f>
        <v>1177319.5799846426</v>
      </c>
      <c r="AC22" s="123">
        <f>SUM(AC15:AC21)</f>
        <v>1218525.765284105</v>
      </c>
      <c r="AE22" s="123">
        <f>SUM(AE15:AE21)</f>
        <v>1261174.1670690484</v>
      </c>
      <c r="AG22" s="123">
        <f>SUM(AG15:AG21)</f>
        <v>1305315.2629164651</v>
      </c>
    </row>
    <row r="23" spans="1:33" s="111" customFormat="1" ht="13.8">
      <c r="C23" s="710"/>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row>
    <row r="24" spans="1:33" s="111" customFormat="1" ht="13.8">
      <c r="A24" s="111" t="s">
        <v>2722</v>
      </c>
      <c r="C24" s="710">
        <v>1.0349999999999999</v>
      </c>
      <c r="E24" s="666">
        <f>Application!AE402</f>
        <v>583520</v>
      </c>
      <c r="F24" s="122"/>
      <c r="G24" s="122">
        <f>E24*$C$24</f>
        <v>603943.19999999995</v>
      </c>
      <c r="H24" s="122"/>
      <c r="I24" s="122">
        <f>G24*$C$24</f>
        <v>625081.21199999994</v>
      </c>
      <c r="J24" s="122"/>
      <c r="K24" s="122">
        <f>I24*$C$24</f>
        <v>646959.05441999994</v>
      </c>
      <c r="L24" s="122"/>
      <c r="M24" s="122">
        <f>K24*$C$24</f>
        <v>669602.62132469984</v>
      </c>
      <c r="N24" s="122"/>
      <c r="O24" s="122">
        <f>M24*$C$24</f>
        <v>693038.71307106433</v>
      </c>
      <c r="P24" s="122"/>
      <c r="Q24" s="122">
        <f>O24*$C$24</f>
        <v>717295.06802855153</v>
      </c>
      <c r="R24" s="122"/>
      <c r="S24" s="122">
        <f>Q24*$C$24</f>
        <v>742400.39540955075</v>
      </c>
      <c r="T24" s="122"/>
      <c r="U24" s="122">
        <f>S24*$C$24</f>
        <v>768384.409248885</v>
      </c>
      <c r="V24" s="122"/>
      <c r="W24" s="122">
        <f>U24*$C$24</f>
        <v>795277.86357259587</v>
      </c>
      <c r="X24" s="122"/>
      <c r="Y24" s="122">
        <f>W24*$C$24</f>
        <v>823112.58879763668</v>
      </c>
      <c r="Z24" s="122"/>
      <c r="AA24" s="122">
        <f>Y24*$C$24</f>
        <v>851921.52940555394</v>
      </c>
      <c r="AB24" s="122"/>
      <c r="AC24" s="122">
        <f>AA24*$C$24</f>
        <v>881738.78293474822</v>
      </c>
      <c r="AD24" s="122"/>
      <c r="AE24" s="122">
        <f>AC24*$C$24</f>
        <v>912599.64033746428</v>
      </c>
      <c r="AF24" s="122"/>
      <c r="AG24" s="122">
        <f>AE24*$C$24</f>
        <v>944540.62774927542</v>
      </c>
    </row>
    <row r="25" spans="1:33" s="111" customFormat="1" ht="13.8">
      <c r="C25" s="710"/>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row>
    <row r="26" spans="1:33" s="111" customFormat="1" ht="13.8">
      <c r="A26" s="111" t="s">
        <v>2723</v>
      </c>
      <c r="C26" s="1093">
        <v>1.0349999999999999</v>
      </c>
      <c r="E26" s="122">
        <f>Application!AC887</f>
        <v>0</v>
      </c>
      <c r="F26" s="122"/>
      <c r="G26" s="122">
        <f>E26*$C$26</f>
        <v>0</v>
      </c>
      <c r="H26" s="122"/>
      <c r="I26" s="122">
        <f>G26*$C$26</f>
        <v>0</v>
      </c>
      <c r="J26" s="122"/>
      <c r="K26" s="122">
        <f>I26*$C$26</f>
        <v>0</v>
      </c>
      <c r="L26" s="122"/>
      <c r="M26" s="122">
        <f>K26*$C$26</f>
        <v>0</v>
      </c>
      <c r="N26" s="122"/>
      <c r="O26" s="122">
        <f>M26*$C$26</f>
        <v>0</v>
      </c>
      <c r="P26" s="122"/>
      <c r="Q26" s="122">
        <f>O26*$C$26</f>
        <v>0</v>
      </c>
      <c r="R26" s="122"/>
      <c r="S26" s="122">
        <f>Q26*$C$26</f>
        <v>0</v>
      </c>
      <c r="T26" s="122"/>
      <c r="U26" s="122">
        <f>S26*$C$26</f>
        <v>0</v>
      </c>
      <c r="V26" s="122"/>
      <c r="W26" s="122">
        <f>U26*$C$26</f>
        <v>0</v>
      </c>
      <c r="X26" s="122"/>
      <c r="Y26" s="122">
        <f>W26*$C$26</f>
        <v>0</v>
      </c>
      <c r="Z26" s="122"/>
      <c r="AA26" s="122">
        <f>Y26*$C$26</f>
        <v>0</v>
      </c>
      <c r="AB26" s="122"/>
      <c r="AC26" s="122">
        <f>AA26*$C$26</f>
        <v>0</v>
      </c>
      <c r="AD26" s="122"/>
      <c r="AE26" s="122">
        <f>AC26*$C$26</f>
        <v>0</v>
      </c>
      <c r="AF26" s="122"/>
      <c r="AG26" s="122">
        <f>AE26*$C$26</f>
        <v>0</v>
      </c>
    </row>
    <row r="27" spans="1:33" s="111" customFormat="1" ht="13.8">
      <c r="A27" s="111" t="s">
        <v>2331</v>
      </c>
      <c r="C27" s="1093">
        <v>1.0349999999999999</v>
      </c>
      <c r="E27" s="122">
        <f>Application!AC888</f>
        <v>32000</v>
      </c>
      <c r="F27" s="122"/>
      <c r="G27" s="122">
        <f>E27*$C$27</f>
        <v>33120</v>
      </c>
      <c r="H27" s="122"/>
      <c r="I27" s="122">
        <f>G27*$C$27</f>
        <v>34279.199999999997</v>
      </c>
      <c r="J27" s="122"/>
      <c r="K27" s="122">
        <f>I27*$C$27</f>
        <v>35478.971999999994</v>
      </c>
      <c r="L27" s="122"/>
      <c r="M27" s="122">
        <f>K27*$C$27</f>
        <v>36720.736019999989</v>
      </c>
      <c r="N27" s="122"/>
      <c r="O27" s="122">
        <f>M27*$C$27</f>
        <v>38005.961780699989</v>
      </c>
      <c r="P27" s="122"/>
      <c r="Q27" s="122">
        <f>O27*$C$27</f>
        <v>39336.170443024486</v>
      </c>
      <c r="R27" s="122"/>
      <c r="S27" s="122">
        <f>Q27*$C$27</f>
        <v>40712.936408530339</v>
      </c>
      <c r="T27" s="122"/>
      <c r="U27" s="122">
        <f>S27*$C$27</f>
        <v>42137.889182828898</v>
      </c>
      <c r="V27" s="122"/>
      <c r="W27" s="122">
        <f>U27*$C$27</f>
        <v>43612.715304227902</v>
      </c>
      <c r="X27" s="122"/>
      <c r="Y27" s="122">
        <f>W27*$C$27</f>
        <v>45139.160339875874</v>
      </c>
      <c r="Z27" s="122"/>
      <c r="AA27" s="122">
        <f>Y27*$C$27</f>
        <v>46719.030951771529</v>
      </c>
      <c r="AB27" s="122"/>
      <c r="AC27" s="122">
        <f>AA27*$C$27</f>
        <v>48354.197035083525</v>
      </c>
      <c r="AD27" s="122"/>
      <c r="AE27" s="122">
        <f>AC27*$C$27</f>
        <v>50046.593931311443</v>
      </c>
      <c r="AF27" s="122"/>
      <c r="AG27" s="122">
        <f>AE27*$C$27</f>
        <v>51798.224718907339</v>
      </c>
    </row>
    <row r="28" spans="1:33" s="111" customFormat="1" ht="13.8">
      <c r="A28" s="111" t="s">
        <v>2724</v>
      </c>
      <c r="C28" s="1093"/>
      <c r="E28" s="122">
        <f>Application!AC889</f>
        <v>32000</v>
      </c>
      <c r="F28" s="122"/>
      <c r="G28" s="122">
        <f>$E$28</f>
        <v>32000</v>
      </c>
      <c r="H28" s="122"/>
      <c r="I28" s="122">
        <f>$E$28</f>
        <v>32000</v>
      </c>
      <c r="J28" s="122"/>
      <c r="K28" s="122">
        <f>$E$28</f>
        <v>32000</v>
      </c>
      <c r="L28" s="122"/>
      <c r="M28" s="122">
        <f>$E$28</f>
        <v>32000</v>
      </c>
      <c r="N28" s="122"/>
      <c r="O28" s="122">
        <f>$E$28</f>
        <v>32000</v>
      </c>
      <c r="P28" s="122"/>
      <c r="Q28" s="122">
        <f>$E$28</f>
        <v>32000</v>
      </c>
      <c r="R28" s="122"/>
      <c r="S28" s="122">
        <f>$E$28</f>
        <v>32000</v>
      </c>
      <c r="T28" s="122"/>
      <c r="U28" s="122">
        <f>$E$28</f>
        <v>32000</v>
      </c>
      <c r="V28" s="122"/>
      <c r="W28" s="122">
        <f>$E$28</f>
        <v>32000</v>
      </c>
      <c r="X28" s="122"/>
      <c r="Y28" s="122">
        <f>$E$28</f>
        <v>32000</v>
      </c>
      <c r="Z28" s="122"/>
      <c r="AA28" s="122">
        <f>$E$28</f>
        <v>32000</v>
      </c>
      <c r="AB28" s="122"/>
      <c r="AC28" s="122">
        <f>$E$28</f>
        <v>32000</v>
      </c>
      <c r="AD28" s="122"/>
      <c r="AE28" s="122">
        <f>$E$28</f>
        <v>32000</v>
      </c>
      <c r="AF28" s="122"/>
      <c r="AG28" s="122">
        <f>$E$28</f>
        <v>32000</v>
      </c>
    </row>
    <row r="29" spans="1:33" s="111" customFormat="1" ht="13.8">
      <c r="A29" s="111" t="s">
        <v>2725</v>
      </c>
      <c r="C29" s="1093"/>
      <c r="E29" s="122">
        <f>Application!AC890</f>
        <v>8216</v>
      </c>
      <c r="F29" s="122"/>
      <c r="G29" s="122">
        <f>$E$29</f>
        <v>8216</v>
      </c>
      <c r="H29" s="122"/>
      <c r="I29" s="122">
        <v>100</v>
      </c>
      <c r="J29" s="122"/>
      <c r="K29" s="122">
        <f>$E$29</f>
        <v>8216</v>
      </c>
      <c r="L29" s="122"/>
      <c r="M29" s="122">
        <f>$E$29</f>
        <v>8216</v>
      </c>
      <c r="N29" s="122"/>
      <c r="O29" s="122">
        <f>$E$29</f>
        <v>8216</v>
      </c>
      <c r="P29" s="122"/>
      <c r="Q29" s="122">
        <f>$E$29</f>
        <v>8216</v>
      </c>
      <c r="R29" s="122"/>
      <c r="S29" s="122">
        <f>$E$29</f>
        <v>8216</v>
      </c>
      <c r="T29" s="122"/>
      <c r="U29" s="122">
        <f>$E$29</f>
        <v>8216</v>
      </c>
      <c r="V29" s="122"/>
      <c r="W29" s="122">
        <f>$E$29</f>
        <v>8216</v>
      </c>
      <c r="X29" s="122"/>
      <c r="Y29" s="122">
        <f>$E$29</f>
        <v>8216</v>
      </c>
      <c r="Z29" s="122"/>
      <c r="AA29" s="122">
        <f>$E$29</f>
        <v>8216</v>
      </c>
      <c r="AB29" s="122"/>
      <c r="AC29" s="122">
        <f>$E$29</f>
        <v>8216</v>
      </c>
      <c r="AD29" s="122"/>
      <c r="AE29" s="122">
        <f>$E$29</f>
        <v>8216</v>
      </c>
      <c r="AF29" s="122"/>
      <c r="AG29" s="122">
        <f>$E$29</f>
        <v>8216</v>
      </c>
    </row>
    <row r="30" spans="1:33" s="111" customFormat="1" ht="13.8">
      <c r="A30" s="111" t="s">
        <v>2726</v>
      </c>
      <c r="C30" s="1093">
        <v>1.02</v>
      </c>
      <c r="E30" s="122">
        <f>Application!AC891</f>
        <v>0</v>
      </c>
      <c r="F30" s="122"/>
      <c r="G30" s="122">
        <f>E30*$C$30</f>
        <v>0</v>
      </c>
      <c r="H30" s="122"/>
      <c r="I30" s="122">
        <f>G30*$C$30</f>
        <v>0</v>
      </c>
      <c r="J30" s="122"/>
      <c r="K30" s="122">
        <f>I30*$C$30</f>
        <v>0</v>
      </c>
      <c r="L30" s="122"/>
      <c r="M30" s="122">
        <f>K30*$C$30</f>
        <v>0</v>
      </c>
      <c r="N30" s="122"/>
      <c r="O30" s="122">
        <f>M30*$C$30</f>
        <v>0</v>
      </c>
      <c r="P30" s="122"/>
      <c r="Q30" s="122">
        <f>O30*$C$30</f>
        <v>0</v>
      </c>
      <c r="R30" s="122"/>
      <c r="S30" s="122">
        <f>Q30*$C$30</f>
        <v>0</v>
      </c>
      <c r="T30" s="122"/>
      <c r="U30" s="122">
        <f>S30*$C$30</f>
        <v>0</v>
      </c>
      <c r="V30" s="122"/>
      <c r="W30" s="122">
        <f>U30*$C$30</f>
        <v>0</v>
      </c>
      <c r="X30" s="122"/>
      <c r="Y30" s="122">
        <f>W30*$C$30</f>
        <v>0</v>
      </c>
      <c r="Z30" s="122"/>
      <c r="AA30" s="122">
        <f>Y30*$C$30</f>
        <v>0</v>
      </c>
      <c r="AB30" s="122"/>
      <c r="AC30" s="122">
        <f>AA30*$C$30</f>
        <v>0</v>
      </c>
      <c r="AD30" s="122"/>
      <c r="AE30" s="122">
        <f>AC30*$C$30</f>
        <v>0</v>
      </c>
      <c r="AF30" s="122"/>
      <c r="AG30" s="122">
        <f>AE30*$C$30</f>
        <v>0</v>
      </c>
    </row>
    <row r="31" spans="1:33" s="111" customFormat="1" ht="13.8">
      <c r="A31" s="111" t="s">
        <v>2727</v>
      </c>
      <c r="C31" s="1093">
        <v>1.02</v>
      </c>
      <c r="E31" s="122">
        <f>Application!AC893</f>
        <v>0</v>
      </c>
      <c r="F31" s="122"/>
      <c r="G31" s="122">
        <f>E31*$C$31</f>
        <v>0</v>
      </c>
      <c r="H31" s="122"/>
      <c r="I31" s="122">
        <f>G31*$C$31</f>
        <v>0</v>
      </c>
      <c r="J31" s="122"/>
      <c r="K31" s="122">
        <f>I31*$C$31</f>
        <v>0</v>
      </c>
      <c r="L31" s="122"/>
      <c r="M31" s="122">
        <f>K31*$C$31</f>
        <v>0</v>
      </c>
      <c r="N31" s="122"/>
      <c r="O31" s="122">
        <f>M31*$C$31</f>
        <v>0</v>
      </c>
      <c r="P31" s="122"/>
      <c r="Q31" s="122">
        <f>O31*$C$31</f>
        <v>0</v>
      </c>
      <c r="R31" s="122"/>
      <c r="S31" s="122">
        <f>Q31*$C$31</f>
        <v>0</v>
      </c>
      <c r="T31" s="122"/>
      <c r="U31" s="122">
        <f>S31*$C$31</f>
        <v>0</v>
      </c>
      <c r="V31" s="122"/>
      <c r="W31" s="122">
        <f>U31*$C$31</f>
        <v>0</v>
      </c>
      <c r="X31" s="122"/>
      <c r="Y31" s="122">
        <f>W31*$C$31</f>
        <v>0</v>
      </c>
      <c r="Z31" s="122"/>
      <c r="AA31" s="122">
        <f>Y31*$C$31</f>
        <v>0</v>
      </c>
      <c r="AB31" s="122"/>
      <c r="AC31" s="122">
        <f>AA31*$C$31</f>
        <v>0</v>
      </c>
      <c r="AD31" s="122"/>
      <c r="AE31" s="122">
        <f>AC31*$C$31</f>
        <v>0</v>
      </c>
      <c r="AF31" s="122"/>
      <c r="AG31" s="122">
        <f>AE31*$C$31</f>
        <v>0</v>
      </c>
    </row>
    <row r="32" spans="1:33" s="111" customFormat="1" ht="13.8">
      <c r="A32" s="111" t="str">
        <f>Application!C894</f>
        <v>Other (Specify):</v>
      </c>
      <c r="C32" s="1095">
        <v>1.0349999999999999</v>
      </c>
      <c r="E32" s="122">
        <f>Application!AC894</f>
        <v>0</v>
      </c>
      <c r="F32" s="122"/>
      <c r="G32" s="122">
        <f>E32*$C$32</f>
        <v>0</v>
      </c>
      <c r="H32" s="122"/>
      <c r="I32" s="122">
        <f>G32*$C$32</f>
        <v>0</v>
      </c>
      <c r="J32" s="122"/>
      <c r="K32" s="122">
        <f>I32*$C$32</f>
        <v>0</v>
      </c>
      <c r="L32" s="122"/>
      <c r="M32" s="122">
        <f>K32*$C$32</f>
        <v>0</v>
      </c>
      <c r="N32" s="122"/>
      <c r="O32" s="122">
        <f>M32*$C$32</f>
        <v>0</v>
      </c>
      <c r="P32" s="122"/>
      <c r="Q32" s="122">
        <f>O32*$C$32</f>
        <v>0</v>
      </c>
      <c r="R32" s="122"/>
      <c r="S32" s="122">
        <f>Q32*$C$32</f>
        <v>0</v>
      </c>
      <c r="T32" s="122"/>
      <c r="U32" s="122">
        <f>S32*$C$32</f>
        <v>0</v>
      </c>
      <c r="V32" s="122"/>
      <c r="W32" s="122">
        <f>U32*$C$32</f>
        <v>0</v>
      </c>
      <c r="X32" s="122"/>
      <c r="Y32" s="122">
        <f>W32*$C$32</f>
        <v>0</v>
      </c>
      <c r="Z32" s="122"/>
      <c r="AA32" s="122">
        <f>Y32*$C$32</f>
        <v>0</v>
      </c>
      <c r="AB32" s="122"/>
      <c r="AC32" s="122">
        <f>AA32*$C$32</f>
        <v>0</v>
      </c>
      <c r="AD32" s="122"/>
      <c r="AE32" s="122">
        <f>AC32*$C$32</f>
        <v>0</v>
      </c>
      <c r="AF32" s="122"/>
      <c r="AG32" s="122">
        <f>AE32*$C$32</f>
        <v>0</v>
      </c>
    </row>
    <row r="33" spans="1:33" s="111" customFormat="1" ht="13.8">
      <c r="A33" s="111" t="str">
        <f>Application!C895</f>
        <v>Other (Specify):</v>
      </c>
      <c r="C33" s="1095">
        <v>1.0349999999999999</v>
      </c>
      <c r="E33" s="122">
        <f>Application!AC895</f>
        <v>0</v>
      </c>
      <c r="F33" s="122"/>
      <c r="G33" s="122">
        <f>E33*$C$33</f>
        <v>0</v>
      </c>
      <c r="H33" s="122"/>
      <c r="I33" s="122">
        <f>G33*$C$33</f>
        <v>0</v>
      </c>
      <c r="J33" s="122"/>
      <c r="K33" s="122">
        <f>I33*$C$33</f>
        <v>0</v>
      </c>
      <c r="L33" s="122"/>
      <c r="M33" s="122">
        <f>K33*$C$33</f>
        <v>0</v>
      </c>
      <c r="N33" s="122"/>
      <c r="O33" s="122">
        <f>M33*$C$33</f>
        <v>0</v>
      </c>
      <c r="P33" s="122"/>
      <c r="Q33" s="122">
        <f>O33*$C$33</f>
        <v>0</v>
      </c>
      <c r="R33" s="122"/>
      <c r="S33" s="122">
        <f>Q33*$C$33</f>
        <v>0</v>
      </c>
      <c r="T33" s="122"/>
      <c r="U33" s="122">
        <f>S33*$C$33</f>
        <v>0</v>
      </c>
      <c r="V33" s="122"/>
      <c r="W33" s="122">
        <f>U33*$C$33</f>
        <v>0</v>
      </c>
      <c r="X33" s="122"/>
      <c r="Y33" s="122">
        <f>W33*$C$33</f>
        <v>0</v>
      </c>
      <c r="Z33" s="122"/>
      <c r="AA33" s="122">
        <f>Y33*$C$33</f>
        <v>0</v>
      </c>
      <c r="AB33" s="122"/>
      <c r="AC33" s="122">
        <f>AA33*$C$33</f>
        <v>0</v>
      </c>
      <c r="AD33" s="122"/>
      <c r="AE33" s="122">
        <f>AC33*$C$33</f>
        <v>0</v>
      </c>
      <c r="AF33" s="122"/>
      <c r="AG33" s="122">
        <f>AE33*$C$33</f>
        <v>0</v>
      </c>
    </row>
    <row r="34" spans="1:33" s="111" customFormat="1" ht="13.8">
      <c r="C34" s="120"/>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row>
    <row r="35" spans="1:33" s="123" customFormat="1" ht="13.8">
      <c r="A35" s="123" t="s">
        <v>1586</v>
      </c>
      <c r="C35" s="124"/>
      <c r="E35" s="123">
        <f>SUM(E22:E33)</f>
        <v>1462136</v>
      </c>
      <c r="G35" s="123">
        <f>SUM(G22:G33)</f>
        <v>1511903.2</v>
      </c>
      <c r="I35" s="123">
        <f>SUM(I22:I33)</f>
        <v>1555296.2519999999</v>
      </c>
      <c r="K35" s="123">
        <f>SUM(K22:K33)</f>
        <v>1616724.1208199998</v>
      </c>
      <c r="M35" s="123">
        <f>SUM(M22:M33)</f>
        <v>1671901.9050486996</v>
      </c>
      <c r="O35" s="123">
        <f>SUM(O22:O33)</f>
        <v>1729010.911725404</v>
      </c>
      <c r="Q35" s="123">
        <f>SUM(Q22:Q33)</f>
        <v>1788118.733635793</v>
      </c>
      <c r="S35" s="123">
        <f>SUM(S22:S33)</f>
        <v>1849295.3293130458</v>
      </c>
      <c r="U35" s="123">
        <f>SUM(U22:U33)</f>
        <v>1912613.1058390019</v>
      </c>
      <c r="W35" s="123">
        <f>SUM(W22:W33)</f>
        <v>1978147.0045433671</v>
      </c>
      <c r="Y35" s="123">
        <f>SUM(Y22:Y33)</f>
        <v>2045974.5897023848</v>
      </c>
      <c r="AA35" s="123">
        <f>SUM(AA22:AA33)</f>
        <v>2116176.1403419678</v>
      </c>
      <c r="AC35" s="123">
        <f>SUM(AC22:AC33)</f>
        <v>2188834.7452539369</v>
      </c>
      <c r="AE35" s="123">
        <f>SUM(AE22:AE33)</f>
        <v>2264036.4013378238</v>
      </c>
      <c r="AG35" s="123">
        <f>SUM(AG22:AG33)</f>
        <v>2341870.1153846481</v>
      </c>
    </row>
    <row r="36" spans="1:33" s="111" customFormat="1" ht="13.8">
      <c r="C36" s="120"/>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row>
    <row r="37" spans="1:33" s="123" customFormat="1" ht="13.8">
      <c r="A37" s="123" t="s">
        <v>2728</v>
      </c>
      <c r="C37" s="124"/>
      <c r="E37" s="123">
        <f>E11-E35</f>
        <v>1248920.7999999998</v>
      </c>
      <c r="G37" s="123">
        <f>G11-G35</f>
        <v>1266930.0199999998</v>
      </c>
      <c r="I37" s="123">
        <f>I11-I35</f>
        <v>1293007.7984999991</v>
      </c>
      <c r="K37" s="123">
        <f>K11-K35</f>
        <v>1302787.5309424987</v>
      </c>
      <c r="M37" s="123">
        <f>M11-M35</f>
        <v>1320597.5380078615</v>
      </c>
      <c r="O37" s="123">
        <f>O11-O35</f>
        <v>1338301.0174075703</v>
      </c>
      <c r="Q37" s="123">
        <f>Q11-Q35</f>
        <v>1355875.9937255057</v>
      </c>
      <c r="S37" s="123">
        <f>S11-S35</f>
        <v>1373299.2662322856</v>
      </c>
      <c r="U37" s="123">
        <f>U11-U35</f>
        <v>1390546.3545949622</v>
      </c>
      <c r="W37" s="123">
        <f>W11-W35</f>
        <v>1407591.4424014457</v>
      </c>
      <c r="Y37" s="123">
        <f>Y11-Y35</f>
        <v>1424407.3184160481</v>
      </c>
      <c r="AA37" s="123">
        <f>AA11-AA35</f>
        <v>1440965.3154794257</v>
      </c>
      <c r="AC37" s="123">
        <f>AC11-AC35</f>
        <v>1457235.2469629911</v>
      </c>
      <c r="AE37" s="123">
        <f>AE11-AE35</f>
        <v>1473185.3406845266</v>
      </c>
      <c r="AG37" s="123">
        <f>AG11-AG35</f>
        <v>1488782.1701882612</v>
      </c>
    </row>
    <row r="38" spans="1:33" s="111" customFormat="1" ht="13.8">
      <c r="C38" s="120"/>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3" s="111" customFormat="1" ht="13.8">
      <c r="A39" s="118" t="s">
        <v>2729</v>
      </c>
      <c r="C39" s="120"/>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3" s="111" customFormat="1" ht="13.8">
      <c r="A40" s="125" t="str">
        <f>Application!C627</f>
        <v>CitiBank Permenant Loan</v>
      </c>
      <c r="B40" s="126"/>
      <c r="C40" s="120"/>
      <c r="E40" s="122">
        <f>Application!AF627</f>
        <v>1084946</v>
      </c>
      <c r="F40" s="122"/>
      <c r="G40" s="122">
        <f>$E$40</f>
        <v>1084946</v>
      </c>
      <c r="H40" s="122"/>
      <c r="I40" s="122">
        <f>$E$40</f>
        <v>1084946</v>
      </c>
      <c r="J40" s="122"/>
      <c r="K40" s="122">
        <f>$E$40</f>
        <v>1084946</v>
      </c>
      <c r="L40" s="122"/>
      <c r="M40" s="122">
        <f>$E$40</f>
        <v>1084946</v>
      </c>
      <c r="N40" s="122"/>
      <c r="O40" s="122">
        <f>$E$40</f>
        <v>1084946</v>
      </c>
      <c r="P40" s="122"/>
      <c r="Q40" s="122">
        <f>$E$40</f>
        <v>1084946</v>
      </c>
      <c r="R40" s="122"/>
      <c r="S40" s="122">
        <f>$E$40</f>
        <v>1084946</v>
      </c>
      <c r="T40" s="122"/>
      <c r="U40" s="122">
        <f>$E$40</f>
        <v>1084946</v>
      </c>
      <c r="V40" s="122"/>
      <c r="W40" s="122">
        <f>$E$40</f>
        <v>1084946</v>
      </c>
      <c r="X40" s="122"/>
      <c r="Y40" s="122">
        <f>$E$40</f>
        <v>1084946</v>
      </c>
      <c r="Z40" s="122"/>
      <c r="AA40" s="122">
        <f>$E$40</f>
        <v>1084946</v>
      </c>
      <c r="AB40" s="122"/>
      <c r="AC40" s="122">
        <f>$E$40</f>
        <v>1084946</v>
      </c>
      <c r="AD40" s="122"/>
      <c r="AE40" s="122">
        <f>$E$40</f>
        <v>1084946</v>
      </c>
      <c r="AF40" s="122"/>
      <c r="AG40" s="122">
        <f>$E$40</f>
        <v>1084946</v>
      </c>
    </row>
    <row r="41" spans="1:33" s="111" customFormat="1" ht="13.8">
      <c r="A41" s="125"/>
      <c r="B41" s="126"/>
      <c r="C41" s="120"/>
      <c r="E41" s="122"/>
      <c r="F41" s="122"/>
      <c r="G41" s="122">
        <f>$E$41</f>
        <v>0</v>
      </c>
      <c r="H41" s="122"/>
      <c r="I41" s="122">
        <f>$E$41</f>
        <v>0</v>
      </c>
      <c r="J41" s="122"/>
      <c r="K41" s="122">
        <f>$E$41</f>
        <v>0</v>
      </c>
      <c r="L41" s="122"/>
      <c r="M41" s="122">
        <f>$E$41</f>
        <v>0</v>
      </c>
      <c r="N41" s="122"/>
      <c r="O41" s="122">
        <f>$E$41</f>
        <v>0</v>
      </c>
      <c r="P41" s="122"/>
      <c r="Q41" s="122">
        <f>$E$41</f>
        <v>0</v>
      </c>
      <c r="R41" s="122"/>
      <c r="S41" s="122">
        <f>$E$41</f>
        <v>0</v>
      </c>
      <c r="T41" s="122"/>
      <c r="U41" s="122">
        <f>$E$41</f>
        <v>0</v>
      </c>
      <c r="V41" s="122"/>
      <c r="W41" s="122">
        <f>$E$41</f>
        <v>0</v>
      </c>
      <c r="X41" s="122"/>
      <c r="Y41" s="122">
        <f>$E$41</f>
        <v>0</v>
      </c>
      <c r="Z41" s="122"/>
      <c r="AA41" s="122">
        <f>$E$41</f>
        <v>0</v>
      </c>
      <c r="AB41" s="122"/>
      <c r="AC41" s="122">
        <f>$E$41</f>
        <v>0</v>
      </c>
      <c r="AD41" s="122"/>
      <c r="AE41" s="122">
        <f>$E$41</f>
        <v>0</v>
      </c>
      <c r="AF41" s="122"/>
      <c r="AG41" s="122">
        <f>$E$41</f>
        <v>0</v>
      </c>
    </row>
    <row r="42" spans="1:33" s="111" customFormat="1" ht="13.8">
      <c r="A42" s="125"/>
      <c r="B42" s="126"/>
      <c r="C42" s="120"/>
      <c r="E42" s="132"/>
      <c r="F42" s="122"/>
      <c r="G42" s="132">
        <f>$E$42</f>
        <v>0</v>
      </c>
      <c r="H42" s="122"/>
      <c r="I42" s="132">
        <f>$E$42</f>
        <v>0</v>
      </c>
      <c r="J42" s="122"/>
      <c r="K42" s="132">
        <f>$E$42</f>
        <v>0</v>
      </c>
      <c r="L42" s="122"/>
      <c r="M42" s="132">
        <f>$E$42</f>
        <v>0</v>
      </c>
      <c r="N42" s="122"/>
      <c r="O42" s="132">
        <f>$E$42</f>
        <v>0</v>
      </c>
      <c r="P42" s="122"/>
      <c r="Q42" s="132">
        <f>$E$42</f>
        <v>0</v>
      </c>
      <c r="R42" s="122"/>
      <c r="S42" s="132">
        <f>$E$42</f>
        <v>0</v>
      </c>
      <c r="T42" s="122"/>
      <c r="U42" s="132">
        <f>$E$42</f>
        <v>0</v>
      </c>
      <c r="V42" s="122"/>
      <c r="W42" s="132">
        <f>$E$42</f>
        <v>0</v>
      </c>
      <c r="X42" s="122"/>
      <c r="Y42" s="132">
        <f>$E$42</f>
        <v>0</v>
      </c>
      <c r="Z42" s="122"/>
      <c r="AA42" s="132">
        <f>$E$42</f>
        <v>0</v>
      </c>
      <c r="AB42" s="122"/>
      <c r="AC42" s="132">
        <f>$E$42</f>
        <v>0</v>
      </c>
      <c r="AD42" s="122"/>
      <c r="AE42" s="132">
        <f>$E$42</f>
        <v>0</v>
      </c>
      <c r="AF42" s="122"/>
      <c r="AG42" s="132">
        <f>$E$42</f>
        <v>0</v>
      </c>
    </row>
    <row r="43" spans="1:33" s="123" customFormat="1" ht="13.8">
      <c r="A43" s="123" t="s">
        <v>2730</v>
      </c>
      <c r="C43" s="124"/>
      <c r="E43" s="123">
        <f>SUM(E40:E42)</f>
        <v>1084946</v>
      </c>
      <c r="G43" s="123">
        <f>SUM(G40:G42)</f>
        <v>1084946</v>
      </c>
      <c r="I43" s="123">
        <f>SUM(I40:I42)</f>
        <v>1084946</v>
      </c>
      <c r="K43" s="123">
        <f>SUM(K40:K42)</f>
        <v>1084946</v>
      </c>
      <c r="M43" s="123">
        <f>SUM(M40:M42)</f>
        <v>1084946</v>
      </c>
      <c r="O43" s="123">
        <f>SUM(O40:O42)</f>
        <v>1084946</v>
      </c>
      <c r="Q43" s="123">
        <f>SUM(Q40:Q42)</f>
        <v>1084946</v>
      </c>
      <c r="S43" s="123">
        <f>SUM(S40:S42)</f>
        <v>1084946</v>
      </c>
      <c r="U43" s="123">
        <f>SUM(U40:U42)</f>
        <v>1084946</v>
      </c>
      <c r="W43" s="123">
        <f>SUM(W40:W42)</f>
        <v>1084946</v>
      </c>
      <c r="Y43" s="123">
        <f>SUM(Y40:Y42)</f>
        <v>1084946</v>
      </c>
      <c r="AA43" s="123">
        <f>SUM(AA40:AA42)</f>
        <v>1084946</v>
      </c>
      <c r="AC43" s="123">
        <f>SUM(AC40:AC42)</f>
        <v>1084946</v>
      </c>
      <c r="AE43" s="123">
        <f>SUM(AE40:AE42)</f>
        <v>1084946</v>
      </c>
      <c r="AG43" s="123">
        <f>SUM(AG40:AG42)</f>
        <v>1084946</v>
      </c>
    </row>
    <row r="44" spans="1:33" s="111" customFormat="1" ht="13.8">
      <c r="C44" s="120"/>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row>
    <row r="45" spans="1:33" s="123" customFormat="1" ht="13.8">
      <c r="A45" s="123" t="s">
        <v>2731</v>
      </c>
      <c r="C45" s="124"/>
      <c r="E45" s="123">
        <f>E37-E43</f>
        <v>163974.79999999981</v>
      </c>
      <c r="G45" s="123">
        <f>G37-G43</f>
        <v>181984.01999999979</v>
      </c>
      <c r="I45" s="123">
        <f>I37-I43</f>
        <v>208061.7984999991</v>
      </c>
      <c r="K45" s="123">
        <f>K37-K43</f>
        <v>217841.53094249871</v>
      </c>
      <c r="M45" s="123">
        <f>M37-M43</f>
        <v>235651.53800786147</v>
      </c>
      <c r="O45" s="123">
        <f>O37-O43</f>
        <v>253355.01740757027</v>
      </c>
      <c r="Q45" s="123">
        <f>Q37-Q43</f>
        <v>270929.99372550566</v>
      </c>
      <c r="S45" s="123">
        <f>S37-S43</f>
        <v>288353.26623228565</v>
      </c>
      <c r="U45" s="123">
        <f>U37-U43</f>
        <v>305600.35459496221</v>
      </c>
      <c r="W45" s="123">
        <f>W37-W43</f>
        <v>322645.4424014457</v>
      </c>
      <c r="Y45" s="123">
        <f>Y37-Y43</f>
        <v>339461.31841604807</v>
      </c>
      <c r="AA45" s="123">
        <f>AA37-AA43</f>
        <v>356019.31547942571</v>
      </c>
      <c r="AC45" s="123">
        <f>AC37-AC43</f>
        <v>372289.24696299108</v>
      </c>
      <c r="AE45" s="123">
        <f>AE37-AE43</f>
        <v>388239.3406845266</v>
      </c>
      <c r="AG45" s="123">
        <f>AG37-AG43</f>
        <v>403836.1701882612</v>
      </c>
    </row>
    <row r="46" spans="1:33" s="111" customFormat="1" ht="13.8">
      <c r="C46" s="120"/>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3" s="127" customFormat="1" ht="13.8">
      <c r="A47" s="127" t="s">
        <v>2732</v>
      </c>
      <c r="C47" s="120"/>
      <c r="E47" s="127">
        <f>E45/(E4+E6+E8)</f>
        <v>5.7459533861481553E-2</v>
      </c>
      <c r="G47" s="127">
        <f>G45/(G4+G6+G8)</f>
        <v>6.2214895717994843E-2</v>
      </c>
      <c r="I47" s="127">
        <f>I45/(I4+I6+I8)</f>
        <v>6.9395227851570693E-2</v>
      </c>
      <c r="K47" s="127">
        <f>K45/(K4+K6+K8)</f>
        <v>7.0884955800891949E-2</v>
      </c>
      <c r="M47" s="127">
        <f>M45/(M4+M6+M8)</f>
        <v>7.4810025989113293E-2</v>
      </c>
      <c r="O47" s="127">
        <f>O45/(O4+O6+O8)</f>
        <v>7.8468467537054803E-2</v>
      </c>
      <c r="Q47" s="127">
        <f>Q45/(Q4+Q6+Q8)</f>
        <v>8.1865116311835531E-2</v>
      </c>
      <c r="S47" s="127">
        <f>S45/(S4+S6+S8)</f>
        <v>8.5004673966542071E-2</v>
      </c>
      <c r="U47" s="127">
        <f>U45/(U4+U6+U8)</f>
        <v>8.7891711055049171E-2</v>
      </c>
      <c r="W47" s="127">
        <f>W45/(W4+W6+W8)</f>
        <v>9.0530670069320196E-2</v>
      </c>
      <c r="Y47" s="127">
        <f>Y45/(Y4+Y6+Y8)</f>
        <v>9.2925868401063649E-2</v>
      </c>
      <c r="AA47" s="127">
        <f>AA45/(AA4+AA6+AA8)</f>
        <v>9.5081501229575108E-2</v>
      </c>
      <c r="AC47" s="127">
        <f>AC45/(AC4+AC6+AC8)</f>
        <v>9.7001644337550375E-2</v>
      </c>
      <c r="AE47" s="127">
        <f>AE45/(AE4+AE6+AE8)</f>
        <v>9.8690256856611869E-2</v>
      </c>
      <c r="AG47" s="127">
        <f>AG45/(AG4+AG6+AG8)</f>
        <v>0.10015118394424323</v>
      </c>
    </row>
    <row r="48" spans="1:33" s="127" customFormat="1" ht="13.8">
      <c r="A48" s="127" t="s">
        <v>2733</v>
      </c>
      <c r="C48" s="120"/>
      <c r="E48" s="127">
        <f>E45/E43</f>
        <v>0.15113636992071477</v>
      </c>
      <c r="G48" s="127">
        <f>G45/G43</f>
        <v>0.16773555550230129</v>
      </c>
      <c r="I48" s="127">
        <f>I45/I43</f>
        <v>0.19177157065881537</v>
      </c>
      <c r="K48" s="127">
        <f>K45/K43</f>
        <v>0.20078559757121434</v>
      </c>
      <c r="M48" s="127">
        <f>M45/M43</f>
        <v>0.21720116762296138</v>
      </c>
      <c r="O48" s="127">
        <f>O45/O43</f>
        <v>0.23351855060765261</v>
      </c>
      <c r="Q48" s="127">
        <f>Q45/Q43</f>
        <v>0.24971749167747118</v>
      </c>
      <c r="S48" s="127">
        <f>S45/S43</f>
        <v>0.26577660660741237</v>
      </c>
      <c r="U48" s="127">
        <f>U45/U43</f>
        <v>0.28167333175564702</v>
      </c>
      <c r="W48" s="127">
        <f>W45/W43</f>
        <v>0.29738387200970895</v>
      </c>
      <c r="Y48" s="127">
        <f>Y45/Y43</f>
        <v>0.31288314664144395</v>
      </c>
      <c r="AA48" s="127">
        <f>AA45/AA43</f>
        <v>0.32814473299079006</v>
      </c>
      <c r="AC48" s="127">
        <f>AC45/AC43</f>
        <v>0.34314080789549994</v>
      </c>
      <c r="AE48" s="127">
        <f>AE45/AE43</f>
        <v>0.35784208678084128</v>
      </c>
      <c r="AG48" s="127">
        <f>AG45/AG43</f>
        <v>0.37221776032010923</v>
      </c>
    </row>
    <row r="49" spans="1:34" s="128" customFormat="1" ht="13.8">
      <c r="A49" s="128" t="s">
        <v>2286</v>
      </c>
      <c r="C49" s="129"/>
      <c r="E49" s="128">
        <f>E37/E43</f>
        <v>1.1511363699207149</v>
      </c>
      <c r="G49" s="128">
        <f>G37/G43</f>
        <v>1.1677355555023012</v>
      </c>
      <c r="I49" s="128">
        <f>I37/I43</f>
        <v>1.1917715706588154</v>
      </c>
      <c r="K49" s="128">
        <f>K37/K43</f>
        <v>1.2007855975712143</v>
      </c>
      <c r="M49" s="128">
        <f>M37/M43</f>
        <v>1.2172011676229615</v>
      </c>
      <c r="O49" s="128">
        <f>O37/O43</f>
        <v>1.2335185506076527</v>
      </c>
      <c r="Q49" s="128">
        <f>Q37/Q43</f>
        <v>1.2497174916774711</v>
      </c>
      <c r="S49" s="128">
        <f>S37/S43</f>
        <v>1.2657766066074123</v>
      </c>
      <c r="U49" s="128">
        <f>U37/U43</f>
        <v>1.281673331755647</v>
      </c>
      <c r="W49" s="128">
        <f>W37/W43</f>
        <v>1.2973838720097091</v>
      </c>
      <c r="Y49" s="128">
        <f>Y37/Y43</f>
        <v>1.3128831466414439</v>
      </c>
      <c r="AA49" s="128">
        <f>AA37/AA43</f>
        <v>1.3281447329907901</v>
      </c>
      <c r="AC49" s="128">
        <f>AC37/AC43</f>
        <v>1.3431408078954998</v>
      </c>
      <c r="AE49" s="128">
        <f>AE37/AE43</f>
        <v>1.3578420867808412</v>
      </c>
      <c r="AG49" s="128">
        <f>AG37/AG43</f>
        <v>1.3722177603201091</v>
      </c>
    </row>
    <row r="50" spans="1:34" s="111" customFormat="1" ht="13.8">
      <c r="A50" s="130"/>
      <c r="B50" s="130"/>
      <c r="C50" s="131"/>
      <c r="D50" s="130"/>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row>
    <row r="51" spans="1:34" s="2" customFormat="1">
      <c r="A51" s="2" t="s">
        <v>2734</v>
      </c>
      <c r="C51" s="710"/>
      <c r="E51" s="709"/>
      <c r="F51" s="709"/>
      <c r="G51" s="709"/>
      <c r="H51" s="709"/>
      <c r="I51" s="709"/>
      <c r="J51" s="709"/>
      <c r="K51" s="709"/>
      <c r="L51" s="709"/>
      <c r="M51" s="709"/>
      <c r="N51" s="709"/>
      <c r="O51" s="709"/>
      <c r="P51" s="709"/>
      <c r="Q51" s="709"/>
      <c r="R51" s="709"/>
      <c r="S51" s="709"/>
      <c r="T51" s="709"/>
      <c r="U51" s="709"/>
      <c r="V51" s="709"/>
      <c r="W51" s="709"/>
      <c r="X51" s="709"/>
      <c r="Y51" s="709"/>
      <c r="Z51" s="709"/>
      <c r="AA51" s="709"/>
      <c r="AB51" s="709"/>
      <c r="AC51" s="709"/>
      <c r="AD51" s="709"/>
      <c r="AE51" s="709"/>
      <c r="AF51" s="709"/>
      <c r="AG51" s="709"/>
    </row>
    <row r="52" spans="1:34" s="2" customFormat="1">
      <c r="A52" s="2623" t="s">
        <v>2735</v>
      </c>
      <c r="B52" s="2623"/>
      <c r="C52" s="2623"/>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row>
    <row r="53" spans="1:34" s="711" customFormat="1">
      <c r="A53" s="711" t="s">
        <v>2059</v>
      </c>
      <c r="C53" s="1096">
        <v>1.0349999999999999</v>
      </c>
      <c r="E53" s="712">
        <v>10800</v>
      </c>
      <c r="G53" s="709">
        <f>E53*$C$53</f>
        <v>11178</v>
      </c>
      <c r="I53" s="709">
        <f>G53*$C$53</f>
        <v>11569.23</v>
      </c>
      <c r="K53" s="709">
        <f>I53*$C$53</f>
        <v>11974.153049999999</v>
      </c>
      <c r="M53" s="709">
        <f>K53*$C$53</f>
        <v>12393.248406749997</v>
      </c>
      <c r="O53" s="709">
        <f>M53*$C$53</f>
        <v>12827.012100986247</v>
      </c>
      <c r="Q53" s="709">
        <f>O53*$C$53</f>
        <v>13275.957524520765</v>
      </c>
      <c r="S53" s="709">
        <f>Q53*$C$53</f>
        <v>13740.616037878992</v>
      </c>
      <c r="U53" s="709">
        <f>S53*$C$53</f>
        <v>14221.537599204756</v>
      </c>
      <c r="W53" s="709">
        <f>U53*$C$53</f>
        <v>14719.291415176922</v>
      </c>
      <c r="Y53" s="709">
        <f>W53*$C$53</f>
        <v>15234.466614708113</v>
      </c>
      <c r="AA53" s="709">
        <f>Y53*$C$53</f>
        <v>15767.672946222896</v>
      </c>
      <c r="AC53" s="709">
        <f>AA53*$C$53</f>
        <v>16319.541499340696</v>
      </c>
      <c r="AE53" s="709">
        <f>AC53*$C$53</f>
        <v>16890.72545181762</v>
      </c>
      <c r="AG53" s="709">
        <f>AE53*$C$53</f>
        <v>17481.900842631236</v>
      </c>
    </row>
    <row r="54" spans="1:34" s="2" customFormat="1">
      <c r="A54" s="2" t="s">
        <v>2736</v>
      </c>
      <c r="C54" s="707"/>
      <c r="E54" s="713">
        <v>5000</v>
      </c>
      <c r="F54" s="709"/>
      <c r="G54" s="709">
        <f t="shared" ref="G54:AG57" si="1">E54*$C$53</f>
        <v>5175</v>
      </c>
      <c r="H54" s="709"/>
      <c r="I54" s="709">
        <f t="shared" si="1"/>
        <v>5356.125</v>
      </c>
      <c r="J54" s="709"/>
      <c r="K54" s="709">
        <f t="shared" si="1"/>
        <v>5543.5893749999996</v>
      </c>
      <c r="L54" s="709"/>
      <c r="M54" s="709">
        <f t="shared" si="1"/>
        <v>5737.615003124999</v>
      </c>
      <c r="N54" s="709"/>
      <c r="O54" s="709">
        <f t="shared" si="1"/>
        <v>5938.4315282343732</v>
      </c>
      <c r="P54" s="709"/>
      <c r="Q54" s="709">
        <f t="shared" si="1"/>
        <v>6146.276631722576</v>
      </c>
      <c r="R54" s="709"/>
      <c r="S54" s="709">
        <f t="shared" si="1"/>
        <v>6361.3963138328654</v>
      </c>
      <c r="T54" s="709"/>
      <c r="U54" s="709">
        <f t="shared" si="1"/>
        <v>6584.0451848170151</v>
      </c>
      <c r="V54" s="709"/>
      <c r="W54" s="709">
        <f t="shared" si="1"/>
        <v>6814.4867662856104</v>
      </c>
      <c r="X54" s="709"/>
      <c r="Y54" s="709">
        <f t="shared" si="1"/>
        <v>7052.9938031056063</v>
      </c>
      <c r="Z54" s="709"/>
      <c r="AA54" s="709">
        <f t="shared" si="1"/>
        <v>7299.8485862143016</v>
      </c>
      <c r="AB54" s="709"/>
      <c r="AC54" s="709">
        <f t="shared" si="1"/>
        <v>7555.3432867318015</v>
      </c>
      <c r="AD54" s="709"/>
      <c r="AE54" s="709">
        <f t="shared" si="1"/>
        <v>7819.7803017674141</v>
      </c>
      <c r="AF54" s="709"/>
      <c r="AG54" s="709">
        <f t="shared" si="1"/>
        <v>8093.472612329273</v>
      </c>
      <c r="AH54" s="709"/>
    </row>
    <row r="55" spans="1:34" s="2" customFormat="1">
      <c r="A55" s="2" t="s">
        <v>2737</v>
      </c>
      <c r="C55" s="707"/>
      <c r="E55" s="713"/>
      <c r="F55" s="709"/>
      <c r="G55" s="709">
        <f t="shared" si="1"/>
        <v>0</v>
      </c>
      <c r="H55" s="709"/>
      <c r="I55" s="709">
        <f t="shared" si="1"/>
        <v>0</v>
      </c>
      <c r="J55" s="709"/>
      <c r="K55" s="709">
        <f t="shared" si="1"/>
        <v>0</v>
      </c>
      <c r="L55" s="709"/>
      <c r="M55" s="709">
        <f t="shared" si="1"/>
        <v>0</v>
      </c>
      <c r="N55" s="709"/>
      <c r="O55" s="709">
        <f t="shared" si="1"/>
        <v>0</v>
      </c>
      <c r="P55" s="709"/>
      <c r="Q55" s="709">
        <f t="shared" si="1"/>
        <v>0</v>
      </c>
      <c r="R55" s="709"/>
      <c r="S55" s="709">
        <f t="shared" si="1"/>
        <v>0</v>
      </c>
      <c r="T55" s="709"/>
      <c r="U55" s="709">
        <f t="shared" si="1"/>
        <v>0</v>
      </c>
      <c r="V55" s="709"/>
      <c r="W55" s="709">
        <f t="shared" si="1"/>
        <v>0</v>
      </c>
      <c r="X55" s="709"/>
      <c r="Y55" s="709">
        <f t="shared" si="1"/>
        <v>0</v>
      </c>
      <c r="Z55" s="709"/>
      <c r="AA55" s="709">
        <f t="shared" si="1"/>
        <v>0</v>
      </c>
      <c r="AB55" s="709"/>
      <c r="AC55" s="709">
        <f t="shared" si="1"/>
        <v>0</v>
      </c>
      <c r="AD55" s="709"/>
      <c r="AE55" s="709">
        <f t="shared" si="1"/>
        <v>0</v>
      </c>
      <c r="AF55" s="709"/>
      <c r="AG55" s="709">
        <f t="shared" si="1"/>
        <v>0</v>
      </c>
      <c r="AH55" s="709"/>
    </row>
    <row r="56" spans="1:34" s="2" customFormat="1">
      <c r="A56" s="714"/>
      <c r="B56" s="714"/>
      <c r="C56" s="707"/>
      <c r="E56" s="713"/>
      <c r="F56" s="709"/>
      <c r="G56" s="709">
        <f t="shared" si="1"/>
        <v>0</v>
      </c>
      <c r="H56" s="709"/>
      <c r="I56" s="709">
        <f t="shared" si="1"/>
        <v>0</v>
      </c>
      <c r="J56" s="709"/>
      <c r="K56" s="709">
        <f t="shared" si="1"/>
        <v>0</v>
      </c>
      <c r="L56" s="709"/>
      <c r="M56" s="709">
        <f t="shared" si="1"/>
        <v>0</v>
      </c>
      <c r="N56" s="709"/>
      <c r="O56" s="709">
        <f t="shared" si="1"/>
        <v>0</v>
      </c>
      <c r="P56" s="709"/>
      <c r="Q56" s="709">
        <f t="shared" si="1"/>
        <v>0</v>
      </c>
      <c r="R56" s="709"/>
      <c r="S56" s="709">
        <f t="shared" si="1"/>
        <v>0</v>
      </c>
      <c r="T56" s="709"/>
      <c r="U56" s="709">
        <f t="shared" si="1"/>
        <v>0</v>
      </c>
      <c r="V56" s="709"/>
      <c r="W56" s="709">
        <f t="shared" si="1"/>
        <v>0</v>
      </c>
      <c r="X56" s="709"/>
      <c r="Y56" s="709">
        <f t="shared" si="1"/>
        <v>0</v>
      </c>
      <c r="Z56" s="709"/>
      <c r="AA56" s="709">
        <f t="shared" si="1"/>
        <v>0</v>
      </c>
      <c r="AB56" s="709"/>
      <c r="AC56" s="709">
        <f t="shared" si="1"/>
        <v>0</v>
      </c>
      <c r="AD56" s="709"/>
      <c r="AE56" s="709">
        <f t="shared" si="1"/>
        <v>0</v>
      </c>
      <c r="AF56" s="709"/>
      <c r="AG56" s="709">
        <f t="shared" si="1"/>
        <v>0</v>
      </c>
      <c r="AH56" s="709"/>
    </row>
    <row r="57" spans="1:34" s="2" customFormat="1">
      <c r="A57" s="714"/>
      <c r="B57" s="714"/>
      <c r="C57" s="707"/>
      <c r="E57" s="715"/>
      <c r="F57" s="709"/>
      <c r="G57" s="716">
        <f t="shared" si="1"/>
        <v>0</v>
      </c>
      <c r="H57" s="709"/>
      <c r="I57" s="716">
        <f t="shared" si="1"/>
        <v>0</v>
      </c>
      <c r="J57" s="709"/>
      <c r="K57" s="716">
        <f t="shared" si="1"/>
        <v>0</v>
      </c>
      <c r="L57" s="709"/>
      <c r="M57" s="716">
        <f t="shared" si="1"/>
        <v>0</v>
      </c>
      <c r="N57" s="709"/>
      <c r="O57" s="716">
        <f t="shared" si="1"/>
        <v>0</v>
      </c>
      <c r="P57" s="709"/>
      <c r="Q57" s="716">
        <f t="shared" si="1"/>
        <v>0</v>
      </c>
      <c r="R57" s="709"/>
      <c r="S57" s="716">
        <f t="shared" si="1"/>
        <v>0</v>
      </c>
      <c r="T57" s="709"/>
      <c r="U57" s="716">
        <f t="shared" si="1"/>
        <v>0</v>
      </c>
      <c r="V57" s="709"/>
      <c r="W57" s="716">
        <f t="shared" si="1"/>
        <v>0</v>
      </c>
      <c r="X57" s="709"/>
      <c r="Y57" s="716">
        <f t="shared" si="1"/>
        <v>0</v>
      </c>
      <c r="Z57" s="709"/>
      <c r="AA57" s="716">
        <f t="shared" si="1"/>
        <v>0</v>
      </c>
      <c r="AB57" s="709"/>
      <c r="AC57" s="716">
        <f t="shared" si="1"/>
        <v>0</v>
      </c>
      <c r="AD57" s="709"/>
      <c r="AE57" s="716">
        <f t="shared" si="1"/>
        <v>0</v>
      </c>
      <c r="AF57" s="709"/>
      <c r="AG57" s="716">
        <f t="shared" si="1"/>
        <v>0</v>
      </c>
      <c r="AH57" s="709"/>
    </row>
    <row r="58" spans="1:34" s="2" customFormat="1">
      <c r="A58" s="711" t="s">
        <v>2738</v>
      </c>
      <c r="C58" s="710"/>
      <c r="E58" s="709">
        <f>SUM(E53:E57)</f>
        <v>15800</v>
      </c>
      <c r="F58" s="709"/>
      <c r="G58" s="709">
        <f>SUM(G53:G57)</f>
        <v>16353</v>
      </c>
      <c r="H58" s="709"/>
      <c r="I58" s="709">
        <f>SUM(I53:I57)</f>
        <v>16925.355</v>
      </c>
      <c r="J58" s="709"/>
      <c r="K58" s="709">
        <f>SUM(K53:K57)</f>
        <v>17517.742424999997</v>
      </c>
      <c r="L58" s="709"/>
      <c r="M58" s="709">
        <f>SUM(M53:M57)</f>
        <v>18130.863409874997</v>
      </c>
      <c r="N58" s="709"/>
      <c r="O58" s="709">
        <f>SUM(O53:O57)</f>
        <v>18765.443629220619</v>
      </c>
      <c r="P58" s="709"/>
      <c r="Q58" s="709">
        <f>SUM(Q53:Q57)</f>
        <v>19422.234156243343</v>
      </c>
      <c r="R58" s="709"/>
      <c r="S58" s="709">
        <f>SUM(S53:S57)</f>
        <v>20102.012351711855</v>
      </c>
      <c r="T58" s="709"/>
      <c r="U58" s="709">
        <f>SUM(U53:U57)</f>
        <v>20805.582784021772</v>
      </c>
      <c r="V58" s="709"/>
      <c r="W58" s="709">
        <f>SUM(W53:W57)</f>
        <v>21533.778181462534</v>
      </c>
      <c r="X58" s="709"/>
      <c r="Y58" s="709">
        <f>SUM(Y53:Y57)</f>
        <v>22287.46041781372</v>
      </c>
      <c r="Z58" s="709"/>
      <c r="AA58" s="709">
        <f>SUM(AA53:AA57)</f>
        <v>23067.521532437197</v>
      </c>
      <c r="AB58" s="709"/>
      <c r="AC58" s="709">
        <f>SUM(AC53:AC57)</f>
        <v>23874.884786072496</v>
      </c>
      <c r="AD58" s="709"/>
      <c r="AE58" s="709">
        <f>SUM(AE53:AE57)</f>
        <v>24710.505753585036</v>
      </c>
      <c r="AF58" s="709"/>
      <c r="AG58" s="709">
        <f>SUM(AG53:AG57)</f>
        <v>25575.373454960507</v>
      </c>
      <c r="AH58" s="709"/>
    </row>
    <row r="59" spans="1:34" s="2" customFormat="1" ht="12.75" customHeight="1">
      <c r="A59" s="711"/>
      <c r="C59" s="710"/>
      <c r="E59" s="709"/>
      <c r="F59" s="709"/>
      <c r="G59" s="709"/>
      <c r="H59" s="709"/>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09"/>
    </row>
    <row r="60" spans="1:34" s="711" customFormat="1">
      <c r="A60" s="711" t="s">
        <v>2739</v>
      </c>
      <c r="C60" s="717"/>
      <c r="E60" s="711">
        <f>E45-E58</f>
        <v>148174.79999999981</v>
      </c>
      <c r="G60" s="711">
        <f>G45-G58</f>
        <v>165631.01999999979</v>
      </c>
      <c r="I60" s="711">
        <f>I45-I58</f>
        <v>191136.44349999909</v>
      </c>
      <c r="K60" s="711">
        <f>K45-K58</f>
        <v>200323.7885174987</v>
      </c>
      <c r="M60" s="711">
        <f>M45-M58</f>
        <v>217520.67459798648</v>
      </c>
      <c r="O60" s="711">
        <f>O45-O58</f>
        <v>234589.57377834964</v>
      </c>
      <c r="Q60" s="711">
        <f>Q45-Q58</f>
        <v>251507.75956926233</v>
      </c>
      <c r="S60" s="711">
        <f>S45-S58</f>
        <v>268251.25388057379</v>
      </c>
      <c r="U60" s="711">
        <f>U45-U58</f>
        <v>284794.77181094041</v>
      </c>
      <c r="W60" s="711">
        <f>W45-W58</f>
        <v>301111.66421998315</v>
      </c>
      <c r="Y60" s="711">
        <f>Y45-Y58</f>
        <v>317173.85799823434</v>
      </c>
      <c r="AA60" s="711">
        <f>AA45-AA58</f>
        <v>332951.79394698853</v>
      </c>
      <c r="AC60" s="711">
        <f>AC45-AC58</f>
        <v>348414.3621769186</v>
      </c>
      <c r="AE60" s="711">
        <f>AE45-AE58</f>
        <v>363528.83493094158</v>
      </c>
      <c r="AG60" s="711">
        <f>AG45-AG58</f>
        <v>378260.79673330067</v>
      </c>
    </row>
    <row r="61" spans="1:34" s="2" customFormat="1" ht="8.25" customHeight="1">
      <c r="C61" s="710"/>
      <c r="E61" s="709"/>
      <c r="F61" s="709"/>
      <c r="G61" s="709"/>
      <c r="H61" s="709"/>
      <c r="I61" s="709"/>
      <c r="J61" s="709"/>
      <c r="K61" s="709"/>
      <c r="L61" s="709"/>
      <c r="M61" s="709"/>
      <c r="N61" s="709"/>
      <c r="O61" s="709"/>
      <c r="P61" s="709"/>
      <c r="Q61" s="709"/>
      <c r="R61" s="709"/>
      <c r="S61" s="709"/>
      <c r="T61" s="709"/>
      <c r="U61" s="709"/>
      <c r="V61" s="709"/>
      <c r="W61" s="709"/>
      <c r="X61" s="709"/>
      <c r="Y61" s="709"/>
      <c r="Z61" s="709"/>
      <c r="AA61" s="709"/>
      <c r="AB61" s="709"/>
      <c r="AC61" s="709"/>
      <c r="AD61" s="709"/>
      <c r="AE61" s="709"/>
      <c r="AF61" s="709"/>
      <c r="AG61" s="709"/>
      <c r="AH61" s="709"/>
    </row>
    <row r="62" spans="1:34" s="711" customFormat="1">
      <c r="A62" s="711" t="s">
        <v>2740</v>
      </c>
      <c r="C62" s="708">
        <v>1</v>
      </c>
      <c r="E62" s="712">
        <f>E60*$C$62</f>
        <v>148174.79999999981</v>
      </c>
      <c r="G62" s="711">
        <f>G60*$C$62</f>
        <v>165631.01999999979</v>
      </c>
      <c r="I62" s="711">
        <f>I60*$C$62</f>
        <v>191136.44349999909</v>
      </c>
      <c r="K62" s="711">
        <f>K60*$C$62</f>
        <v>200323.7885174987</v>
      </c>
      <c r="M62" s="711">
        <f>M60*$C$62</f>
        <v>217520.67459798648</v>
      </c>
      <c r="O62" s="711">
        <f>O60*$C$62</f>
        <v>234589.57377834964</v>
      </c>
      <c r="Q62" s="711">
        <f>Q60*$C$62</f>
        <v>251507.75956926233</v>
      </c>
      <c r="S62" s="711">
        <f>S60*$C$62</f>
        <v>268251.25388057379</v>
      </c>
      <c r="U62" s="711">
        <f>U60*$C$62</f>
        <v>284794.77181094041</v>
      </c>
      <c r="W62" s="711">
        <f>W60*$C$62</f>
        <v>301111.66421998315</v>
      </c>
      <c r="Y62" s="711">
        <f>Y60*$C$62</f>
        <v>317173.85799823434</v>
      </c>
      <c r="AA62" s="711">
        <f>AA60*$C$62</f>
        <v>332951.79394698853</v>
      </c>
      <c r="AC62" s="711">
        <f>AC60*$C$62</f>
        <v>348414.3621769186</v>
      </c>
      <c r="AE62" s="711">
        <f>AE60*$C$62</f>
        <v>363528.83493094158</v>
      </c>
      <c r="AG62" s="711">
        <f>AG60*$C$62</f>
        <v>378260.79673330067</v>
      </c>
    </row>
    <row r="63" spans="1:34" s="711" customFormat="1">
      <c r="A63" s="2623" t="s">
        <v>1027</v>
      </c>
      <c r="B63" s="2623"/>
      <c r="C63" s="2623"/>
    </row>
    <row r="64" spans="1:34" s="2" customFormat="1" ht="8.25" customHeight="1">
      <c r="C64" s="710"/>
      <c r="E64" s="709"/>
      <c r="F64" s="709"/>
      <c r="G64" s="709"/>
      <c r="H64" s="709"/>
      <c r="I64" s="709"/>
      <c r="J64" s="709"/>
      <c r="K64" s="709"/>
      <c r="L64" s="709"/>
      <c r="M64" s="709"/>
      <c r="N64" s="709"/>
      <c r="O64" s="709"/>
      <c r="P64" s="709"/>
      <c r="Q64" s="709"/>
      <c r="R64" s="709"/>
      <c r="S64" s="709"/>
      <c r="T64" s="709"/>
      <c r="U64" s="709"/>
      <c r="V64" s="709"/>
      <c r="W64" s="709"/>
      <c r="X64" s="709"/>
      <c r="Y64" s="709"/>
      <c r="Z64" s="709"/>
      <c r="AA64" s="709"/>
      <c r="AB64" s="709"/>
      <c r="AC64" s="709"/>
      <c r="AD64" s="709"/>
      <c r="AE64" s="709"/>
      <c r="AF64" s="709"/>
      <c r="AG64" s="709"/>
      <c r="AH64" s="709"/>
    </row>
    <row r="65" spans="1:34" s="2" customFormat="1">
      <c r="A65" s="2" t="s">
        <v>2741</v>
      </c>
      <c r="C65" s="708"/>
      <c r="E65" s="709"/>
      <c r="F65" s="709"/>
      <c r="G65" s="709"/>
      <c r="H65" s="709"/>
      <c r="I65" s="709"/>
      <c r="J65" s="709"/>
      <c r="K65" s="709"/>
      <c r="L65" s="709"/>
      <c r="M65" s="709"/>
      <c r="N65" s="709"/>
      <c r="O65" s="709"/>
      <c r="P65" s="709"/>
      <c r="Q65" s="709"/>
      <c r="R65" s="709"/>
      <c r="S65" s="709"/>
      <c r="T65" s="709"/>
      <c r="U65" s="709"/>
      <c r="V65" s="709"/>
      <c r="W65" s="709"/>
      <c r="X65" s="709"/>
      <c r="Y65" s="709"/>
      <c r="Z65" s="709"/>
      <c r="AA65" s="709"/>
      <c r="AB65" s="709"/>
      <c r="AC65" s="709"/>
      <c r="AD65" s="709"/>
      <c r="AE65" s="709"/>
      <c r="AF65" s="709"/>
      <c r="AG65" s="709"/>
      <c r="AH65" s="709"/>
    </row>
    <row r="66" spans="1:34" s="711" customFormat="1">
      <c r="A66" s="712"/>
      <c r="B66" s="712"/>
      <c r="C66" s="1096"/>
      <c r="E66" s="712">
        <f>$E60*$C$65</f>
        <v>0</v>
      </c>
      <c r="G66" s="709">
        <f>G60*$C$65</f>
        <v>0</v>
      </c>
      <c r="I66" s="709">
        <f>I60*$C$65</f>
        <v>0</v>
      </c>
      <c r="K66" s="709">
        <f>K60*$C$65</f>
        <v>0</v>
      </c>
      <c r="M66" s="709">
        <f>M60*$C$65</f>
        <v>0</v>
      </c>
      <c r="O66" s="709">
        <f>O60*$C$65</f>
        <v>0</v>
      </c>
      <c r="Q66" s="709">
        <f>Q60*$C$65</f>
        <v>0</v>
      </c>
      <c r="S66" s="709">
        <f>S60*$C$65</f>
        <v>0</v>
      </c>
      <c r="U66" s="709">
        <f>U60*$C$65</f>
        <v>0</v>
      </c>
      <c r="W66" s="709">
        <f>W60*$C$65</f>
        <v>0</v>
      </c>
      <c r="Y66" s="709">
        <f>Y60*$C$65</f>
        <v>0</v>
      </c>
      <c r="AA66" s="709">
        <f>AA60*$C$65</f>
        <v>0</v>
      </c>
      <c r="AC66" s="709">
        <f>AC60*$C$65</f>
        <v>0</v>
      </c>
      <c r="AE66" s="709">
        <f>AE60*$C$65</f>
        <v>0</v>
      </c>
      <c r="AG66" s="709">
        <f>AG60*$C$65</f>
        <v>0</v>
      </c>
    </row>
    <row r="67" spans="1:34" s="709" customFormat="1">
      <c r="A67" s="713"/>
      <c r="B67" s="713"/>
      <c r="C67" s="718"/>
      <c r="E67" s="712">
        <f>$E60*$C$65</f>
        <v>0</v>
      </c>
      <c r="G67" s="709">
        <f>G60*$C$65</f>
        <v>0</v>
      </c>
      <c r="I67" s="709">
        <f>I60*$C$65</f>
        <v>0</v>
      </c>
      <c r="K67" s="709">
        <f>K60*$C$65</f>
        <v>0</v>
      </c>
      <c r="M67" s="709">
        <f>M60*$C$65</f>
        <v>0</v>
      </c>
      <c r="O67" s="709">
        <f>O60*$C$65</f>
        <v>0</v>
      </c>
      <c r="Q67" s="709">
        <f>Q60*$C$65</f>
        <v>0</v>
      </c>
      <c r="S67" s="709">
        <f>S60*$C$65</f>
        <v>0</v>
      </c>
      <c r="U67" s="709">
        <f>U60*$C$65</f>
        <v>0</v>
      </c>
      <c r="W67" s="709">
        <f>W60*$C$65</f>
        <v>0</v>
      </c>
      <c r="Y67" s="709">
        <f>Y60*$C$65</f>
        <v>0</v>
      </c>
      <c r="AA67" s="709">
        <f>AA60*$C$65</f>
        <v>0</v>
      </c>
      <c r="AC67" s="709">
        <f>AC60*$C$65</f>
        <v>0</v>
      </c>
      <c r="AE67" s="709">
        <f>AE60*$C$65</f>
        <v>0</v>
      </c>
      <c r="AG67" s="709">
        <f>AG60*$C$65</f>
        <v>0</v>
      </c>
    </row>
    <row r="68" spans="1:34" s="709" customFormat="1">
      <c r="A68" s="713"/>
      <c r="B68" s="713"/>
      <c r="C68" s="718"/>
      <c r="E68" s="713"/>
      <c r="G68" s="709">
        <f t="shared" ref="G68:AG69" si="2">E68*$C$66</f>
        <v>0</v>
      </c>
      <c r="I68" s="709">
        <f t="shared" si="2"/>
        <v>0</v>
      </c>
      <c r="K68" s="709">
        <f t="shared" si="2"/>
        <v>0</v>
      </c>
      <c r="M68" s="709">
        <f t="shared" si="2"/>
        <v>0</v>
      </c>
      <c r="O68" s="709">
        <f t="shared" si="2"/>
        <v>0</v>
      </c>
      <c r="Q68" s="709">
        <f t="shared" si="2"/>
        <v>0</v>
      </c>
      <c r="S68" s="709">
        <f t="shared" si="2"/>
        <v>0</v>
      </c>
      <c r="U68" s="709">
        <f t="shared" si="2"/>
        <v>0</v>
      </c>
      <c r="W68" s="709">
        <f t="shared" si="2"/>
        <v>0</v>
      </c>
      <c r="Y68" s="709">
        <f t="shared" si="2"/>
        <v>0</v>
      </c>
      <c r="AA68" s="709">
        <f t="shared" si="2"/>
        <v>0</v>
      </c>
      <c r="AC68" s="709">
        <f t="shared" si="2"/>
        <v>0</v>
      </c>
      <c r="AE68" s="709">
        <f t="shared" si="2"/>
        <v>0</v>
      </c>
      <c r="AG68" s="709">
        <f t="shared" si="2"/>
        <v>0</v>
      </c>
    </row>
    <row r="69" spans="1:34" s="709" customFormat="1">
      <c r="A69" s="713"/>
      <c r="B69" s="713"/>
      <c r="C69" s="718"/>
      <c r="E69" s="715"/>
      <c r="G69" s="716">
        <f t="shared" si="2"/>
        <v>0</v>
      </c>
      <c r="I69" s="716">
        <f t="shared" si="2"/>
        <v>0</v>
      </c>
      <c r="K69" s="716">
        <f t="shared" si="2"/>
        <v>0</v>
      </c>
      <c r="M69" s="716">
        <f t="shared" si="2"/>
        <v>0</v>
      </c>
      <c r="O69" s="716">
        <f t="shared" si="2"/>
        <v>0</v>
      </c>
      <c r="Q69" s="716">
        <f t="shared" si="2"/>
        <v>0</v>
      </c>
      <c r="S69" s="716">
        <f t="shared" si="2"/>
        <v>0</v>
      </c>
      <c r="U69" s="716">
        <f t="shared" si="2"/>
        <v>0</v>
      </c>
      <c r="W69" s="716">
        <f t="shared" si="2"/>
        <v>0</v>
      </c>
      <c r="Y69" s="716">
        <f t="shared" si="2"/>
        <v>0</v>
      </c>
      <c r="AA69" s="716">
        <f t="shared" si="2"/>
        <v>0</v>
      </c>
      <c r="AC69" s="716">
        <f t="shared" si="2"/>
        <v>0</v>
      </c>
      <c r="AE69" s="716">
        <f t="shared" si="2"/>
        <v>0</v>
      </c>
      <c r="AG69" s="716">
        <f t="shared" si="2"/>
        <v>0</v>
      </c>
    </row>
    <row r="70" spans="1:34" s="709" customFormat="1">
      <c r="A70" s="711" t="s">
        <v>2738</v>
      </c>
      <c r="C70" s="718"/>
      <c r="E70" s="709">
        <f>SUM(E66:E69)</f>
        <v>0</v>
      </c>
      <c r="G70" s="709">
        <f>SUM(G66:G69)</f>
        <v>0</v>
      </c>
      <c r="I70" s="709">
        <f>SUM(I66:I69)</f>
        <v>0</v>
      </c>
      <c r="K70" s="709">
        <f>SUM(K66:K69)</f>
        <v>0</v>
      </c>
      <c r="M70" s="709">
        <f>SUM(M66:M69)</f>
        <v>0</v>
      </c>
      <c r="O70" s="709">
        <f>SUM(O66:O69)</f>
        <v>0</v>
      </c>
      <c r="Q70" s="709">
        <f>SUM(Q66:Q69)</f>
        <v>0</v>
      </c>
      <c r="S70" s="709">
        <f>SUM(S66:S69)</f>
        <v>0</v>
      </c>
      <c r="U70" s="709">
        <f>SUM(U66:U69)</f>
        <v>0</v>
      </c>
      <c r="W70" s="709">
        <f>SUM(W66:W69)</f>
        <v>0</v>
      </c>
      <c r="Y70" s="709">
        <f>SUM(Y66:Y69)</f>
        <v>0</v>
      </c>
      <c r="AA70" s="709">
        <f>SUM(AA66:AA69)</f>
        <v>0</v>
      </c>
      <c r="AC70" s="709">
        <f>SUM(AC66:AC69)</f>
        <v>0</v>
      </c>
      <c r="AE70" s="709">
        <f>SUM(AE66:AE69)</f>
        <v>0</v>
      </c>
      <c r="AG70" s="709">
        <f>SUM(AG66:AG69)</f>
        <v>0</v>
      </c>
    </row>
    <row r="71" spans="1:34" s="709" customFormat="1">
      <c r="A71" s="711"/>
      <c r="C71" s="718"/>
    </row>
    <row r="72" spans="1:34" s="709" customFormat="1">
      <c r="A72" s="711" t="s">
        <v>2742</v>
      </c>
      <c r="C72" s="718"/>
      <c r="E72" s="711">
        <f>E60-E62-E70</f>
        <v>0</v>
      </c>
      <c r="G72" s="711">
        <f>G60-G62-G70</f>
        <v>0</v>
      </c>
      <c r="I72" s="711">
        <f>I60-I62-I70</f>
        <v>0</v>
      </c>
      <c r="K72" s="711">
        <f>K60-K62-K70</f>
        <v>0</v>
      </c>
      <c r="M72" s="711">
        <f>M60-M62-M70</f>
        <v>0</v>
      </c>
      <c r="O72" s="711">
        <f>O60-O62-O70</f>
        <v>0</v>
      </c>
      <c r="Q72" s="711">
        <f>Q60-Q62-Q70</f>
        <v>0</v>
      </c>
      <c r="S72" s="711">
        <f>S60-S62-S70</f>
        <v>0</v>
      </c>
      <c r="U72" s="711">
        <f>U60-U62-U70</f>
        <v>0</v>
      </c>
      <c r="W72" s="711">
        <f>W60-W62-W70</f>
        <v>0</v>
      </c>
      <c r="Y72" s="711">
        <f>Y60-Y62-Y70</f>
        <v>0</v>
      </c>
      <c r="AA72" s="711">
        <f>AA60-AA62-AA70</f>
        <v>0</v>
      </c>
      <c r="AC72" s="711">
        <f>AC60-AC62-AC70</f>
        <v>0</v>
      </c>
      <c r="AE72" s="711">
        <f>AE60-AE62-AE70</f>
        <v>0</v>
      </c>
      <c r="AG72" s="711">
        <f>AG60-AG62-AG70</f>
        <v>0</v>
      </c>
    </row>
    <row r="73" spans="1:34" s="709" customFormat="1">
      <c r="A73" s="329"/>
      <c r="C73" s="718"/>
    </row>
    <row r="74" spans="1:34" s="117" customFormat="1">
      <c r="A74" s="329"/>
      <c r="B74" s="709"/>
      <c r="C74" s="718"/>
      <c r="D74" s="709"/>
      <c r="E74" s="709"/>
      <c r="F74" s="709"/>
      <c r="G74" s="709"/>
      <c r="H74" s="709"/>
      <c r="I74" s="709"/>
      <c r="J74" s="709"/>
      <c r="K74" s="709"/>
      <c r="L74" s="709"/>
      <c r="M74" s="709"/>
      <c r="N74" s="709"/>
      <c r="O74" s="709"/>
      <c r="P74" s="709"/>
      <c r="Q74" s="709"/>
      <c r="R74" s="709"/>
      <c r="S74" s="709"/>
      <c r="T74" s="709"/>
      <c r="U74" s="709"/>
      <c r="V74" s="709"/>
      <c r="W74" s="709"/>
      <c r="X74" s="709"/>
      <c r="Y74" s="709"/>
      <c r="Z74" s="709"/>
      <c r="AA74" s="709"/>
      <c r="AB74" s="709"/>
      <c r="AC74" s="709"/>
      <c r="AD74" s="709"/>
      <c r="AE74" s="709"/>
      <c r="AF74" s="709"/>
      <c r="AG74" s="709"/>
      <c r="AH74" s="709"/>
    </row>
    <row r="75" spans="1:34" s="117" customFormat="1">
      <c r="A75" s="709" t="s">
        <v>2743</v>
      </c>
      <c r="B75" s="709"/>
      <c r="C75" s="718"/>
      <c r="D75" s="709"/>
      <c r="E75" s="709"/>
      <c r="F75" s="709"/>
      <c r="G75" s="709"/>
      <c r="H75" s="709"/>
      <c r="I75" s="709"/>
      <c r="J75" s="709"/>
      <c r="K75" s="709"/>
      <c r="L75" s="709"/>
      <c r="M75" s="709"/>
      <c r="N75" s="709"/>
      <c r="O75" s="709"/>
      <c r="P75" s="709"/>
      <c r="Q75" s="709"/>
      <c r="R75" s="709"/>
      <c r="S75" s="709"/>
      <c r="T75" s="709"/>
      <c r="U75" s="709"/>
      <c r="V75" s="709"/>
      <c r="W75" s="709"/>
      <c r="X75" s="709"/>
      <c r="Y75" s="709"/>
      <c r="Z75" s="709"/>
      <c r="AA75" s="709"/>
      <c r="AB75" s="709"/>
      <c r="AC75" s="709"/>
      <c r="AD75" s="709"/>
      <c r="AE75" s="709"/>
      <c r="AF75" s="709"/>
      <c r="AG75" s="709"/>
      <c r="AH75" s="709"/>
    </row>
    <row r="76" spans="1:34" s="117" customFormat="1">
      <c r="A76" s="709"/>
      <c r="B76" s="709"/>
      <c r="C76" s="718"/>
      <c r="D76" s="709"/>
      <c r="E76" s="709"/>
      <c r="F76" s="709"/>
      <c r="G76" s="709"/>
      <c r="H76" s="709"/>
      <c r="I76" s="709"/>
      <c r="J76" s="709"/>
      <c r="K76" s="709"/>
      <c r="L76" s="709"/>
      <c r="M76" s="709"/>
      <c r="N76" s="709"/>
      <c r="O76" s="709"/>
      <c r="P76" s="709"/>
      <c r="Q76" s="709"/>
      <c r="R76" s="709"/>
      <c r="S76" s="709"/>
      <c r="T76" s="709"/>
      <c r="U76" s="709"/>
      <c r="V76" s="709"/>
      <c r="W76" s="709"/>
      <c r="X76" s="709"/>
      <c r="Y76" s="709"/>
      <c r="Z76" s="709"/>
      <c r="AA76" s="709"/>
      <c r="AB76" s="709"/>
      <c r="AC76" s="709"/>
      <c r="AD76" s="709"/>
      <c r="AE76" s="709"/>
      <c r="AF76" s="709"/>
      <c r="AG76" s="709"/>
      <c r="AH76" s="709"/>
    </row>
    <row r="77" spans="1:34" s="133" customFormat="1" ht="30" customHeight="1">
      <c r="A77" s="2622" t="s">
        <v>2744</v>
      </c>
      <c r="B77" s="2622"/>
      <c r="C77" s="2622"/>
      <c r="D77" s="2622"/>
      <c r="E77" s="2622"/>
      <c r="F77" s="2622"/>
      <c r="G77" s="2622"/>
      <c r="H77" s="2622"/>
      <c r="I77" s="2622"/>
      <c r="J77" s="2622"/>
      <c r="K77" s="2622"/>
      <c r="L77" s="2622"/>
      <c r="M77" s="2622"/>
      <c r="N77" s="2622"/>
      <c r="O77" s="2622"/>
      <c r="P77" s="2622"/>
      <c r="Q77" s="2622"/>
      <c r="R77" s="2622"/>
      <c r="S77" s="2622"/>
      <c r="T77" s="2622"/>
      <c r="U77" s="2622"/>
      <c r="V77" s="2622"/>
      <c r="W77" s="2622"/>
      <c r="X77" s="2622"/>
      <c r="Y77" s="2622"/>
      <c r="Z77" s="2622"/>
      <c r="AA77" s="2622"/>
      <c r="AB77" s="2622"/>
      <c r="AC77" s="2622"/>
      <c r="AD77" s="2622"/>
      <c r="AE77" s="2622"/>
      <c r="AF77" s="2622"/>
      <c r="AG77" s="2622"/>
      <c r="AH77" s="1097"/>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88671875" hidden="1"/>
  </cols>
  <sheetData>
    <row r="1" spans="1:1" ht="46.8">
      <c r="A1" s="171" t="s">
        <v>2745</v>
      </c>
    </row>
    <row r="2" spans="1:1" ht="15.6">
      <c r="A2" s="172"/>
    </row>
    <row r="3" spans="1:1" ht="15.6">
      <c r="A3" s="173" t="s">
        <v>2746</v>
      </c>
    </row>
    <row r="4" spans="1:1" ht="15.6">
      <c r="A4" s="173" t="s">
        <v>2747</v>
      </c>
    </row>
    <row r="5" spans="1:1" ht="15.6">
      <c r="A5" s="173" t="s">
        <v>2748</v>
      </c>
    </row>
    <row r="6" spans="1:1" ht="15.6">
      <c r="A6" s="173" t="s">
        <v>2749</v>
      </c>
    </row>
    <row r="7" spans="1:1" ht="15.6">
      <c r="A7" s="173" t="s">
        <v>2750</v>
      </c>
    </row>
    <row r="8" spans="1:1" ht="15.6">
      <c r="A8" s="192" t="s">
        <v>2751</v>
      </c>
    </row>
    <row r="9" spans="1:1" ht="15.6">
      <c r="A9" s="173" t="s">
        <v>2752</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election activeCell="B37" sqref="B37"/>
    </sheetView>
  </sheetViews>
  <sheetFormatPr defaultColWidth="9.109375" defaultRowHeight="13.2" zeroHeight="1"/>
  <cols>
    <col min="1" max="1" width="35.6640625" style="107" customWidth="1"/>
    <col min="2" max="4" width="14.6640625" style="107" customWidth="1"/>
    <col min="5" max="5" width="50.6640625" style="107" customWidth="1"/>
    <col min="6" max="253" width="9.109375" style="107" customWidth="1"/>
    <col min="254" max="16384" width="9.109375" style="107"/>
  </cols>
  <sheetData>
    <row r="1" spans="1:6" s="145" customFormat="1" ht="18" customHeight="1">
      <c r="A1" s="316" t="s">
        <v>2753</v>
      </c>
      <c r="D1" s="150"/>
    </row>
    <row r="2" spans="1:6" s="145" customFormat="1">
      <c r="A2" s="1098" t="s">
        <v>2754</v>
      </c>
      <c r="B2" s="141"/>
      <c r="C2" s="141"/>
      <c r="D2" s="139"/>
      <c r="E2" s="142"/>
      <c r="F2" s="141"/>
    </row>
    <row r="3" spans="1:6" s="193" customFormat="1" ht="80.25" customHeight="1">
      <c r="A3" s="147"/>
      <c r="B3" s="143" t="s">
        <v>2755</v>
      </c>
      <c r="C3" s="143" t="s">
        <v>2756</v>
      </c>
      <c r="D3" s="143" t="s">
        <v>2757</v>
      </c>
      <c r="E3" s="140" t="s">
        <v>2758</v>
      </c>
      <c r="F3" s="140"/>
    </row>
    <row r="4" spans="1:6" s="194" customFormat="1">
      <c r="A4" s="1099" t="s">
        <v>1771</v>
      </c>
      <c r="B4" s="1099"/>
      <c r="C4" s="1099"/>
      <c r="D4" s="1099"/>
      <c r="E4" s="1100"/>
      <c r="F4" s="1099"/>
    </row>
    <row r="5" spans="1:6" s="194" customFormat="1">
      <c r="A5" s="1069" t="s">
        <v>1772</v>
      </c>
      <c r="B5" s="1101">
        <f>'Sources and Uses Budget'!$C4</f>
        <v>0</v>
      </c>
      <c r="C5" s="1101">
        <f>'Sources and Uses Budget'!$C4</f>
        <v>0</v>
      </c>
      <c r="D5" s="1102">
        <f>C5-B5</f>
        <v>0</v>
      </c>
      <c r="E5" s="1103"/>
      <c r="F5" s="144"/>
    </row>
    <row r="6" spans="1:6" s="194" customFormat="1">
      <c r="A6" s="1069" t="s">
        <v>690</v>
      </c>
      <c r="B6" s="1101">
        <f>'Sources and Uses Budget'!$C5</f>
        <v>0</v>
      </c>
      <c r="C6" s="1101">
        <f>'Sources and Uses Budget'!$C5</f>
        <v>0</v>
      </c>
      <c r="D6" s="1102">
        <f t="shared" ref="D6:D77" si="0">C6-B6</f>
        <v>0</v>
      </c>
      <c r="E6" s="1103"/>
      <c r="F6" s="144"/>
    </row>
    <row r="7" spans="1:6" s="194" customFormat="1">
      <c r="A7" s="1069" t="s">
        <v>1773</v>
      </c>
      <c r="B7" s="1101">
        <f>'Sources and Uses Budget'!$C6</f>
        <v>0</v>
      </c>
      <c r="C7" s="1101">
        <f>'Sources and Uses Budget'!$C6</f>
        <v>0</v>
      </c>
      <c r="D7" s="1102">
        <f t="shared" si="0"/>
        <v>0</v>
      </c>
      <c r="E7" s="1103"/>
      <c r="F7" s="144"/>
    </row>
    <row r="8" spans="1:6" s="194" customFormat="1">
      <c r="A8" s="1069" t="s">
        <v>1774</v>
      </c>
      <c r="B8" s="1101">
        <f>'Sources and Uses Budget'!$C7</f>
        <v>0</v>
      </c>
      <c r="C8" s="1101">
        <f>'Sources and Uses Budget'!$C7</f>
        <v>0</v>
      </c>
      <c r="D8" s="1102">
        <f t="shared" si="0"/>
        <v>0</v>
      </c>
      <c r="E8" s="1103"/>
      <c r="F8" s="144"/>
    </row>
    <row r="9" spans="1:6" s="194" customFormat="1">
      <c r="A9" s="1073" t="s">
        <v>1775</v>
      </c>
      <c r="B9" s="1102">
        <f>SUM(B5:B8)</f>
        <v>0</v>
      </c>
      <c r="C9" s="1102">
        <f>SUM(C5:C8)</f>
        <v>0</v>
      </c>
      <c r="D9" s="1102">
        <f t="shared" si="0"/>
        <v>0</v>
      </c>
      <c r="E9" s="1103"/>
      <c r="F9" s="144"/>
    </row>
    <row r="10" spans="1:6" s="194" customFormat="1">
      <c r="A10" s="1069" t="s">
        <v>1776</v>
      </c>
      <c r="B10" s="1101">
        <f>'Sources and Uses Budget'!$C9</f>
        <v>0</v>
      </c>
      <c r="C10" s="1101">
        <f>'Sources and Uses Budget'!$C9</f>
        <v>0</v>
      </c>
      <c r="D10" s="1102">
        <f t="shared" si="0"/>
        <v>0</v>
      </c>
      <c r="E10" s="1103"/>
      <c r="F10" s="144"/>
    </row>
    <row r="11" spans="1:6" s="194" customFormat="1">
      <c r="A11" s="1069" t="s">
        <v>1777</v>
      </c>
      <c r="B11" s="1101">
        <f>'Sources and Uses Budget'!$C10</f>
        <v>500000</v>
      </c>
      <c r="C11" s="1101">
        <f>'Sources and Uses Budget'!$C10</f>
        <v>500000</v>
      </c>
      <c r="D11" s="1102">
        <f t="shared" si="0"/>
        <v>0</v>
      </c>
      <c r="E11" s="1103"/>
      <c r="F11" s="144"/>
    </row>
    <row r="12" spans="1:6" s="194" customFormat="1">
      <c r="A12" s="1073" t="s">
        <v>1778</v>
      </c>
      <c r="B12" s="1102">
        <f>SUM(B10:B11)</f>
        <v>500000</v>
      </c>
      <c r="C12" s="1102">
        <f>SUM(C10:C11)</f>
        <v>500000</v>
      </c>
      <c r="D12" s="1102">
        <f t="shared" si="0"/>
        <v>0</v>
      </c>
      <c r="E12" s="1103"/>
      <c r="F12" s="144"/>
    </row>
    <row r="13" spans="1:6" s="194" customFormat="1">
      <c r="A13" s="1073" t="s">
        <v>1779</v>
      </c>
      <c r="B13" s="1102">
        <f>SUM(B9+B12)</f>
        <v>500000</v>
      </c>
      <c r="C13" s="1102">
        <f>SUM(C9+C12)</f>
        <v>500000</v>
      </c>
      <c r="D13" s="1102">
        <f t="shared" si="0"/>
        <v>0</v>
      </c>
      <c r="E13" s="1103"/>
      <c r="F13" s="144"/>
    </row>
    <row r="14" spans="1:6" s="194" customFormat="1">
      <c r="A14" s="1074" t="s">
        <v>1780</v>
      </c>
      <c r="B14" s="1101">
        <f>'Sources and Uses Budget'!$C13</f>
        <v>0</v>
      </c>
      <c r="C14" s="1101">
        <f>'Sources and Uses Budget'!$C13</f>
        <v>0</v>
      </c>
      <c r="D14" s="1102">
        <f t="shared" si="0"/>
        <v>0</v>
      </c>
      <c r="E14" s="1103"/>
      <c r="F14" s="144"/>
    </row>
    <row r="15" spans="1:6" s="194" customFormat="1" ht="22.8">
      <c r="A15" s="1069" t="s">
        <v>1899</v>
      </c>
      <c r="B15" s="1101">
        <f>'Sources and Uses Budget'!$C14</f>
        <v>0</v>
      </c>
      <c r="C15" s="1101">
        <f>'Sources and Uses Budget'!$C14</f>
        <v>0</v>
      </c>
      <c r="D15" s="1102">
        <f t="shared" si="0"/>
        <v>0</v>
      </c>
      <c r="E15" s="1103"/>
      <c r="F15" s="144"/>
    </row>
    <row r="16" spans="1:6" s="194" customFormat="1">
      <c r="A16" s="1069" t="s">
        <v>1782</v>
      </c>
      <c r="B16" s="1101">
        <f>'Sources and Uses Budget'!$C15</f>
        <v>0</v>
      </c>
      <c r="C16" s="1101">
        <f>'Sources and Uses Budget'!$C15</f>
        <v>0</v>
      </c>
      <c r="D16" s="1102">
        <f t="shared" si="0"/>
        <v>0</v>
      </c>
      <c r="E16" s="1103"/>
      <c r="F16" s="144"/>
    </row>
    <row r="17" spans="1:6" s="194" customFormat="1">
      <c r="A17" s="1099" t="s">
        <v>1783</v>
      </c>
      <c r="B17" s="1099"/>
      <c r="C17" s="1099"/>
      <c r="D17" s="1099"/>
      <c r="E17" s="1100"/>
      <c r="F17" s="1099"/>
    </row>
    <row r="18" spans="1:6" s="194" customFormat="1">
      <c r="A18" s="1041" t="s">
        <v>1784</v>
      </c>
      <c r="B18" s="1101">
        <f>'Sources and Uses Budget'!$C17</f>
        <v>0</v>
      </c>
      <c r="C18" s="1101">
        <f>'Sources and Uses Budget'!$C17</f>
        <v>0</v>
      </c>
      <c r="D18" s="1102">
        <f t="shared" si="0"/>
        <v>0</v>
      </c>
      <c r="E18" s="1103"/>
      <c r="F18" s="144"/>
    </row>
    <row r="19" spans="1:6" s="194" customFormat="1">
      <c r="A19" s="1041" t="s">
        <v>1785</v>
      </c>
      <c r="B19" s="1101">
        <f>'Sources and Uses Budget'!$C18</f>
        <v>0</v>
      </c>
      <c r="C19" s="1101">
        <f>'Sources and Uses Budget'!$C18</f>
        <v>0</v>
      </c>
      <c r="D19" s="1102">
        <f t="shared" si="0"/>
        <v>0</v>
      </c>
      <c r="E19" s="1103"/>
      <c r="F19" s="144"/>
    </row>
    <row r="20" spans="1:6" s="194" customFormat="1">
      <c r="A20" s="1041" t="s">
        <v>1786</v>
      </c>
      <c r="B20" s="1101">
        <f>'Sources and Uses Budget'!$C19</f>
        <v>0</v>
      </c>
      <c r="C20" s="1101">
        <f>'Sources and Uses Budget'!$C19</f>
        <v>0</v>
      </c>
      <c r="D20" s="1102">
        <f t="shared" si="0"/>
        <v>0</v>
      </c>
      <c r="E20" s="1103"/>
      <c r="F20" s="144"/>
    </row>
    <row r="21" spans="1:6" s="194" customFormat="1">
      <c r="A21" s="1041" t="s">
        <v>1787</v>
      </c>
      <c r="B21" s="1101">
        <f>'Sources and Uses Budget'!$C20</f>
        <v>0</v>
      </c>
      <c r="C21" s="1101">
        <f>'Sources and Uses Budget'!$C20</f>
        <v>0</v>
      </c>
      <c r="D21" s="1102">
        <f t="shared" si="0"/>
        <v>0</v>
      </c>
      <c r="E21" s="1103"/>
      <c r="F21" s="144"/>
    </row>
    <row r="22" spans="1:6" s="194" customFormat="1">
      <c r="A22" s="1041" t="s">
        <v>1788</v>
      </c>
      <c r="B22" s="1101">
        <f>'Sources and Uses Budget'!$C21</f>
        <v>0</v>
      </c>
      <c r="C22" s="1101">
        <f>'Sources and Uses Budget'!$C21</f>
        <v>0</v>
      </c>
      <c r="D22" s="1102">
        <f t="shared" si="0"/>
        <v>0</v>
      </c>
      <c r="E22" s="1103"/>
      <c r="F22" s="144"/>
    </row>
    <row r="23" spans="1:6" s="194" customFormat="1">
      <c r="A23" s="1041" t="s">
        <v>1789</v>
      </c>
      <c r="B23" s="1101">
        <f>'Sources and Uses Budget'!$C22</f>
        <v>0</v>
      </c>
      <c r="C23" s="1101">
        <f>'Sources and Uses Budget'!$C22</f>
        <v>0</v>
      </c>
      <c r="D23" s="1102">
        <f t="shared" si="0"/>
        <v>0</v>
      </c>
      <c r="E23" s="1103"/>
      <c r="F23" s="144"/>
    </row>
    <row r="24" spans="1:6" s="194" customFormat="1">
      <c r="A24" s="1041" t="s">
        <v>1790</v>
      </c>
      <c r="B24" s="1101">
        <f>'Sources and Uses Budget'!$C23</f>
        <v>0</v>
      </c>
      <c r="C24" s="1101">
        <f>'Sources and Uses Budget'!$C23</f>
        <v>0</v>
      </c>
      <c r="D24" s="1102">
        <f t="shared" si="0"/>
        <v>0</v>
      </c>
      <c r="E24" s="1103"/>
      <c r="F24" s="144"/>
    </row>
    <row r="25" spans="1:6" s="194" customFormat="1">
      <c r="A25" s="1051" t="s">
        <v>1791</v>
      </c>
      <c r="B25" s="1101">
        <f>'Sources and Uses Budget'!$C24</f>
        <v>0</v>
      </c>
      <c r="C25" s="1101">
        <f>'Sources and Uses Budget'!$C24</f>
        <v>0</v>
      </c>
      <c r="D25" s="1102">
        <f t="shared" si="0"/>
        <v>0</v>
      </c>
      <c r="E25" s="1103"/>
      <c r="F25" s="144"/>
    </row>
    <row r="26" spans="1:6" s="194" customFormat="1">
      <c r="A26" s="1051" t="str">
        <f>'Sources and Uses Budget'!A25</f>
        <v>Other: (Specify)</v>
      </c>
      <c r="B26" s="1101">
        <f>'Sources and Uses Budget'!$C25</f>
        <v>0</v>
      </c>
      <c r="C26" s="1101">
        <f>'Sources and Uses Budget'!$C25</f>
        <v>0</v>
      </c>
      <c r="D26" s="1102">
        <f t="shared" si="0"/>
        <v>0</v>
      </c>
      <c r="E26" s="1103"/>
      <c r="F26" s="144"/>
    </row>
    <row r="27" spans="1:6" s="194" customFormat="1">
      <c r="A27" s="1104" t="s">
        <v>1793</v>
      </c>
      <c r="B27" s="1102">
        <f>SUM(B18:B26)</f>
        <v>0</v>
      </c>
      <c r="C27" s="1102">
        <f>SUM(C18:C26)</f>
        <v>0</v>
      </c>
      <c r="D27" s="1102">
        <f>SUM(D18:D26)</f>
        <v>0</v>
      </c>
      <c r="E27" s="1103"/>
      <c r="F27" s="144"/>
    </row>
    <row r="28" spans="1:6" s="194" customFormat="1">
      <c r="A28" s="1105" t="s">
        <v>1794</v>
      </c>
      <c r="B28" s="1101">
        <f>'Sources and Uses Budget'!$C$27</f>
        <v>0</v>
      </c>
      <c r="C28" s="1101">
        <f>'Sources and Uses Budget'!$C$27</f>
        <v>0</v>
      </c>
      <c r="D28" s="1102">
        <f t="shared" si="0"/>
        <v>0</v>
      </c>
      <c r="E28" s="1103"/>
      <c r="F28" s="144"/>
    </row>
    <row r="29" spans="1:6" s="194" customFormat="1">
      <c r="A29" s="1099" t="s">
        <v>1795</v>
      </c>
      <c r="B29" s="1099"/>
      <c r="C29" s="1099"/>
      <c r="D29" s="1099"/>
      <c r="E29" s="1100"/>
      <c r="F29" s="1099"/>
    </row>
    <row r="30" spans="1:6" s="194" customFormat="1">
      <c r="A30" s="1041" t="s">
        <v>1784</v>
      </c>
      <c r="B30" s="1101">
        <f>'Sources and Uses Budget'!$C29</f>
        <v>1000000</v>
      </c>
      <c r="C30" s="1101">
        <f>'Sources and Uses Budget'!$C29</f>
        <v>1000000</v>
      </c>
      <c r="D30" s="1102">
        <f t="shared" si="0"/>
        <v>0</v>
      </c>
      <c r="E30" s="1103"/>
      <c r="F30" s="144"/>
    </row>
    <row r="31" spans="1:6" s="194" customFormat="1">
      <c r="A31" s="1041" t="s">
        <v>1785</v>
      </c>
      <c r="B31" s="1101">
        <f>'Sources and Uses Budget'!$C30</f>
        <v>41656632</v>
      </c>
      <c r="C31" s="1101">
        <f>'Sources and Uses Budget'!$C30</f>
        <v>41656632</v>
      </c>
      <c r="D31" s="1102">
        <f t="shared" si="0"/>
        <v>0</v>
      </c>
      <c r="E31" s="1103"/>
      <c r="F31" s="144"/>
    </row>
    <row r="32" spans="1:6" s="194" customFormat="1">
      <c r="A32" s="1041" t="s">
        <v>1786</v>
      </c>
      <c r="B32" s="1101">
        <f>'Sources and Uses Budget'!$C31</f>
        <v>3107278</v>
      </c>
      <c r="C32" s="1101">
        <f>'Sources and Uses Budget'!$C31</f>
        <v>3107278</v>
      </c>
      <c r="D32" s="1102">
        <f t="shared" si="0"/>
        <v>0</v>
      </c>
      <c r="E32" s="1103"/>
      <c r="F32" s="144"/>
    </row>
    <row r="33" spans="1:6" s="194" customFormat="1">
      <c r="A33" s="1041" t="s">
        <v>1787</v>
      </c>
      <c r="B33" s="1101">
        <f>'Sources and Uses Budget'!$C32</f>
        <v>2071518</v>
      </c>
      <c r="C33" s="1101">
        <f>'Sources and Uses Budget'!$C32</f>
        <v>2071518</v>
      </c>
      <c r="D33" s="1102">
        <f t="shared" si="0"/>
        <v>0</v>
      </c>
      <c r="E33" s="1103"/>
      <c r="F33" s="144"/>
    </row>
    <row r="34" spans="1:6" s="194" customFormat="1">
      <c r="A34" s="1041" t="s">
        <v>1788</v>
      </c>
      <c r="B34" s="1101">
        <f>'Sources and Uses Budget'!$C33</f>
        <v>2071518</v>
      </c>
      <c r="C34" s="1101">
        <f>'Sources and Uses Budget'!$C33</f>
        <v>2071518</v>
      </c>
      <c r="D34" s="1102">
        <f t="shared" si="0"/>
        <v>0</v>
      </c>
      <c r="E34" s="1103"/>
      <c r="F34" s="144"/>
    </row>
    <row r="35" spans="1:6" s="194" customFormat="1">
      <c r="A35" s="1041" t="s">
        <v>1789</v>
      </c>
      <c r="B35" s="1101">
        <f>'Sources and Uses Budget'!$C34</f>
        <v>8631326</v>
      </c>
      <c r="C35" s="1101">
        <f>'Sources and Uses Budget'!$C34</f>
        <v>8631326</v>
      </c>
      <c r="D35" s="1102">
        <f t="shared" si="0"/>
        <v>0</v>
      </c>
      <c r="E35" s="1103"/>
      <c r="F35" s="144"/>
    </row>
    <row r="36" spans="1:6" s="194" customFormat="1">
      <c r="A36" s="1041" t="s">
        <v>1790</v>
      </c>
      <c r="B36" s="1101">
        <f>'Sources and Uses Budget'!$C35</f>
        <v>590383</v>
      </c>
      <c r="C36" s="1101">
        <f>'Sources and Uses Budget'!$C35</f>
        <v>590383</v>
      </c>
      <c r="D36" s="1102">
        <f t="shared" si="0"/>
        <v>0</v>
      </c>
      <c r="E36" s="1103"/>
      <c r="F36" s="144"/>
    </row>
    <row r="37" spans="1:6" s="194" customFormat="1">
      <c r="A37" s="1041" t="s">
        <v>1791</v>
      </c>
      <c r="B37" s="1101">
        <f>'Sources and Uses Budget'!$C36</f>
        <v>0</v>
      </c>
      <c r="C37" s="1101">
        <f>'Sources and Uses Budget'!$C36</f>
        <v>0</v>
      </c>
      <c r="D37" s="1102"/>
      <c r="E37" s="1103"/>
      <c r="F37" s="144"/>
    </row>
    <row r="38" spans="1:6" s="194" customFormat="1">
      <c r="A38" s="1051" t="str">
        <f>'Sources and Uses Budget'!A37</f>
        <v>Other: (Specify)</v>
      </c>
      <c r="B38" s="1101">
        <f>'Sources and Uses Budget'!$C37</f>
        <v>0</v>
      </c>
      <c r="C38" s="1101">
        <f>'Sources and Uses Budget'!$C37</f>
        <v>0</v>
      </c>
      <c r="D38" s="1102">
        <f t="shared" si="0"/>
        <v>0</v>
      </c>
      <c r="E38" s="1103"/>
      <c r="F38" s="144"/>
    </row>
    <row r="39" spans="1:6" s="194" customFormat="1">
      <c r="A39" s="1105" t="s">
        <v>1796</v>
      </c>
      <c r="B39" s="1102">
        <f>SUM(B30:B38)</f>
        <v>59128655</v>
      </c>
      <c r="C39" s="1102">
        <f>SUM(C30:C38)</f>
        <v>59128655</v>
      </c>
      <c r="D39" s="1102">
        <f t="shared" si="0"/>
        <v>0</v>
      </c>
      <c r="E39" s="1103"/>
      <c r="F39" s="144"/>
    </row>
    <row r="40" spans="1:6" s="194" customFormat="1">
      <c r="A40" s="1099" t="s">
        <v>1797</v>
      </c>
      <c r="B40" s="1099"/>
      <c r="C40" s="1099"/>
      <c r="D40" s="1099"/>
      <c r="E40" s="1100"/>
      <c r="F40" s="1099"/>
    </row>
    <row r="41" spans="1:6" s="194" customFormat="1">
      <c r="A41" s="1106" t="s">
        <v>1798</v>
      </c>
      <c r="B41" s="1101">
        <f>'Sources and Uses Budget'!$C40</f>
        <v>1200000</v>
      </c>
      <c r="C41" s="1101">
        <f>'Sources and Uses Budget'!$C40</f>
        <v>1200000</v>
      </c>
      <c r="D41" s="1102">
        <f t="shared" si="0"/>
        <v>0</v>
      </c>
      <c r="E41" s="1103"/>
      <c r="F41" s="144"/>
    </row>
    <row r="42" spans="1:6" s="194" customFormat="1">
      <c r="A42" s="1106" t="s">
        <v>1799</v>
      </c>
      <c r="B42" s="1101">
        <f>'Sources and Uses Budget'!$C41</f>
        <v>650000</v>
      </c>
      <c r="C42" s="1101">
        <f>'Sources and Uses Budget'!$C41</f>
        <v>650000</v>
      </c>
      <c r="D42" s="1102">
        <f t="shared" si="0"/>
        <v>0</v>
      </c>
      <c r="E42" s="1103"/>
      <c r="F42" s="144"/>
    </row>
    <row r="43" spans="1:6" s="194" customFormat="1">
      <c r="A43" s="1105" t="s">
        <v>1800</v>
      </c>
      <c r="B43" s="1102">
        <f>SUM(B41:B42)</f>
        <v>1850000</v>
      </c>
      <c r="C43" s="1102">
        <f>SUM(C41:C42)</f>
        <v>1850000</v>
      </c>
      <c r="D43" s="1102">
        <f t="shared" si="0"/>
        <v>0</v>
      </c>
      <c r="E43" s="1103"/>
      <c r="F43" s="144"/>
    </row>
    <row r="44" spans="1:6" s="194" customFormat="1">
      <c r="A44" s="1105" t="s">
        <v>1801</v>
      </c>
      <c r="B44" s="1101">
        <f>'Sources and Uses Budget'!$C43</f>
        <v>0</v>
      </c>
      <c r="C44" s="1101">
        <f>'Sources and Uses Budget'!$C43</f>
        <v>0</v>
      </c>
      <c r="D44" s="1102">
        <f t="shared" si="0"/>
        <v>0</v>
      </c>
      <c r="E44" s="1103"/>
      <c r="F44" s="144"/>
    </row>
    <row r="45" spans="1:6" s="194" customFormat="1" ht="12" customHeight="1">
      <c r="A45" s="1099" t="s">
        <v>1802</v>
      </c>
      <c r="B45" s="1099"/>
      <c r="C45" s="1099"/>
      <c r="D45" s="1099"/>
      <c r="E45" s="1100"/>
      <c r="F45" s="1099"/>
    </row>
    <row r="46" spans="1:6" s="194" customFormat="1">
      <c r="A46" s="1041" t="s">
        <v>1803</v>
      </c>
      <c r="B46" s="1101">
        <f>'Sources and Uses Budget'!$C45</f>
        <v>4915038</v>
      </c>
      <c r="C46" s="1101">
        <f>'Sources and Uses Budget'!$C45</f>
        <v>4915038</v>
      </c>
      <c r="D46" s="1102">
        <f t="shared" si="0"/>
        <v>0</v>
      </c>
      <c r="E46" s="1103"/>
      <c r="F46" s="144"/>
    </row>
    <row r="47" spans="1:6" s="194" customFormat="1">
      <c r="A47" s="1041" t="s">
        <v>1804</v>
      </c>
      <c r="B47" s="1101">
        <f>'Sources and Uses Budget'!$C46</f>
        <v>451957</v>
      </c>
      <c r="C47" s="1101">
        <f>'Sources and Uses Budget'!$C46</f>
        <v>451957</v>
      </c>
      <c r="D47" s="1102">
        <f t="shared" si="0"/>
        <v>0</v>
      </c>
      <c r="E47" s="1103"/>
      <c r="F47" s="144"/>
    </row>
    <row r="48" spans="1:6" s="194" customFormat="1" ht="12" customHeight="1">
      <c r="A48" s="1053" t="s">
        <v>1805</v>
      </c>
      <c r="B48" s="1101">
        <f>'Sources and Uses Budget'!$C47</f>
        <v>15000</v>
      </c>
      <c r="C48" s="1101">
        <f>'Sources and Uses Budget'!$C47</f>
        <v>15000</v>
      </c>
      <c r="D48" s="1102">
        <f t="shared" si="0"/>
        <v>0</v>
      </c>
      <c r="E48" s="1103"/>
      <c r="F48" s="144"/>
    </row>
    <row r="49" spans="1:6" s="194" customFormat="1">
      <c r="A49" s="1041" t="s">
        <v>1806</v>
      </c>
      <c r="B49" s="1101">
        <f>'Sources and Uses Budget'!$C48</f>
        <v>531344</v>
      </c>
      <c r="C49" s="1101">
        <f>'Sources and Uses Budget'!$C48</f>
        <v>531344</v>
      </c>
      <c r="D49" s="1102">
        <f t="shared" si="0"/>
        <v>0</v>
      </c>
      <c r="E49" s="1103"/>
      <c r="F49" s="144"/>
    </row>
    <row r="50" spans="1:6" s="194" customFormat="1">
      <c r="A50" s="1041" t="s">
        <v>1807</v>
      </c>
      <c r="B50" s="1101">
        <f>'Sources and Uses Budget'!$C49</f>
        <v>112989</v>
      </c>
      <c r="C50" s="1101">
        <f>'Sources and Uses Budget'!$C49</f>
        <v>112989</v>
      </c>
      <c r="D50" s="1102">
        <f t="shared" si="0"/>
        <v>0</v>
      </c>
      <c r="E50" s="1103"/>
      <c r="F50" s="144"/>
    </row>
    <row r="51" spans="1:6" s="194" customFormat="1">
      <c r="A51" s="1041" t="s">
        <v>1808</v>
      </c>
      <c r="B51" s="1101">
        <f>'Sources and Uses Budget'!$C50</f>
        <v>100000</v>
      </c>
      <c r="C51" s="1101">
        <f>'Sources and Uses Budget'!$C50</f>
        <v>100000</v>
      </c>
      <c r="D51" s="1102">
        <f t="shared" si="0"/>
        <v>0</v>
      </c>
      <c r="E51" s="1103"/>
      <c r="F51" s="144"/>
    </row>
    <row r="52" spans="1:6" s="194" customFormat="1">
      <c r="A52" s="1041" t="s">
        <v>1809</v>
      </c>
      <c r="B52" s="1101">
        <f>'Sources and Uses Budget'!$C51</f>
        <v>105000</v>
      </c>
      <c r="C52" s="1101">
        <f>'Sources and Uses Budget'!$C51</f>
        <v>105000</v>
      </c>
      <c r="D52" s="1102">
        <f t="shared" si="0"/>
        <v>0</v>
      </c>
      <c r="E52" s="1103"/>
      <c r="F52" s="144"/>
    </row>
    <row r="53" spans="1:6" s="194" customFormat="1">
      <c r="A53" s="1041" t="s">
        <v>1810</v>
      </c>
      <c r="B53" s="1101">
        <f>'Sources and Uses Budget'!$C52</f>
        <v>902000</v>
      </c>
      <c r="C53" s="1101">
        <f>'Sources and Uses Budget'!$C52</f>
        <v>902000</v>
      </c>
      <c r="D53" s="1102">
        <f t="shared" si="0"/>
        <v>0</v>
      </c>
      <c r="E53" s="1103"/>
      <c r="F53" s="144"/>
    </row>
    <row r="54" spans="1:6" s="194" customFormat="1">
      <c r="A54" s="1051" t="str">
        <f>'Sources and Uses Budget'!A53</f>
        <v>Other: (Specify)</v>
      </c>
      <c r="B54" s="1101">
        <f>'Sources and Uses Budget'!$C53</f>
        <v>0</v>
      </c>
      <c r="C54" s="1101">
        <f>'Sources and Uses Budget'!$C53</f>
        <v>0</v>
      </c>
      <c r="D54" s="1102">
        <f t="shared" si="0"/>
        <v>0</v>
      </c>
      <c r="E54" s="1103"/>
      <c r="F54" s="144"/>
    </row>
    <row r="55" spans="1:6" s="195" customFormat="1">
      <c r="A55" s="1105" t="s">
        <v>1811</v>
      </c>
      <c r="B55" s="1107">
        <f>SUM(B46:B54)</f>
        <v>7133328</v>
      </c>
      <c r="C55" s="1107">
        <f>SUM(C46:C54)</f>
        <v>7133328</v>
      </c>
      <c r="D55" s="1102">
        <f t="shared" si="0"/>
        <v>0</v>
      </c>
      <c r="E55" s="1103"/>
      <c r="F55" s="144"/>
    </row>
    <row r="56" spans="1:6" s="194" customFormat="1">
      <c r="A56" s="1099" t="s">
        <v>1362</v>
      </c>
      <c r="B56" s="1099"/>
      <c r="C56" s="1099"/>
      <c r="D56" s="1099"/>
      <c r="E56" s="1100"/>
      <c r="F56" s="1099"/>
    </row>
    <row r="57" spans="1:6" s="194" customFormat="1">
      <c r="A57" s="1106" t="s">
        <v>1812</v>
      </c>
      <c r="B57" s="1101">
        <f>'Sources and Uses Budget'!$C56</f>
        <v>0</v>
      </c>
      <c r="C57" s="1101">
        <f>'Sources and Uses Budget'!$C56</f>
        <v>0</v>
      </c>
      <c r="D57" s="1102">
        <f t="shared" si="0"/>
        <v>0</v>
      </c>
      <c r="E57" s="1103"/>
      <c r="F57" s="144"/>
    </row>
    <row r="58" spans="1:6" s="194" customFormat="1" ht="12" customHeight="1">
      <c r="A58" s="1106" t="s">
        <v>1805</v>
      </c>
      <c r="B58" s="1101">
        <f>'Sources and Uses Budget'!$C57</f>
        <v>0</v>
      </c>
      <c r="C58" s="1101">
        <f>'Sources and Uses Budget'!$C57</f>
        <v>0</v>
      </c>
      <c r="D58" s="1102">
        <f t="shared" si="0"/>
        <v>0</v>
      </c>
      <c r="E58" s="1103"/>
      <c r="F58" s="144"/>
    </row>
    <row r="59" spans="1:6" s="194" customFormat="1">
      <c r="A59" s="1106" t="s">
        <v>1808</v>
      </c>
      <c r="B59" s="1101">
        <f>'Sources and Uses Budget'!$C58</f>
        <v>10000</v>
      </c>
      <c r="C59" s="1101">
        <f>'Sources and Uses Budget'!$C58</f>
        <v>10000</v>
      </c>
      <c r="D59" s="1102">
        <f t="shared" si="0"/>
        <v>0</v>
      </c>
      <c r="E59" s="1103"/>
      <c r="F59" s="144"/>
    </row>
    <row r="60" spans="1:6" s="194" customFormat="1">
      <c r="A60" s="1106" t="s">
        <v>1809</v>
      </c>
      <c r="B60" s="1101">
        <f>'Sources and Uses Budget'!$C59</f>
        <v>0</v>
      </c>
      <c r="C60" s="1101">
        <f>'Sources and Uses Budget'!$C59</f>
        <v>0</v>
      </c>
      <c r="D60" s="1102">
        <f t="shared" si="0"/>
        <v>0</v>
      </c>
      <c r="E60" s="1103"/>
      <c r="F60" s="144"/>
    </row>
    <row r="61" spans="1:6" s="194" customFormat="1">
      <c r="A61" s="1106" t="s">
        <v>1810</v>
      </c>
      <c r="B61" s="1101">
        <f>'Sources and Uses Budget'!$C60</f>
        <v>0</v>
      </c>
      <c r="C61" s="1101">
        <f>'Sources and Uses Budget'!$C60</f>
        <v>0</v>
      </c>
      <c r="D61" s="1102">
        <f t="shared" si="0"/>
        <v>0</v>
      </c>
      <c r="E61" s="1103"/>
      <c r="F61" s="144"/>
    </row>
    <row r="62" spans="1:6" s="194" customFormat="1">
      <c r="A62" s="1108" t="str">
        <f>'Sources and Uses Budget'!A61</f>
        <v>Legal for Perm Loan</v>
      </c>
      <c r="B62" s="1101">
        <f>'Sources and Uses Budget'!$C61</f>
        <v>15000</v>
      </c>
      <c r="C62" s="1101">
        <f>'Sources and Uses Budget'!$C61</f>
        <v>15000</v>
      </c>
      <c r="D62" s="1102">
        <f t="shared" si="0"/>
        <v>0</v>
      </c>
      <c r="E62" s="1103"/>
      <c r="F62" s="144"/>
    </row>
    <row r="63" spans="1:6" s="194" customFormat="1" ht="13.65" customHeight="1">
      <c r="A63" s="1105" t="s">
        <v>1814</v>
      </c>
      <c r="B63" s="1102">
        <f>SUM(B57:B62)</f>
        <v>25000</v>
      </c>
      <c r="C63" s="1102">
        <f>SUM(C57:C62)</f>
        <v>25000</v>
      </c>
      <c r="D63" s="1102">
        <f t="shared" si="0"/>
        <v>0</v>
      </c>
      <c r="E63" s="1103"/>
      <c r="F63" s="144"/>
    </row>
    <row r="64" spans="1:6" s="194" customFormat="1">
      <c r="A64" s="1109" t="s">
        <v>1815</v>
      </c>
      <c r="B64" s="1102">
        <f>SUM(B9+B12+B14+B15+B17+B26+B28+B39+B43+B44+B55+B63)</f>
        <v>68636983</v>
      </c>
      <c r="C64" s="1102">
        <f>SUM(C9+C12+C14+C15+C17+C26+C28+C39+C43+C44+C55+C63)</f>
        <v>68636983</v>
      </c>
      <c r="D64" s="1102">
        <f t="shared" si="0"/>
        <v>0</v>
      </c>
      <c r="E64" s="1103"/>
      <c r="F64" s="144"/>
    </row>
    <row r="65" spans="1:6" s="194" customFormat="1" ht="22.8">
      <c r="A65" s="1038" t="s">
        <v>1816</v>
      </c>
      <c r="B65" s="1099"/>
      <c r="C65" s="1099"/>
      <c r="D65" s="1099"/>
      <c r="E65" s="1100"/>
      <c r="F65" s="1099"/>
    </row>
    <row r="66" spans="1:6" s="194" customFormat="1">
      <c r="A66" s="1041" t="s">
        <v>1817</v>
      </c>
      <c r="B66" s="1101">
        <f>'Sources and Uses Budget'!$C65</f>
        <v>100000</v>
      </c>
      <c r="C66" s="1101">
        <f>'Sources and Uses Budget'!$C65</f>
        <v>100000</v>
      </c>
      <c r="D66" s="1102">
        <f t="shared" si="0"/>
        <v>0</v>
      </c>
      <c r="E66" s="1103"/>
      <c r="F66" s="144"/>
    </row>
    <row r="67" spans="1:6" s="194" customFormat="1" ht="22.8">
      <c r="A67" s="1041" t="s">
        <v>1818</v>
      </c>
      <c r="B67" s="1101">
        <f>'Sources and Uses Budget'!$C66</f>
        <v>0</v>
      </c>
      <c r="C67" s="1101">
        <f>'Sources and Uses Budget'!$C66</f>
        <v>0</v>
      </c>
      <c r="D67" s="1102"/>
      <c r="E67" s="1103"/>
      <c r="F67" s="144"/>
    </row>
    <row r="68" spans="1:6" s="194" customFormat="1" ht="22.8">
      <c r="A68" s="1041" t="s">
        <v>1819</v>
      </c>
      <c r="B68" s="1101">
        <f>'Sources and Uses Budget'!$C67</f>
        <v>0</v>
      </c>
      <c r="C68" s="1101">
        <f>'Sources and Uses Budget'!$C67</f>
        <v>0</v>
      </c>
      <c r="D68" s="1102"/>
      <c r="E68" s="1103"/>
      <c r="F68" s="144"/>
    </row>
    <row r="69" spans="1:6" s="194" customFormat="1">
      <c r="A69" s="1041" t="s">
        <v>1820</v>
      </c>
      <c r="B69" s="1101">
        <f>'Sources and Uses Budget'!$C68</f>
        <v>0</v>
      </c>
      <c r="C69" s="1101">
        <f>'Sources and Uses Budget'!$C68</f>
        <v>0</v>
      </c>
      <c r="D69" s="1102"/>
      <c r="E69" s="1103"/>
      <c r="F69" s="144"/>
    </row>
    <row r="70" spans="1:6" s="194" customFormat="1" ht="22.8">
      <c r="A70" s="1051" t="str">
        <f>'Sources and Uses Budget'!A69</f>
        <v>Lender, Investor, Bond Issuer and Partner Legal</v>
      </c>
      <c r="B70" s="1101">
        <f>'Sources and Uses Budget'!$C69</f>
        <v>225000</v>
      </c>
      <c r="C70" s="1101">
        <f>'Sources and Uses Budget'!$C69</f>
        <v>225000</v>
      </c>
      <c r="D70" s="1102">
        <f t="shared" si="0"/>
        <v>0</v>
      </c>
      <c r="E70" s="1103"/>
      <c r="F70" s="144"/>
    </row>
    <row r="71" spans="1:6" s="194" customFormat="1">
      <c r="A71" s="1046" t="s">
        <v>1822</v>
      </c>
      <c r="B71" s="1102">
        <f>SUM(B66:B70)</f>
        <v>325000</v>
      </c>
      <c r="C71" s="1102">
        <f>SUM(C66:C70)</f>
        <v>325000</v>
      </c>
      <c r="D71" s="1102">
        <f t="shared" si="0"/>
        <v>0</v>
      </c>
      <c r="E71" s="1103"/>
      <c r="F71" s="144"/>
    </row>
    <row r="72" spans="1:6" s="194" customFormat="1">
      <c r="A72" s="1099" t="s">
        <v>1823</v>
      </c>
      <c r="B72" s="1099"/>
      <c r="C72" s="1099"/>
      <c r="D72" s="1099"/>
      <c r="E72" s="1100"/>
      <c r="F72" s="1099"/>
    </row>
    <row r="73" spans="1:6" s="194" customFormat="1">
      <c r="A73" s="1106" t="s">
        <v>1824</v>
      </c>
      <c r="B73" s="1101">
        <f>'Sources and Uses Budget'!$C72</f>
        <v>0</v>
      </c>
      <c r="C73" s="1101">
        <f>'Sources and Uses Budget'!$C72</f>
        <v>0</v>
      </c>
      <c r="D73" s="1102">
        <f t="shared" si="0"/>
        <v>0</v>
      </c>
      <c r="E73" s="1103"/>
      <c r="F73" s="144"/>
    </row>
    <row r="74" spans="1:6" s="194" customFormat="1">
      <c r="A74" s="1106" t="s">
        <v>1825</v>
      </c>
      <c r="B74" s="1101">
        <f>'Sources and Uses Budget'!$C73</f>
        <v>0</v>
      </c>
      <c r="C74" s="1101">
        <f>'Sources and Uses Budget'!$C73</f>
        <v>0</v>
      </c>
      <c r="D74" s="1102">
        <f t="shared" si="0"/>
        <v>0</v>
      </c>
      <c r="E74" s="1103"/>
      <c r="F74" s="144"/>
    </row>
    <row r="75" spans="1:6" s="194" customFormat="1">
      <c r="A75" s="1048" t="s">
        <v>1826</v>
      </c>
      <c r="B75" s="1101">
        <f>'Sources and Uses Budget'!$C74</f>
        <v>0</v>
      </c>
      <c r="C75" s="1101">
        <f>'Sources and Uses Budget'!$C74</f>
        <v>0</v>
      </c>
      <c r="D75" s="1102">
        <f t="shared" si="0"/>
        <v>0</v>
      </c>
      <c r="E75" s="1103"/>
      <c r="F75" s="144"/>
    </row>
    <row r="76" spans="1:6" s="194" customFormat="1">
      <c r="A76" s="1106" t="s">
        <v>1827</v>
      </c>
      <c r="B76" s="1101">
        <f>'Sources and Uses Budget'!$C75</f>
        <v>636771</v>
      </c>
      <c r="C76" s="1101">
        <f>'Sources and Uses Budget'!$C75</f>
        <v>636771</v>
      </c>
      <c r="D76" s="1102">
        <f t="shared" si="0"/>
        <v>0</v>
      </c>
      <c r="E76" s="1103"/>
      <c r="F76" s="144"/>
    </row>
    <row r="77" spans="1:6" s="194" customFormat="1">
      <c r="A77" s="1110" t="s">
        <v>1792</v>
      </c>
      <c r="B77" s="1101">
        <f>'Sources and Uses Budget'!$C76</f>
        <v>0</v>
      </c>
      <c r="C77" s="1101">
        <f>'Sources and Uses Budget'!$C76</f>
        <v>0</v>
      </c>
      <c r="D77" s="1102">
        <f t="shared" si="0"/>
        <v>0</v>
      </c>
      <c r="E77" s="1103"/>
      <c r="F77" s="144"/>
    </row>
    <row r="78" spans="1:6" s="194" customFormat="1">
      <c r="A78" s="1105" t="s">
        <v>1828</v>
      </c>
      <c r="B78" s="1102">
        <f>SUM(B73:B77)</f>
        <v>636771</v>
      </c>
      <c r="C78" s="1102">
        <f>SUM(C73:C77)</f>
        <v>636771</v>
      </c>
      <c r="D78" s="1102">
        <f t="shared" ref="D78:D106" si="1">C78-B78</f>
        <v>0</v>
      </c>
      <c r="E78" s="1103"/>
      <c r="F78" s="144"/>
    </row>
    <row r="79" spans="1:6" s="194" customFormat="1">
      <c r="A79" s="1099" t="s">
        <v>1829</v>
      </c>
      <c r="B79" s="1099"/>
      <c r="C79" s="1099"/>
      <c r="D79" s="1099"/>
      <c r="E79" s="1100"/>
      <c r="F79" s="1099"/>
    </row>
    <row r="80" spans="1:6" s="194" customFormat="1">
      <c r="A80" s="1111" t="s">
        <v>1830</v>
      </c>
      <c r="B80" s="1101">
        <f>'Sources and Uses Budget'!$C79</f>
        <v>3008000</v>
      </c>
      <c r="C80" s="1101">
        <f>'Sources and Uses Budget'!$C79</f>
        <v>3008000</v>
      </c>
      <c r="D80" s="1102">
        <f t="shared" si="1"/>
        <v>0</v>
      </c>
      <c r="E80" s="1103"/>
      <c r="F80" s="144"/>
    </row>
    <row r="81" spans="1:6" s="194" customFormat="1">
      <c r="A81" s="1111" t="s">
        <v>1831</v>
      </c>
      <c r="B81" s="1101">
        <f>'Sources and Uses Budget'!$C80</f>
        <v>550891</v>
      </c>
      <c r="C81" s="1101">
        <f>'Sources and Uses Budget'!$C80</f>
        <v>550891</v>
      </c>
      <c r="D81" s="1102">
        <f>C81-B81</f>
        <v>0</v>
      </c>
      <c r="E81" s="1103"/>
      <c r="F81" s="144"/>
    </row>
    <row r="82" spans="1:6" s="194" customFormat="1">
      <c r="A82" s="1105" t="s">
        <v>1832</v>
      </c>
      <c r="B82" s="1102">
        <f>SUM(B80:B81)</f>
        <v>3558891</v>
      </c>
      <c r="C82" s="1102">
        <f>SUM(C80:C81)</f>
        <v>3558891</v>
      </c>
      <c r="D82" s="1102">
        <f t="shared" si="1"/>
        <v>0</v>
      </c>
      <c r="E82" s="1103"/>
      <c r="F82" s="144"/>
    </row>
    <row r="83" spans="1:6" s="194" customFormat="1">
      <c r="A83" s="1099" t="s">
        <v>1833</v>
      </c>
      <c r="B83" s="1099"/>
      <c r="C83" s="1099"/>
      <c r="D83" s="1099"/>
      <c r="E83" s="1100"/>
      <c r="F83" s="1099"/>
    </row>
    <row r="84" spans="1:6" s="194" customFormat="1" ht="13.65" customHeight="1">
      <c r="A84" s="1106" t="s">
        <v>2759</v>
      </c>
      <c r="B84" s="1101">
        <f>'Sources and Uses Budget'!$C83</f>
        <v>135277</v>
      </c>
      <c r="C84" s="1101">
        <f>'Sources and Uses Budget'!$C83</f>
        <v>135277</v>
      </c>
      <c r="D84" s="1102">
        <f t="shared" si="1"/>
        <v>0</v>
      </c>
      <c r="E84" s="1103"/>
      <c r="F84" s="144"/>
    </row>
    <row r="85" spans="1:6" s="194" customFormat="1">
      <c r="A85" s="1106" t="s">
        <v>1835</v>
      </c>
      <c r="B85" s="1101">
        <f>'Sources and Uses Budget'!$C84</f>
        <v>50000</v>
      </c>
      <c r="C85" s="1101">
        <f>'Sources and Uses Budget'!$C84</f>
        <v>50000</v>
      </c>
      <c r="D85" s="1102">
        <f t="shared" si="1"/>
        <v>0</v>
      </c>
      <c r="E85" s="1103"/>
      <c r="F85" s="144"/>
    </row>
    <row r="86" spans="1:6" s="194" customFormat="1">
      <c r="A86" s="1106" t="s">
        <v>1836</v>
      </c>
      <c r="B86" s="1101">
        <f>'Sources and Uses Budget'!$C85</f>
        <v>1920000</v>
      </c>
      <c r="C86" s="1101">
        <f>'Sources and Uses Budget'!$C85</f>
        <v>1920000</v>
      </c>
      <c r="D86" s="1102">
        <f t="shared" si="1"/>
        <v>0</v>
      </c>
      <c r="E86" s="1103"/>
      <c r="F86" s="144"/>
    </row>
    <row r="87" spans="1:6" s="194" customFormat="1">
      <c r="A87" s="1106" t="s">
        <v>1837</v>
      </c>
      <c r="B87" s="1101">
        <f>'Sources and Uses Budget'!$C86</f>
        <v>1280000</v>
      </c>
      <c r="C87" s="1101">
        <f>'Sources and Uses Budget'!$C86</f>
        <v>1280000</v>
      </c>
      <c r="D87" s="1102">
        <f t="shared" si="1"/>
        <v>0</v>
      </c>
      <c r="E87" s="1103"/>
      <c r="F87" s="144"/>
    </row>
    <row r="88" spans="1:6" s="194" customFormat="1">
      <c r="A88" s="1106" t="s">
        <v>1838</v>
      </c>
      <c r="B88" s="1101">
        <f>'Sources and Uses Budget'!$C87</f>
        <v>0</v>
      </c>
      <c r="C88" s="1101">
        <f>'Sources and Uses Budget'!$C87</f>
        <v>0</v>
      </c>
      <c r="D88" s="1102">
        <f t="shared" si="1"/>
        <v>0</v>
      </c>
      <c r="E88" s="1103"/>
      <c r="F88" s="144"/>
    </row>
    <row r="89" spans="1:6" s="194" customFormat="1">
      <c r="A89" s="1106" t="s">
        <v>1839</v>
      </c>
      <c r="B89" s="1101">
        <f>'Sources and Uses Budget'!$C88</f>
        <v>100000</v>
      </c>
      <c r="C89" s="1101">
        <f>'Sources and Uses Budget'!$C88</f>
        <v>100000</v>
      </c>
      <c r="D89" s="1102">
        <f t="shared" si="1"/>
        <v>0</v>
      </c>
      <c r="E89" s="1103"/>
      <c r="F89" s="144"/>
    </row>
    <row r="90" spans="1:6" s="194" customFormat="1">
      <c r="A90" s="1106" t="s">
        <v>1840</v>
      </c>
      <c r="B90" s="1101">
        <f>'Sources and Uses Budget'!$C89</f>
        <v>100000</v>
      </c>
      <c r="C90" s="1101">
        <f>'Sources and Uses Budget'!$C89</f>
        <v>100000</v>
      </c>
      <c r="D90" s="1102">
        <f t="shared" si="1"/>
        <v>0</v>
      </c>
      <c r="E90" s="1103"/>
      <c r="F90" s="144"/>
    </row>
    <row r="91" spans="1:6" s="194" customFormat="1">
      <c r="A91" s="1106" t="s">
        <v>1841</v>
      </c>
      <c r="B91" s="1101">
        <f>'Sources and Uses Budget'!$C90</f>
        <v>15000</v>
      </c>
      <c r="C91" s="1101">
        <f>'Sources and Uses Budget'!$C90</f>
        <v>15000</v>
      </c>
      <c r="D91" s="1102">
        <f t="shared" si="1"/>
        <v>0</v>
      </c>
      <c r="E91" s="1103"/>
      <c r="F91" s="144"/>
    </row>
    <row r="92" spans="1:6" s="194" customFormat="1">
      <c r="A92" s="1106" t="s">
        <v>1842</v>
      </c>
      <c r="B92" s="1101">
        <f>'Sources and Uses Budget'!$C91</f>
        <v>50000</v>
      </c>
      <c r="C92" s="1101">
        <f>'Sources and Uses Budget'!$C91</f>
        <v>50000</v>
      </c>
      <c r="D92" s="1102">
        <f t="shared" si="1"/>
        <v>0</v>
      </c>
      <c r="E92" s="1103"/>
      <c r="F92" s="144"/>
    </row>
    <row r="93" spans="1:6" s="194" customFormat="1">
      <c r="A93" s="1111" t="s">
        <v>1843</v>
      </c>
      <c r="B93" s="1101">
        <f>'Sources and Uses Budget'!$C92</f>
        <v>20000</v>
      </c>
      <c r="C93" s="1101">
        <f>'Sources and Uses Budget'!$C92</f>
        <v>20000</v>
      </c>
      <c r="D93" s="1102">
        <f t="shared" si="1"/>
        <v>0</v>
      </c>
      <c r="E93" s="1103"/>
      <c r="F93" s="144"/>
    </row>
    <row r="94" spans="1:6" s="194" customFormat="1">
      <c r="A94" s="1110" t="s">
        <v>1792</v>
      </c>
      <c r="B94" s="1101">
        <f>'Sources and Uses Budget'!$C93</f>
        <v>42000</v>
      </c>
      <c r="C94" s="1101">
        <f>'Sources and Uses Budget'!$C93</f>
        <v>42000</v>
      </c>
      <c r="D94" s="1102">
        <f t="shared" si="1"/>
        <v>0</v>
      </c>
      <c r="E94" s="1103"/>
      <c r="F94" s="144"/>
    </row>
    <row r="95" spans="1:6" s="194" customFormat="1">
      <c r="A95" s="1110" t="s">
        <v>1792</v>
      </c>
      <c r="B95" s="1101">
        <f>'Sources and Uses Budget'!$C94</f>
        <v>250000</v>
      </c>
      <c r="C95" s="1101">
        <f>'Sources and Uses Budget'!$C94</f>
        <v>250000</v>
      </c>
      <c r="D95" s="1102">
        <f t="shared" si="1"/>
        <v>0</v>
      </c>
      <c r="E95" s="1103"/>
      <c r="F95" s="144"/>
    </row>
    <row r="96" spans="1:6" s="194" customFormat="1">
      <c r="A96" s="1110" t="s">
        <v>1792</v>
      </c>
      <c r="B96" s="1101">
        <f>'Sources and Uses Budget'!$C95</f>
        <v>218033</v>
      </c>
      <c r="C96" s="1101">
        <f>'Sources and Uses Budget'!$C95</f>
        <v>218033</v>
      </c>
      <c r="D96" s="1102">
        <f t="shared" si="1"/>
        <v>0</v>
      </c>
      <c r="E96" s="1103"/>
      <c r="F96" s="144"/>
    </row>
    <row r="97" spans="1:6" s="194" customFormat="1">
      <c r="A97" s="1105" t="s">
        <v>1847</v>
      </c>
      <c r="B97" s="1102">
        <f>SUM(B84:B96)</f>
        <v>4180310</v>
      </c>
      <c r="C97" s="1102">
        <f>SUM(C84:C96)</f>
        <v>4180310</v>
      </c>
      <c r="D97" s="1102">
        <f t="shared" si="1"/>
        <v>0</v>
      </c>
      <c r="E97" s="1103"/>
      <c r="F97" s="144"/>
    </row>
    <row r="98" spans="1:6" s="194" customFormat="1">
      <c r="A98" s="1105" t="s">
        <v>1848</v>
      </c>
      <c r="B98" s="1102">
        <f>SUM(B64+B71+B78+B82+B97)</f>
        <v>77337955</v>
      </c>
      <c r="C98" s="1102">
        <f>SUM(C64+C71+C78+C82+C97)</f>
        <v>77337955</v>
      </c>
      <c r="D98" s="1102">
        <f t="shared" si="1"/>
        <v>0</v>
      </c>
      <c r="E98" s="1103"/>
      <c r="F98" s="144"/>
    </row>
    <row r="99" spans="1:6" s="194" customFormat="1">
      <c r="A99" s="1099" t="s">
        <v>1849</v>
      </c>
      <c r="B99" s="1099"/>
      <c r="C99" s="1099"/>
      <c r="D99" s="1099"/>
      <c r="E99" s="1100"/>
      <c r="F99" s="1099"/>
    </row>
    <row r="100" spans="1:6" s="194" customFormat="1">
      <c r="A100" s="1041" t="s">
        <v>1850</v>
      </c>
      <c r="B100" s="1101">
        <f>'Sources and Uses Budget'!$C99</f>
        <v>11131453</v>
      </c>
      <c r="C100" s="1101">
        <f>'Sources and Uses Budget'!$C99</f>
        <v>11131453</v>
      </c>
      <c r="D100" s="1102">
        <f t="shared" si="1"/>
        <v>0</v>
      </c>
      <c r="E100" s="1103"/>
      <c r="F100" s="144"/>
    </row>
    <row r="101" spans="1:6" s="194" customFormat="1">
      <c r="A101" s="1041" t="s">
        <v>1851</v>
      </c>
      <c r="B101" s="1101">
        <f>'Sources and Uses Budget'!$C100</f>
        <v>0</v>
      </c>
      <c r="C101" s="1101">
        <f>'Sources and Uses Budget'!$C100</f>
        <v>0</v>
      </c>
      <c r="D101" s="1102">
        <f t="shared" si="1"/>
        <v>0</v>
      </c>
      <c r="E101" s="1103"/>
      <c r="F101" s="144"/>
    </row>
    <row r="102" spans="1:6" s="194" customFormat="1">
      <c r="A102" s="1041" t="s">
        <v>1852</v>
      </c>
      <c r="B102" s="1101">
        <f>'Sources and Uses Budget'!$C101</f>
        <v>0</v>
      </c>
      <c r="C102" s="1101">
        <f>'Sources and Uses Budget'!$C101</f>
        <v>0</v>
      </c>
      <c r="D102" s="1102">
        <f t="shared" si="1"/>
        <v>0</v>
      </c>
      <c r="E102" s="1103"/>
      <c r="F102" s="144"/>
    </row>
    <row r="103" spans="1:6" s="194" customFormat="1" ht="12" customHeight="1">
      <c r="A103" s="1041" t="s">
        <v>1853</v>
      </c>
      <c r="B103" s="1101">
        <f>'Sources and Uses Budget'!$C102</f>
        <v>0</v>
      </c>
      <c r="C103" s="1101">
        <f>'Sources and Uses Budget'!$C102</f>
        <v>0</v>
      </c>
      <c r="D103" s="1102">
        <f t="shared" si="1"/>
        <v>0</v>
      </c>
      <c r="E103" s="1103"/>
      <c r="F103" s="144"/>
    </row>
    <row r="104" spans="1:6" s="194" customFormat="1">
      <c r="A104" s="1108" t="str">
        <f>'Sources and Uses Budget'!A103</f>
        <v>Other: (Specify)</v>
      </c>
      <c r="B104" s="1101">
        <f>'Sources and Uses Budget'!$C103</f>
        <v>0</v>
      </c>
      <c r="C104" s="1101">
        <f>'Sources and Uses Budget'!$C103</f>
        <v>0</v>
      </c>
      <c r="D104" s="1102">
        <f t="shared" si="1"/>
        <v>0</v>
      </c>
      <c r="E104" s="1103"/>
      <c r="F104" s="144"/>
    </row>
    <row r="105" spans="1:6" s="194" customFormat="1">
      <c r="A105" s="1105" t="s">
        <v>1854</v>
      </c>
      <c r="B105" s="1102">
        <f>SUM(B100:B104)</f>
        <v>11131453</v>
      </c>
      <c r="C105" s="1102">
        <f>SUM(C100:C104)</f>
        <v>11131453</v>
      </c>
      <c r="D105" s="1102">
        <f t="shared" si="1"/>
        <v>0</v>
      </c>
      <c r="E105" s="1103"/>
      <c r="F105" s="144"/>
    </row>
    <row r="106" spans="1:6" s="194" customFormat="1">
      <c r="A106" s="1105" t="s">
        <v>1855</v>
      </c>
      <c r="B106" s="1107">
        <f>SUM(B98+B105)</f>
        <v>88469408</v>
      </c>
      <c r="C106" s="1107">
        <f>SUM(C98+C105)</f>
        <v>88469408</v>
      </c>
      <c r="D106" s="1102">
        <f t="shared" si="1"/>
        <v>0</v>
      </c>
      <c r="E106" s="1103"/>
      <c r="F106" s="144"/>
    </row>
    <row r="107" spans="1:6" s="194" customFormat="1">
      <c r="A107" s="147" t="s">
        <v>2760</v>
      </c>
      <c r="B107" s="148"/>
      <c r="C107" s="149"/>
      <c r="D107" s="151"/>
      <c r="E107" s="1112"/>
      <c r="F107" s="146"/>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6640625" style="230" customWidth="1"/>
    <col min="11" max="16384" width="8.88671875" style="230" hidden="1"/>
  </cols>
  <sheetData>
    <row r="1" spans="1:10" ht="15.6">
      <c r="A1" s="1237" t="s">
        <v>293</v>
      </c>
      <c r="B1" s="1238"/>
      <c r="C1" s="1238"/>
      <c r="D1" s="1238"/>
      <c r="E1" s="1238"/>
      <c r="F1" s="1238"/>
      <c r="G1" s="1238"/>
      <c r="H1" s="1238"/>
      <c r="I1" s="1238"/>
      <c r="J1" s="1238"/>
    </row>
    <row r="2" spans="1:10" ht="15">
      <c r="A2" s="1241" t="s">
        <v>294</v>
      </c>
      <c r="B2" s="1242"/>
      <c r="C2" s="1242"/>
      <c r="D2" s="1242"/>
      <c r="E2" s="1242"/>
      <c r="F2" s="1242"/>
      <c r="G2" s="1242"/>
      <c r="H2" s="1242"/>
      <c r="I2" s="1242"/>
      <c r="J2" s="1242"/>
    </row>
    <row r="3" spans="1:10" ht="13.2"/>
    <row r="4" spans="1:10" ht="12.75" customHeight="1">
      <c r="A4" s="1239" t="s">
        <v>295</v>
      </c>
      <c r="B4" s="1239"/>
      <c r="C4" s="1239"/>
      <c r="D4" s="1239"/>
      <c r="E4" s="1239"/>
      <c r="F4" s="1239"/>
      <c r="G4" s="1239"/>
      <c r="H4" s="1239"/>
      <c r="I4" s="1239"/>
      <c r="J4" s="1239"/>
    </row>
    <row r="5" spans="1:10" ht="13.2">
      <c r="A5" s="1239"/>
      <c r="B5" s="1239"/>
      <c r="C5" s="1239"/>
      <c r="D5" s="1239"/>
      <c r="E5" s="1239"/>
      <c r="F5" s="1239"/>
      <c r="G5" s="1239"/>
      <c r="H5" s="1239"/>
      <c r="I5" s="1239"/>
      <c r="J5" s="1239"/>
    </row>
    <row r="6" spans="1:10" ht="30" customHeight="1">
      <c r="A6" s="1239"/>
      <c r="B6" s="1239"/>
      <c r="C6" s="1239"/>
      <c r="D6" s="1239"/>
      <c r="E6" s="1239"/>
      <c r="F6" s="1239"/>
      <c r="G6" s="1239"/>
      <c r="H6" s="1239"/>
      <c r="I6" s="1239"/>
      <c r="J6" s="1239"/>
    </row>
    <row r="7" spans="1:10" ht="13.2">
      <c r="A7" s="1120"/>
      <c r="B7" s="1120"/>
      <c r="C7" s="1120"/>
      <c r="D7" s="1120"/>
      <c r="E7" s="1120"/>
      <c r="F7" s="1120"/>
      <c r="G7" s="1120"/>
      <c r="H7" s="1120"/>
      <c r="I7" s="1120"/>
      <c r="J7" s="1120"/>
    </row>
    <row r="8" spans="1:10" ht="12.75" customHeight="1">
      <c r="A8" s="230" t="s">
        <v>296</v>
      </c>
      <c r="B8" s="1120"/>
      <c r="C8" s="1120"/>
      <c r="D8" s="1120"/>
      <c r="E8" s="1120"/>
      <c r="F8" s="1120"/>
      <c r="G8" s="1120"/>
      <c r="H8" s="1120"/>
      <c r="I8" s="1120"/>
      <c r="J8" s="1120"/>
    </row>
    <row r="9" spans="1:10" ht="13.2"/>
    <row r="10" spans="1:10" ht="12.75" customHeight="1">
      <c r="A10" s="1243" t="s">
        <v>297</v>
      </c>
      <c r="B10" s="1243"/>
      <c r="C10" s="1243"/>
      <c r="D10" s="1243"/>
      <c r="E10" s="1243"/>
      <c r="F10" s="1243"/>
      <c r="G10" s="1243"/>
      <c r="H10" s="1243"/>
      <c r="I10" s="1243"/>
      <c r="J10" s="1243"/>
    </row>
    <row r="11" spans="1:10" ht="13.2">
      <c r="A11" s="1243"/>
      <c r="B11" s="1243"/>
      <c r="C11" s="1243"/>
      <c r="D11" s="1243"/>
      <c r="E11" s="1243"/>
      <c r="F11" s="1243"/>
      <c r="G11" s="1243"/>
      <c r="H11" s="1243"/>
      <c r="I11" s="1243"/>
      <c r="J11" s="1243"/>
    </row>
    <row r="12" spans="1:10" ht="13.2">
      <c r="A12" s="1243"/>
      <c r="B12" s="1243"/>
      <c r="C12" s="1243"/>
      <c r="D12" s="1243"/>
      <c r="E12" s="1243"/>
      <c r="F12" s="1243"/>
      <c r="G12" s="1243"/>
      <c r="H12" s="1243"/>
      <c r="I12" s="1243"/>
      <c r="J12" s="1243"/>
    </row>
    <row r="13" spans="1:10" ht="13.2">
      <c r="A13" s="1243"/>
      <c r="B13" s="1243"/>
      <c r="C13" s="1243"/>
      <c r="D13" s="1243"/>
      <c r="E13" s="1243"/>
      <c r="F13" s="1243"/>
      <c r="G13" s="1243"/>
      <c r="H13" s="1243"/>
      <c r="I13" s="1243"/>
      <c r="J13" s="1243"/>
    </row>
    <row r="14" spans="1:10" ht="13.2">
      <c r="A14" s="1243"/>
      <c r="B14" s="1243"/>
      <c r="C14" s="1243"/>
      <c r="D14" s="1243"/>
      <c r="E14" s="1243"/>
      <c r="F14" s="1243"/>
      <c r="G14" s="1243"/>
      <c r="H14" s="1243"/>
      <c r="I14" s="1243"/>
      <c r="J14" s="1243"/>
    </row>
    <row r="15" spans="1:10" ht="13.2">
      <c r="A15" s="1243"/>
      <c r="B15" s="1243"/>
      <c r="C15" s="1243"/>
      <c r="D15" s="1243"/>
      <c r="E15" s="1243"/>
      <c r="F15" s="1243"/>
      <c r="G15" s="1243"/>
      <c r="H15" s="1243"/>
      <c r="I15" s="1243"/>
      <c r="J15" s="1243"/>
    </row>
    <row r="16" spans="1:10" ht="13.2">
      <c r="A16" s="1121"/>
      <c r="B16" s="1121"/>
      <c r="C16" s="1121"/>
      <c r="D16" s="1121"/>
      <c r="E16" s="1121"/>
      <c r="F16" s="1121"/>
      <c r="G16" s="1121"/>
      <c r="H16" s="1121"/>
      <c r="I16" s="1121"/>
      <c r="J16" s="1121"/>
    </row>
    <row r="17" spans="1:10" ht="13.2">
      <c r="A17" s="286" t="s">
        <v>298</v>
      </c>
      <c r="B17" s="1120"/>
      <c r="C17" s="1120"/>
      <c r="D17" s="1120"/>
      <c r="E17" s="1120"/>
      <c r="F17" s="1120"/>
      <c r="G17" s="1120"/>
      <c r="H17" s="1120"/>
      <c r="I17" s="1120"/>
      <c r="J17" s="1120"/>
    </row>
    <row r="18" spans="1:10" ht="13.2">
      <c r="A18" s="1120" t="s">
        <v>254</v>
      </c>
      <c r="B18" s="1120"/>
      <c r="C18" s="1120"/>
      <c r="D18" s="1120"/>
      <c r="E18" s="1120"/>
      <c r="F18" s="1120"/>
      <c r="G18" s="1120"/>
      <c r="H18" s="1120"/>
      <c r="I18" s="1120"/>
      <c r="J18" s="1120"/>
    </row>
    <row r="19" spans="1:10" ht="13.2">
      <c r="A19" s="1242" t="s">
        <v>299</v>
      </c>
      <c r="B19" s="1242"/>
      <c r="C19" s="1242"/>
      <c r="D19" s="1242"/>
      <c r="E19" s="1242"/>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39" t="s">
        <v>300</v>
      </c>
      <c r="B56" s="1239"/>
      <c r="C56" s="1239"/>
      <c r="D56" s="1239"/>
      <c r="E56" s="1239"/>
      <c r="F56" s="1239"/>
      <c r="G56" s="1239"/>
      <c r="H56" s="1239"/>
      <c r="I56" s="1239"/>
      <c r="J56" s="1239"/>
    </row>
    <row r="57" spans="1:10" ht="13.2">
      <c r="A57" s="1239"/>
      <c r="B57" s="1239"/>
      <c r="C57" s="1239"/>
      <c r="D57" s="1239"/>
      <c r="E57" s="1239"/>
      <c r="F57" s="1239"/>
      <c r="G57" s="1239"/>
      <c r="H57" s="1239"/>
      <c r="I57" s="1239"/>
      <c r="J57" s="1239"/>
    </row>
    <row r="58" spans="1:10" ht="13.2">
      <c r="A58" s="1239"/>
      <c r="B58" s="1239"/>
      <c r="C58" s="1239"/>
      <c r="D58" s="1239"/>
      <c r="E58" s="1239"/>
      <c r="F58" s="1239"/>
      <c r="G58" s="1239"/>
      <c r="H58" s="1239"/>
      <c r="I58" s="1239"/>
      <c r="J58" s="1239"/>
    </row>
    <row r="59" spans="1:10" ht="13.2"/>
    <row r="60" spans="1:10" ht="13.2">
      <c r="A60" s="230" t="s">
        <v>299</v>
      </c>
    </row>
    <row r="61" spans="1:10" ht="13.2"/>
    <row r="62" spans="1:10" ht="13.2"/>
    <row r="63" spans="1:10" ht="13.2"/>
    <row r="64" spans="1:10" ht="13.2"/>
    <row r="65" spans="1:9" ht="13.2"/>
    <row r="66" spans="1:9" ht="13.2"/>
    <row r="67" spans="1:9" ht="13.2"/>
    <row r="68" spans="1:9" ht="13.2"/>
    <row r="69" spans="1:9" ht="13.2"/>
    <row r="70" spans="1:9" ht="13.2"/>
    <row r="71" spans="1:9" ht="13.2">
      <c r="A71" s="1240" t="s">
        <v>301</v>
      </c>
      <c r="B71" s="1240"/>
      <c r="C71" s="1240"/>
      <c r="D71" s="1240"/>
      <c r="E71" s="1240"/>
      <c r="F71" s="1240"/>
      <c r="G71" s="1240"/>
      <c r="H71" s="1240"/>
      <c r="I71" s="1240"/>
    </row>
    <row r="72" spans="1:9" ht="13.2">
      <c r="A72" s="1230" t="s">
        <v>14</v>
      </c>
      <c r="B72" s="1230"/>
      <c r="C72" s="1230"/>
      <c r="D72" s="1230"/>
      <c r="E72" s="1230"/>
    </row>
    <row r="73" spans="1:9" ht="13.2">
      <c r="A73" s="1230" t="s">
        <v>15</v>
      </c>
      <c r="B73" s="1230"/>
      <c r="C73" s="1230"/>
      <c r="D73" s="1230"/>
      <c r="E73" s="1230"/>
    </row>
    <row r="74" spans="1:9" ht="13.2">
      <c r="A74" s="1230" t="s">
        <v>302</v>
      </c>
      <c r="B74" s="1230"/>
      <c r="C74" s="1230"/>
      <c r="D74" s="1230"/>
      <c r="E74" s="1230"/>
    </row>
    <row r="75" spans="1:9" ht="13.2"/>
    <row r="76" spans="1:9" ht="13.2"/>
    <row r="77" spans="1:9" ht="13.2"/>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15240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18"/>
  <sheetViews>
    <sheetView showGridLines="0" topLeftCell="A1195" zoomScale="125" zoomScaleNormal="85" workbookViewId="0">
      <selection activeCell="D913" sqref="D913:F920"/>
    </sheetView>
  </sheetViews>
  <sheetFormatPr defaultColWidth="0" defaultRowHeight="13.2" zeroHeight="1"/>
  <cols>
    <col min="1" max="1" width="3.44140625" style="289" customWidth="1"/>
    <col min="2" max="2" width="13.44140625" style="289" customWidth="1"/>
    <col min="3" max="3" width="2.44140625" style="289" customWidth="1"/>
    <col min="4" max="5" width="3.44140625" style="230" customWidth="1"/>
    <col min="6" max="6" width="65.44140625" style="230" customWidth="1"/>
    <col min="7" max="7" width="1.44140625" style="230" customWidth="1"/>
    <col min="8" max="8" width="3.44140625" style="230" customWidth="1"/>
    <col min="9" max="9" width="9.109375" style="232" customWidth="1"/>
    <col min="10" max="10" width="8.88671875" style="230" hidden="1" customWidth="1"/>
    <col min="11" max="16384" width="8.88671875" style="230" hidden="1"/>
  </cols>
  <sheetData>
    <row r="1" spans="1:13"/>
    <row r="2" spans="1:13">
      <c r="A2" s="1244" t="s">
        <v>303</v>
      </c>
      <c r="B2" s="1244"/>
      <c r="C2" s="1244"/>
      <c r="D2" s="1244"/>
      <c r="E2" s="1244"/>
      <c r="F2" s="1244"/>
      <c r="G2" s="1244"/>
      <c r="H2" s="1244"/>
      <c r="I2" s="1244"/>
    </row>
    <row r="3" spans="1:13">
      <c r="A3" s="1245" t="s">
        <v>304</v>
      </c>
      <c r="B3" s="1245"/>
      <c r="C3" s="1245"/>
      <c r="D3" s="1245"/>
      <c r="E3" s="1245"/>
      <c r="F3" s="1245"/>
      <c r="G3" s="1245"/>
      <c r="H3" s="1245"/>
      <c r="I3" s="1245"/>
    </row>
    <row r="4" spans="1:13">
      <c r="A4" s="1245"/>
      <c r="B4" s="1245"/>
      <c r="C4" s="1242"/>
      <c r="D4" s="1242"/>
      <c r="E4" s="1242"/>
      <c r="F4" s="1242"/>
      <c r="G4" s="1242"/>
    </row>
    <row r="5" spans="1:13">
      <c r="A5" s="1245"/>
      <c r="B5" s="1245"/>
      <c r="C5" s="1242"/>
      <c r="D5" s="1242"/>
      <c r="E5" s="1242"/>
      <c r="F5" s="1242"/>
      <c r="G5" s="1242"/>
    </row>
    <row r="6" spans="1:13" ht="12.75" customHeight="1">
      <c r="A6" s="1269" t="s">
        <v>305</v>
      </c>
      <c r="B6" s="1269"/>
      <c r="C6" s="1269"/>
      <c r="D6" s="1269"/>
      <c r="E6" s="1269"/>
      <c r="F6" s="1269"/>
      <c r="G6" s="1269"/>
      <c r="I6" s="1141"/>
    </row>
    <row r="7" spans="1:13">
      <c r="A7" s="1269"/>
      <c r="B7" s="1269"/>
      <c r="C7" s="1269"/>
      <c r="D7" s="1269"/>
      <c r="E7" s="1269"/>
      <c r="F7" s="1269"/>
      <c r="G7" s="1269"/>
      <c r="I7" s="1141"/>
    </row>
    <row r="8" spans="1:13">
      <c r="A8" s="1137"/>
      <c r="B8" s="1137"/>
      <c r="C8" s="1144"/>
      <c r="D8" s="1144"/>
      <c r="E8" s="1144"/>
      <c r="F8" s="1144"/>
    </row>
    <row r="9" spans="1:13">
      <c r="A9" s="1249" t="s">
        <v>306</v>
      </c>
      <c r="B9" s="1249"/>
      <c r="C9" s="1249"/>
      <c r="D9" s="1249"/>
      <c r="E9" s="1249"/>
      <c r="F9" s="1249"/>
      <c r="G9" s="1249"/>
      <c r="H9" s="759"/>
      <c r="I9" s="760"/>
    </row>
    <row r="10" spans="1:13">
      <c r="A10" s="1144"/>
      <c r="B10" s="1144"/>
      <c r="E10" s="232"/>
    </row>
    <row r="11" spans="1:13" ht="13.65" customHeight="1">
      <c r="C11" s="1144"/>
      <c r="D11" s="1268" t="s">
        <v>307</v>
      </c>
      <c r="E11" s="1268"/>
      <c r="F11" s="1268"/>
    </row>
    <row r="12" spans="1:13">
      <c r="C12" s="1144"/>
      <c r="D12" s="1268"/>
      <c r="E12" s="1268"/>
      <c r="F12" s="1268"/>
    </row>
    <row r="13" spans="1:13">
      <c r="A13" s="290"/>
      <c r="B13" s="290"/>
      <c r="C13" s="290"/>
      <c r="D13" s="1247" t="s">
        <v>308</v>
      </c>
      <c r="E13" s="1247"/>
      <c r="F13" s="1247"/>
      <c r="M13" s="55"/>
    </row>
    <row r="14" spans="1:13">
      <c r="A14" s="290"/>
      <c r="B14" s="290"/>
      <c r="C14" s="290"/>
      <c r="D14" s="286"/>
      <c r="L14" s="1142"/>
    </row>
    <row r="15" spans="1:13" ht="14.4">
      <c r="A15" s="291"/>
      <c r="B15" s="292" t="s">
        <v>309</v>
      </c>
      <c r="C15" s="290"/>
      <c r="D15" s="1246" t="s">
        <v>310</v>
      </c>
      <c r="E15" s="1246"/>
      <c r="F15" s="1246"/>
      <c r="I15" s="1141"/>
    </row>
    <row r="16" spans="1:13">
      <c r="A16" s="290"/>
      <c r="B16" s="290"/>
      <c r="C16" s="290"/>
      <c r="D16" s="1246"/>
      <c r="E16" s="1246"/>
      <c r="F16" s="1246"/>
      <c r="I16" s="1141"/>
    </row>
    <row r="17" spans="1:9">
      <c r="A17" s="290"/>
      <c r="B17" s="290"/>
      <c r="C17" s="290"/>
      <c r="D17" s="1246"/>
      <c r="E17" s="1246"/>
      <c r="F17" s="1246"/>
      <c r="I17" s="1141"/>
    </row>
    <row r="18" spans="1:9">
      <c r="A18" s="290"/>
      <c r="B18" s="290"/>
      <c r="C18" s="290"/>
      <c r="D18" s="1133"/>
      <c r="E18" s="1142" t="s">
        <v>311</v>
      </c>
      <c r="F18" s="1133"/>
      <c r="I18" s="1141"/>
    </row>
    <row r="19" spans="1:9">
      <c r="A19" s="290"/>
      <c r="B19" s="290"/>
      <c r="C19" s="290"/>
      <c r="I19" s="1141"/>
    </row>
    <row r="20" spans="1:9" ht="14.4">
      <c r="A20" s="291"/>
      <c r="B20" s="292" t="s">
        <v>309</v>
      </c>
      <c r="D20" s="1246" t="s">
        <v>312</v>
      </c>
      <c r="E20" s="1246"/>
      <c r="F20" s="1246"/>
      <c r="I20" s="1141"/>
    </row>
    <row r="21" spans="1:9" ht="14.4">
      <c r="A21" s="291"/>
      <c r="D21" s="1246"/>
      <c r="E21" s="1246"/>
      <c r="F21" s="1246"/>
      <c r="I21" s="1141"/>
    </row>
    <row r="22" spans="1:9" ht="14.4">
      <c r="A22" s="291"/>
      <c r="D22" s="1135"/>
      <c r="E22" s="55" t="s">
        <v>313</v>
      </c>
      <c r="F22" s="1135"/>
      <c r="I22" s="1141"/>
    </row>
    <row r="23" spans="1:9" ht="14.4">
      <c r="A23" s="291"/>
      <c r="B23" s="291"/>
      <c r="D23" s="1132"/>
      <c r="I23" s="1141"/>
    </row>
    <row r="24" spans="1:9" ht="14.4">
      <c r="A24" s="291"/>
      <c r="B24" s="292" t="s">
        <v>314</v>
      </c>
      <c r="D24" s="1246" t="s">
        <v>315</v>
      </c>
      <c r="E24" s="1246"/>
      <c r="F24" s="1246"/>
      <c r="I24" s="1141"/>
    </row>
    <row r="25" spans="1:9" ht="14.4">
      <c r="A25" s="291"/>
      <c r="B25" s="291"/>
      <c r="D25" s="1246"/>
      <c r="E25" s="1246"/>
      <c r="F25" s="1246"/>
      <c r="I25" s="1141"/>
    </row>
    <row r="26" spans="1:9">
      <c r="I26" s="1141"/>
    </row>
    <row r="27" spans="1:9" ht="14.4">
      <c r="A27" s="291"/>
      <c r="B27" s="292" t="s">
        <v>309</v>
      </c>
      <c r="D27" s="1246" t="s">
        <v>316</v>
      </c>
      <c r="E27" s="1246"/>
      <c r="F27" s="1246"/>
      <c r="I27" s="1141"/>
    </row>
    <row r="28" spans="1:9">
      <c r="D28" s="1246"/>
      <c r="E28" s="1246"/>
      <c r="F28" s="1246"/>
      <c r="I28" s="1141"/>
    </row>
    <row r="29" spans="1:9">
      <c r="D29" s="1246"/>
      <c r="E29" s="1246"/>
      <c r="F29" s="1246"/>
      <c r="I29" s="1141"/>
    </row>
    <row r="30" spans="1:9">
      <c r="D30" s="1246"/>
      <c r="E30" s="1246"/>
      <c r="F30" s="1246"/>
      <c r="I30" s="1141"/>
    </row>
    <row r="31" spans="1:9">
      <c r="D31" s="1246"/>
      <c r="E31" s="1246"/>
      <c r="F31" s="1246"/>
      <c r="I31" s="1141"/>
    </row>
    <row r="32" spans="1:9">
      <c r="D32" s="1140"/>
      <c r="I32" s="1141"/>
    </row>
    <row r="33" spans="1:9">
      <c r="B33" s="292" t="s">
        <v>309</v>
      </c>
      <c r="D33" s="1246" t="s">
        <v>317</v>
      </c>
      <c r="E33" s="1246"/>
      <c r="F33" s="1246"/>
      <c r="I33" s="1141"/>
    </row>
    <row r="34" spans="1:9">
      <c r="D34" s="1246"/>
      <c r="E34" s="1246"/>
      <c r="F34" s="1246"/>
      <c r="I34" s="1141"/>
    </row>
    <row r="35" spans="1:9" ht="14.4">
      <c r="A35" s="291"/>
      <c r="B35" s="291"/>
      <c r="D35" s="1140"/>
      <c r="I35" s="1141"/>
    </row>
    <row r="36" spans="1:9" ht="14.4" customHeight="1">
      <c r="A36" s="291"/>
      <c r="B36" s="292" t="s">
        <v>314</v>
      </c>
      <c r="D36" s="1246" t="s">
        <v>318</v>
      </c>
      <c r="E36" s="1246"/>
      <c r="F36" s="1246"/>
      <c r="I36" s="1141"/>
    </row>
    <row r="37" spans="1:9" ht="14.4">
      <c r="A37" s="291"/>
      <c r="B37" s="291"/>
      <c r="D37" s="1246"/>
      <c r="E37" s="1246"/>
      <c r="F37" s="1246"/>
      <c r="I37" s="1141"/>
    </row>
    <row r="38" spans="1:9" ht="14.4">
      <c r="A38" s="291"/>
      <c r="B38" s="291"/>
      <c r="D38" s="1246"/>
      <c r="E38" s="1246"/>
      <c r="F38" s="1246"/>
      <c r="I38" s="1141"/>
    </row>
    <row r="39" spans="1:9" ht="14.4">
      <c r="A39" s="291"/>
      <c r="B39" s="291"/>
      <c r="D39" s="1246"/>
      <c r="E39" s="1246"/>
      <c r="F39" s="1246"/>
      <c r="I39" s="1141"/>
    </row>
    <row r="40" spans="1:9" ht="14.4">
      <c r="A40" s="291"/>
      <c r="B40" s="291"/>
      <c r="I40" s="1141"/>
    </row>
    <row r="41" spans="1:9" ht="14.4">
      <c r="A41" s="291"/>
      <c r="B41" s="292" t="s">
        <v>309</v>
      </c>
      <c r="D41" s="1246" t="s">
        <v>319</v>
      </c>
      <c r="E41" s="1246"/>
      <c r="F41" s="1246"/>
      <c r="I41" s="1141"/>
    </row>
    <row r="42" spans="1:9" ht="14.4">
      <c r="A42" s="291"/>
      <c r="B42" s="291"/>
      <c r="D42" s="1246"/>
      <c r="E42" s="1246"/>
      <c r="F42" s="1246"/>
      <c r="I42" s="1141"/>
    </row>
    <row r="43" spans="1:9" ht="14.4">
      <c r="A43" s="291"/>
      <c r="B43" s="291"/>
      <c r="D43" s="1246"/>
      <c r="E43" s="1246"/>
      <c r="F43" s="1246"/>
      <c r="I43" s="1141"/>
    </row>
    <row r="44" spans="1:9" ht="14.4">
      <c r="A44" s="291"/>
      <c r="B44" s="291"/>
      <c r="D44" s="1246"/>
      <c r="E44" s="1246"/>
      <c r="F44" s="1246"/>
      <c r="I44" s="1141"/>
    </row>
    <row r="45" spans="1:9" ht="14.4">
      <c r="A45" s="291"/>
      <c r="B45" s="291"/>
      <c r="D45" s="1246"/>
      <c r="E45" s="1246"/>
      <c r="F45" s="1246"/>
      <c r="I45" s="1141"/>
    </row>
    <row r="46" spans="1:9" ht="14.4">
      <c r="A46" s="291"/>
      <c r="B46" s="291"/>
      <c r="D46" s="1133"/>
      <c r="E46" s="1133"/>
      <c r="F46" s="1133"/>
      <c r="I46" s="1141"/>
    </row>
    <row r="47" spans="1:9" ht="14.4">
      <c r="A47" s="291"/>
      <c r="B47" s="292" t="s">
        <v>314</v>
      </c>
      <c r="D47" s="1246" t="s">
        <v>320</v>
      </c>
      <c r="E47" s="1246"/>
      <c r="F47" s="1246"/>
      <c r="I47" s="1141"/>
    </row>
    <row r="48" spans="1:9" ht="14.4">
      <c r="A48" s="291"/>
      <c r="B48" s="291"/>
      <c r="D48" s="1246"/>
      <c r="E48" s="1246"/>
      <c r="F48" s="1246"/>
      <c r="I48" s="1141"/>
    </row>
    <row r="49" spans="1:9" ht="14.4">
      <c r="A49" s="291"/>
      <c r="B49" s="291"/>
      <c r="D49" s="1246"/>
      <c r="E49" s="1246"/>
      <c r="F49" s="1246"/>
      <c r="I49" s="1141"/>
    </row>
    <row r="50" spans="1:9" ht="23.25" customHeight="1">
      <c r="A50" s="291"/>
      <c r="B50" s="291"/>
      <c r="D50" s="1246"/>
      <c r="E50" s="1246"/>
      <c r="F50" s="1246"/>
      <c r="I50" s="1141"/>
    </row>
    <row r="51" spans="1:9" ht="14.4">
      <c r="A51" s="291"/>
      <c r="B51" s="291"/>
      <c r="D51" s="1132"/>
      <c r="I51" s="1141"/>
    </row>
    <row r="52" spans="1:9" ht="14.4" customHeight="1">
      <c r="A52" s="291"/>
      <c r="B52" s="292" t="s">
        <v>314</v>
      </c>
      <c r="D52" s="1246" t="s">
        <v>321</v>
      </c>
      <c r="E52" s="1246"/>
      <c r="F52" s="1246"/>
      <c r="I52" s="1141"/>
    </row>
    <row r="53" spans="1:9" ht="14.4">
      <c r="A53" s="291"/>
      <c r="B53" s="291"/>
      <c r="D53" s="1246"/>
      <c r="E53" s="1246"/>
      <c r="F53" s="1246"/>
      <c r="I53" s="1141"/>
    </row>
    <row r="54" spans="1:9" ht="14.4">
      <c r="A54" s="291"/>
      <c r="B54" s="291"/>
      <c r="D54" s="1246"/>
      <c r="E54" s="1246"/>
      <c r="F54" s="1246"/>
      <c r="I54" s="1141"/>
    </row>
    <row r="55" spans="1:9" ht="14.4">
      <c r="A55" s="291"/>
      <c r="B55" s="291"/>
      <c r="I55" s="1141"/>
    </row>
    <row r="56" spans="1:9" ht="14.4">
      <c r="A56" s="291"/>
      <c r="B56" s="292" t="s">
        <v>309</v>
      </c>
      <c r="D56" s="1270" t="s">
        <v>322</v>
      </c>
      <c r="E56" s="1270"/>
      <c r="F56" s="1270"/>
      <c r="I56" s="1141"/>
    </row>
    <row r="57" spans="1:9" ht="14.4">
      <c r="A57" s="291"/>
      <c r="B57" s="291"/>
      <c r="D57" s="1270"/>
      <c r="E57" s="1270"/>
      <c r="F57" s="1270"/>
      <c r="I57" s="1141"/>
    </row>
    <row r="58" spans="1:9" ht="14.4">
      <c r="A58" s="291"/>
      <c r="B58" s="291"/>
      <c r="D58" s="1135" t="s">
        <v>323</v>
      </c>
      <c r="E58" s="1133"/>
      <c r="F58" s="1133"/>
      <c r="I58" s="1141"/>
    </row>
    <row r="59" spans="1:9" ht="14.4">
      <c r="A59" s="291"/>
      <c r="B59" s="291"/>
      <c r="D59" s="1133"/>
      <c r="E59" s="1142" t="s">
        <v>311</v>
      </c>
      <c r="F59" s="1133"/>
      <c r="I59" s="1141"/>
    </row>
    <row r="60" spans="1:9">
      <c r="D60" s="1140"/>
      <c r="I60" s="1141"/>
    </row>
    <row r="61" spans="1:9" ht="14.4">
      <c r="A61" s="291"/>
      <c r="B61" s="292" t="s">
        <v>314</v>
      </c>
      <c r="D61" s="1246" t="s">
        <v>324</v>
      </c>
      <c r="E61" s="1246"/>
      <c r="F61" s="1246"/>
      <c r="I61" s="1141"/>
    </row>
    <row r="62" spans="1:9">
      <c r="D62" s="1246"/>
      <c r="E62" s="1246"/>
      <c r="F62" s="1246"/>
      <c r="I62" s="1141"/>
    </row>
    <row r="63" spans="1:9">
      <c r="D63" s="1246"/>
      <c r="E63" s="1246"/>
      <c r="F63" s="1246"/>
      <c r="I63" s="1141"/>
    </row>
    <row r="64" spans="1:9">
      <c r="I64" s="1141"/>
    </row>
    <row r="65" spans="1:9" ht="14.4">
      <c r="A65" s="291"/>
      <c r="B65" s="292" t="s">
        <v>314</v>
      </c>
      <c r="D65" s="1246" t="s">
        <v>325</v>
      </c>
      <c r="E65" s="1246"/>
      <c r="F65" s="1246"/>
      <c r="I65" s="1141"/>
    </row>
    <row r="66" spans="1:9">
      <c r="D66" s="1246"/>
      <c r="E66" s="1246"/>
      <c r="F66" s="1246"/>
      <c r="I66" s="1141"/>
    </row>
    <row r="67" spans="1:9">
      <c r="I67" s="1141"/>
    </row>
    <row r="68" spans="1:9" ht="14.4">
      <c r="A68" s="291"/>
      <c r="B68" s="292" t="s">
        <v>309</v>
      </c>
      <c r="D68" s="1246" t="s">
        <v>326</v>
      </c>
      <c r="E68" s="1246"/>
      <c r="F68" s="1246"/>
      <c r="I68" s="1141"/>
    </row>
    <row r="69" spans="1:9">
      <c r="D69" s="1246"/>
      <c r="E69" s="1246"/>
      <c r="F69" s="1246"/>
      <c r="I69" s="1141"/>
    </row>
    <row r="70" spans="1:9">
      <c r="D70" s="1246"/>
      <c r="E70" s="1246"/>
      <c r="F70" s="1246"/>
      <c r="I70" s="1141"/>
    </row>
    <row r="71" spans="1:9">
      <c r="I71" s="1141"/>
    </row>
    <row r="72" spans="1:9" ht="14.4">
      <c r="A72" s="291"/>
      <c r="B72" s="292" t="s">
        <v>309</v>
      </c>
      <c r="D72" s="1246" t="s">
        <v>327</v>
      </c>
      <c r="E72" s="1246"/>
      <c r="F72" s="1246"/>
      <c r="I72" s="1141"/>
    </row>
    <row r="73" spans="1:9">
      <c r="D73" s="1246"/>
      <c r="E73" s="1246"/>
      <c r="F73" s="1246"/>
      <c r="I73" s="1141"/>
    </row>
    <row r="74" spans="1:9" ht="14.4">
      <c r="A74" s="291"/>
      <c r="B74" s="291"/>
      <c r="D74" s="1132"/>
      <c r="I74" s="1141"/>
    </row>
    <row r="75" spans="1:9">
      <c r="A75" s="1249" t="s">
        <v>328</v>
      </c>
      <c r="B75" s="1249"/>
      <c r="C75" s="1249"/>
      <c r="D75" s="1249"/>
      <c r="E75" s="1249"/>
      <c r="F75" s="1249"/>
      <c r="G75" s="1249"/>
      <c r="H75" s="759"/>
      <c r="I75" s="869"/>
    </row>
    <row r="76" spans="1:9">
      <c r="I76" s="1141"/>
    </row>
    <row r="77" spans="1:9">
      <c r="C77" s="293"/>
      <c r="D77" s="1248" t="s">
        <v>329</v>
      </c>
      <c r="E77" s="1248"/>
      <c r="F77" s="1248"/>
      <c r="I77" s="1141"/>
    </row>
    <row r="78" spans="1:9">
      <c r="A78" s="1132"/>
      <c r="B78" s="1132"/>
      <c r="D78" s="1246" t="s">
        <v>330</v>
      </c>
      <c r="E78" s="1246"/>
      <c r="F78" s="1246"/>
      <c r="I78" s="1141"/>
    </row>
    <row r="79" spans="1:9">
      <c r="A79" s="1132"/>
      <c r="B79" s="1132"/>
      <c r="I79" s="1141"/>
    </row>
    <row r="80" spans="1:9" ht="13.65" customHeight="1">
      <c r="A80" s="291"/>
      <c r="B80" s="292" t="s">
        <v>309</v>
      </c>
      <c r="D80" s="1246" t="s">
        <v>331</v>
      </c>
      <c r="E80" s="1246"/>
      <c r="F80" s="1246"/>
      <c r="I80" s="1141"/>
    </row>
    <row r="81" spans="1:9" ht="14.4">
      <c r="A81" s="291"/>
      <c r="B81" s="291"/>
      <c r="D81" s="1246"/>
      <c r="E81" s="1246"/>
      <c r="F81" s="1246"/>
      <c r="I81" s="1141"/>
    </row>
    <row r="82" spans="1:9" ht="14.4">
      <c r="A82" s="291"/>
      <c r="B82" s="291"/>
      <c r="D82" s="1246"/>
      <c r="E82" s="1246"/>
      <c r="F82" s="1246"/>
      <c r="I82" s="1141"/>
    </row>
    <row r="83" spans="1:9" ht="14.4">
      <c r="A83" s="291"/>
      <c r="B83" s="291"/>
      <c r="D83" s="1246"/>
      <c r="E83" s="1246"/>
      <c r="F83" s="1246"/>
      <c r="I83" s="1141"/>
    </row>
    <row r="84" spans="1:9" ht="14.4">
      <c r="A84" s="291"/>
      <c r="B84" s="291"/>
      <c r="D84" s="1246"/>
      <c r="E84" s="1246"/>
      <c r="F84" s="1246"/>
      <c r="I84" s="1141"/>
    </row>
    <row r="85" spans="1:9" ht="14.4">
      <c r="A85" s="291"/>
      <c r="B85" s="291"/>
      <c r="D85" s="1246"/>
      <c r="E85" s="1246"/>
      <c r="F85" s="1246"/>
      <c r="I85" s="1141"/>
    </row>
    <row r="86" spans="1:9" ht="14.4">
      <c r="A86" s="291"/>
      <c r="B86" s="291"/>
      <c r="D86" s="1246"/>
      <c r="E86" s="1246"/>
      <c r="F86" s="1246"/>
      <c r="I86" s="1141"/>
    </row>
    <row r="87" spans="1:9" ht="14.4">
      <c r="A87" s="291"/>
      <c r="B87" s="291"/>
      <c r="D87" s="1246"/>
      <c r="E87" s="1246"/>
      <c r="F87" s="1246"/>
      <c r="I87" s="1141"/>
    </row>
    <row r="88" spans="1:9" ht="14.4">
      <c r="A88" s="291"/>
      <c r="B88" s="291"/>
      <c r="D88" s="1139"/>
      <c r="E88" s="1139"/>
      <c r="F88" s="1139"/>
      <c r="I88" s="1141"/>
    </row>
    <row r="89" spans="1:9" ht="15" customHeight="1">
      <c r="A89" s="291"/>
      <c r="B89" s="292" t="s">
        <v>309</v>
      </c>
      <c r="D89" s="1246" t="s">
        <v>332</v>
      </c>
      <c r="E89" s="1246"/>
      <c r="F89" s="1246"/>
      <c r="I89" s="1141"/>
    </row>
    <row r="90" spans="1:9" ht="14.4">
      <c r="A90" s="291"/>
      <c r="B90" s="291"/>
      <c r="D90" s="1246"/>
      <c r="E90" s="1246"/>
      <c r="F90" s="1246"/>
      <c r="I90" s="1141"/>
    </row>
    <row r="91" spans="1:9" ht="14.4">
      <c r="A91" s="291"/>
      <c r="B91" s="291"/>
      <c r="D91" s="1133"/>
      <c r="E91" s="1133"/>
      <c r="F91" s="1133"/>
      <c r="I91" s="1141"/>
    </row>
    <row r="92" spans="1:9" ht="14.4">
      <c r="A92" s="291"/>
      <c r="B92" s="292" t="s">
        <v>309</v>
      </c>
      <c r="D92" s="1246" t="s">
        <v>333</v>
      </c>
      <c r="E92" s="1246"/>
      <c r="F92" s="1246"/>
      <c r="I92" s="1141"/>
    </row>
    <row r="93" spans="1:9" ht="14.4">
      <c r="A93" s="291"/>
      <c r="B93" s="291"/>
      <c r="D93" s="1246"/>
      <c r="E93" s="1246"/>
      <c r="F93" s="1246"/>
      <c r="I93" s="1141"/>
    </row>
    <row r="94" spans="1:9" ht="14.4">
      <c r="A94" s="291"/>
      <c r="B94" s="291"/>
      <c r="D94" s="1246"/>
      <c r="E94" s="1246"/>
      <c r="F94" s="1246"/>
      <c r="I94" s="1141"/>
    </row>
    <row r="95" spans="1:9" ht="14.4">
      <c r="A95" s="291"/>
      <c r="B95" s="291"/>
      <c r="D95" s="1133"/>
      <c r="E95" s="1133"/>
      <c r="F95" s="1133"/>
      <c r="I95" s="1141"/>
    </row>
    <row r="96" spans="1:9" ht="14.4">
      <c r="A96" s="291"/>
      <c r="B96" s="292" t="s">
        <v>309</v>
      </c>
      <c r="D96" s="1246" t="s">
        <v>334</v>
      </c>
      <c r="E96" s="1246"/>
      <c r="F96" s="1246"/>
      <c r="I96" s="1141"/>
    </row>
    <row r="97" spans="1:9" s="729" customFormat="1" ht="14.4">
      <c r="A97" s="727"/>
      <c r="B97" s="727"/>
      <c r="C97" s="728"/>
      <c r="D97" s="1246"/>
      <c r="E97" s="1246"/>
      <c r="F97" s="1246"/>
      <c r="I97" s="870"/>
    </row>
    <row r="98" spans="1:9" ht="14.4">
      <c r="A98" s="291"/>
      <c r="B98" s="291"/>
      <c r="D98" s="1135"/>
      <c r="E98" s="1142" t="s">
        <v>335</v>
      </c>
      <c r="F98" s="1133"/>
      <c r="I98" s="1141"/>
    </row>
    <row r="99" spans="1:9" ht="14.4">
      <c r="A99" s="291"/>
      <c r="B99" s="291"/>
      <c r="D99" s="1139"/>
      <c r="E99" s="1139"/>
      <c r="F99" s="1139"/>
      <c r="I99" s="1141"/>
    </row>
    <row r="100" spans="1:9" ht="14.4">
      <c r="A100" s="291"/>
      <c r="B100" s="292" t="s">
        <v>314</v>
      </c>
      <c r="D100" s="1246" t="s">
        <v>336</v>
      </c>
      <c r="E100" s="1246"/>
      <c r="F100" s="1246"/>
      <c r="I100" s="1141"/>
    </row>
    <row r="101" spans="1:9" ht="14.4">
      <c r="A101" s="291"/>
      <c r="B101" s="291"/>
      <c r="D101" s="1246"/>
      <c r="E101" s="1246"/>
      <c r="F101" s="1246"/>
      <c r="I101" s="1141"/>
    </row>
    <row r="102" spans="1:9" ht="14.4">
      <c r="A102" s="291"/>
      <c r="B102" s="291"/>
      <c r="D102" s="1133"/>
      <c r="E102" s="1133"/>
      <c r="F102" s="1133"/>
      <c r="I102" s="1141"/>
    </row>
    <row r="103" spans="1:9" ht="14.4" customHeight="1">
      <c r="A103" s="291"/>
      <c r="B103" s="292" t="s">
        <v>314</v>
      </c>
      <c r="D103" s="1246" t="s">
        <v>337</v>
      </c>
      <c r="E103" s="1246"/>
      <c r="F103" s="1246"/>
      <c r="I103" s="1141"/>
    </row>
    <row r="104" spans="1:9" ht="14.4">
      <c r="A104" s="291"/>
      <c r="B104" s="291"/>
      <c r="D104" s="1246"/>
      <c r="E104" s="1246"/>
      <c r="F104" s="1246"/>
      <c r="I104" s="1141"/>
    </row>
    <row r="105" spans="1:9" ht="14.4">
      <c r="A105" s="291"/>
      <c r="B105" s="291"/>
      <c r="D105" s="1246"/>
      <c r="E105" s="1246"/>
      <c r="F105" s="1246"/>
      <c r="I105" s="1141"/>
    </row>
    <row r="106" spans="1:9" ht="14.4">
      <c r="A106" s="291"/>
      <c r="B106" s="291"/>
      <c r="D106" s="1246"/>
      <c r="E106" s="1246"/>
      <c r="F106" s="1246"/>
      <c r="I106" s="1141"/>
    </row>
    <row r="107" spans="1:9" ht="14.4">
      <c r="A107" s="291"/>
      <c r="B107" s="291"/>
      <c r="D107" s="1246"/>
      <c r="E107" s="1246"/>
      <c r="F107" s="1246"/>
      <c r="I107" s="1141"/>
    </row>
    <row r="108" spans="1:9" ht="14.4">
      <c r="A108" s="291"/>
      <c r="B108" s="291"/>
      <c r="D108" s="1246"/>
      <c r="E108" s="1246"/>
      <c r="F108" s="1246"/>
      <c r="I108" s="1141"/>
    </row>
    <row r="109" spans="1:9" ht="14.4">
      <c r="A109" s="291"/>
      <c r="B109" s="291"/>
      <c r="D109" s="1246"/>
      <c r="E109" s="1246"/>
      <c r="F109" s="1246"/>
      <c r="I109" s="1141"/>
    </row>
    <row r="110" spans="1:9" ht="14.4">
      <c r="A110" s="291"/>
      <c r="B110" s="291"/>
      <c r="D110" s="1246"/>
      <c r="E110" s="1246"/>
      <c r="F110" s="1246"/>
      <c r="I110" s="1141"/>
    </row>
    <row r="111" spans="1:9" ht="14.4">
      <c r="A111" s="291"/>
      <c r="B111" s="291"/>
      <c r="D111" s="1246"/>
      <c r="E111" s="1246"/>
      <c r="F111" s="1246"/>
      <c r="I111" s="1141"/>
    </row>
    <row r="112" spans="1:9" ht="14.4">
      <c r="A112" s="291"/>
      <c r="B112" s="291"/>
      <c r="D112" s="1246"/>
      <c r="E112" s="1246"/>
      <c r="F112" s="1246"/>
      <c r="I112" s="1141"/>
    </row>
    <row r="113" spans="1:9" ht="14.4">
      <c r="A113" s="291"/>
      <c r="B113" s="291"/>
      <c r="D113" s="1246"/>
      <c r="E113" s="1246"/>
      <c r="F113" s="1246"/>
      <c r="I113" s="1141"/>
    </row>
    <row r="114" spans="1:9" ht="14.4">
      <c r="A114" s="291"/>
      <c r="B114" s="291"/>
      <c r="D114" s="1246"/>
      <c r="E114" s="1246"/>
      <c r="F114" s="1246"/>
      <c r="I114" s="1141"/>
    </row>
    <row r="115" spans="1:9" ht="14.4">
      <c r="A115" s="291"/>
      <c r="B115" s="291"/>
      <c r="D115" s="1246"/>
      <c r="E115" s="1246"/>
      <c r="F115" s="1246"/>
      <c r="I115" s="1141"/>
    </row>
    <row r="116" spans="1:9" ht="14.4">
      <c r="A116" s="291"/>
      <c r="B116" s="291"/>
      <c r="D116" s="1246"/>
      <c r="E116" s="1246"/>
      <c r="F116" s="1246"/>
      <c r="I116" s="1141"/>
    </row>
    <row r="117" spans="1:9" ht="14.4">
      <c r="A117" s="291"/>
      <c r="B117" s="291"/>
      <c r="D117" s="1246"/>
      <c r="E117" s="1246"/>
      <c r="F117" s="1246"/>
      <c r="I117" s="1141"/>
    </row>
    <row r="118" spans="1:9" ht="14.4">
      <c r="A118" s="291"/>
      <c r="B118" s="291"/>
      <c r="D118" s="1121"/>
      <c r="E118" s="1121"/>
      <c r="F118" s="1121"/>
      <c r="I118" s="1141"/>
    </row>
    <row r="119" spans="1:9" ht="14.25" customHeight="1">
      <c r="A119" s="291"/>
      <c r="B119" s="292" t="s">
        <v>314</v>
      </c>
      <c r="D119" s="1266" t="s">
        <v>338</v>
      </c>
      <c r="E119" s="1266"/>
      <c r="F119" s="1266"/>
      <c r="I119" s="1141"/>
    </row>
    <row r="120" spans="1:9" ht="14.4">
      <c r="A120" s="291"/>
      <c r="B120" s="291"/>
      <c r="D120" s="1266"/>
      <c r="E120" s="1266"/>
      <c r="F120" s="1266"/>
      <c r="I120" s="1141"/>
    </row>
    <row r="121" spans="1:9" ht="14.4">
      <c r="A121" s="291"/>
      <c r="B121" s="291"/>
      <c r="D121" s="1266"/>
      <c r="E121" s="1266"/>
      <c r="F121" s="1266"/>
      <c r="I121" s="1141"/>
    </row>
    <row r="122" spans="1:9" ht="14.4">
      <c r="A122" s="291"/>
      <c r="B122" s="291"/>
      <c r="D122" s="1266"/>
      <c r="E122" s="1266"/>
      <c r="F122" s="1266"/>
      <c r="I122" s="1141"/>
    </row>
    <row r="123" spans="1:9" ht="14.4">
      <c r="A123" s="291"/>
      <c r="B123" s="291"/>
      <c r="D123" s="1266"/>
      <c r="E123" s="1266"/>
      <c r="F123" s="1266"/>
      <c r="I123" s="1141"/>
    </row>
    <row r="124" spans="1:9" ht="14.4">
      <c r="A124" s="291"/>
      <c r="B124" s="291"/>
      <c r="D124" s="1266"/>
      <c r="E124" s="1266"/>
      <c r="F124" s="1266"/>
      <c r="I124" s="1141"/>
    </row>
    <row r="125" spans="1:9" ht="14.4">
      <c r="A125" s="291"/>
      <c r="B125" s="291"/>
      <c r="D125" s="1266"/>
      <c r="E125" s="1266"/>
      <c r="F125" s="1266"/>
      <c r="I125" s="1141"/>
    </row>
    <row r="126" spans="1:9" ht="14.4">
      <c r="A126" s="291"/>
      <c r="B126" s="291"/>
      <c r="D126" s="1266"/>
      <c r="E126" s="1266"/>
      <c r="F126" s="1266"/>
      <c r="I126" s="1141"/>
    </row>
    <row r="127" spans="1:9">
      <c r="C127" s="230"/>
      <c r="D127" s="325"/>
      <c r="E127" s="325"/>
      <c r="F127" s="325"/>
      <c r="I127" s="1141"/>
    </row>
    <row r="128" spans="1:9" ht="14.4">
      <c r="A128" s="291"/>
      <c r="B128" s="292" t="s">
        <v>314</v>
      </c>
      <c r="C128" s="230"/>
      <c r="D128" s="1266" t="s">
        <v>339</v>
      </c>
      <c r="E128" s="1266"/>
      <c r="F128" s="1266"/>
      <c r="I128" s="1141"/>
    </row>
    <row r="129" spans="1:9" ht="14.4">
      <c r="A129" s="291"/>
      <c r="B129" s="291"/>
      <c r="C129" s="230"/>
      <c r="D129" s="1266"/>
      <c r="E129" s="1266"/>
      <c r="F129" s="1266"/>
      <c r="I129" s="1141"/>
    </row>
    <row r="130" spans="1:9">
      <c r="I130" s="1141"/>
    </row>
    <row r="131" spans="1:9" ht="14.4">
      <c r="A131" s="291"/>
      <c r="B131" s="292" t="s">
        <v>309</v>
      </c>
      <c r="D131" s="1246" t="s">
        <v>340</v>
      </c>
      <c r="E131" s="1246"/>
      <c r="F131" s="1246"/>
      <c r="I131" s="1141"/>
    </row>
    <row r="132" spans="1:9">
      <c r="D132" s="1246"/>
      <c r="E132" s="1246"/>
      <c r="F132" s="1246"/>
      <c r="I132" s="1141"/>
    </row>
    <row r="133" spans="1:9">
      <c r="D133" s="1246"/>
      <c r="E133" s="1246"/>
      <c r="F133" s="1246"/>
      <c r="I133" s="1141"/>
    </row>
    <row r="134" spans="1:9">
      <c r="D134" s="1246"/>
      <c r="E134" s="1246"/>
      <c r="F134" s="1246"/>
      <c r="I134" s="1141"/>
    </row>
    <row r="135" spans="1:9">
      <c r="D135" s="1246"/>
      <c r="E135" s="1246"/>
      <c r="F135" s="1246"/>
      <c r="I135" s="1141"/>
    </row>
    <row r="136" spans="1:9">
      <c r="I136" s="1141"/>
    </row>
    <row r="137" spans="1:9" ht="14.4">
      <c r="A137" s="291"/>
      <c r="B137" s="292" t="s">
        <v>309</v>
      </c>
      <c r="D137" s="1246" t="s">
        <v>341</v>
      </c>
      <c r="E137" s="1246"/>
      <c r="F137" s="1246"/>
      <c r="I137" s="1141"/>
    </row>
    <row r="138" spans="1:9" s="244" customFormat="1" ht="13.65" customHeight="1">
      <c r="A138" s="295"/>
      <c r="B138" s="295"/>
      <c r="C138" s="295"/>
      <c r="D138" s="1246"/>
      <c r="E138" s="1246"/>
      <c r="F138" s="1246"/>
      <c r="I138" s="871"/>
    </row>
    <row r="139" spans="1:9" ht="13.65" customHeight="1">
      <c r="D139" s="1246"/>
      <c r="E139" s="1246"/>
      <c r="F139" s="1246"/>
      <c r="I139" s="1141"/>
    </row>
    <row r="140" spans="1:9" ht="13.65" customHeight="1">
      <c r="D140" s="1246"/>
      <c r="E140" s="1246"/>
      <c r="F140" s="1246"/>
      <c r="I140" s="1141"/>
    </row>
    <row r="141" spans="1:9" ht="13.65" customHeight="1">
      <c r="D141" s="1246"/>
      <c r="E141" s="1246"/>
      <c r="F141" s="1246"/>
      <c r="I141" s="1141"/>
    </row>
    <row r="142" spans="1:9" ht="13.65" customHeight="1">
      <c r="A142" s="296"/>
      <c r="B142" s="296"/>
      <c r="D142" s="1246"/>
      <c r="E142" s="1246"/>
      <c r="F142" s="1246"/>
      <c r="I142" s="1141"/>
    </row>
    <row r="143" spans="1:9" ht="13.65" customHeight="1">
      <c r="D143" s="1246"/>
      <c r="E143" s="1246"/>
      <c r="F143" s="1246"/>
      <c r="I143" s="1141"/>
    </row>
    <row r="144" spans="1:9" ht="13.65" customHeight="1">
      <c r="D144" s="1246"/>
      <c r="E144" s="1246"/>
      <c r="F144" s="1246"/>
      <c r="I144" s="1141"/>
    </row>
    <row r="145" spans="2:9" ht="13.65" customHeight="1">
      <c r="D145" s="1246"/>
      <c r="E145" s="1246"/>
      <c r="F145" s="1246"/>
      <c r="I145" s="1141"/>
    </row>
    <row r="146" spans="2:9" ht="13.65" customHeight="1">
      <c r="D146" s="1246"/>
      <c r="E146" s="1246"/>
      <c r="F146" s="1246"/>
      <c r="I146" s="1141"/>
    </row>
    <row r="147" spans="2:9" ht="13.65" customHeight="1">
      <c r="D147" s="1246"/>
      <c r="E147" s="1246"/>
      <c r="F147" s="1246"/>
      <c r="I147" s="1141"/>
    </row>
    <row r="148" spans="2:9" ht="13.65" customHeight="1">
      <c r="D148" s="1246"/>
      <c r="E148" s="1246"/>
      <c r="F148" s="1246"/>
      <c r="I148" s="1141"/>
    </row>
    <row r="149" spans="2:9" ht="13.65" customHeight="1">
      <c r="D149" s="1246"/>
      <c r="E149" s="1246"/>
      <c r="F149" s="1246"/>
      <c r="I149" s="1141"/>
    </row>
    <row r="150" spans="2:9" ht="13.65" customHeight="1">
      <c r="D150" s="286"/>
      <c r="E150" s="1132"/>
      <c r="F150" s="1132"/>
      <c r="I150" s="1141"/>
    </row>
    <row r="151" spans="2:9" ht="13.65" customHeight="1">
      <c r="B151" s="292" t="s">
        <v>314</v>
      </c>
      <c r="D151" s="1246" t="s">
        <v>342</v>
      </c>
      <c r="E151" s="1246"/>
      <c r="F151" s="1246"/>
      <c r="I151" s="1141"/>
    </row>
    <row r="152" spans="2:9" ht="13.65" customHeight="1">
      <c r="D152" s="1246"/>
      <c r="E152" s="1246"/>
      <c r="F152" s="1246"/>
      <c r="I152" s="1141"/>
    </row>
    <row r="153" spans="2:9" ht="13.65" customHeight="1">
      <c r="D153" s="1246"/>
      <c r="E153" s="1246"/>
      <c r="F153" s="1246"/>
      <c r="I153" s="1141"/>
    </row>
    <row r="154" spans="2:9" ht="13.65" customHeight="1">
      <c r="D154" s="1246"/>
      <c r="E154" s="1246"/>
      <c r="F154" s="1246"/>
      <c r="I154" s="1141"/>
    </row>
    <row r="155" spans="2:9" ht="13.65" customHeight="1">
      <c r="D155" s="1246"/>
      <c r="E155" s="1246"/>
      <c r="F155" s="1246"/>
      <c r="I155" s="1141"/>
    </row>
    <row r="156" spans="2:9" ht="13.65" customHeight="1">
      <c r="D156" s="1246"/>
      <c r="E156" s="1246"/>
      <c r="F156" s="1246"/>
      <c r="I156" s="1141"/>
    </row>
    <row r="157" spans="2:9" ht="13.65" customHeight="1">
      <c r="D157" s="1246"/>
      <c r="E157" s="1246"/>
      <c r="F157" s="1246"/>
      <c r="I157" s="1141"/>
    </row>
    <row r="158" spans="2:9" ht="13.65" customHeight="1">
      <c r="D158" s="1246"/>
      <c r="E158" s="1246"/>
      <c r="F158" s="1246"/>
      <c r="I158" s="1141"/>
    </row>
    <row r="159" spans="2:9" ht="13.65" customHeight="1">
      <c r="D159" s="1246"/>
      <c r="E159" s="1246"/>
      <c r="F159" s="1246"/>
      <c r="I159" s="1141"/>
    </row>
    <row r="160" spans="2:9" ht="13.65" customHeight="1">
      <c r="D160" s="1246"/>
      <c r="E160" s="1246"/>
      <c r="F160" s="1246"/>
      <c r="I160" s="1141"/>
    </row>
    <row r="161" spans="1:9" ht="13.65" customHeight="1">
      <c r="D161" s="1246"/>
      <c r="E161" s="1246"/>
      <c r="F161" s="1246"/>
      <c r="I161" s="1141"/>
    </row>
    <row r="162" spans="1:9" ht="13.65" customHeight="1">
      <c r="D162" s="1246"/>
      <c r="E162" s="1246"/>
      <c r="F162" s="1246"/>
      <c r="I162" s="1141"/>
    </row>
    <row r="163" spans="1:9" ht="13.65" customHeight="1">
      <c r="D163" s="1246"/>
      <c r="E163" s="1246"/>
      <c r="F163" s="1246"/>
      <c r="I163" s="1141"/>
    </row>
    <row r="164" spans="1:9" ht="13.65" customHeight="1">
      <c r="D164" s="1246"/>
      <c r="E164" s="1246"/>
      <c r="F164" s="1246"/>
      <c r="I164" s="1141"/>
    </row>
    <row r="165" spans="1:9" ht="13.65" customHeight="1">
      <c r="D165" s="1246"/>
      <c r="E165" s="1246"/>
      <c r="F165" s="1246"/>
      <c r="I165" s="1141"/>
    </row>
    <row r="166" spans="1:9" ht="13.65" customHeight="1">
      <c r="D166" s="1246"/>
      <c r="E166" s="1246"/>
      <c r="F166" s="1246"/>
      <c r="I166" s="1141"/>
    </row>
    <row r="167" spans="1:9" ht="13.65" customHeight="1">
      <c r="D167" s="1246"/>
      <c r="E167" s="1246"/>
      <c r="F167" s="1246"/>
      <c r="I167" s="1141"/>
    </row>
    <row r="168" spans="1:9" ht="13.65" customHeight="1">
      <c r="D168" s="1246"/>
      <c r="E168" s="1246"/>
      <c r="F168" s="1246"/>
      <c r="I168" s="1141"/>
    </row>
    <row r="169" spans="1:9" ht="13.65" customHeight="1">
      <c r="D169" s="1267" t="s">
        <v>343</v>
      </c>
      <c r="E169" s="1267"/>
      <c r="F169" s="1267"/>
      <c r="G169" s="313"/>
      <c r="I169" s="1141"/>
    </row>
    <row r="170" spans="1:9" ht="13.65" customHeight="1">
      <c r="D170" s="1258"/>
      <c r="E170" s="1258"/>
      <c r="F170" s="1258"/>
      <c r="G170" s="1258"/>
      <c r="I170" s="1141"/>
    </row>
    <row r="171" spans="1:9" ht="14.4" customHeight="1">
      <c r="A171" s="296"/>
      <c r="B171" s="292" t="s">
        <v>314</v>
      </c>
      <c r="C171" s="286"/>
      <c r="D171" s="1226" t="s">
        <v>344</v>
      </c>
      <c r="E171" s="1226"/>
      <c r="F171" s="1226"/>
      <c r="G171" s="286"/>
      <c r="I171" s="1141"/>
    </row>
    <row r="172" spans="1:9" ht="14.4" customHeight="1">
      <c r="A172" s="296"/>
      <c r="B172" s="296"/>
      <c r="C172" s="286"/>
      <c r="D172" s="1226"/>
      <c r="E172" s="1226"/>
      <c r="F172" s="1226"/>
      <c r="G172" s="286"/>
      <c r="I172" s="1141"/>
    </row>
    <row r="173" spans="1:9" ht="14.4" customHeight="1">
      <c r="A173" s="296"/>
      <c r="B173" s="296"/>
      <c r="C173" s="286"/>
      <c r="D173" s="1226"/>
      <c r="E173" s="1226"/>
      <c r="F173" s="1226"/>
      <c r="G173" s="286"/>
      <c r="I173" s="1141"/>
    </row>
    <row r="174" spans="1:9" ht="14.4" customHeight="1">
      <c r="A174" s="296"/>
      <c r="B174" s="296"/>
      <c r="C174" s="286"/>
      <c r="D174" s="1226"/>
      <c r="E174" s="1226"/>
      <c r="F174" s="1226"/>
      <c r="G174" s="286"/>
      <c r="I174" s="1141"/>
    </row>
    <row r="175" spans="1:9" ht="13.65" customHeight="1">
      <c r="A175" s="296"/>
      <c r="B175" s="296"/>
      <c r="C175" s="286"/>
      <c r="D175" s="1226"/>
      <c r="E175" s="1226"/>
      <c r="F175" s="1226"/>
      <c r="G175" s="286"/>
      <c r="I175" s="1141"/>
    </row>
    <row r="176" spans="1:9" ht="13.65" customHeight="1">
      <c r="A176" s="296"/>
      <c r="B176" s="296"/>
      <c r="C176" s="286"/>
      <c r="D176" s="286"/>
      <c r="E176" s="286"/>
      <c r="F176" s="286"/>
      <c r="G176" s="286"/>
      <c r="I176" s="1141"/>
    </row>
    <row r="177" spans="1:9" ht="13.65" customHeight="1">
      <c r="A177" s="296"/>
      <c r="B177" s="292" t="s">
        <v>314</v>
      </c>
      <c r="C177" s="286"/>
      <c r="D177" s="1226" t="s">
        <v>345</v>
      </c>
      <c r="E177" s="1226"/>
      <c r="F177" s="1226"/>
      <c r="G177" s="286"/>
      <c r="I177" s="1141"/>
    </row>
    <row r="178" spans="1:9" ht="13.65" customHeight="1">
      <c r="A178" s="296"/>
      <c r="B178" s="296"/>
      <c r="C178" s="286"/>
      <c r="D178" s="1226"/>
      <c r="E178" s="1226"/>
      <c r="F178" s="1226"/>
      <c r="G178" s="286"/>
      <c r="I178" s="1141"/>
    </row>
    <row r="179" spans="1:9" ht="13.65" customHeight="1">
      <c r="A179" s="296"/>
      <c r="B179" s="296"/>
      <c r="C179" s="286"/>
      <c r="D179" s="1226"/>
      <c r="E179" s="1226"/>
      <c r="F179" s="1226"/>
      <c r="G179" s="286"/>
      <c r="I179" s="1141"/>
    </row>
    <row r="180" spans="1:9" ht="13.65" customHeight="1">
      <c r="A180" s="296"/>
      <c r="B180" s="296"/>
      <c r="C180" s="286"/>
      <c r="D180" s="1226"/>
      <c r="E180" s="1226"/>
      <c r="F180" s="1226"/>
      <c r="G180" s="286"/>
      <c r="I180" s="1141"/>
    </row>
    <row r="181" spans="1:9" ht="13.65" customHeight="1">
      <c r="D181" s="1132"/>
      <c r="E181" s="1132"/>
      <c r="F181" s="1132"/>
      <c r="I181" s="1141"/>
    </row>
    <row r="182" spans="1:9" ht="13.65" customHeight="1">
      <c r="B182" s="292" t="s">
        <v>314</v>
      </c>
      <c r="D182" s="1250" t="s">
        <v>346</v>
      </c>
      <c r="E182" s="1250"/>
      <c r="F182" s="1250"/>
      <c r="I182" s="1141"/>
    </row>
    <row r="183" spans="1:9" ht="13.65" customHeight="1">
      <c r="D183" s="1250"/>
      <c r="E183" s="1250"/>
      <c r="F183" s="1250"/>
      <c r="I183" s="1141"/>
    </row>
    <row r="184" spans="1:9" ht="13.65" customHeight="1">
      <c r="D184" s="1250"/>
      <c r="E184" s="1250"/>
      <c r="F184" s="1250"/>
      <c r="I184" s="1141"/>
    </row>
    <row r="185" spans="1:9" ht="13.65" customHeight="1">
      <c r="A185" s="1141"/>
      <c r="B185" s="1141"/>
      <c r="E185" s="1132"/>
      <c r="F185" s="1132"/>
      <c r="I185" s="1141"/>
    </row>
    <row r="186" spans="1:9">
      <c r="A186" s="1249" t="s">
        <v>347</v>
      </c>
      <c r="B186" s="1249"/>
      <c r="C186" s="1249"/>
      <c r="D186" s="1249"/>
      <c r="E186" s="1249"/>
      <c r="F186" s="1249"/>
      <c r="G186" s="1249"/>
      <c r="H186" s="759"/>
      <c r="I186" s="869"/>
    </row>
    <row r="187" spans="1:9" ht="12" customHeight="1">
      <c r="D187" s="1132"/>
      <c r="E187" s="1132"/>
      <c r="F187" s="1132"/>
      <c r="I187" s="1141"/>
    </row>
    <row r="188" spans="1:9">
      <c r="B188" s="1252" t="s">
        <v>348</v>
      </c>
      <c r="C188" s="1252"/>
      <c r="D188" s="1252"/>
      <c r="E188" s="1252"/>
      <c r="F188" s="1252"/>
      <c r="I188" s="1141"/>
    </row>
    <row r="189" spans="1:9">
      <c r="B189" s="1135" t="s">
        <v>349</v>
      </c>
      <c r="C189" s="1135"/>
      <c r="D189" s="1135"/>
      <c r="E189" s="1135"/>
      <c r="F189" s="1135"/>
      <c r="I189" s="1141"/>
    </row>
    <row r="190" spans="1:9" ht="12" customHeight="1">
      <c r="A190" s="1144"/>
      <c r="B190" s="1144"/>
      <c r="C190" s="1144"/>
      <c r="I190" s="1141"/>
    </row>
    <row r="191" spans="1:9">
      <c r="A191" s="1249" t="s">
        <v>350</v>
      </c>
      <c r="B191" s="1249"/>
      <c r="C191" s="1249"/>
      <c r="D191" s="1249"/>
      <c r="E191" s="1249"/>
      <c r="F191" s="1249"/>
      <c r="G191" s="1249"/>
      <c r="H191" s="759"/>
      <c r="I191" s="869"/>
    </row>
    <row r="192" spans="1:9" ht="12" customHeight="1">
      <c r="A192" s="232"/>
      <c r="B192" s="232"/>
      <c r="E192" s="232"/>
      <c r="I192" s="1141"/>
    </row>
    <row r="193" spans="1:9" ht="13.65" customHeight="1">
      <c r="A193" s="232"/>
      <c r="B193" s="232"/>
      <c r="D193" s="1248" t="s">
        <v>351</v>
      </c>
      <c r="E193" s="1248"/>
      <c r="F193" s="1248"/>
      <c r="I193" s="1141"/>
    </row>
    <row r="194" spans="1:9">
      <c r="A194" s="232"/>
      <c r="B194" s="232"/>
      <c r="D194" s="1248"/>
      <c r="E194" s="1248"/>
      <c r="F194" s="1248"/>
      <c r="I194" s="1141"/>
    </row>
    <row r="195" spans="1:9">
      <c r="A195" s="232"/>
      <c r="B195" s="232"/>
      <c r="D195" s="1252" t="s">
        <v>352</v>
      </c>
      <c r="E195" s="1252"/>
      <c r="F195" s="1252"/>
      <c r="I195" s="1141"/>
    </row>
    <row r="196" spans="1:9">
      <c r="A196" s="232"/>
      <c r="B196" s="232"/>
      <c r="D196" s="1135"/>
      <c r="E196" s="1135"/>
      <c r="F196" s="1135"/>
      <c r="I196" s="1141"/>
    </row>
    <row r="197" spans="1:9">
      <c r="A197" s="232"/>
      <c r="B197" s="292" t="s">
        <v>309</v>
      </c>
      <c r="D197" s="1263" t="s">
        <v>353</v>
      </c>
      <c r="E197" s="1263"/>
      <c r="F197" s="1263"/>
      <c r="I197" s="1141"/>
    </row>
    <row r="198" spans="1:9">
      <c r="A198" s="232"/>
      <c r="B198" s="232"/>
      <c r="D198" s="1264" t="s">
        <v>354</v>
      </c>
      <c r="E198" s="1264"/>
      <c r="F198" s="1264"/>
      <c r="I198" s="1141"/>
    </row>
    <row r="199" spans="1:9">
      <c r="A199" s="232"/>
      <c r="B199" s="232"/>
      <c r="D199" s="55" t="s">
        <v>355</v>
      </c>
      <c r="E199" s="1265" t="s">
        <v>356</v>
      </c>
      <c r="F199" s="1265"/>
      <c r="I199" s="1141"/>
    </row>
    <row r="200" spans="1:9">
      <c r="A200" s="232"/>
      <c r="B200" s="232"/>
      <c r="D200" s="2"/>
      <c r="E200" s="2"/>
      <c r="F200" s="2"/>
      <c r="I200" s="1141"/>
    </row>
    <row r="201" spans="1:9">
      <c r="A201" s="232"/>
      <c r="B201" s="292" t="s">
        <v>314</v>
      </c>
      <c r="D201" s="1264" t="s">
        <v>357</v>
      </c>
      <c r="E201" s="1264"/>
      <c r="F201" s="1264"/>
      <c r="I201" s="1141"/>
    </row>
    <row r="202" spans="1:9">
      <c r="A202" s="232"/>
      <c r="B202" s="232"/>
      <c r="D202" s="1263" t="s">
        <v>354</v>
      </c>
      <c r="E202" s="1263"/>
      <c r="F202" s="1263"/>
      <c r="I202" s="1141"/>
    </row>
    <row r="203" spans="1:9">
      <c r="A203" s="232"/>
      <c r="B203" s="232"/>
      <c r="D203" s="38" t="s">
        <v>358</v>
      </c>
      <c r="E203" s="1265" t="s">
        <v>359</v>
      </c>
      <c r="F203" s="1265"/>
      <c r="I203" s="1141"/>
    </row>
    <row r="204" spans="1:9">
      <c r="A204" s="232"/>
      <c r="B204" s="232"/>
      <c r="D204" s="2"/>
      <c r="E204" s="2"/>
      <c r="F204" s="2"/>
      <c r="I204" s="1141"/>
    </row>
    <row r="205" spans="1:9">
      <c r="A205" s="232"/>
      <c r="B205" s="292" t="s">
        <v>314</v>
      </c>
      <c r="D205" s="1264" t="s">
        <v>360</v>
      </c>
      <c r="E205" s="1264"/>
      <c r="F205" s="1264"/>
      <c r="I205" s="1141"/>
    </row>
    <row r="206" spans="1:9">
      <c r="A206" s="232"/>
      <c r="B206" s="232"/>
      <c r="D206" s="1263" t="s">
        <v>354</v>
      </c>
      <c r="E206" s="1263"/>
      <c r="F206" s="1263"/>
      <c r="I206" s="1141"/>
    </row>
    <row r="207" spans="1:9">
      <c r="A207" s="232"/>
      <c r="B207" s="232"/>
      <c r="D207" s="38" t="s">
        <v>355</v>
      </c>
      <c r="E207" s="1265" t="s">
        <v>361</v>
      </c>
      <c r="F207" s="1265"/>
      <c r="I207" s="1141"/>
    </row>
    <row r="208" spans="1:9">
      <c r="A208" s="232"/>
      <c r="B208" s="232"/>
      <c r="D208" s="1135"/>
      <c r="E208" s="1135"/>
      <c r="F208" s="1135"/>
      <c r="I208" s="1141"/>
    </row>
    <row r="209" spans="1:9" ht="14.25" customHeight="1">
      <c r="A209" s="291"/>
      <c r="B209" s="292" t="s">
        <v>314</v>
      </c>
      <c r="D209" s="216" t="s">
        <v>362</v>
      </c>
      <c r="E209" s="1139"/>
      <c r="F209" s="1139"/>
      <c r="I209" s="1141"/>
    </row>
    <row r="210" spans="1:9" ht="14.4">
      <c r="A210" s="291"/>
      <c r="B210" s="291"/>
      <c r="D210" s="1263" t="s">
        <v>354</v>
      </c>
      <c r="E210" s="1263"/>
      <c r="F210" s="1263"/>
      <c r="I210" s="1141"/>
    </row>
    <row r="211" spans="1:9">
      <c r="D211" s="1139"/>
      <c r="E211" s="1265" t="s">
        <v>363</v>
      </c>
      <c r="F211" s="1265"/>
      <c r="I211" s="1141"/>
    </row>
    <row r="212" spans="1:9">
      <c r="D212" s="1140"/>
      <c r="I212" s="1141"/>
    </row>
    <row r="213" spans="1:9">
      <c r="B213" s="292" t="s">
        <v>314</v>
      </c>
      <c r="D213" s="1264" t="s">
        <v>364</v>
      </c>
      <c r="E213" s="1264"/>
      <c r="F213" s="1264"/>
      <c r="I213" s="1141"/>
    </row>
    <row r="214" spans="1:9">
      <c r="D214" s="1263" t="s">
        <v>354</v>
      </c>
      <c r="E214" s="1263"/>
      <c r="F214" s="1263"/>
      <c r="I214" s="1141"/>
    </row>
    <row r="215" spans="1:9">
      <c r="D215" s="38" t="s">
        <v>355</v>
      </c>
      <c r="E215" s="1265" t="s">
        <v>365</v>
      </c>
      <c r="F215" s="1265"/>
      <c r="I215" s="1141"/>
    </row>
    <row r="216" spans="1:9">
      <c r="D216" s="1118"/>
      <c r="E216" s="1118"/>
      <c r="F216" s="1118"/>
      <c r="I216" s="1141"/>
    </row>
    <row r="217" spans="1:9" ht="14.4">
      <c r="A217" s="291"/>
      <c r="B217" s="292" t="s">
        <v>314</v>
      </c>
      <c r="D217" s="1246" t="s">
        <v>366</v>
      </c>
      <c r="E217" s="1246"/>
      <c r="F217" s="1246"/>
      <c r="I217" s="1141"/>
    </row>
    <row r="218" spans="1:9" ht="14.4" customHeight="1">
      <c r="A218" s="291"/>
      <c r="B218" s="230"/>
      <c r="D218" s="1246"/>
      <c r="E218" s="1246"/>
      <c r="F218" s="1246"/>
      <c r="I218" s="1141"/>
    </row>
    <row r="219" spans="1:9" ht="14.4">
      <c r="A219" s="291"/>
      <c r="D219" s="1246"/>
      <c r="E219" s="1246"/>
      <c r="F219" s="1246"/>
      <c r="I219" s="1141"/>
    </row>
    <row r="220" spans="1:9" ht="14.4">
      <c r="A220" s="291"/>
      <c r="D220" s="1246"/>
      <c r="E220" s="1246"/>
      <c r="F220" s="1246"/>
      <c r="I220" s="1141"/>
    </row>
    <row r="221" spans="1:9">
      <c r="D221" s="1118"/>
      <c r="E221" s="1118"/>
      <c r="F221" s="1118"/>
      <c r="I221" s="1141"/>
    </row>
    <row r="222" spans="1:9">
      <c r="A222" s="1249" t="s">
        <v>367</v>
      </c>
      <c r="B222" s="1249"/>
      <c r="C222" s="1249"/>
      <c r="D222" s="1249"/>
      <c r="E222" s="1249"/>
      <c r="F222" s="1249"/>
      <c r="G222" s="1249"/>
      <c r="H222" s="759"/>
      <c r="I222" s="869"/>
    </row>
    <row r="223" spans="1:9" ht="12" customHeight="1">
      <c r="D223" s="1132"/>
      <c r="E223" s="1132"/>
      <c r="F223" s="1132"/>
      <c r="I223" s="1141"/>
    </row>
    <row r="224" spans="1:9">
      <c r="C224" s="293"/>
      <c r="D224" s="1254" t="s">
        <v>368</v>
      </c>
      <c r="E224" s="1254"/>
      <c r="F224" s="1254"/>
      <c r="I224" s="1141"/>
    </row>
    <row r="225" spans="1:9">
      <c r="A225" s="1144"/>
      <c r="B225" s="1144"/>
      <c r="C225" s="1144"/>
      <c r="D225" s="1247" t="s">
        <v>369</v>
      </c>
      <c r="E225" s="1247"/>
      <c r="F225" s="1247"/>
      <c r="I225" s="1141"/>
    </row>
    <row r="226" spans="1:9" ht="12" customHeight="1">
      <c r="A226" s="1141"/>
      <c r="B226" s="1141"/>
      <c r="C226" s="1141"/>
      <c r="I226" s="1141"/>
    </row>
    <row r="227" spans="1:9" ht="13.65" customHeight="1">
      <c r="A227" s="1141"/>
      <c r="C227" s="1141"/>
      <c r="D227" s="1254" t="s">
        <v>370</v>
      </c>
      <c r="E227" s="1254"/>
      <c r="F227" s="1254"/>
      <c r="I227" s="1141"/>
    </row>
    <row r="228" spans="1:9" ht="14.4">
      <c r="A228" s="291"/>
      <c r="B228" s="292" t="s">
        <v>309</v>
      </c>
      <c r="D228" s="1246" t="s">
        <v>371</v>
      </c>
      <c r="E228" s="1246"/>
      <c r="F228" s="1246"/>
      <c r="I228" s="1141"/>
    </row>
    <row r="229" spans="1:9" ht="14.25" customHeight="1">
      <c r="A229" s="291"/>
      <c r="B229" s="291"/>
      <c r="D229" s="1246"/>
      <c r="E229" s="1246"/>
      <c r="F229" s="1246"/>
      <c r="I229" s="1141"/>
    </row>
    <row r="230" spans="1:9" ht="14.25" customHeight="1">
      <c r="A230" s="291"/>
      <c r="B230" s="291"/>
      <c r="D230" s="1246"/>
      <c r="E230" s="1246"/>
      <c r="F230" s="1246"/>
      <c r="I230" s="1141"/>
    </row>
    <row r="231" spans="1:9" ht="14.4">
      <c r="A231" s="291"/>
      <c r="B231" s="291"/>
      <c r="D231" s="1246"/>
      <c r="E231" s="1246"/>
      <c r="F231" s="1246"/>
      <c r="I231" s="1141"/>
    </row>
    <row r="232" spans="1:9" ht="14.4">
      <c r="A232" s="291"/>
      <c r="B232" s="291"/>
      <c r="D232" s="1133"/>
      <c r="E232" s="1133"/>
      <c r="F232" s="1133"/>
      <c r="I232" s="1141"/>
    </row>
    <row r="233" spans="1:9" ht="14.4">
      <c r="A233" s="291"/>
      <c r="B233" s="292" t="s">
        <v>309</v>
      </c>
      <c r="D233" s="1246" t="s">
        <v>372</v>
      </c>
      <c r="E233" s="1246"/>
      <c r="F233" s="1246"/>
      <c r="I233" s="1141"/>
    </row>
    <row r="234" spans="1:9" ht="14.4">
      <c r="A234" s="291"/>
      <c r="B234" s="291"/>
      <c r="D234" s="1246"/>
      <c r="E234" s="1246"/>
      <c r="F234" s="1246"/>
      <c r="I234" s="1141"/>
    </row>
    <row r="235" spans="1:9" ht="14.4">
      <c r="A235" s="291"/>
      <c r="B235" s="291"/>
      <c r="D235" s="1246"/>
      <c r="E235" s="1246"/>
      <c r="F235" s="1246"/>
      <c r="I235" s="1141"/>
    </row>
    <row r="236" spans="1:9" ht="14.4">
      <c r="A236" s="291"/>
      <c r="B236" s="291"/>
      <c r="D236" s="1246"/>
      <c r="E236" s="1246"/>
      <c r="F236" s="1246"/>
      <c r="I236" s="1141"/>
    </row>
    <row r="237" spans="1:9" ht="14.25" customHeight="1">
      <c r="A237" s="291"/>
      <c r="B237" s="291"/>
      <c r="D237" s="1246"/>
      <c r="E237" s="1246"/>
      <c r="F237" s="1246"/>
      <c r="I237" s="1141"/>
    </row>
    <row r="238" spans="1:9" ht="14.25" customHeight="1">
      <c r="A238" s="291"/>
      <c r="B238" s="291"/>
      <c r="D238" s="1133"/>
      <c r="E238" s="1133"/>
      <c r="F238" s="1133"/>
      <c r="I238" s="1141"/>
    </row>
    <row r="239" spans="1:9" ht="14.4">
      <c r="A239" s="291"/>
      <c r="B239" s="291"/>
      <c r="D239" s="1246" t="s">
        <v>373</v>
      </c>
      <c r="E239" s="1246"/>
      <c r="F239" s="1246"/>
      <c r="I239" s="1141"/>
    </row>
    <row r="240" spans="1:9" ht="14.4">
      <c r="A240" s="291"/>
      <c r="B240" s="291"/>
      <c r="D240" s="1246"/>
      <c r="E240" s="1246"/>
      <c r="F240" s="1246"/>
      <c r="I240" s="1141"/>
    </row>
    <row r="241" spans="1:9" ht="14.4">
      <c r="A241" s="291"/>
      <c r="B241" s="291"/>
      <c r="D241" s="1246"/>
      <c r="E241" s="1246"/>
      <c r="F241" s="1246"/>
      <c r="I241" s="1141"/>
    </row>
    <row r="242" spans="1:9" ht="14.4">
      <c r="A242" s="291"/>
      <c r="B242" s="291"/>
      <c r="D242" s="1246"/>
      <c r="E242" s="1246"/>
      <c r="F242" s="1246"/>
      <c r="I242" s="1141"/>
    </row>
    <row r="243" spans="1:9" ht="14.4">
      <c r="A243" s="291"/>
      <c r="B243" s="291"/>
      <c r="D243" s="1246"/>
      <c r="E243" s="1246"/>
      <c r="F243" s="1246"/>
      <c r="I243" s="1141"/>
    </row>
    <row r="244" spans="1:9" ht="14.4">
      <c r="A244" s="291"/>
      <c r="B244" s="291"/>
      <c r="D244" s="1132"/>
      <c r="E244" s="1132"/>
      <c r="F244" s="1132"/>
      <c r="I244" s="1141"/>
    </row>
    <row r="245" spans="1:9" ht="14.4">
      <c r="A245" s="291"/>
      <c r="B245" s="292" t="s">
        <v>309</v>
      </c>
      <c r="D245" s="1246" t="s">
        <v>374</v>
      </c>
      <c r="E245" s="1246"/>
      <c r="F245" s="1246"/>
      <c r="I245" s="1141"/>
    </row>
    <row r="246" spans="1:9" ht="14.4">
      <c r="A246" s="291"/>
      <c r="B246" s="291"/>
      <c r="D246" s="1246"/>
      <c r="E246" s="1246"/>
      <c r="F246" s="1246"/>
      <c r="I246" s="1141"/>
    </row>
    <row r="247" spans="1:9" ht="14.4">
      <c r="A247" s="291"/>
      <c r="B247" s="291"/>
      <c r="D247" s="1246"/>
      <c r="E247" s="1246"/>
      <c r="F247" s="1246"/>
      <c r="I247" s="1141"/>
    </row>
    <row r="248" spans="1:9" ht="14.4">
      <c r="A248" s="291"/>
      <c r="B248" s="291"/>
      <c r="E248" s="767" t="s">
        <v>375</v>
      </c>
      <c r="I248" s="1141"/>
    </row>
    <row r="249" spans="1:9" ht="14.4">
      <c r="A249" s="291"/>
      <c r="B249" s="291"/>
      <c r="D249" s="1132"/>
      <c r="E249" s="1132"/>
      <c r="F249" s="1132"/>
      <c r="I249" s="1141"/>
    </row>
    <row r="250" spans="1:9" ht="14.4" customHeight="1">
      <c r="A250" s="291"/>
      <c r="B250" s="292" t="s">
        <v>314</v>
      </c>
      <c r="D250" s="1246" t="s">
        <v>376</v>
      </c>
      <c r="E250" s="1246"/>
      <c r="F250" s="1246"/>
      <c r="I250" s="1141"/>
    </row>
    <row r="251" spans="1:9" ht="14.4">
      <c r="A251" s="291"/>
      <c r="B251" s="291"/>
      <c r="D251" s="1246"/>
      <c r="E251" s="1246"/>
      <c r="F251" s="1246"/>
      <c r="I251" s="1141"/>
    </row>
    <row r="252" spans="1:9" ht="14.4">
      <c r="A252" s="291"/>
      <c r="B252" s="291"/>
      <c r="D252" s="1246"/>
      <c r="E252" s="1246"/>
      <c r="F252" s="1246"/>
      <c r="I252" s="1141"/>
    </row>
    <row r="253" spans="1:9" ht="14.4">
      <c r="A253" s="291"/>
      <c r="B253" s="291"/>
      <c r="D253" s="1246"/>
      <c r="E253" s="1246"/>
      <c r="F253" s="1246"/>
      <c r="I253" s="1141"/>
    </row>
    <row r="254" spans="1:9" ht="14.4">
      <c r="A254" s="291"/>
      <c r="B254" s="291"/>
      <c r="D254" s="1246"/>
      <c r="E254" s="1246"/>
      <c r="F254" s="1246"/>
      <c r="I254" s="1141"/>
    </row>
    <row r="255" spans="1:9" ht="14.4">
      <c r="A255" s="291"/>
      <c r="B255" s="291"/>
      <c r="D255" s="1133"/>
      <c r="E255" s="1133"/>
      <c r="F255" s="1133"/>
      <c r="I255" s="1141"/>
    </row>
    <row r="256" spans="1:9" ht="14.4">
      <c r="A256" s="291"/>
      <c r="B256" s="292" t="s">
        <v>309</v>
      </c>
      <c r="D256" s="1135" t="s">
        <v>377</v>
      </c>
      <c r="E256" s="1133"/>
      <c r="F256" s="1133"/>
      <c r="I256" s="1141"/>
    </row>
    <row r="257" spans="1:9" ht="14.4">
      <c r="A257" s="291"/>
      <c r="B257" s="291"/>
      <c r="E257" s="767" t="s">
        <v>378</v>
      </c>
      <c r="I257" s="1141"/>
    </row>
    <row r="258" spans="1:9">
      <c r="D258" s="1132"/>
      <c r="E258" s="1132"/>
      <c r="F258" s="1132"/>
      <c r="I258" s="1141"/>
    </row>
    <row r="259" spans="1:9" ht="14.4">
      <c r="A259" s="291"/>
      <c r="B259" s="292" t="s">
        <v>309</v>
      </c>
      <c r="D259" s="1246" t="s">
        <v>379</v>
      </c>
      <c r="E259" s="1246"/>
      <c r="F259" s="1246"/>
      <c r="I259" s="1141"/>
    </row>
    <row r="260" spans="1:9" ht="14.4">
      <c r="A260" s="291"/>
      <c r="B260" s="291"/>
      <c r="D260" s="1246"/>
      <c r="E260" s="1246"/>
      <c r="F260" s="1246"/>
      <c r="I260" s="1141"/>
    </row>
    <row r="261" spans="1:9">
      <c r="D261" s="297"/>
      <c r="I261" s="1141"/>
    </row>
    <row r="262" spans="1:9">
      <c r="A262" s="1249" t="s">
        <v>380</v>
      </c>
      <c r="B262" s="1249"/>
      <c r="C262" s="1249"/>
      <c r="D262" s="1249"/>
      <c r="E262" s="1249"/>
      <c r="F262" s="1249"/>
      <c r="G262" s="1249"/>
      <c r="H262" s="759"/>
      <c r="I262" s="869"/>
    </row>
    <row r="263" spans="1:9">
      <c r="D263" s="297"/>
      <c r="I263" s="1141"/>
    </row>
    <row r="264" spans="1:9">
      <c r="C264" s="293"/>
      <c r="D264" s="1254" t="s">
        <v>381</v>
      </c>
      <c r="E264" s="1254"/>
      <c r="F264" s="1254"/>
      <c r="I264" s="1141"/>
    </row>
    <row r="265" spans="1:9">
      <c r="A265" s="1144"/>
      <c r="B265" s="1144"/>
      <c r="C265" s="1144"/>
      <c r="D265" s="1132"/>
      <c r="E265" s="1132"/>
      <c r="F265" s="1132"/>
      <c r="I265" s="1141"/>
    </row>
    <row r="266" spans="1:9">
      <c r="A266" s="290"/>
      <c r="B266" s="290"/>
      <c r="C266" s="290"/>
      <c r="D266" s="1254" t="s">
        <v>382</v>
      </c>
      <c r="E266" s="1254"/>
      <c r="F266" s="1254"/>
      <c r="I266" s="1141"/>
    </row>
    <row r="267" spans="1:9" ht="14.4" customHeight="1">
      <c r="A267" s="291"/>
      <c r="B267" s="292" t="s">
        <v>309</v>
      </c>
      <c r="D267" s="1246" t="s">
        <v>383</v>
      </c>
      <c r="E267" s="1246"/>
      <c r="F267" s="1246"/>
      <c r="I267" s="1141"/>
    </row>
    <row r="268" spans="1:9">
      <c r="D268" s="1246"/>
      <c r="E268" s="1246"/>
      <c r="F268" s="1246"/>
      <c r="I268" s="1141"/>
    </row>
    <row r="269" spans="1:9">
      <c r="E269" s="767" t="s">
        <v>384</v>
      </c>
      <c r="I269" s="1141"/>
    </row>
    <row r="270" spans="1:9">
      <c r="D270" s="1132"/>
      <c r="E270" s="1132"/>
      <c r="F270" s="1132"/>
      <c r="I270" s="1141"/>
    </row>
    <row r="271" spans="1:9" ht="14.4" customHeight="1">
      <c r="A271" s="291"/>
      <c r="B271" s="292" t="s">
        <v>314</v>
      </c>
      <c r="D271" s="1246" t="s">
        <v>385</v>
      </c>
      <c r="E271" s="1246"/>
      <c r="F271" s="1246"/>
      <c r="I271" s="1141"/>
    </row>
    <row r="272" spans="1:9">
      <c r="D272" s="1246"/>
      <c r="E272" s="1246"/>
      <c r="F272" s="1246"/>
      <c r="I272" s="1141"/>
    </row>
    <row r="273" spans="1:9">
      <c r="D273" s="1246"/>
      <c r="E273" s="1246"/>
      <c r="F273" s="1246"/>
      <c r="I273" s="1141"/>
    </row>
    <row r="274" spans="1:9">
      <c r="D274" s="1246"/>
      <c r="E274" s="1246"/>
      <c r="F274" s="1246"/>
      <c r="I274" s="1141"/>
    </row>
    <row r="275" spans="1:9">
      <c r="D275" s="1246"/>
      <c r="E275" s="1246"/>
      <c r="F275" s="1246"/>
      <c r="I275" s="1141"/>
    </row>
    <row r="276" spans="1:9">
      <c r="D276" s="1246"/>
      <c r="E276" s="1246"/>
      <c r="F276" s="1246"/>
      <c r="I276" s="1141"/>
    </row>
    <row r="277" spans="1:9">
      <c r="D277" s="1132"/>
      <c r="E277" s="1132"/>
      <c r="F277" s="1132"/>
      <c r="I277" s="1141"/>
    </row>
    <row r="278" spans="1:9" ht="14.4">
      <c r="A278" s="291"/>
      <c r="B278" s="292" t="s">
        <v>314</v>
      </c>
      <c r="D278" s="1246" t="s">
        <v>386</v>
      </c>
      <c r="E278" s="1246"/>
      <c r="F278" s="1246"/>
      <c r="I278" s="1141"/>
    </row>
    <row r="279" spans="1:9">
      <c r="D279" s="1246"/>
      <c r="E279" s="1246"/>
      <c r="F279" s="1246"/>
      <c r="I279" s="1141"/>
    </row>
    <row r="280" spans="1:9">
      <c r="D280" s="1246"/>
      <c r="E280" s="1246"/>
      <c r="F280" s="1246"/>
      <c r="I280" s="1141"/>
    </row>
    <row r="281" spans="1:9">
      <c r="D281" s="298"/>
      <c r="E281" s="1132"/>
      <c r="F281" s="1132"/>
      <c r="I281" s="1141"/>
    </row>
    <row r="282" spans="1:9">
      <c r="A282" s="1249" t="s">
        <v>387</v>
      </c>
      <c r="B282" s="1249"/>
      <c r="C282" s="1249"/>
      <c r="D282" s="1249"/>
      <c r="E282" s="1249"/>
      <c r="F282" s="1249"/>
      <c r="G282" s="1249"/>
      <c r="H282" s="759"/>
      <c r="I282" s="869"/>
    </row>
    <row r="283" spans="1:9">
      <c r="D283" s="298"/>
      <c r="E283" s="1132"/>
      <c r="F283" s="1132"/>
      <c r="I283" s="1141"/>
    </row>
    <row r="284" spans="1:9">
      <c r="C284" s="1144"/>
      <c r="D284" s="1248" t="s">
        <v>388</v>
      </c>
      <c r="E284" s="1248"/>
      <c r="F284" s="1248"/>
      <c r="I284" s="1141"/>
    </row>
    <row r="285" spans="1:9">
      <c r="C285" s="1144"/>
      <c r="D285" s="1248"/>
      <c r="E285" s="1248"/>
      <c r="F285" s="1248"/>
      <c r="I285" s="1141"/>
    </row>
    <row r="286" spans="1:9">
      <c r="A286" s="290"/>
      <c r="B286" s="290"/>
      <c r="C286" s="290"/>
      <c r="D286" s="232"/>
      <c r="I286" s="1141"/>
    </row>
    <row r="287" spans="1:9">
      <c r="C287" s="290"/>
      <c r="D287" s="1254" t="s">
        <v>389</v>
      </c>
      <c r="E287" s="1254"/>
      <c r="F287" s="1254"/>
      <c r="I287" s="1141"/>
    </row>
    <row r="288" spans="1:9" ht="15.75" customHeight="1">
      <c r="A288" s="291"/>
      <c r="B288" s="291"/>
      <c r="D288" s="1261" t="s">
        <v>390</v>
      </c>
      <c r="E288" s="1261"/>
      <c r="F288" s="1261"/>
      <c r="I288" s="1141"/>
    </row>
    <row r="289" spans="1:9">
      <c r="E289" s="1132"/>
      <c r="F289" s="1132"/>
      <c r="I289" s="1141"/>
    </row>
    <row r="290" spans="1:9" ht="14.4">
      <c r="A290" s="291"/>
      <c r="B290" s="292" t="s">
        <v>314</v>
      </c>
      <c r="D290" s="1246" t="s">
        <v>391</v>
      </c>
      <c r="E290" s="1246"/>
      <c r="F290" s="1246"/>
      <c r="I290" s="1141"/>
    </row>
    <row r="291" spans="1:9" ht="14.4">
      <c r="A291" s="291"/>
      <c r="B291" s="291"/>
      <c r="D291" s="1246"/>
      <c r="E291" s="1246"/>
      <c r="F291" s="1246"/>
      <c r="I291" s="1141"/>
    </row>
    <row r="292" spans="1:9">
      <c r="D292" s="1132"/>
      <c r="E292" s="1132"/>
      <c r="F292" s="1132"/>
      <c r="I292" s="1141"/>
    </row>
    <row r="293" spans="1:9" ht="14.4">
      <c r="A293" s="291"/>
      <c r="B293" s="292" t="s">
        <v>314</v>
      </c>
      <c r="D293" s="1246" t="s">
        <v>392</v>
      </c>
      <c r="E293" s="1246"/>
      <c r="F293" s="1246"/>
      <c r="I293" s="1141"/>
    </row>
    <row r="294" spans="1:9" ht="14.4">
      <c r="A294" s="291"/>
      <c r="B294" s="291"/>
      <c r="D294" s="1246"/>
      <c r="E294" s="1246"/>
      <c r="F294" s="1246"/>
      <c r="I294" s="1141"/>
    </row>
    <row r="295" spans="1:9" ht="14.4">
      <c r="A295" s="291"/>
      <c r="B295" s="291"/>
      <c r="D295" s="1246"/>
      <c r="E295" s="1246"/>
      <c r="F295" s="1246"/>
      <c r="I295" s="1141"/>
    </row>
    <row r="296" spans="1:9">
      <c r="D296" s="1132"/>
      <c r="E296" s="1132"/>
      <c r="F296" s="1132"/>
      <c r="I296" s="1141"/>
    </row>
    <row r="297" spans="1:9" ht="14.4">
      <c r="A297" s="291"/>
      <c r="B297" s="292" t="s">
        <v>314</v>
      </c>
      <c r="D297" s="1246" t="s">
        <v>393</v>
      </c>
      <c r="E297" s="1246"/>
      <c r="F297" s="1246"/>
      <c r="I297" s="1141"/>
    </row>
    <row r="298" spans="1:9" ht="14.4">
      <c r="A298" s="291"/>
      <c r="B298" s="291"/>
      <c r="D298" s="1246"/>
      <c r="E298" s="1246"/>
      <c r="F298" s="1246"/>
      <c r="I298" s="1141"/>
    </row>
    <row r="299" spans="1:9">
      <c r="A299" s="1141"/>
      <c r="B299" s="1141"/>
      <c r="E299" s="1132"/>
      <c r="F299" s="1132"/>
      <c r="I299" s="1141"/>
    </row>
    <row r="300" spans="1:9">
      <c r="A300" s="1249" t="s">
        <v>394</v>
      </c>
      <c r="B300" s="1249"/>
      <c r="C300" s="1249"/>
      <c r="D300" s="1249"/>
      <c r="E300" s="1249"/>
      <c r="F300" s="1249"/>
      <c r="G300" s="1249"/>
      <c r="H300" s="759"/>
      <c r="I300" s="869"/>
    </row>
    <row r="301" spans="1:9">
      <c r="A301" s="1141"/>
      <c r="B301" s="1141"/>
      <c r="D301" s="1132"/>
      <c r="E301" s="1132"/>
      <c r="F301" s="1132"/>
      <c r="I301" s="1141"/>
    </row>
    <row r="302" spans="1:9">
      <c r="C302" s="1141"/>
      <c r="D302" s="1254" t="s">
        <v>395</v>
      </c>
      <c r="E302" s="1254"/>
      <c r="F302" s="1254"/>
      <c r="I302" s="1141"/>
    </row>
    <row r="303" spans="1:9">
      <c r="C303" s="1141"/>
      <c r="D303" s="1247" t="s">
        <v>396</v>
      </c>
      <c r="E303" s="1247"/>
      <c r="F303" s="1247"/>
      <c r="I303" s="1141"/>
    </row>
    <row r="304" spans="1:9">
      <c r="C304" s="1141"/>
      <c r="D304" s="299"/>
      <c r="I304" s="1141"/>
    </row>
    <row r="305" spans="1:9">
      <c r="B305" s="292" t="s">
        <v>314</v>
      </c>
      <c r="D305" s="1247" t="s">
        <v>397</v>
      </c>
      <c r="E305" s="1247"/>
      <c r="F305" s="1247"/>
      <c r="I305" s="1141"/>
    </row>
    <row r="306" spans="1:9" ht="14.4">
      <c r="A306" s="291"/>
      <c r="B306" s="291"/>
      <c r="D306" s="300"/>
      <c r="E306" s="301"/>
      <c r="F306" s="301"/>
      <c r="I306" s="1141"/>
    </row>
    <row r="307" spans="1:9" ht="13.65" customHeight="1">
      <c r="B307" s="292" t="s">
        <v>314</v>
      </c>
      <c r="D307" s="1256" t="s">
        <v>398</v>
      </c>
      <c r="E307" s="1256"/>
      <c r="F307" s="1256"/>
      <c r="I307" s="1141"/>
    </row>
    <row r="308" spans="1:9" ht="14.4">
      <c r="A308" s="291"/>
      <c r="B308" s="291"/>
      <c r="D308" s="1256"/>
      <c r="E308" s="1256"/>
      <c r="F308" s="1256"/>
      <c r="I308" s="1141"/>
    </row>
    <row r="309" spans="1:9" ht="14.4">
      <c r="A309" s="291"/>
      <c r="B309" s="291"/>
      <c r="D309" s="1256"/>
      <c r="E309" s="1256"/>
      <c r="F309" s="1256"/>
      <c r="I309" s="1141"/>
    </row>
    <row r="310" spans="1:9" ht="14.4">
      <c r="A310" s="291"/>
      <c r="B310" s="291"/>
      <c r="D310" s="1256"/>
      <c r="E310" s="1256"/>
      <c r="F310" s="1256"/>
      <c r="I310" s="1141"/>
    </row>
    <row r="311" spans="1:9" ht="14.4">
      <c r="A311" s="291"/>
      <c r="B311" s="291"/>
      <c r="D311" s="1256"/>
      <c r="E311" s="1256"/>
      <c r="F311" s="1256"/>
      <c r="I311" s="1141"/>
    </row>
    <row r="312" spans="1:9" ht="14.4">
      <c r="A312" s="291"/>
      <c r="B312" s="291"/>
      <c r="D312" s="300"/>
      <c r="E312" s="301"/>
      <c r="F312" s="301"/>
      <c r="I312" s="1141"/>
    </row>
    <row r="313" spans="1:9" ht="13.65" customHeight="1">
      <c r="B313" s="292" t="s">
        <v>314</v>
      </c>
      <c r="D313" s="1256" t="s">
        <v>399</v>
      </c>
      <c r="E313" s="1256"/>
      <c r="F313" s="1256"/>
      <c r="I313" s="1141"/>
    </row>
    <row r="314" spans="1:9">
      <c r="D314" s="1256"/>
      <c r="E314" s="1256"/>
      <c r="F314" s="1256"/>
      <c r="I314" s="1141"/>
    </row>
    <row r="315" spans="1:9" ht="14.4">
      <c r="A315" s="291"/>
      <c r="B315" s="291"/>
      <c r="D315" s="300"/>
      <c r="E315" s="301"/>
      <c r="F315" s="301"/>
      <c r="I315" s="1141"/>
    </row>
    <row r="316" spans="1:9">
      <c r="B316" s="292" t="s">
        <v>314</v>
      </c>
      <c r="D316" s="1247" t="s">
        <v>400</v>
      </c>
      <c r="E316" s="1247"/>
      <c r="F316" s="1247"/>
      <c r="I316" s="1141"/>
    </row>
    <row r="317" spans="1:9">
      <c r="E317" s="1132"/>
      <c r="F317" s="1132"/>
      <c r="I317" s="1141"/>
    </row>
    <row r="318" spans="1:9" ht="14.4">
      <c r="A318" s="291"/>
      <c r="B318" s="292" t="s">
        <v>314</v>
      </c>
      <c r="D318" s="1246" t="s">
        <v>401</v>
      </c>
      <c r="E318" s="1246"/>
      <c r="F318" s="1246"/>
      <c r="I318" s="1141"/>
    </row>
    <row r="319" spans="1:9" ht="14.4">
      <c r="A319" s="291"/>
      <c r="B319" s="291"/>
      <c r="D319" s="1246"/>
      <c r="E319" s="1246"/>
      <c r="F319" s="1246"/>
      <c r="I319" s="1141"/>
    </row>
    <row r="320" spans="1:9" ht="14.4">
      <c r="A320" s="291"/>
      <c r="B320" s="291"/>
      <c r="D320" s="1246"/>
      <c r="E320" s="1246"/>
      <c r="F320" s="1246"/>
      <c r="I320" s="1141"/>
    </row>
    <row r="321" spans="1:9" ht="14.4">
      <c r="A321" s="291"/>
      <c r="B321" s="291"/>
      <c r="D321" s="1246"/>
      <c r="E321" s="1246"/>
      <c r="F321" s="1246"/>
      <c r="I321" s="1141"/>
    </row>
    <row r="322" spans="1:9" ht="14.4">
      <c r="A322" s="291"/>
      <c r="B322" s="291"/>
      <c r="D322" s="1246"/>
      <c r="E322" s="1246"/>
      <c r="F322" s="1246"/>
      <c r="I322" s="1141"/>
    </row>
    <row r="323" spans="1:9" ht="14.4">
      <c r="A323" s="291"/>
      <c r="B323" s="291"/>
      <c r="D323" s="1246"/>
      <c r="E323" s="1246"/>
      <c r="F323" s="1246"/>
      <c r="I323" s="1141"/>
    </row>
    <row r="324" spans="1:9" ht="14.4">
      <c r="A324" s="291"/>
      <c r="B324" s="291"/>
      <c r="D324" s="1246"/>
      <c r="E324" s="1246"/>
      <c r="F324" s="1246"/>
      <c r="I324" s="1141"/>
    </row>
    <row r="325" spans="1:9" ht="14.4">
      <c r="A325" s="291"/>
      <c r="B325" s="291"/>
      <c r="D325" s="1246"/>
      <c r="E325" s="1246"/>
      <c r="F325" s="1246"/>
      <c r="I325" s="1141"/>
    </row>
    <row r="326" spans="1:9" ht="14.4">
      <c r="A326" s="291"/>
      <c r="B326" s="291"/>
      <c r="D326" s="1246"/>
      <c r="E326" s="1246"/>
      <c r="F326" s="1246"/>
      <c r="I326" s="1141"/>
    </row>
    <row r="327" spans="1:9" ht="14.4">
      <c r="A327" s="291"/>
      <c r="B327" s="291"/>
      <c r="D327" s="1246"/>
      <c r="E327" s="1246"/>
      <c r="F327" s="1246"/>
      <c r="I327" s="1141"/>
    </row>
    <row r="328" spans="1:9" ht="14.4">
      <c r="A328" s="291"/>
      <c r="B328" s="291"/>
      <c r="D328" s="1246"/>
      <c r="E328" s="1246"/>
      <c r="F328" s="1246"/>
      <c r="I328" s="1141"/>
    </row>
    <row r="329" spans="1:9" ht="14.4">
      <c r="A329" s="291"/>
      <c r="B329" s="291"/>
      <c r="D329" s="1246"/>
      <c r="E329" s="1246"/>
      <c r="F329" s="1246"/>
      <c r="I329" s="1141"/>
    </row>
    <row r="330" spans="1:9" ht="14.4">
      <c r="A330" s="291"/>
      <c r="B330" s="291"/>
      <c r="D330" s="1246"/>
      <c r="E330" s="1246"/>
      <c r="F330" s="1246"/>
      <c r="I330" s="1141"/>
    </row>
    <row r="331" spans="1:9" ht="14.4">
      <c r="A331" s="291"/>
      <c r="B331" s="291"/>
      <c r="D331" s="1246"/>
      <c r="E331" s="1246"/>
      <c r="F331" s="1246"/>
      <c r="I331" s="1141"/>
    </row>
    <row r="332" spans="1:9" ht="14.4">
      <c r="A332" s="291"/>
      <c r="B332" s="291"/>
      <c r="D332" s="1246"/>
      <c r="E332" s="1246"/>
      <c r="F332" s="1246"/>
      <c r="I332" s="1141"/>
    </row>
    <row r="333" spans="1:9">
      <c r="D333" s="1132"/>
      <c r="E333" s="1132"/>
      <c r="F333" s="1132"/>
      <c r="I333" s="1141"/>
    </row>
    <row r="334" spans="1:9" ht="14.4">
      <c r="A334" s="291"/>
      <c r="B334" s="292" t="s">
        <v>314</v>
      </c>
      <c r="D334" s="1246" t="s">
        <v>402</v>
      </c>
      <c r="E334" s="1246"/>
      <c r="F334" s="1246"/>
      <c r="I334" s="1141"/>
    </row>
    <row r="335" spans="1:9">
      <c r="D335" s="1246"/>
      <c r="E335" s="1246"/>
      <c r="F335" s="1246"/>
      <c r="I335" s="1141"/>
    </row>
    <row r="336" spans="1:9">
      <c r="D336" s="1246"/>
      <c r="E336" s="1246"/>
      <c r="F336" s="1246"/>
      <c r="I336" s="1141"/>
    </row>
    <row r="337" spans="1:9">
      <c r="D337" s="1246"/>
      <c r="E337" s="1246"/>
      <c r="F337" s="1246"/>
      <c r="I337" s="1141"/>
    </row>
    <row r="338" spans="1:9">
      <c r="D338" s="1246"/>
      <c r="E338" s="1246"/>
      <c r="F338" s="1246"/>
      <c r="I338" s="1141"/>
    </row>
    <row r="339" spans="1:9">
      <c r="D339" s="1246"/>
      <c r="E339" s="1246"/>
      <c r="F339" s="1246"/>
      <c r="I339" s="1141"/>
    </row>
    <row r="340" spans="1:9">
      <c r="D340" s="1246"/>
      <c r="E340" s="1246"/>
      <c r="F340" s="1246"/>
      <c r="I340" s="1141"/>
    </row>
    <row r="341" spans="1:9">
      <c r="D341" s="1246"/>
      <c r="E341" s="1246"/>
      <c r="F341" s="1246"/>
      <c r="I341" s="1141"/>
    </row>
    <row r="342" spans="1:9">
      <c r="D342" s="1246"/>
      <c r="E342" s="1246"/>
      <c r="F342" s="1246"/>
      <c r="I342" s="1141"/>
    </row>
    <row r="343" spans="1:9">
      <c r="D343" s="1132"/>
      <c r="E343" s="1132"/>
      <c r="F343" s="1132"/>
      <c r="I343" s="1141"/>
    </row>
    <row r="344" spans="1:9" ht="14.25" customHeight="1">
      <c r="A344" s="291"/>
      <c r="B344" s="292" t="s">
        <v>314</v>
      </c>
      <c r="D344" s="1246" t="s">
        <v>403</v>
      </c>
      <c r="E344" s="1246"/>
      <c r="F344" s="1246"/>
      <c r="I344" s="1141"/>
    </row>
    <row r="345" spans="1:9">
      <c r="D345" s="1246"/>
      <c r="E345" s="1246"/>
      <c r="F345" s="1246"/>
      <c r="I345" s="1141"/>
    </row>
    <row r="346" spans="1:9">
      <c r="D346" s="1246"/>
      <c r="E346" s="1246"/>
      <c r="F346" s="1246"/>
      <c r="I346" s="1141"/>
    </row>
    <row r="347" spans="1:9">
      <c r="D347" s="1246"/>
      <c r="E347" s="1246"/>
      <c r="F347" s="1246"/>
      <c r="I347" s="1141"/>
    </row>
    <row r="348" spans="1:9">
      <c r="D348" s="216" t="s">
        <v>354</v>
      </c>
      <c r="E348" s="1139"/>
      <c r="F348" s="1139"/>
      <c r="I348" s="1141"/>
    </row>
    <row r="349" spans="1:9">
      <c r="D349" s="1139"/>
      <c r="E349" s="55" t="s">
        <v>404</v>
      </c>
      <c r="G349" s="55"/>
      <c r="I349" s="1141"/>
    </row>
    <row r="350" spans="1:9">
      <c r="D350" s="1133"/>
      <c r="E350" s="1133"/>
      <c r="F350" s="1133"/>
      <c r="I350" s="1141"/>
    </row>
    <row r="351" spans="1:9" ht="13.8" thickBot="1">
      <c r="A351" s="754"/>
      <c r="B351" s="754"/>
      <c r="C351" s="754"/>
      <c r="D351" s="1259" t="s">
        <v>405</v>
      </c>
      <c r="E351" s="1259"/>
      <c r="F351" s="1259"/>
      <c r="G351" s="758"/>
      <c r="H351" s="758"/>
      <c r="I351" s="872"/>
    </row>
    <row r="352" spans="1:9" ht="13.8" thickTop="1">
      <c r="D352" s="1257" t="s">
        <v>406</v>
      </c>
      <c r="E352" s="1257"/>
      <c r="F352" s="1257"/>
      <c r="I352" s="1141"/>
    </row>
    <row r="353" spans="1:9">
      <c r="D353" s="1132"/>
      <c r="E353" s="1132"/>
      <c r="F353" s="1132"/>
      <c r="I353" s="1141"/>
    </row>
    <row r="354" spans="1:9">
      <c r="A354" s="286"/>
      <c r="B354" s="286"/>
      <c r="C354" s="286"/>
      <c r="D354" s="1140"/>
      <c r="E354" s="1140"/>
      <c r="F354" s="1132"/>
      <c r="I354" s="1141"/>
    </row>
    <row r="355" spans="1:9" ht="14.4">
      <c r="A355" s="291"/>
      <c r="B355" s="292" t="s">
        <v>314</v>
      </c>
      <c r="C355" s="294"/>
      <c r="D355" s="1247" t="s">
        <v>407</v>
      </c>
      <c r="E355" s="1247"/>
      <c r="F355" s="1247"/>
      <c r="I355" s="1141"/>
    </row>
    <row r="356" spans="1:9" ht="12.75" customHeight="1">
      <c r="D356" s="1117"/>
      <c r="E356" s="55" t="s">
        <v>408</v>
      </c>
      <c r="F356" s="1117"/>
      <c r="I356" s="1141"/>
    </row>
    <row r="357" spans="1:9">
      <c r="D357" s="1246" t="s">
        <v>409</v>
      </c>
      <c r="E357" s="1246"/>
      <c r="F357" s="1246"/>
      <c r="I357" s="1141"/>
    </row>
    <row r="358" spans="1:9">
      <c r="D358" s="1246"/>
      <c r="E358" s="1246"/>
      <c r="F358" s="1246"/>
      <c r="I358" s="1141"/>
    </row>
    <row r="359" spans="1:9">
      <c r="D359" s="1246"/>
      <c r="E359" s="1246"/>
      <c r="F359" s="1246"/>
      <c r="I359" s="1141"/>
    </row>
    <row r="360" spans="1:9" ht="14.4">
      <c r="A360" s="291"/>
      <c r="B360" s="292" t="s">
        <v>314</v>
      </c>
      <c r="C360" s="286"/>
      <c r="D360" s="1258" t="s">
        <v>410</v>
      </c>
      <c r="E360" s="1258"/>
      <c r="F360" s="1258"/>
      <c r="I360" s="289"/>
    </row>
    <row r="361" spans="1:9">
      <c r="A361" s="286"/>
      <c r="B361" s="286"/>
      <c r="C361" s="286"/>
      <c r="D361" s="1140"/>
      <c r="E361" s="1140"/>
      <c r="F361" s="1132"/>
      <c r="I361" s="1141"/>
    </row>
    <row r="362" spans="1:9">
      <c r="A362" s="286"/>
      <c r="B362" s="292" t="s">
        <v>314</v>
      </c>
      <c r="C362" s="286"/>
      <c r="D362" s="1226" t="s">
        <v>411</v>
      </c>
      <c r="E362" s="1226"/>
      <c r="F362" s="1226"/>
      <c r="I362" s="1141"/>
    </row>
    <row r="363" spans="1:9">
      <c r="A363" s="286"/>
      <c r="B363" s="286"/>
      <c r="C363" s="286"/>
      <c r="D363" s="1226"/>
      <c r="E363" s="1226"/>
      <c r="F363" s="1226"/>
      <c r="I363" s="1141"/>
    </row>
    <row r="364" spans="1:9">
      <c r="A364" s="286"/>
      <c r="B364" s="286"/>
      <c r="C364" s="286"/>
      <c r="D364" s="1226"/>
      <c r="E364" s="1226"/>
      <c r="F364" s="1226"/>
      <c r="I364" s="1141"/>
    </row>
    <row r="365" spans="1:9">
      <c r="A365" s="286"/>
      <c r="B365" s="286"/>
      <c r="C365" s="286"/>
      <c r="D365" s="1226"/>
      <c r="E365" s="1226"/>
      <c r="F365" s="1226"/>
      <c r="I365" s="1141"/>
    </row>
    <row r="366" spans="1:9">
      <c r="A366" s="286"/>
      <c r="B366" s="286"/>
      <c r="C366" s="286"/>
      <c r="D366" s="1226"/>
      <c r="E366" s="1226"/>
      <c r="F366" s="1226"/>
      <c r="I366" s="1141"/>
    </row>
    <row r="367" spans="1:9">
      <c r="A367" s="286"/>
      <c r="B367" s="286"/>
      <c r="C367" s="286"/>
      <c r="D367" s="1226"/>
      <c r="E367" s="1226"/>
      <c r="F367" s="1226"/>
      <c r="I367" s="1141"/>
    </row>
    <row r="368" spans="1:9">
      <c r="A368" s="286"/>
      <c r="B368" s="286"/>
      <c r="C368" s="286"/>
      <c r="D368" s="1226"/>
      <c r="E368" s="1226"/>
      <c r="F368" s="1226"/>
      <c r="I368" s="1141"/>
    </row>
    <row r="369" spans="1:9">
      <c r="A369" s="286"/>
      <c r="B369" s="286"/>
      <c r="C369" s="286"/>
      <c r="D369" s="1226"/>
      <c r="E369" s="1226"/>
      <c r="F369" s="1226"/>
      <c r="I369" s="1141"/>
    </row>
    <row r="370" spans="1:9">
      <c r="A370" s="286"/>
      <c r="B370" s="286"/>
      <c r="C370" s="286"/>
      <c r="D370" s="1226"/>
      <c r="E370" s="1226"/>
      <c r="F370" s="1226"/>
      <c r="I370" s="1141"/>
    </row>
    <row r="371" spans="1:9">
      <c r="A371" s="286"/>
      <c r="B371" s="286"/>
      <c r="C371" s="286"/>
      <c r="D371" s="1226"/>
      <c r="E371" s="1226"/>
      <c r="F371" s="1226"/>
      <c r="I371" s="1141"/>
    </row>
    <row r="372" spans="1:9">
      <c r="A372" s="286"/>
      <c r="B372" s="286"/>
      <c r="C372" s="286"/>
      <c r="D372" s="1226"/>
      <c r="E372" s="1226"/>
      <c r="F372" s="1226"/>
      <c r="I372" s="1141"/>
    </row>
    <row r="373" spans="1:9">
      <c r="A373" s="286"/>
      <c r="B373" s="286"/>
      <c r="C373" s="286"/>
      <c r="D373" s="1226"/>
      <c r="E373" s="1226"/>
      <c r="F373" s="1226"/>
      <c r="I373" s="1141"/>
    </row>
    <row r="374" spans="1:9">
      <c r="A374" s="286"/>
      <c r="B374" s="286"/>
      <c r="C374" s="286"/>
      <c r="D374" s="1118"/>
      <c r="E374" s="1118"/>
      <c r="F374" s="1118"/>
      <c r="I374" s="1141"/>
    </row>
    <row r="375" spans="1:9" ht="12.6" customHeight="1">
      <c r="A375" s="286"/>
      <c r="B375" s="292" t="s">
        <v>314</v>
      </c>
      <c r="C375" s="286"/>
      <c r="D375" s="1243" t="s">
        <v>412</v>
      </c>
      <c r="E375" s="1243"/>
      <c r="F375" s="1243"/>
      <c r="I375" s="1141"/>
    </row>
    <row r="376" spans="1:9">
      <c r="A376" s="286"/>
      <c r="B376" s="286"/>
      <c r="C376" s="286"/>
      <c r="D376" s="1243"/>
      <c r="E376" s="1243"/>
      <c r="F376" s="1243"/>
      <c r="I376" s="1141"/>
    </row>
    <row r="377" spans="1:9">
      <c r="A377" s="286"/>
      <c r="B377" s="286"/>
      <c r="C377" s="286"/>
      <c r="D377" s="1243"/>
      <c r="E377" s="1243"/>
      <c r="F377" s="1243"/>
      <c r="I377" s="1141"/>
    </row>
    <row r="378" spans="1:9">
      <c r="A378" s="286"/>
      <c r="B378" s="286"/>
      <c r="C378" s="286"/>
      <c r="D378" s="1243"/>
      <c r="E378" s="1243"/>
      <c r="F378" s="1243"/>
      <c r="I378" s="1141"/>
    </row>
    <row r="379" spans="1:9">
      <c r="A379" s="286"/>
      <c r="B379" s="286"/>
      <c r="C379" s="286"/>
      <c r="D379" s="1121"/>
      <c r="E379" s="1121"/>
      <c r="F379" s="1121"/>
      <c r="I379" s="1141"/>
    </row>
    <row r="380" spans="1:9">
      <c r="A380" s="286"/>
      <c r="B380" s="292" t="s">
        <v>314</v>
      </c>
      <c r="C380" s="286"/>
      <c r="D380" s="230" t="s">
        <v>413</v>
      </c>
      <c r="E380" s="1121"/>
      <c r="F380" s="1121"/>
      <c r="I380" s="1141"/>
    </row>
    <row r="381" spans="1:9">
      <c r="A381" s="286"/>
      <c r="B381" s="286"/>
      <c r="C381" s="286"/>
      <c r="D381" s="230" t="s">
        <v>414</v>
      </c>
      <c r="E381" s="1121"/>
      <c r="F381" s="1121"/>
      <c r="I381" s="1141"/>
    </row>
    <row r="382" spans="1:9">
      <c r="A382" s="286"/>
      <c r="B382" s="286"/>
      <c r="C382" s="286"/>
      <c r="D382" s="230" t="s">
        <v>415</v>
      </c>
      <c r="E382" s="1121"/>
      <c r="F382" s="1121"/>
      <c r="I382" s="1141"/>
    </row>
    <row r="383" spans="1:9">
      <c r="A383" s="286"/>
      <c r="B383" s="286"/>
      <c r="C383" s="286"/>
      <c r="D383" s="230" t="s">
        <v>416</v>
      </c>
      <c r="E383" s="1121"/>
      <c r="F383" s="1121"/>
      <c r="I383" s="1141"/>
    </row>
    <row r="384" spans="1:9">
      <c r="A384" s="286"/>
      <c r="B384" s="286"/>
      <c r="C384" s="286"/>
      <c r="D384" s="230" t="s">
        <v>417</v>
      </c>
      <c r="E384" s="1121"/>
      <c r="F384" s="1121"/>
      <c r="I384" s="1141"/>
    </row>
    <row r="385" spans="1:9">
      <c r="A385" s="286"/>
      <c r="B385" s="286"/>
      <c r="C385" s="286"/>
      <c r="D385" s="230" t="s">
        <v>418</v>
      </c>
      <c r="E385" s="1121"/>
      <c r="F385" s="1121"/>
      <c r="I385" s="1141"/>
    </row>
    <row r="386" spans="1:9">
      <c r="A386" s="286"/>
      <c r="B386" s="286"/>
      <c r="C386" s="286"/>
      <c r="E386" s="1140"/>
      <c r="F386" s="1132"/>
      <c r="I386" s="1141"/>
    </row>
    <row r="387" spans="1:9" ht="14.4">
      <c r="A387" s="291"/>
      <c r="B387" s="292" t="s">
        <v>314</v>
      </c>
      <c r="C387" s="286"/>
      <c r="D387" s="1226" t="s">
        <v>419</v>
      </c>
      <c r="E387" s="1226"/>
      <c r="F387" s="1226"/>
      <c r="I387" s="1141"/>
    </row>
    <row r="388" spans="1:9">
      <c r="A388" s="286"/>
      <c r="B388" s="286"/>
      <c r="C388" s="286"/>
      <c r="D388" s="1226"/>
      <c r="E388" s="1226"/>
      <c r="F388" s="1226"/>
      <c r="I388" s="1141"/>
    </row>
    <row r="389" spans="1:9">
      <c r="A389" s="286"/>
      <c r="B389" s="286"/>
      <c r="C389" s="286"/>
      <c r="D389" s="1226"/>
      <c r="E389" s="1226"/>
      <c r="F389" s="1226"/>
      <c r="I389" s="1141"/>
    </row>
    <row r="390" spans="1:9">
      <c r="A390" s="286"/>
      <c r="B390" s="286"/>
      <c r="C390" s="286"/>
      <c r="D390" s="1226"/>
      <c r="E390" s="1226"/>
      <c r="F390" s="1226"/>
      <c r="I390" s="1141"/>
    </row>
    <row r="391" spans="1:9">
      <c r="A391" s="286"/>
      <c r="B391" s="286"/>
      <c r="C391" s="286"/>
      <c r="D391" s="1140"/>
      <c r="E391" s="1140"/>
      <c r="F391" s="1132"/>
      <c r="I391" s="1141"/>
    </row>
    <row r="392" spans="1:9">
      <c r="A392" s="286"/>
      <c r="B392" s="286"/>
      <c r="C392" s="286"/>
      <c r="D392" s="1226" t="s">
        <v>420</v>
      </c>
      <c r="E392" s="1226"/>
      <c r="F392" s="1226"/>
      <c r="I392" s="1141"/>
    </row>
    <row r="393" spans="1:9">
      <c r="A393" s="286"/>
      <c r="B393" s="286"/>
      <c r="C393" s="286"/>
      <c r="D393" s="1226"/>
      <c r="E393" s="1226"/>
      <c r="F393" s="1226"/>
      <c r="I393" s="1141"/>
    </row>
    <row r="394" spans="1:9">
      <c r="A394" s="286"/>
      <c r="B394" s="286"/>
      <c r="C394" s="286"/>
      <c r="D394" s="1226"/>
      <c r="E394" s="1226"/>
      <c r="F394" s="1226"/>
      <c r="I394" s="1141"/>
    </row>
    <row r="395" spans="1:9">
      <c r="A395" s="286"/>
      <c r="B395" s="286"/>
      <c r="C395" s="286"/>
      <c r="D395" s="1226"/>
      <c r="E395" s="1226"/>
      <c r="F395" s="1226"/>
      <c r="I395" s="1141"/>
    </row>
    <row r="396" spans="1:9" ht="18" customHeight="1">
      <c r="A396" s="286"/>
      <c r="B396" s="286"/>
      <c r="C396" s="286"/>
      <c r="D396" s="1226"/>
      <c r="E396" s="1226"/>
      <c r="F396" s="1226"/>
      <c r="I396" s="1141"/>
    </row>
    <row r="397" spans="1:9">
      <c r="A397" s="286"/>
      <c r="B397" s="286"/>
      <c r="C397" s="286"/>
      <c r="D397" s="1226"/>
      <c r="E397" s="1226"/>
      <c r="F397" s="1226"/>
      <c r="I397" s="1141"/>
    </row>
    <row r="398" spans="1:9">
      <c r="A398" s="286"/>
      <c r="B398" s="286"/>
      <c r="C398" s="286"/>
      <c r="D398" s="1226"/>
      <c r="E398" s="1226"/>
      <c r="F398" s="1226"/>
      <c r="I398" s="1141"/>
    </row>
    <row r="399" spans="1:9">
      <c r="A399" s="286"/>
      <c r="B399" s="286"/>
      <c r="C399" s="286"/>
      <c r="D399" s="1226"/>
      <c r="E399" s="1226"/>
      <c r="F399" s="1226"/>
      <c r="I399" s="1141"/>
    </row>
    <row r="400" spans="1:9" ht="8.25" customHeight="1">
      <c r="A400" s="286"/>
      <c r="B400" s="286"/>
      <c r="C400" s="286"/>
      <c r="D400" s="1226"/>
      <c r="E400" s="1226"/>
      <c r="F400" s="1226"/>
      <c r="I400" s="1141"/>
    </row>
    <row r="401" spans="1:9" ht="13.65" customHeight="1">
      <c r="A401" s="286"/>
      <c r="B401" s="286"/>
      <c r="C401" s="286"/>
      <c r="D401" s="1226" t="s">
        <v>421</v>
      </c>
      <c r="E401" s="1226"/>
      <c r="F401" s="1226"/>
      <c r="I401" s="1141"/>
    </row>
    <row r="402" spans="1:9">
      <c r="A402" s="286"/>
      <c r="B402" s="286"/>
      <c r="C402" s="286"/>
      <c r="D402" s="1226"/>
      <c r="E402" s="1226"/>
      <c r="F402" s="1226"/>
      <c r="I402" s="1141"/>
    </row>
    <row r="403" spans="1:9">
      <c r="A403" s="286"/>
      <c r="B403" s="286"/>
      <c r="C403" s="286"/>
      <c r="D403" s="1226"/>
      <c r="E403" s="1226"/>
      <c r="F403" s="1226"/>
      <c r="I403" s="1141"/>
    </row>
    <row r="404" spans="1:9">
      <c r="A404" s="286"/>
      <c r="B404" s="286"/>
      <c r="C404" s="286"/>
      <c r="D404" s="1226"/>
      <c r="E404" s="1226"/>
      <c r="F404" s="1226"/>
      <c r="I404" s="1141"/>
    </row>
    <row r="405" spans="1:9">
      <c r="A405" s="286"/>
      <c r="B405" s="286"/>
      <c r="C405" s="286"/>
      <c r="D405" s="1226"/>
      <c r="E405" s="1226"/>
      <c r="F405" s="1226"/>
      <c r="I405" s="1141"/>
    </row>
    <row r="406" spans="1:9">
      <c r="A406" s="286"/>
      <c r="B406" s="286"/>
      <c r="C406" s="286"/>
      <c r="D406" s="1226"/>
      <c r="E406" s="1226"/>
      <c r="F406" s="1226"/>
      <c r="I406" s="1141"/>
    </row>
    <row r="407" spans="1:9">
      <c r="A407" s="286"/>
      <c r="B407" s="286"/>
      <c r="C407" s="286"/>
      <c r="D407" s="1226"/>
      <c r="E407" s="1226"/>
      <c r="F407" s="1226"/>
      <c r="I407" s="1141"/>
    </row>
    <row r="408" spans="1:9">
      <c r="A408" s="286"/>
      <c r="B408" s="286"/>
      <c r="C408" s="286"/>
      <c r="D408" s="1226"/>
      <c r="E408" s="1226"/>
      <c r="F408" s="1226"/>
      <c r="I408" s="1141"/>
    </row>
    <row r="409" spans="1:9">
      <c r="A409" s="286"/>
      <c r="B409" s="286"/>
      <c r="C409" s="286"/>
      <c r="D409" s="1226"/>
      <c r="E409" s="1226"/>
      <c r="F409" s="1226"/>
      <c r="I409" s="1141"/>
    </row>
    <row r="410" spans="1:9">
      <c r="A410" s="286"/>
      <c r="B410" s="286"/>
      <c r="C410" s="286"/>
      <c r="D410" s="1226"/>
      <c r="E410" s="1226"/>
      <c r="F410" s="1226"/>
      <c r="I410" s="1141"/>
    </row>
    <row r="411" spans="1:9">
      <c r="A411" s="286"/>
      <c r="B411" s="286"/>
      <c r="C411" s="286"/>
      <c r="D411" s="1226"/>
      <c r="E411" s="1226"/>
      <c r="F411" s="1226"/>
      <c r="I411" s="1141"/>
    </row>
    <row r="412" spans="1:9">
      <c r="A412" s="286"/>
      <c r="B412" s="286"/>
      <c r="C412" s="286"/>
      <c r="D412" s="1226"/>
      <c r="E412" s="1226"/>
      <c r="F412" s="1226"/>
      <c r="I412" s="1141"/>
    </row>
    <row r="413" spans="1:9">
      <c r="A413" s="286"/>
      <c r="B413" s="286"/>
      <c r="C413" s="302"/>
      <c r="D413" s="1226"/>
      <c r="E413" s="1226"/>
      <c r="F413" s="1226"/>
      <c r="I413" s="1141"/>
    </row>
    <row r="414" spans="1:9">
      <c r="A414" s="286"/>
      <c r="B414" s="286"/>
      <c r="C414" s="302"/>
      <c r="D414" s="1226"/>
      <c r="E414" s="1226"/>
      <c r="F414" s="1226"/>
      <c r="I414" s="1141"/>
    </row>
    <row r="415" spans="1:9">
      <c r="A415" s="286"/>
      <c r="B415" s="286"/>
      <c r="C415" s="286"/>
      <c r="D415" s="1226"/>
      <c r="E415" s="1226"/>
      <c r="F415" s="1226"/>
      <c r="I415" s="1141"/>
    </row>
    <row r="416" spans="1:9">
      <c r="A416" s="286"/>
      <c r="B416" s="286"/>
      <c r="C416" s="302"/>
      <c r="D416" s="1226"/>
      <c r="E416" s="1226"/>
      <c r="F416" s="1226"/>
      <c r="I416" s="1141"/>
    </row>
    <row r="417" spans="1:9">
      <c r="A417" s="286"/>
      <c r="B417" s="286"/>
      <c r="C417" s="302"/>
      <c r="D417" s="1226"/>
      <c r="E417" s="1226"/>
      <c r="F417" s="1226"/>
      <c r="I417" s="1141"/>
    </row>
    <row r="418" spans="1:9">
      <c r="A418" s="286"/>
      <c r="B418" s="286"/>
      <c r="C418" s="302"/>
      <c r="D418" s="1226"/>
      <c r="E418" s="1226"/>
      <c r="F418" s="1226"/>
      <c r="I418" s="1141"/>
    </row>
    <row r="419" spans="1:9">
      <c r="A419" s="286"/>
      <c r="B419" s="286"/>
      <c r="C419" s="286"/>
      <c r="D419" s="1140"/>
      <c r="E419" s="1140"/>
      <c r="F419" s="1132"/>
      <c r="I419" s="1141"/>
    </row>
    <row r="420" spans="1:9">
      <c r="A420" s="286"/>
      <c r="B420" s="292" t="s">
        <v>314</v>
      </c>
      <c r="C420" s="286"/>
      <c r="D420" s="1226" t="s">
        <v>422</v>
      </c>
      <c r="E420" s="1226"/>
      <c r="F420" s="1226"/>
      <c r="I420" s="1141"/>
    </row>
    <row r="421" spans="1:9">
      <c r="A421" s="286"/>
      <c r="B421" s="286"/>
      <c r="C421" s="286"/>
      <c r="D421" s="1226"/>
      <c r="E421" s="1226"/>
      <c r="F421" s="1226"/>
      <c r="I421" s="1141"/>
    </row>
    <row r="422" spans="1:9">
      <c r="A422" s="286"/>
      <c r="B422" s="286"/>
      <c r="C422" s="286"/>
      <c r="D422" s="1118"/>
      <c r="E422" s="1118"/>
      <c r="F422" s="1118"/>
      <c r="I422" s="1141"/>
    </row>
    <row r="423" spans="1:9" ht="14.4" customHeight="1">
      <c r="A423" s="291"/>
      <c r="B423" s="292" t="s">
        <v>314</v>
      </c>
      <c r="D423" s="1226" t="s">
        <v>423</v>
      </c>
      <c r="E423" s="1226"/>
      <c r="F423" s="1226"/>
      <c r="I423" s="1141"/>
    </row>
    <row r="424" spans="1:9" ht="14.4" customHeight="1">
      <c r="A424" s="291"/>
      <c r="D424" s="1226"/>
      <c r="E424" s="1226"/>
      <c r="F424" s="1226"/>
      <c r="I424" s="1141"/>
    </row>
    <row r="425" spans="1:9" ht="14.4" customHeight="1">
      <c r="A425" s="291"/>
      <c r="D425" s="1226"/>
      <c r="E425" s="1226"/>
      <c r="F425" s="1226"/>
      <c r="I425" s="1141"/>
    </row>
    <row r="426" spans="1:9" ht="14.4" customHeight="1">
      <c r="A426" s="291"/>
      <c r="D426" s="1226"/>
      <c r="E426" s="1226"/>
      <c r="F426" s="1226"/>
      <c r="I426" s="1141"/>
    </row>
    <row r="427" spans="1:9" ht="14.4" customHeight="1">
      <c r="A427" s="291"/>
      <c r="D427" s="1226"/>
      <c r="E427" s="1226"/>
      <c r="F427" s="1226"/>
      <c r="I427" s="1141"/>
    </row>
    <row r="428" spans="1:9" ht="14.4" customHeight="1">
      <c r="A428" s="291"/>
      <c r="D428" s="1139"/>
      <c r="E428" s="1139"/>
      <c r="F428" s="1139"/>
      <c r="I428" s="1141"/>
    </row>
    <row r="429" spans="1:9" ht="13.65" customHeight="1">
      <c r="A429" s="291"/>
      <c r="B429" s="292" t="s">
        <v>314</v>
      </c>
      <c r="C429" s="286"/>
      <c r="D429" s="1226" t="s">
        <v>424</v>
      </c>
      <c r="E429" s="1226"/>
      <c r="F429" s="1226"/>
      <c r="I429" s="1141"/>
    </row>
    <row r="430" spans="1:9" ht="14.4">
      <c r="A430" s="303"/>
      <c r="B430" s="303"/>
      <c r="C430" s="286"/>
      <c r="D430" s="1226"/>
      <c r="E430" s="1226"/>
      <c r="F430" s="1226"/>
      <c r="I430" s="1141"/>
    </row>
    <row r="431" spans="1:9" ht="14.4">
      <c r="A431" s="303"/>
      <c r="B431" s="303"/>
      <c r="C431" s="286"/>
      <c r="D431" s="1226"/>
      <c r="E431" s="1226"/>
      <c r="F431" s="1226"/>
      <c r="I431" s="1141"/>
    </row>
    <row r="432" spans="1:9" ht="14.4">
      <c r="A432" s="303"/>
      <c r="B432" s="303"/>
      <c r="C432" s="286"/>
      <c r="D432" s="1226"/>
      <c r="E432" s="1226"/>
      <c r="F432" s="1226"/>
      <c r="I432" s="1141"/>
    </row>
    <row r="433" spans="1:9" ht="15.75" customHeight="1">
      <c r="A433" s="303"/>
      <c r="B433" s="303"/>
      <c r="C433" s="286"/>
      <c r="D433" s="1260" t="s">
        <v>425</v>
      </c>
      <c r="E433" s="1226"/>
      <c r="F433" s="1226"/>
      <c r="I433" s="1141"/>
    </row>
    <row r="434" spans="1:9">
      <c r="D434" s="1132"/>
      <c r="E434" s="1132"/>
      <c r="F434" s="1132"/>
      <c r="I434" s="1141"/>
    </row>
    <row r="435" spans="1:9" ht="14.4">
      <c r="A435" s="291"/>
      <c r="B435" s="292" t="s">
        <v>314</v>
      </c>
      <c r="C435" s="294"/>
      <c r="D435" s="1246" t="s">
        <v>426</v>
      </c>
      <c r="E435" s="1246"/>
      <c r="F435" s="1246"/>
      <c r="I435" s="1141"/>
    </row>
    <row r="436" spans="1:9" ht="14.4">
      <c r="A436" s="291"/>
      <c r="B436" s="291"/>
      <c r="D436" s="1246"/>
      <c r="E436" s="1246"/>
      <c r="F436" s="1246"/>
      <c r="I436" s="1141"/>
    </row>
    <row r="437" spans="1:9">
      <c r="D437" s="1246"/>
      <c r="E437" s="1246"/>
      <c r="F437" s="1246"/>
      <c r="I437" s="1141"/>
    </row>
    <row r="438" spans="1:9">
      <c r="D438" s="1246"/>
      <c r="E438" s="1246"/>
      <c r="F438" s="1246"/>
      <c r="I438" s="1141"/>
    </row>
    <row r="439" spans="1:9">
      <c r="D439" s="1246"/>
      <c r="E439" s="1246"/>
      <c r="F439" s="1246"/>
      <c r="I439" s="1141"/>
    </row>
    <row r="440" spans="1:9">
      <c r="D440" s="1246"/>
      <c r="E440" s="1246"/>
      <c r="F440" s="1246"/>
      <c r="I440" s="1141"/>
    </row>
    <row r="441" spans="1:9">
      <c r="D441" s="1246"/>
      <c r="E441" s="1246"/>
      <c r="F441" s="1246"/>
      <c r="I441" s="1141"/>
    </row>
    <row r="442" spans="1:9">
      <c r="D442" s="1246"/>
      <c r="E442" s="1246"/>
      <c r="F442" s="1246"/>
      <c r="I442" s="1141"/>
    </row>
    <row r="443" spans="1:9">
      <c r="D443" s="1246"/>
      <c r="E443" s="1246"/>
      <c r="F443" s="1246"/>
      <c r="I443" s="1141"/>
    </row>
    <row r="444" spans="1:9">
      <c r="D444" s="1246"/>
      <c r="E444" s="1246"/>
      <c r="F444" s="1246"/>
      <c r="I444" s="1141"/>
    </row>
    <row r="445" spans="1:9">
      <c r="D445" s="1246"/>
      <c r="E445" s="1246"/>
      <c r="F445" s="1246"/>
      <c r="I445" s="1141"/>
    </row>
    <row r="446" spans="1:9">
      <c r="D446" s="1246"/>
      <c r="E446" s="1246"/>
      <c r="F446" s="1246"/>
      <c r="I446" s="1141"/>
    </row>
    <row r="447" spans="1:9">
      <c r="D447" s="1246"/>
      <c r="E447" s="1246"/>
      <c r="F447" s="1246"/>
      <c r="I447" s="1141"/>
    </row>
    <row r="448" spans="1:9">
      <c r="A448" s="230"/>
      <c r="B448" s="230"/>
      <c r="C448" s="230"/>
      <c r="D448" s="1246"/>
      <c r="E448" s="1246"/>
      <c r="F448" s="1246"/>
      <c r="I448" s="1141"/>
    </row>
    <row r="449" spans="1:9">
      <c r="A449" s="230"/>
      <c r="B449" s="230"/>
      <c r="C449" s="230"/>
      <c r="D449" s="1246"/>
      <c r="E449" s="1246"/>
      <c r="F449" s="1246"/>
      <c r="I449" s="1141"/>
    </row>
    <row r="450" spans="1:9">
      <c r="A450" s="230"/>
      <c r="B450" s="230"/>
      <c r="C450" s="230"/>
      <c r="D450" s="1246"/>
      <c r="E450" s="1246"/>
      <c r="F450" s="1246"/>
      <c r="I450" s="1141"/>
    </row>
    <row r="451" spans="1:9">
      <c r="A451" s="230"/>
      <c r="B451" s="230"/>
      <c r="C451" s="230"/>
      <c r="D451" s="1246"/>
      <c r="E451" s="1246"/>
      <c r="F451" s="1246"/>
      <c r="I451" s="1141"/>
    </row>
    <row r="452" spans="1:9">
      <c r="A452" s="230"/>
      <c r="B452" s="230"/>
      <c r="C452" s="230"/>
      <c r="D452" s="1246"/>
      <c r="E452" s="1246"/>
      <c r="F452" s="1246"/>
      <c r="I452" s="1141"/>
    </row>
    <row r="453" spans="1:9">
      <c r="A453" s="230"/>
      <c r="B453" s="230"/>
      <c r="C453" s="230"/>
      <c r="D453" s="1246"/>
      <c r="E453" s="1246"/>
      <c r="F453" s="1246"/>
      <c r="I453" s="1141"/>
    </row>
    <row r="454" spans="1:9">
      <c r="A454" s="230"/>
      <c r="B454" s="230"/>
      <c r="C454" s="230"/>
      <c r="D454" s="1246"/>
      <c r="E454" s="1246"/>
      <c r="F454" s="1246"/>
      <c r="I454" s="1141"/>
    </row>
    <row r="455" spans="1:9">
      <c r="A455" s="230"/>
      <c r="B455" s="230"/>
      <c r="C455" s="230"/>
      <c r="D455" s="1246"/>
      <c r="E455" s="1246"/>
      <c r="F455" s="1246"/>
      <c r="I455" s="1141"/>
    </row>
    <row r="456" spans="1:9">
      <c r="A456" s="230"/>
      <c r="B456" s="230"/>
      <c r="C456" s="230"/>
      <c r="D456" s="1246"/>
      <c r="E456" s="1246"/>
      <c r="F456" s="1246"/>
      <c r="I456" s="1141"/>
    </row>
    <row r="457" spans="1:9">
      <c r="A457" s="230"/>
      <c r="B457" s="230"/>
      <c r="C457" s="230"/>
      <c r="D457" s="1246"/>
      <c r="E457" s="1246"/>
      <c r="F457" s="1246"/>
      <c r="I457" s="1141"/>
    </row>
    <row r="458" spans="1:9">
      <c r="A458" s="230"/>
      <c r="B458" s="230"/>
      <c r="C458" s="230"/>
      <c r="D458" s="1246"/>
      <c r="E458" s="1246"/>
      <c r="F458" s="1246"/>
      <c r="I458" s="1141"/>
    </row>
    <row r="459" spans="1:9">
      <c r="A459" s="230"/>
      <c r="B459" s="230"/>
      <c r="C459" s="230"/>
      <c r="D459" s="1246"/>
      <c r="E459" s="1246"/>
      <c r="F459" s="1246"/>
      <c r="I459" s="1141"/>
    </row>
    <row r="460" spans="1:9">
      <c r="A460" s="230"/>
      <c r="B460" s="230"/>
      <c r="C460" s="230"/>
      <c r="D460" s="1246"/>
      <c r="E460" s="1246"/>
      <c r="F460" s="1246"/>
      <c r="I460" s="1141"/>
    </row>
    <row r="461" spans="1:9">
      <c r="A461" s="230"/>
      <c r="B461" s="230"/>
      <c r="C461" s="230"/>
      <c r="D461" s="1246"/>
      <c r="E461" s="1246"/>
      <c r="F461" s="1246"/>
      <c r="I461" s="1141"/>
    </row>
    <row r="462" spans="1:9">
      <c r="A462" s="230"/>
      <c r="B462" s="230"/>
      <c r="C462" s="230"/>
      <c r="D462" s="1246"/>
      <c r="E462" s="1246"/>
      <c r="F462" s="1246"/>
      <c r="I462" s="1141"/>
    </row>
    <row r="463" spans="1:9">
      <c r="A463" s="230"/>
      <c r="B463" s="230"/>
      <c r="C463" s="230"/>
      <c r="D463" s="1246"/>
      <c r="E463" s="1246"/>
      <c r="F463" s="1246"/>
      <c r="I463" s="1141"/>
    </row>
    <row r="464" spans="1:9">
      <c r="D464" s="1246"/>
      <c r="E464" s="1246"/>
      <c r="F464" s="1246"/>
      <c r="I464" s="1141"/>
    </row>
    <row r="465" spans="1:9" ht="40.65" customHeight="1">
      <c r="D465" s="1246"/>
      <c r="E465" s="1246"/>
      <c r="F465" s="1246"/>
      <c r="I465" s="1141"/>
    </row>
    <row r="466" spans="1:9">
      <c r="D466" s="1132"/>
      <c r="E466" s="1132"/>
      <c r="F466" s="1132"/>
      <c r="I466" s="1141"/>
    </row>
    <row r="467" spans="1:9" ht="14.4">
      <c r="A467" s="291"/>
      <c r="B467" s="292" t="s">
        <v>314</v>
      </c>
      <c r="C467" s="294"/>
      <c r="D467" s="1246" t="s">
        <v>427</v>
      </c>
      <c r="E467" s="1246"/>
      <c r="F467" s="1246"/>
      <c r="I467" s="1141"/>
    </row>
    <row r="468" spans="1:9">
      <c r="D468" s="1246"/>
      <c r="E468" s="1246"/>
      <c r="F468" s="1246"/>
      <c r="I468" s="1141"/>
    </row>
    <row r="469" spans="1:9">
      <c r="D469" s="1246"/>
      <c r="E469" s="1246"/>
      <c r="F469" s="1246"/>
      <c r="I469" s="1141"/>
    </row>
    <row r="470" spans="1:9">
      <c r="D470" s="1133"/>
      <c r="E470" s="1133"/>
      <c r="F470" s="1133"/>
      <c r="I470" s="1141"/>
    </row>
    <row r="471" spans="1:9" ht="14.4">
      <c r="B471" s="292" t="s">
        <v>314</v>
      </c>
      <c r="C471" s="291"/>
      <c r="D471" s="1246" t="s">
        <v>428</v>
      </c>
      <c r="E471" s="1246"/>
      <c r="F471" s="1246"/>
      <c r="I471" s="1141"/>
    </row>
    <row r="472" spans="1:9">
      <c r="D472" s="1246"/>
      <c r="E472" s="1246"/>
      <c r="F472" s="1246"/>
      <c r="I472" s="1141"/>
    </row>
    <row r="473" spans="1:9">
      <c r="D473" s="1132"/>
      <c r="E473" s="1132"/>
      <c r="F473" s="1132"/>
      <c r="I473" s="1141"/>
    </row>
    <row r="474" spans="1:9" ht="14.4">
      <c r="B474" s="292" t="s">
        <v>314</v>
      </c>
      <c r="C474" s="291"/>
      <c r="D474" s="1246" t="s">
        <v>429</v>
      </c>
      <c r="E474" s="1246"/>
      <c r="F474" s="1246"/>
      <c r="I474" s="1141"/>
    </row>
    <row r="475" spans="1:9">
      <c r="D475" s="1246"/>
      <c r="E475" s="1246"/>
      <c r="F475" s="1246"/>
      <c r="I475" s="1141"/>
    </row>
    <row r="476" spans="1:9">
      <c r="D476" s="1246"/>
      <c r="E476" s="1246"/>
      <c r="F476" s="1246"/>
      <c r="I476" s="1141"/>
    </row>
    <row r="477" spans="1:9">
      <c r="D477" s="1246"/>
      <c r="E477" s="1246"/>
      <c r="F477" s="1246"/>
      <c r="I477" s="1141"/>
    </row>
    <row r="478" spans="1:9">
      <c r="B478" s="292" t="s">
        <v>314</v>
      </c>
      <c r="D478" s="1246"/>
      <c r="E478" s="1246"/>
      <c r="F478" s="1246"/>
      <c r="I478" s="1141"/>
    </row>
    <row r="479" spans="1:9">
      <c r="A479" s="230"/>
      <c r="B479" s="230"/>
      <c r="C479" s="230"/>
      <c r="D479" s="1246"/>
      <c r="E479" s="1246"/>
      <c r="F479" s="1246"/>
      <c r="I479" s="1141"/>
    </row>
    <row r="480" spans="1:9">
      <c r="A480" s="230"/>
      <c r="C480" s="230"/>
      <c r="D480" s="1246"/>
      <c r="E480" s="1246"/>
      <c r="F480" s="1246"/>
      <c r="I480" s="1141"/>
    </row>
    <row r="481" spans="1:9">
      <c r="A481" s="230"/>
      <c r="B481" s="292" t="s">
        <v>314</v>
      </c>
      <c r="C481" s="230"/>
      <c r="D481" s="1246"/>
      <c r="E481" s="1246"/>
      <c r="F481" s="1246"/>
      <c r="I481" s="1141"/>
    </row>
    <row r="482" spans="1:9">
      <c r="A482" s="230"/>
      <c r="B482" s="230"/>
      <c r="C482" s="230"/>
      <c r="D482" s="1246"/>
      <c r="E482" s="1246"/>
      <c r="F482" s="1246"/>
      <c r="I482" s="1141"/>
    </row>
    <row r="483" spans="1:9">
      <c r="A483" s="230"/>
      <c r="C483" s="230"/>
      <c r="D483" s="1246"/>
      <c r="E483" s="1246"/>
      <c r="F483" s="1246"/>
      <c r="I483" s="1141"/>
    </row>
    <row r="484" spans="1:9">
      <c r="A484" s="230"/>
      <c r="C484" s="230"/>
      <c r="D484" s="1246"/>
      <c r="E484" s="1246"/>
      <c r="F484" s="1246"/>
      <c r="I484" s="1141"/>
    </row>
    <row r="485" spans="1:9">
      <c r="A485" s="230"/>
      <c r="C485" s="230"/>
      <c r="D485" s="1246"/>
      <c r="E485" s="1246"/>
      <c r="F485" s="1246"/>
      <c r="I485" s="1141"/>
    </row>
    <row r="486" spans="1:9">
      <c r="A486" s="230"/>
      <c r="B486" s="292" t="s">
        <v>314</v>
      </c>
      <c r="C486" s="230"/>
      <c r="D486" s="1246"/>
      <c r="E486" s="1246"/>
      <c r="F486" s="1246"/>
      <c r="I486" s="1141"/>
    </row>
    <row r="487" spans="1:9">
      <c r="A487" s="230"/>
      <c r="C487" s="230"/>
      <c r="D487" s="1246"/>
      <c r="E487" s="1246"/>
      <c r="F487" s="1246"/>
      <c r="I487" s="1141"/>
    </row>
    <row r="488" spans="1:9">
      <c r="A488" s="230"/>
      <c r="B488" s="292" t="s">
        <v>314</v>
      </c>
      <c r="C488" s="230"/>
      <c r="D488" s="1246" t="s">
        <v>430</v>
      </c>
      <c r="E488" s="1246"/>
      <c r="F488" s="1246"/>
      <c r="I488" s="1141"/>
    </row>
    <row r="489" spans="1:9">
      <c r="A489" s="230"/>
      <c r="B489" s="230"/>
      <c r="C489" s="230"/>
      <c r="D489" s="1246"/>
      <c r="E489" s="1246"/>
      <c r="F489" s="1246"/>
      <c r="I489" s="1141"/>
    </row>
    <row r="490" spans="1:9">
      <c r="A490" s="230"/>
      <c r="B490" s="230"/>
      <c r="C490" s="230"/>
      <c r="D490" s="1246"/>
      <c r="E490" s="1246"/>
      <c r="F490" s="1246"/>
      <c r="I490" s="1141"/>
    </row>
    <row r="491" spans="1:9">
      <c r="A491" s="230"/>
      <c r="B491" s="230"/>
      <c r="C491" s="230"/>
      <c r="D491" s="1246"/>
      <c r="E491" s="1246"/>
      <c r="F491" s="1246"/>
      <c r="I491" s="1141"/>
    </row>
    <row r="492" spans="1:9">
      <c r="D492" s="1246"/>
      <c r="E492" s="1246"/>
      <c r="F492" s="1246"/>
      <c r="I492" s="1141"/>
    </row>
    <row r="493" spans="1:9">
      <c r="D493" s="1132"/>
      <c r="E493" s="1132"/>
      <c r="F493" s="1132"/>
      <c r="I493" s="1141"/>
    </row>
    <row r="494" spans="1:9">
      <c r="B494" s="292" t="s">
        <v>314</v>
      </c>
      <c r="D494" s="1247" t="s">
        <v>431</v>
      </c>
      <c r="E494" s="1247"/>
      <c r="F494" s="1247"/>
      <c r="I494" s="1141"/>
    </row>
    <row r="495" spans="1:9">
      <c r="A495" s="1132"/>
      <c r="B495" s="1132"/>
      <c r="I495" s="1141"/>
    </row>
    <row r="496" spans="1:9">
      <c r="A496" s="1249" t="s">
        <v>432</v>
      </c>
      <c r="B496" s="1249"/>
      <c r="C496" s="1249"/>
      <c r="D496" s="1249"/>
      <c r="E496" s="1249"/>
      <c r="F496" s="1249"/>
      <c r="G496" s="1249"/>
      <c r="H496" s="759"/>
      <c r="I496" s="869"/>
    </row>
    <row r="497" spans="1:9">
      <c r="A497" s="1132"/>
      <c r="B497" s="1132"/>
      <c r="I497" s="1141"/>
    </row>
    <row r="498" spans="1:9">
      <c r="D498" s="1262" t="s">
        <v>433</v>
      </c>
      <c r="E498" s="1262"/>
      <c r="F498" s="1262"/>
      <c r="I498" s="1141"/>
    </row>
    <row r="499" spans="1:9" ht="14.4">
      <c r="A499" s="291"/>
      <c r="B499" s="291"/>
      <c r="D499" s="1258" t="s">
        <v>434</v>
      </c>
      <c r="E499" s="1258"/>
      <c r="F499" s="1258"/>
      <c r="I499" s="1141"/>
    </row>
    <row r="500" spans="1:9" ht="14.4">
      <c r="A500" s="291"/>
      <c r="B500" s="291"/>
      <c r="D500" s="1140"/>
      <c r="I500" s="1141"/>
    </row>
    <row r="501" spans="1:9" ht="14.4">
      <c r="A501" s="291"/>
      <c r="B501" s="292" t="s">
        <v>314</v>
      </c>
      <c r="D501" s="1226" t="s">
        <v>435</v>
      </c>
      <c r="E501" s="1226"/>
      <c r="F501" s="1226"/>
      <c r="I501" s="1141"/>
    </row>
    <row r="502" spans="1:9" ht="14.4">
      <c r="A502" s="291"/>
      <c r="B502" s="291"/>
      <c r="D502" s="1226"/>
      <c r="E502" s="1226"/>
      <c r="F502" s="1226"/>
      <c r="I502" s="1141"/>
    </row>
    <row r="503" spans="1:9" ht="14.4">
      <c r="A503" s="291"/>
      <c r="B503" s="291"/>
      <c r="D503" s="1132"/>
      <c r="I503" s="1141"/>
    </row>
    <row r="504" spans="1:9" ht="12.75" customHeight="1">
      <c r="B504" s="292" t="s">
        <v>314</v>
      </c>
      <c r="D504" s="1250" t="s">
        <v>436</v>
      </c>
      <c r="E504" s="1250"/>
      <c r="F504" s="1250"/>
      <c r="I504" s="1141"/>
    </row>
    <row r="505" spans="1:9" ht="14.4">
      <c r="A505" s="291"/>
      <c r="D505" s="1250"/>
      <c r="E505" s="1250"/>
      <c r="F505" s="1250"/>
      <c r="I505" s="1141"/>
    </row>
    <row r="506" spans="1:9" ht="14.4">
      <c r="A506" s="291"/>
      <c r="B506" s="291"/>
      <c r="D506" s="1250"/>
      <c r="E506" s="1250"/>
      <c r="F506" s="1250"/>
      <c r="I506" s="1141"/>
    </row>
    <row r="507" spans="1:9" ht="14.4">
      <c r="A507" s="291"/>
      <c r="B507" s="291"/>
      <c r="D507" s="1250"/>
      <c r="E507" s="1250"/>
      <c r="F507" s="1250"/>
      <c r="I507" s="1141"/>
    </row>
    <row r="508" spans="1:9" ht="14.4">
      <c r="A508" s="291"/>
      <c r="D508" s="321"/>
      <c r="E508" s="321"/>
      <c r="F508" s="321"/>
      <c r="I508" s="1141"/>
    </row>
    <row r="509" spans="1:9" ht="14.4">
      <c r="A509" s="291"/>
      <c r="B509" s="292" t="s">
        <v>314</v>
      </c>
      <c r="D509" s="1247" t="s">
        <v>437</v>
      </c>
      <c r="E509" s="1247"/>
      <c r="F509" s="1247"/>
      <c r="I509" s="1141"/>
    </row>
    <row r="510" spans="1:9" ht="14.4">
      <c r="A510" s="291"/>
      <c r="B510" s="291"/>
      <c r="D510" s="1132"/>
      <c r="I510" s="1141"/>
    </row>
    <row r="511" spans="1:9" ht="14.4">
      <c r="A511" s="291"/>
      <c r="B511" s="292" t="s">
        <v>314</v>
      </c>
      <c r="D511" s="1246" t="s">
        <v>438</v>
      </c>
      <c r="E511" s="1246"/>
      <c r="F511" s="1246"/>
      <c r="I511" s="1141"/>
    </row>
    <row r="512" spans="1:9" ht="14.4">
      <c r="A512" s="291"/>
      <c r="D512" s="1246"/>
      <c r="E512" s="1246"/>
      <c r="F512" s="1246"/>
      <c r="I512" s="1141"/>
    </row>
    <row r="513" spans="1:9">
      <c r="A513" s="1141"/>
      <c r="B513" s="1141"/>
      <c r="D513" s="1140"/>
      <c r="I513" s="1141"/>
    </row>
    <row r="514" spans="1:9">
      <c r="A514" s="1141"/>
      <c r="B514" s="292" t="s">
        <v>314</v>
      </c>
      <c r="D514" s="1247" t="s">
        <v>439</v>
      </c>
      <c r="E514" s="1247"/>
      <c r="F514" s="1247"/>
      <c r="I514" s="1141"/>
    </row>
    <row r="515" spans="1:9">
      <c r="D515" s="1132"/>
      <c r="E515" s="1132"/>
      <c r="F515" s="1132"/>
      <c r="I515" s="1141"/>
    </row>
    <row r="516" spans="1:9">
      <c r="B516" s="292" t="s">
        <v>314</v>
      </c>
      <c r="D516" s="1246" t="s">
        <v>440</v>
      </c>
      <c r="E516" s="1246"/>
      <c r="F516" s="1246"/>
      <c r="I516" s="1141"/>
    </row>
    <row r="517" spans="1:9">
      <c r="D517" s="1246"/>
      <c r="E517" s="1246"/>
      <c r="F517" s="1246"/>
      <c r="I517" s="1141"/>
    </row>
    <row r="518" spans="1:9">
      <c r="D518" s="1246"/>
      <c r="E518" s="1246"/>
      <c r="F518" s="1246"/>
      <c r="I518" s="1141"/>
    </row>
    <row r="519" spans="1:9">
      <c r="D519" s="1132"/>
      <c r="E519" s="1132"/>
      <c r="F519" s="1132"/>
      <c r="I519" s="1141"/>
    </row>
    <row r="520" spans="1:9" ht="14.4">
      <c r="A520" s="291"/>
      <c r="B520" s="291"/>
      <c r="D520" s="1132"/>
      <c r="I520" s="1141"/>
    </row>
    <row r="521" spans="1:9">
      <c r="A521" s="1249" t="s">
        <v>441</v>
      </c>
      <c r="B521" s="1249"/>
      <c r="C521" s="1249"/>
      <c r="D521" s="1249"/>
      <c r="E521" s="1249"/>
      <c r="F521" s="1249"/>
      <c r="G521" s="1249"/>
      <c r="H521" s="759"/>
      <c r="I521" s="869"/>
    </row>
    <row r="522" spans="1:9" ht="12" customHeight="1">
      <c r="A522" s="291"/>
      <c r="B522" s="291"/>
      <c r="D522" s="1132"/>
      <c r="I522" s="1141"/>
    </row>
    <row r="523" spans="1:9">
      <c r="C523" s="1144"/>
      <c r="D523" s="1254" t="s">
        <v>442</v>
      </c>
      <c r="E523" s="1254"/>
      <c r="F523" s="1254"/>
      <c r="I523" s="1141"/>
    </row>
    <row r="524" spans="1:9">
      <c r="C524" s="1144"/>
      <c r="D524" s="312" t="s">
        <v>443</v>
      </c>
      <c r="E524" s="312"/>
      <c r="F524" s="312"/>
      <c r="I524" s="1141"/>
    </row>
    <row r="525" spans="1:9">
      <c r="C525" s="1144"/>
      <c r="D525" s="312" t="s">
        <v>444</v>
      </c>
      <c r="E525" s="312"/>
      <c r="F525" s="312"/>
      <c r="I525" s="1141"/>
    </row>
    <row r="526" spans="1:9">
      <c r="C526" s="1144"/>
      <c r="D526" s="1137"/>
      <c r="E526" s="1137"/>
      <c r="F526" s="1137"/>
      <c r="I526" s="1141"/>
    </row>
    <row r="527" spans="1:9" ht="13.65" customHeight="1">
      <c r="A527" s="290"/>
      <c r="B527" s="292" t="s">
        <v>309</v>
      </c>
      <c r="C527" s="290"/>
      <c r="D527" s="1226" t="s">
        <v>445</v>
      </c>
      <c r="E527" s="1226"/>
      <c r="F527" s="1226"/>
      <c r="I527" s="1141"/>
    </row>
    <row r="528" spans="1:9">
      <c r="A528" s="290"/>
      <c r="B528" s="290"/>
      <c r="C528" s="290"/>
      <c r="D528" s="1226"/>
      <c r="E528" s="1226"/>
      <c r="F528" s="1226"/>
      <c r="I528" s="1141"/>
    </row>
    <row r="529" spans="1:9">
      <c r="A529" s="290"/>
      <c r="B529" s="290"/>
      <c r="C529" s="290"/>
      <c r="D529" s="1118"/>
      <c r="E529" s="1118"/>
      <c r="F529" s="1118"/>
      <c r="I529" s="289"/>
    </row>
    <row r="530" spans="1:9" ht="12.75" customHeight="1">
      <c r="A530" s="290"/>
      <c r="B530" s="292" t="s">
        <v>309</v>
      </c>
      <c r="D530" s="216" t="s">
        <v>446</v>
      </c>
      <c r="E530" s="1139"/>
      <c r="F530" s="1139"/>
      <c r="I530" s="1141"/>
    </row>
    <row r="531" spans="1:9">
      <c r="A531" s="290"/>
      <c r="B531" s="290"/>
      <c r="C531" s="290"/>
      <c r="D531" s="1139"/>
      <c r="E531" s="55" t="s">
        <v>447</v>
      </c>
      <c r="I531" s="1141"/>
    </row>
    <row r="532" spans="1:9">
      <c r="A532" s="290"/>
      <c r="B532" s="290"/>
      <c r="D532" s="1243" t="s">
        <v>448</v>
      </c>
      <c r="E532" s="1243"/>
      <c r="F532" s="1243"/>
      <c r="I532" s="1141"/>
    </row>
    <row r="533" spans="1:9">
      <c r="A533" s="290"/>
      <c r="B533" s="290"/>
      <c r="D533" s="1243"/>
      <c r="E533" s="1243"/>
      <c r="F533" s="1243"/>
      <c r="I533" s="1141"/>
    </row>
    <row r="534" spans="1:9">
      <c r="A534" s="290"/>
      <c r="B534" s="290"/>
      <c r="C534" s="290"/>
      <c r="D534" s="1243"/>
      <c r="E534" s="1243"/>
      <c r="F534" s="1243"/>
      <c r="I534" s="1141"/>
    </row>
    <row r="535" spans="1:9">
      <c r="A535" s="290"/>
      <c r="B535" s="290"/>
      <c r="C535" s="290"/>
      <c r="D535" s="304"/>
      <c r="F535" s="1132"/>
      <c r="I535" s="1141"/>
    </row>
    <row r="536" spans="1:9" ht="13.35" customHeight="1">
      <c r="A536" s="290"/>
      <c r="B536" s="292" t="s">
        <v>314</v>
      </c>
      <c r="C536" s="290"/>
      <c r="D536" s="1246" t="s">
        <v>449</v>
      </c>
      <c r="E536" s="1246"/>
      <c r="F536" s="1246"/>
      <c r="I536" s="1141"/>
    </row>
    <row r="537" spans="1:9">
      <c r="A537" s="290"/>
      <c r="B537" s="290"/>
      <c r="C537" s="290"/>
      <c r="D537" s="1246"/>
      <c r="E537" s="1246"/>
      <c r="F537" s="1246"/>
      <c r="I537" s="1141"/>
    </row>
    <row r="538" spans="1:9" ht="12" customHeight="1">
      <c r="A538" s="1132"/>
      <c r="B538" s="1132"/>
      <c r="C538" s="294"/>
      <c r="D538" s="1132"/>
      <c r="F538" s="1143"/>
      <c r="I538" s="1141"/>
    </row>
    <row r="539" spans="1:9">
      <c r="A539" s="1249" t="s">
        <v>450</v>
      </c>
      <c r="B539" s="1249"/>
      <c r="C539" s="1249"/>
      <c r="D539" s="1249"/>
      <c r="E539" s="1249"/>
      <c r="F539" s="1249"/>
      <c r="G539" s="1249"/>
      <c r="H539" s="759"/>
      <c r="I539" s="869"/>
    </row>
    <row r="540" spans="1:9">
      <c r="A540" s="1132"/>
      <c r="B540" s="1132"/>
      <c r="C540" s="294"/>
      <c r="F540" s="1143"/>
      <c r="I540" s="1141"/>
    </row>
    <row r="541" spans="1:9">
      <c r="B541" s="1252" t="s">
        <v>348</v>
      </c>
      <c r="C541" s="1252"/>
      <c r="D541" s="1252"/>
      <c r="E541" s="1252"/>
      <c r="F541" s="1252"/>
      <c r="I541" s="1141"/>
    </row>
    <row r="542" spans="1:9">
      <c r="A542" s="1132"/>
      <c r="B542" s="1132"/>
      <c r="C542" s="294"/>
      <c r="D542" s="1132"/>
      <c r="F542" s="1132"/>
      <c r="I542" s="1141"/>
    </row>
    <row r="543" spans="1:9">
      <c r="A543" s="1253" t="s">
        <v>451</v>
      </c>
      <c r="B543" s="1253"/>
      <c r="C543" s="1253"/>
      <c r="D543" s="1253"/>
      <c r="E543" s="1253"/>
      <c r="F543" s="1253"/>
      <c r="G543" s="1253"/>
      <c r="H543" s="759"/>
      <c r="I543" s="869"/>
    </row>
    <row r="544" spans="1:9">
      <c r="A544" s="1132"/>
      <c r="B544" s="1132"/>
      <c r="C544" s="294"/>
      <c r="D544" s="1132"/>
      <c r="F544" s="1132"/>
      <c r="I544" s="1141"/>
    </row>
    <row r="545" spans="1:9">
      <c r="C545" s="294"/>
      <c r="D545" s="1254" t="s">
        <v>452</v>
      </c>
      <c r="E545" s="1254"/>
      <c r="F545" s="1254"/>
      <c r="I545" s="1141"/>
    </row>
    <row r="546" spans="1:9">
      <c r="C546" s="294"/>
      <c r="D546" s="1247" t="s">
        <v>453</v>
      </c>
      <c r="E546" s="1247"/>
      <c r="F546" s="1247"/>
      <c r="I546" s="1141"/>
    </row>
    <row r="547" spans="1:9">
      <c r="C547" s="294"/>
      <c r="D547" s="1132"/>
      <c r="E547" s="1132"/>
      <c r="F547" s="1132"/>
      <c r="I547" s="1141"/>
    </row>
    <row r="548" spans="1:9" ht="13.65" customHeight="1">
      <c r="A548" s="291"/>
      <c r="B548" s="292" t="s">
        <v>309</v>
      </c>
      <c r="C548" s="294"/>
      <c r="D548" s="1247" t="s">
        <v>454</v>
      </c>
      <c r="E548" s="1247"/>
      <c r="F548" s="1247"/>
      <c r="I548" s="1141"/>
    </row>
    <row r="549" spans="1:9" ht="13.65" customHeight="1">
      <c r="A549" s="294"/>
      <c r="B549" s="294"/>
      <c r="C549" s="294"/>
      <c r="D549" s="1132"/>
      <c r="I549" s="1141"/>
    </row>
    <row r="550" spans="1:9" ht="14.4">
      <c r="A550" s="291"/>
      <c r="B550" s="292" t="s">
        <v>309</v>
      </c>
      <c r="C550" s="294"/>
      <c r="D550" s="1246" t="s">
        <v>455</v>
      </c>
      <c r="E550" s="1246"/>
      <c r="F550" s="1246"/>
      <c r="I550" s="1141"/>
    </row>
    <row r="551" spans="1:9">
      <c r="A551" s="294"/>
      <c r="B551" s="294"/>
      <c r="C551" s="294"/>
      <c r="D551" s="1246"/>
      <c r="E551" s="1246"/>
      <c r="F551" s="1246"/>
      <c r="I551" s="1141"/>
    </row>
    <row r="552" spans="1:9">
      <c r="A552" s="294"/>
      <c r="B552" s="294"/>
      <c r="C552" s="294"/>
      <c r="D552" s="1132"/>
      <c r="E552" s="1132"/>
      <c r="F552" s="1132"/>
      <c r="I552" s="1141"/>
    </row>
    <row r="553" spans="1:9" ht="14.4">
      <c r="A553" s="291"/>
      <c r="B553" s="292" t="s">
        <v>309</v>
      </c>
      <c r="C553" s="294"/>
      <c r="D553" s="1246" t="s">
        <v>456</v>
      </c>
      <c r="E553" s="1246"/>
      <c r="F553" s="1246"/>
      <c r="I553" s="1141"/>
    </row>
    <row r="554" spans="1:9">
      <c r="A554" s="294"/>
      <c r="B554" s="294"/>
      <c r="C554" s="294"/>
      <c r="D554" s="1246"/>
      <c r="E554" s="1246"/>
      <c r="F554" s="1246"/>
      <c r="I554" s="1141"/>
    </row>
    <row r="555" spans="1:9">
      <c r="A555" s="294"/>
      <c r="B555" s="294"/>
      <c r="C555" s="294"/>
      <c r="D555" s="1132"/>
      <c r="E555" s="1132"/>
      <c r="F555" s="1132"/>
      <c r="I555" s="1141"/>
    </row>
    <row r="556" spans="1:9" ht="14.4">
      <c r="A556" s="291"/>
      <c r="B556" s="292" t="s">
        <v>309</v>
      </c>
      <c r="C556" s="294"/>
      <c r="D556" s="1246" t="s">
        <v>457</v>
      </c>
      <c r="E556" s="1246"/>
      <c r="F556" s="1246"/>
      <c r="I556" s="1141"/>
    </row>
    <row r="557" spans="1:9">
      <c r="A557" s="294"/>
      <c r="B557" s="294"/>
      <c r="C557" s="294"/>
      <c r="D557" s="1246"/>
      <c r="E557" s="1246"/>
      <c r="F557" s="1246"/>
      <c r="I557" s="1141"/>
    </row>
    <row r="558" spans="1:9">
      <c r="A558" s="294"/>
      <c r="B558" s="294"/>
      <c r="C558" s="294"/>
      <c r="D558" s="1132"/>
      <c r="E558" s="1132"/>
      <c r="F558" s="1132"/>
      <c r="I558" s="1141"/>
    </row>
    <row r="559" spans="1:9" ht="14.4">
      <c r="A559" s="291"/>
      <c r="B559" s="292" t="s">
        <v>309</v>
      </c>
      <c r="C559" s="294"/>
      <c r="D559" s="1246" t="s">
        <v>458</v>
      </c>
      <c r="E559" s="1246"/>
      <c r="F559" s="1246"/>
      <c r="I559" s="1141"/>
    </row>
    <row r="560" spans="1:9">
      <c r="A560" s="294"/>
      <c r="B560" s="294"/>
      <c r="C560" s="294"/>
      <c r="D560" s="1246"/>
      <c r="E560" s="1246"/>
      <c r="F560" s="1246"/>
      <c r="I560" s="1141"/>
    </row>
    <row r="561" spans="1:9">
      <c r="A561" s="294"/>
      <c r="B561" s="294"/>
      <c r="C561" s="294"/>
      <c r="D561" s="1246"/>
      <c r="E561" s="1246"/>
      <c r="F561" s="1246"/>
      <c r="I561" s="1141"/>
    </row>
    <row r="562" spans="1:9">
      <c r="A562" s="294"/>
      <c r="B562" s="294"/>
      <c r="C562" s="294"/>
      <c r="D562" s="1132"/>
      <c r="E562" s="1132"/>
      <c r="F562" s="1132"/>
      <c r="I562" s="1141"/>
    </row>
    <row r="563" spans="1:9" ht="14.4">
      <c r="A563" s="291"/>
      <c r="B563" s="292" t="s">
        <v>314</v>
      </c>
      <c r="C563" s="294"/>
      <c r="D563" s="1246" t="s">
        <v>459</v>
      </c>
      <c r="E563" s="1246"/>
      <c r="F563" s="1246"/>
      <c r="I563" s="1141"/>
    </row>
    <row r="564" spans="1:9">
      <c r="A564" s="294"/>
      <c r="B564" s="294"/>
      <c r="C564" s="294"/>
      <c r="D564" s="1246"/>
      <c r="E564" s="1246"/>
      <c r="F564" s="1246"/>
      <c r="I564" s="1141"/>
    </row>
    <row r="565" spans="1:9">
      <c r="A565" s="294"/>
      <c r="B565" s="294"/>
      <c r="C565" s="294"/>
      <c r="D565" s="1132"/>
      <c r="E565" s="1132"/>
      <c r="F565" s="1132"/>
      <c r="I565" s="1141"/>
    </row>
    <row r="566" spans="1:9" ht="14.4">
      <c r="A566" s="291"/>
      <c r="B566" s="292" t="s">
        <v>314</v>
      </c>
      <c r="C566" s="294"/>
      <c r="D566" s="1246" t="s">
        <v>460</v>
      </c>
      <c r="E566" s="1246"/>
      <c r="F566" s="1246"/>
      <c r="I566" s="1141"/>
    </row>
    <row r="567" spans="1:9">
      <c r="A567" s="294"/>
      <c r="B567" s="294"/>
      <c r="C567" s="294"/>
      <c r="D567" s="1246"/>
      <c r="E567" s="1246"/>
      <c r="F567" s="1246"/>
      <c r="I567" s="1141"/>
    </row>
    <row r="568" spans="1:9">
      <c r="A568" s="294"/>
      <c r="B568" s="294"/>
      <c r="C568" s="294"/>
      <c r="D568" s="1132"/>
      <c r="E568" s="1132"/>
      <c r="F568" s="1132"/>
      <c r="I568" s="1141"/>
    </row>
    <row r="569" spans="1:9" ht="14.4">
      <c r="A569" s="291"/>
      <c r="B569" s="292" t="s">
        <v>309</v>
      </c>
      <c r="C569" s="294"/>
      <c r="D569" s="1247" t="s">
        <v>461</v>
      </c>
      <c r="E569" s="1247"/>
      <c r="F569" s="1247"/>
      <c r="I569" s="1141"/>
    </row>
    <row r="570" spans="1:9">
      <c r="A570" s="1141"/>
      <c r="B570" s="1141"/>
      <c r="C570" s="294"/>
      <c r="D570" s="1247" t="s">
        <v>462</v>
      </c>
      <c r="E570" s="1247"/>
      <c r="F570" s="1247"/>
      <c r="I570" s="1141"/>
    </row>
    <row r="571" spans="1:9">
      <c r="A571" s="1141"/>
      <c r="B571" s="1141"/>
      <c r="C571" s="294"/>
      <c r="E571" s="55" t="s">
        <v>463</v>
      </c>
      <c r="F571" s="232"/>
      <c r="I571" s="1141"/>
    </row>
    <row r="572" spans="1:9" ht="14.4">
      <c r="A572" s="291"/>
      <c r="B572" s="291"/>
      <c r="C572" s="294"/>
      <c r="E572" s="1132"/>
      <c r="F572" s="1132"/>
      <c r="I572" s="1141"/>
    </row>
    <row r="573" spans="1:9" ht="14.4">
      <c r="A573" s="291"/>
      <c r="B573" s="292" t="s">
        <v>309</v>
      </c>
      <c r="C573" s="294"/>
      <c r="D573" s="1247" t="s">
        <v>464</v>
      </c>
      <c r="E573" s="1247"/>
      <c r="F573" s="1247"/>
      <c r="I573" s="1141"/>
    </row>
    <row r="574" spans="1:9">
      <c r="C574" s="294"/>
      <c r="D574" s="1246" t="s">
        <v>465</v>
      </c>
      <c r="E574" s="1246"/>
      <c r="F574" s="1246"/>
      <c r="I574" s="1141"/>
    </row>
    <row r="575" spans="1:9">
      <c r="A575" s="294"/>
      <c r="B575" s="294"/>
      <c r="C575" s="294"/>
      <c r="D575" s="1246"/>
      <c r="E575" s="1246"/>
      <c r="F575" s="1246"/>
      <c r="I575" s="1141"/>
    </row>
    <row r="576" spans="1:9">
      <c r="A576" s="294"/>
      <c r="B576" s="294"/>
      <c r="C576" s="294"/>
      <c r="D576" s="1246"/>
      <c r="E576" s="1246"/>
      <c r="F576" s="1246"/>
      <c r="I576" s="1141"/>
    </row>
    <row r="577" spans="1:9">
      <c r="A577" s="294"/>
      <c r="B577" s="294"/>
      <c r="C577" s="294"/>
      <c r="D577" s="1132"/>
      <c r="E577" s="1132"/>
      <c r="F577" s="1132"/>
      <c r="I577" s="1141"/>
    </row>
    <row r="578" spans="1:9" ht="14.4">
      <c r="A578" s="291"/>
      <c r="B578" s="292" t="s">
        <v>309</v>
      </c>
      <c r="C578" s="294"/>
      <c r="D578" s="1246" t="s">
        <v>466</v>
      </c>
      <c r="E578" s="1246"/>
      <c r="F578" s="1246"/>
      <c r="I578" s="1141"/>
    </row>
    <row r="579" spans="1:9" ht="14.4">
      <c r="A579" s="291"/>
      <c r="B579" s="291"/>
      <c r="C579" s="294"/>
      <c r="D579" s="1246"/>
      <c r="E579" s="1246"/>
      <c r="F579" s="1246"/>
      <c r="I579" s="1141"/>
    </row>
    <row r="580" spans="1:9" ht="14.4">
      <c r="A580" s="291"/>
      <c r="B580" s="291"/>
      <c r="C580" s="294"/>
      <c r="D580" s="1246"/>
      <c r="E580" s="1246"/>
      <c r="F580" s="1246"/>
      <c r="I580" s="1141"/>
    </row>
    <row r="581" spans="1:9" ht="14.4">
      <c r="A581" s="291"/>
      <c r="B581" s="291"/>
      <c r="C581" s="294"/>
      <c r="D581" s="1246"/>
      <c r="E581" s="1246"/>
      <c r="F581" s="1246"/>
      <c r="I581" s="1141"/>
    </row>
    <row r="582" spans="1:9" ht="14.4">
      <c r="A582" s="291"/>
      <c r="B582" s="291"/>
      <c r="C582" s="294"/>
      <c r="D582" s="1132"/>
      <c r="E582" s="1132"/>
      <c r="F582" s="1132"/>
      <c r="I582" s="1141"/>
    </row>
    <row r="583" spans="1:9">
      <c r="A583" s="1249" t="s">
        <v>467</v>
      </c>
      <c r="B583" s="1249"/>
      <c r="C583" s="1249"/>
      <c r="D583" s="1249"/>
      <c r="E583" s="1249"/>
      <c r="F583" s="1249"/>
      <c r="G583" s="1249"/>
      <c r="H583" s="759"/>
      <c r="I583" s="869"/>
    </row>
    <row r="584" spans="1:9">
      <c r="A584" s="294"/>
      <c r="B584" s="294"/>
      <c r="C584" s="294"/>
      <c r="E584" s="1132"/>
      <c r="F584" s="1132"/>
      <c r="I584" s="1141"/>
    </row>
    <row r="585" spans="1:9" ht="12.75" customHeight="1">
      <c r="C585" s="1144"/>
      <c r="D585" s="1248" t="s">
        <v>468</v>
      </c>
      <c r="E585" s="1248"/>
      <c r="F585" s="1248"/>
      <c r="I585" s="1141"/>
    </row>
    <row r="586" spans="1:9">
      <c r="A586" s="290"/>
      <c r="B586" s="290"/>
      <c r="C586" s="290"/>
      <c r="D586" s="1250" t="s">
        <v>469</v>
      </c>
      <c r="E586" s="1250"/>
      <c r="F586" s="1250"/>
      <c r="I586" s="1141"/>
    </row>
    <row r="587" spans="1:9">
      <c r="A587" s="230"/>
      <c r="B587" s="230"/>
      <c r="C587" s="290"/>
      <c r="D587" s="305"/>
      <c r="I587" s="1141"/>
    </row>
    <row r="588" spans="1:9">
      <c r="A588" s="290"/>
      <c r="B588" s="292" t="s">
        <v>309</v>
      </c>
      <c r="D588" s="1250" t="s">
        <v>470</v>
      </c>
      <c r="E588" s="1250"/>
      <c r="F588" s="1250"/>
      <c r="I588" s="1141"/>
    </row>
    <row r="589" spans="1:9">
      <c r="A589" s="1141"/>
      <c r="B589" s="1141"/>
      <c r="D589" s="286"/>
      <c r="I589" s="1141"/>
    </row>
    <row r="590" spans="1:9">
      <c r="A590" s="1141"/>
      <c r="B590" s="292" t="s">
        <v>309</v>
      </c>
      <c r="D590" s="1250" t="s">
        <v>471</v>
      </c>
      <c r="E590" s="1250"/>
      <c r="F590" s="1250"/>
      <c r="I590" s="1141"/>
    </row>
    <row r="591" spans="1:9">
      <c r="A591" s="1141"/>
      <c r="B591" s="1141"/>
      <c r="D591" s="1250"/>
      <c r="E591" s="1250"/>
      <c r="F591" s="1250"/>
      <c r="I591" s="1141"/>
    </row>
    <row r="592" spans="1:9">
      <c r="A592" s="1141"/>
      <c r="B592" s="1141"/>
      <c r="D592" s="1250"/>
      <c r="E592" s="1250"/>
      <c r="F592" s="1250"/>
      <c r="I592" s="1141"/>
    </row>
    <row r="593" spans="1:9">
      <c r="A593" s="1141"/>
      <c r="B593" s="1141"/>
      <c r="D593" s="1250"/>
      <c r="E593" s="1250"/>
      <c r="F593" s="1250"/>
      <c r="I593" s="1141"/>
    </row>
    <row r="594" spans="1:9">
      <c r="A594" s="1141"/>
      <c r="B594" s="292" t="s">
        <v>314</v>
      </c>
      <c r="D594" s="1250" t="s">
        <v>472</v>
      </c>
      <c r="E594" s="1250"/>
      <c r="F594" s="1250"/>
      <c r="I594" s="1141"/>
    </row>
    <row r="595" spans="1:9">
      <c r="A595" s="1141"/>
      <c r="B595" s="1141"/>
      <c r="D595" s="1250"/>
      <c r="E595" s="1250"/>
      <c r="F595" s="1250"/>
      <c r="I595" s="1141"/>
    </row>
    <row r="596" spans="1:9">
      <c r="A596" s="1141"/>
      <c r="B596" s="1141"/>
      <c r="D596" s="1250"/>
      <c r="E596" s="1250"/>
      <c r="F596" s="1250"/>
      <c r="I596" s="1141"/>
    </row>
    <row r="597" spans="1:9">
      <c r="A597" s="1141"/>
      <c r="B597" s="1141"/>
      <c r="D597" s="1250"/>
      <c r="E597" s="1250"/>
      <c r="F597" s="1250"/>
      <c r="I597" s="1141"/>
    </row>
    <row r="598" spans="1:9">
      <c r="A598" s="1141"/>
      <c r="B598" s="1141"/>
      <c r="D598" s="1138"/>
      <c r="E598" s="1138"/>
      <c r="F598" s="1138"/>
      <c r="I598" s="1141"/>
    </row>
    <row r="599" spans="1:9">
      <c r="A599" s="1141"/>
      <c r="B599" s="292" t="s">
        <v>309</v>
      </c>
      <c r="D599" s="1250" t="s">
        <v>473</v>
      </c>
      <c r="E599" s="1250"/>
      <c r="F599" s="1250"/>
      <c r="I599" s="1141"/>
    </row>
    <row r="600" spans="1:9">
      <c r="A600" s="1141"/>
      <c r="B600" s="1141"/>
      <c r="D600" s="1250"/>
      <c r="E600" s="1250"/>
      <c r="F600" s="1250"/>
      <c r="I600" s="1141"/>
    </row>
    <row r="601" spans="1:9">
      <c r="A601" s="1141"/>
      <c r="B601" s="1141"/>
      <c r="D601" s="305"/>
      <c r="I601" s="1141"/>
    </row>
    <row r="602" spans="1:9">
      <c r="A602" s="1141"/>
      <c r="B602" s="292" t="s">
        <v>314</v>
      </c>
      <c r="D602" s="1250" t="s">
        <v>474</v>
      </c>
      <c r="E602" s="1250"/>
      <c r="F602" s="1250"/>
      <c r="I602" s="1141"/>
    </row>
    <row r="603" spans="1:9">
      <c r="A603" s="1141"/>
      <c r="B603" s="1141"/>
      <c r="D603" s="1250"/>
      <c r="E603" s="1250"/>
      <c r="F603" s="1250"/>
      <c r="I603" s="1141"/>
    </row>
    <row r="604" spans="1:9" ht="14.4">
      <c r="A604" s="291"/>
      <c r="B604" s="291"/>
      <c r="D604" s="305"/>
      <c r="I604" s="1141"/>
    </row>
    <row r="605" spans="1:9">
      <c r="A605" s="1249" t="s">
        <v>475</v>
      </c>
      <c r="B605" s="1249"/>
      <c r="C605" s="1249"/>
      <c r="D605" s="1249"/>
      <c r="E605" s="1249"/>
      <c r="F605" s="1249"/>
      <c r="G605" s="1249"/>
      <c r="H605" s="759"/>
      <c r="I605" s="869"/>
    </row>
    <row r="606" spans="1:9">
      <c r="I606" s="1141"/>
    </row>
    <row r="607" spans="1:9">
      <c r="D607" s="1254" t="s">
        <v>476</v>
      </c>
      <c r="E607" s="1254"/>
      <c r="F607" s="1254"/>
      <c r="I607" s="1141"/>
    </row>
    <row r="608" spans="1:9">
      <c r="D608" s="1255" t="s">
        <v>477</v>
      </c>
      <c r="E608" s="1255"/>
      <c r="F608" s="1255"/>
      <c r="I608" s="1141"/>
    </row>
    <row r="609" spans="1:9">
      <c r="D609" s="1122"/>
      <c r="I609" s="1141"/>
    </row>
    <row r="610" spans="1:9" ht="14.25" customHeight="1">
      <c r="A610" s="291"/>
      <c r="B610" s="292" t="s">
        <v>309</v>
      </c>
      <c r="D610" s="1275" t="s">
        <v>478</v>
      </c>
      <c r="E610" s="1275"/>
      <c r="F610" s="1275"/>
      <c r="I610" s="1141"/>
    </row>
    <row r="611" spans="1:9">
      <c r="D611" s="1275"/>
      <c r="E611" s="1275"/>
      <c r="F611" s="1275"/>
      <c r="I611" s="1141"/>
    </row>
    <row r="612" spans="1:9">
      <c r="D612" s="1139"/>
      <c r="E612" s="767" t="s">
        <v>479</v>
      </c>
      <c r="F612" s="1139"/>
      <c r="I612" s="1141"/>
    </row>
    <row r="613" spans="1:9">
      <c r="I613" s="1141"/>
    </row>
    <row r="614" spans="1:9">
      <c r="A614" s="1249" t="s">
        <v>480</v>
      </c>
      <c r="B614" s="1249"/>
      <c r="C614" s="1249"/>
      <c r="D614" s="1249"/>
      <c r="E614" s="1249"/>
      <c r="F614" s="1249"/>
      <c r="G614" s="1249"/>
      <c r="H614" s="759"/>
      <c r="I614" s="869"/>
    </row>
    <row r="615" spans="1:9">
      <c r="A615" s="1132"/>
      <c r="B615" s="1132"/>
      <c r="I615" s="1141"/>
    </row>
    <row r="616" spans="1:9">
      <c r="A616" s="1144"/>
      <c r="B616" s="1144"/>
      <c r="C616" s="1144"/>
      <c r="D616" s="1283" t="s">
        <v>481</v>
      </c>
      <c r="E616" s="1283"/>
      <c r="F616" s="1283"/>
      <c r="I616" s="1141"/>
    </row>
    <row r="617" spans="1:9">
      <c r="A617" s="1144"/>
      <c r="B617" s="1144"/>
      <c r="C617" s="1144"/>
      <c r="D617" s="1283"/>
      <c r="E617" s="1283"/>
      <c r="F617" s="1283"/>
      <c r="I617" s="1141"/>
    </row>
    <row r="618" spans="1:9">
      <c r="C618" s="290"/>
      <c r="D618" s="1255" t="s">
        <v>482</v>
      </c>
      <c r="E618" s="1255"/>
      <c r="F618" s="1255"/>
      <c r="I618" s="1141"/>
    </row>
    <row r="619" spans="1:9">
      <c r="C619" s="290"/>
      <c r="D619" s="1122"/>
      <c r="E619" s="1122"/>
      <c r="F619" s="1122"/>
      <c r="I619" s="1141"/>
    </row>
    <row r="620" spans="1:9" ht="12.75" customHeight="1">
      <c r="A620" s="1141"/>
      <c r="B620" s="292" t="s">
        <v>309</v>
      </c>
      <c r="D620" s="1271" t="s">
        <v>483</v>
      </c>
      <c r="E620" s="1271"/>
      <c r="F620" s="1271"/>
      <c r="I620" s="1141"/>
    </row>
    <row r="621" spans="1:9">
      <c r="D621" s="1271"/>
      <c r="E621" s="1271"/>
      <c r="F621" s="1271"/>
      <c r="I621" s="1141"/>
    </row>
    <row r="622" spans="1:9">
      <c r="I622" s="1141"/>
    </row>
    <row r="623" spans="1:9">
      <c r="B623" s="292" t="s">
        <v>309</v>
      </c>
      <c r="D623" s="1271" t="s">
        <v>484</v>
      </c>
      <c r="E623" s="1271"/>
      <c r="F623" s="1271"/>
      <c r="I623" s="1141"/>
    </row>
    <row r="624" spans="1:9">
      <c r="C624" s="306"/>
      <c r="D624" s="1271"/>
      <c r="E624" s="1271"/>
      <c r="F624" s="1271"/>
      <c r="I624" s="1141"/>
    </row>
    <row r="625" spans="1:9">
      <c r="C625" s="306"/>
      <c r="I625" s="1141"/>
    </row>
    <row r="626" spans="1:9">
      <c r="B626" s="292" t="s">
        <v>314</v>
      </c>
      <c r="C626" s="306"/>
      <c r="D626" s="1271" t="s">
        <v>485</v>
      </c>
      <c r="E626" s="1271"/>
      <c r="F626" s="1271"/>
      <c r="I626" s="1141"/>
    </row>
    <row r="627" spans="1:9">
      <c r="C627" s="306"/>
      <c r="D627" s="1271"/>
      <c r="E627" s="1271"/>
      <c r="F627" s="1271"/>
      <c r="I627" s="306"/>
    </row>
    <row r="628" spans="1:9">
      <c r="C628" s="306"/>
      <c r="I628" s="1141"/>
    </row>
    <row r="629" spans="1:9">
      <c r="A629" s="1249" t="s">
        <v>486</v>
      </c>
      <c r="B629" s="1249"/>
      <c r="C629" s="1249"/>
      <c r="D629" s="1249"/>
      <c r="E629" s="1249"/>
      <c r="F629" s="1249"/>
      <c r="G629" s="1249"/>
      <c r="H629" s="759"/>
      <c r="I629" s="869"/>
    </row>
    <row r="630" spans="1:9">
      <c r="A630" s="1144"/>
      <c r="B630" s="1144"/>
      <c r="C630" s="1144"/>
      <c r="I630" s="1141"/>
    </row>
    <row r="631" spans="1:9">
      <c r="C631" s="1141"/>
      <c r="D631" s="1254" t="s">
        <v>487</v>
      </c>
      <c r="E631" s="1254"/>
      <c r="F631" s="1254"/>
      <c r="I631" s="1141"/>
    </row>
    <row r="632" spans="1:9">
      <c r="A632" s="1141"/>
      <c r="B632" s="1141"/>
      <c r="D632" s="232"/>
      <c r="I632" s="1141"/>
    </row>
    <row r="633" spans="1:9" ht="14.25" customHeight="1">
      <c r="A633" s="291"/>
      <c r="B633" s="292" t="s">
        <v>309</v>
      </c>
      <c r="D633" s="1275" t="s">
        <v>488</v>
      </c>
      <c r="E633" s="1275"/>
      <c r="F633" s="1275"/>
      <c r="I633" s="1141"/>
    </row>
    <row r="634" spans="1:9">
      <c r="D634" s="1275"/>
      <c r="E634" s="1275"/>
      <c r="F634" s="1275"/>
      <c r="I634" s="1141"/>
    </row>
    <row r="635" spans="1:9">
      <c r="D635" s="1139"/>
      <c r="E635" s="767" t="s">
        <v>489</v>
      </c>
      <c r="F635" s="1139"/>
      <c r="I635" s="1141"/>
    </row>
    <row r="636" spans="1:9">
      <c r="D636" s="1246" t="s">
        <v>490</v>
      </c>
      <c r="E636" s="1246"/>
      <c r="F636" s="1246"/>
      <c r="I636" s="1141"/>
    </row>
    <row r="637" spans="1:9">
      <c r="D637" s="1246"/>
      <c r="E637" s="1246"/>
      <c r="F637" s="1246"/>
      <c r="I637" s="1141"/>
    </row>
    <row r="638" spans="1:9">
      <c r="D638" s="1246"/>
      <c r="E638" s="1246"/>
      <c r="F638" s="1246"/>
      <c r="I638" s="1141"/>
    </row>
    <row r="639" spans="1:9">
      <c r="D639" s="1133"/>
      <c r="E639" s="1133"/>
      <c r="F639" s="1133"/>
      <c r="I639" s="1141"/>
    </row>
    <row r="640" spans="1:9" ht="14.4">
      <c r="A640" s="291"/>
      <c r="B640" s="292" t="s">
        <v>314</v>
      </c>
      <c r="D640" s="1246" t="s">
        <v>491</v>
      </c>
      <c r="E640" s="1246"/>
      <c r="F640" s="1246"/>
      <c r="I640" s="1141"/>
    </row>
    <row r="641" spans="1:9">
      <c r="A641" s="294"/>
      <c r="B641" s="294"/>
      <c r="C641" s="294"/>
      <c r="D641" s="1246"/>
      <c r="E641" s="1246"/>
      <c r="F641" s="1246"/>
      <c r="I641" s="1141"/>
    </row>
    <row r="642" spans="1:9">
      <c r="A642" s="294"/>
      <c r="B642" s="294"/>
      <c r="C642" s="294"/>
      <c r="D642" s="1132"/>
      <c r="E642" s="1132"/>
      <c r="F642" s="1132"/>
      <c r="I642" s="1141"/>
    </row>
    <row r="643" spans="1:9" ht="14.4">
      <c r="A643" s="291"/>
      <c r="B643" s="292" t="s">
        <v>314</v>
      </c>
      <c r="C643" s="294"/>
      <c r="D643" s="1246" t="s">
        <v>492</v>
      </c>
      <c r="E643" s="1246"/>
      <c r="F643" s="1246"/>
      <c r="I643" s="1141"/>
    </row>
    <row r="644" spans="1:9" ht="14.4">
      <c r="A644" s="291"/>
      <c r="B644" s="291"/>
      <c r="C644" s="294"/>
      <c r="D644" s="1246"/>
      <c r="E644" s="1246"/>
      <c r="F644" s="1246"/>
      <c r="I644" s="1141"/>
    </row>
    <row r="645" spans="1:9" ht="14.4">
      <c r="A645" s="291"/>
      <c r="B645" s="291"/>
      <c r="C645" s="294"/>
      <c r="D645" s="1246"/>
      <c r="E645" s="1246"/>
      <c r="F645" s="1246"/>
      <c r="I645" s="1141"/>
    </row>
    <row r="646" spans="1:9">
      <c r="A646" s="294"/>
      <c r="B646" s="292" t="s">
        <v>314</v>
      </c>
      <c r="C646" s="294"/>
      <c r="D646" s="1247" t="s">
        <v>493</v>
      </c>
      <c r="E646" s="1247"/>
      <c r="F646" s="1247"/>
      <c r="I646" s="1141"/>
    </row>
    <row r="647" spans="1:9">
      <c r="A647" s="294"/>
      <c r="B647" s="294"/>
      <c r="C647" s="294"/>
      <c r="D647" s="1132"/>
      <c r="E647" s="1132"/>
      <c r="F647" s="1132"/>
      <c r="I647" s="1141"/>
    </row>
    <row r="648" spans="1:9">
      <c r="A648" s="1249" t="s">
        <v>494</v>
      </c>
      <c r="B648" s="1249"/>
      <c r="C648" s="1249"/>
      <c r="D648" s="1249"/>
      <c r="E648" s="1249"/>
      <c r="F648" s="1249"/>
      <c r="G648" s="1249"/>
      <c r="H648" s="759"/>
      <c r="I648" s="869"/>
    </row>
    <row r="649" spans="1:9">
      <c r="A649" s="1132"/>
      <c r="B649" s="1132"/>
      <c r="C649" s="294"/>
      <c r="D649" s="1132"/>
      <c r="E649" s="1132"/>
      <c r="F649" s="1132"/>
      <c r="I649" s="1141"/>
    </row>
    <row r="650" spans="1:9">
      <c r="C650" s="1144"/>
      <c r="D650" s="1254" t="s">
        <v>495</v>
      </c>
      <c r="E650" s="1254"/>
      <c r="F650" s="1254"/>
      <c r="I650" s="1141"/>
    </row>
    <row r="651" spans="1:9">
      <c r="A651" s="290"/>
      <c r="B651" s="290"/>
      <c r="C651" s="290"/>
      <c r="D651" s="1247" t="s">
        <v>496</v>
      </c>
      <c r="E651" s="1247"/>
      <c r="F651" s="1247"/>
      <c r="I651" s="1141"/>
    </row>
    <row r="652" spans="1:9">
      <c r="A652" s="290"/>
      <c r="B652" s="290"/>
      <c r="C652" s="290"/>
      <c r="D652" s="1132"/>
      <c r="E652" s="1132"/>
      <c r="F652" s="1132"/>
      <c r="I652" s="1141"/>
    </row>
    <row r="653" spans="1:9" ht="12.75" customHeight="1">
      <c r="B653" s="292" t="s">
        <v>314</v>
      </c>
      <c r="C653" s="294"/>
      <c r="D653" s="1246" t="s">
        <v>497</v>
      </c>
      <c r="E653" s="1246"/>
      <c r="F653" s="1246"/>
      <c r="I653" s="1141"/>
    </row>
    <row r="654" spans="1:9">
      <c r="D654" s="1246"/>
      <c r="E654" s="1246"/>
      <c r="F654" s="1246"/>
      <c r="I654" s="1141"/>
    </row>
    <row r="655" spans="1:9">
      <c r="D655" s="1246"/>
      <c r="E655" s="1246"/>
      <c r="F655" s="1246"/>
      <c r="I655" s="1141"/>
    </row>
    <row r="656" spans="1:9">
      <c r="D656" s="1246"/>
      <c r="E656" s="1246"/>
      <c r="F656" s="1246"/>
      <c r="I656" s="1141"/>
    </row>
    <row r="657" spans="1:9" ht="14.4" customHeight="1">
      <c r="A657" s="291"/>
      <c r="B657" s="291"/>
      <c r="C657" s="294"/>
      <c r="D657" s="1139"/>
      <c r="E657" s="1139"/>
      <c r="F657" s="1139"/>
      <c r="I657" s="1141"/>
    </row>
    <row r="658" spans="1:9" ht="12.75" customHeight="1">
      <c r="A658" s="290"/>
      <c r="B658" s="292" t="s">
        <v>314</v>
      </c>
      <c r="C658" s="294"/>
      <c r="D658" s="1246" t="s">
        <v>498</v>
      </c>
      <c r="E658" s="1246"/>
      <c r="F658" s="1246"/>
      <c r="I658" s="1141"/>
    </row>
    <row r="659" spans="1:9" ht="14.4">
      <c r="A659" s="290"/>
      <c r="B659" s="291"/>
      <c r="C659" s="294"/>
      <c r="D659" s="1246"/>
      <c r="E659" s="1246"/>
      <c r="F659" s="1246"/>
      <c r="I659" s="1141"/>
    </row>
    <row r="660" spans="1:9" ht="14.4">
      <c r="A660" s="290"/>
      <c r="B660" s="291"/>
      <c r="C660" s="294"/>
      <c r="D660" s="1246"/>
      <c r="E660" s="1246"/>
      <c r="F660" s="1246"/>
      <c r="I660" s="1141"/>
    </row>
    <row r="661" spans="1:9" ht="14.4">
      <c r="A661" s="290"/>
      <c r="B661" s="291"/>
      <c r="C661" s="294"/>
      <c r="D661" s="1246"/>
      <c r="E661" s="1246"/>
      <c r="F661" s="1246"/>
      <c r="I661" s="1141"/>
    </row>
    <row r="662" spans="1:9" ht="14.4">
      <c r="A662" s="290"/>
      <c r="B662" s="291"/>
      <c r="C662" s="294"/>
      <c r="D662" s="1246"/>
      <c r="E662" s="1246"/>
      <c r="F662" s="1246"/>
      <c r="I662" s="1141"/>
    </row>
    <row r="663" spans="1:9" ht="14.25" customHeight="1">
      <c r="A663" s="290"/>
      <c r="B663" s="291"/>
      <c r="C663" s="294"/>
      <c r="F663" s="216"/>
      <c r="I663" s="1141"/>
    </row>
    <row r="664" spans="1:9" ht="12.75" customHeight="1">
      <c r="A664" s="290"/>
      <c r="B664" s="292" t="s">
        <v>314</v>
      </c>
      <c r="C664" s="294"/>
      <c r="D664" s="1246" t="s">
        <v>499</v>
      </c>
      <c r="E664" s="1246"/>
      <c r="F664" s="1246"/>
      <c r="I664" s="1141"/>
    </row>
    <row r="665" spans="1:9" ht="14.4">
      <c r="A665" s="290"/>
      <c r="B665" s="291"/>
      <c r="C665" s="294"/>
      <c r="D665" s="1246"/>
      <c r="E665" s="1246"/>
      <c r="F665" s="1246"/>
      <c r="I665" s="1141"/>
    </row>
    <row r="666" spans="1:9" ht="14.4">
      <c r="A666" s="291"/>
      <c r="B666" s="291"/>
      <c r="C666" s="294"/>
      <c r="D666" s="1246"/>
      <c r="E666" s="1246"/>
      <c r="F666" s="1246"/>
      <c r="I666" s="1141"/>
    </row>
    <row r="667" spans="1:9" ht="14.4">
      <c r="A667" s="291"/>
      <c r="B667" s="291"/>
      <c r="C667" s="294"/>
      <c r="D667" s="1246"/>
      <c r="E667" s="1246"/>
      <c r="F667" s="1246"/>
      <c r="I667" s="1141"/>
    </row>
    <row r="668" spans="1:9" ht="14.4">
      <c r="A668" s="291"/>
      <c r="B668" s="291"/>
      <c r="C668" s="294"/>
      <c r="D668" s="1133"/>
      <c r="E668" s="1133"/>
      <c r="F668" s="1133"/>
      <c r="I668" s="1141"/>
    </row>
    <row r="669" spans="1:9" ht="12.75" customHeight="1">
      <c r="A669" s="290"/>
      <c r="B669" s="292" t="s">
        <v>314</v>
      </c>
      <c r="C669" s="294"/>
      <c r="D669" s="1246" t="s">
        <v>500</v>
      </c>
      <c r="E669" s="1246"/>
      <c r="F669" s="1246"/>
      <c r="I669" s="1141"/>
    </row>
    <row r="670" spans="1:9" ht="12.75" customHeight="1">
      <c r="A670" s="290"/>
      <c r="B670" s="291"/>
      <c r="C670" s="294"/>
      <c r="D670" s="1246"/>
      <c r="E670" s="1246"/>
      <c r="F670" s="1246"/>
      <c r="I670" s="1141"/>
    </row>
    <row r="671" spans="1:9" ht="12.75" customHeight="1">
      <c r="A671" s="290"/>
      <c r="B671" s="291"/>
      <c r="C671" s="294"/>
      <c r="D671" s="1246"/>
      <c r="E671" s="1246"/>
      <c r="F671" s="1246"/>
      <c r="I671" s="1141"/>
    </row>
    <row r="672" spans="1:9" ht="12.75" customHeight="1">
      <c r="A672" s="290"/>
      <c r="B672" s="291"/>
      <c r="C672" s="294"/>
      <c r="D672" s="1246"/>
      <c r="E672" s="1246"/>
      <c r="F672" s="1246"/>
      <c r="I672" s="1141"/>
    </row>
    <row r="673" spans="1:11" ht="12.75" customHeight="1">
      <c r="A673" s="290"/>
      <c r="B673" s="291"/>
      <c r="C673" s="294"/>
      <c r="D673" s="1246"/>
      <c r="E673" s="1246"/>
      <c r="F673" s="1246"/>
      <c r="I673" s="1141"/>
    </row>
    <row r="674" spans="1:11" ht="12.75" customHeight="1">
      <c r="A674" s="290"/>
      <c r="B674" s="291"/>
      <c r="C674" s="294"/>
      <c r="D674" s="1246"/>
      <c r="E674" s="1246"/>
      <c r="F674" s="1246"/>
      <c r="I674" s="1141"/>
    </row>
    <row r="675" spans="1:11" ht="12.75" customHeight="1">
      <c r="A675" s="290"/>
      <c r="B675" s="291"/>
      <c r="C675" s="294"/>
      <c r="D675" s="1246"/>
      <c r="E675" s="1246"/>
      <c r="F675" s="1246"/>
      <c r="I675" s="1141"/>
    </row>
    <row r="676" spans="1:11" ht="12.75" customHeight="1">
      <c r="A676" s="290"/>
      <c r="B676" s="291"/>
      <c r="C676" s="294"/>
      <c r="D676" s="1246"/>
      <c r="E676" s="1246"/>
      <c r="F676" s="1246"/>
      <c r="I676" s="1141"/>
    </row>
    <row r="677" spans="1:11" ht="12.75" customHeight="1">
      <c r="A677" s="290"/>
      <c r="B677" s="291"/>
      <c r="C677" s="294"/>
      <c r="D677" s="1246"/>
      <c r="E677" s="1246"/>
      <c r="F677" s="1246"/>
      <c r="I677" s="1141"/>
    </row>
    <row r="678" spans="1:11">
      <c r="A678" s="294"/>
      <c r="B678" s="294"/>
      <c r="C678" s="294"/>
      <c r="D678" s="1132"/>
      <c r="E678" s="1132"/>
      <c r="F678" s="1132"/>
      <c r="I678" s="1141"/>
    </row>
    <row r="679" spans="1:11">
      <c r="A679" s="1249" t="s">
        <v>501</v>
      </c>
      <c r="B679" s="1249"/>
      <c r="C679" s="1249"/>
      <c r="D679" s="1249"/>
      <c r="E679" s="1249"/>
      <c r="F679" s="1249"/>
      <c r="G679" s="1249"/>
      <c r="H679" s="761"/>
      <c r="I679" s="873"/>
      <c r="J679" s="307"/>
      <c r="K679" s="307"/>
    </row>
    <row r="680" spans="1:11">
      <c r="A680" s="1143"/>
      <c r="B680" s="1143"/>
      <c r="C680" s="1143"/>
      <c r="D680" s="1143"/>
      <c r="E680" s="1143"/>
      <c r="F680" s="1143"/>
      <c r="G680" s="1143"/>
      <c r="H680" s="307"/>
      <c r="I680" s="290"/>
      <c r="J680" s="307"/>
      <c r="K680" s="307"/>
    </row>
    <row r="681" spans="1:11">
      <c r="C681" s="1144"/>
      <c r="D681" s="1254" t="s">
        <v>502</v>
      </c>
      <c r="E681" s="1254"/>
      <c r="F681" s="1254"/>
      <c r="H681" s="307"/>
      <c r="I681" s="290"/>
      <c r="J681" s="307"/>
      <c r="K681" s="307"/>
    </row>
    <row r="682" spans="1:11">
      <c r="A682" s="1144"/>
      <c r="B682" s="1144"/>
      <c r="C682" s="1144"/>
      <c r="D682" s="1254" t="s">
        <v>503</v>
      </c>
      <c r="E682" s="1254"/>
      <c r="F682" s="1254"/>
      <c r="H682" s="307"/>
      <c r="I682" s="290"/>
      <c r="J682" s="307"/>
      <c r="K682" s="307"/>
    </row>
    <row r="683" spans="1:11">
      <c r="A683" s="290"/>
      <c r="B683" s="290"/>
      <c r="C683" s="290"/>
      <c r="D683" s="1247" t="s">
        <v>504</v>
      </c>
      <c r="E683" s="1247"/>
      <c r="F683" s="1247"/>
      <c r="H683" s="307"/>
      <c r="I683" s="290"/>
      <c r="J683" s="307"/>
      <c r="K683" s="307"/>
    </row>
    <row r="684" spans="1:11">
      <c r="A684" s="290"/>
      <c r="B684" s="290"/>
      <c r="C684" s="290"/>
      <c r="H684" s="307"/>
      <c r="I684" s="290"/>
      <c r="J684" s="307"/>
      <c r="K684" s="307"/>
    </row>
    <row r="685" spans="1:11" ht="14.4">
      <c r="A685" s="291"/>
      <c r="B685" s="292" t="s">
        <v>309</v>
      </c>
      <c r="C685" s="290"/>
      <c r="D685" s="1247" t="s">
        <v>505</v>
      </c>
      <c r="E685" s="1247"/>
      <c r="F685" s="1247"/>
      <c r="H685" s="307"/>
      <c r="I685" s="290"/>
      <c r="J685" s="307"/>
      <c r="K685" s="307"/>
    </row>
    <row r="686" spans="1:11">
      <c r="A686" s="290"/>
      <c r="B686" s="290"/>
      <c r="C686" s="290"/>
      <c r="D686" s="1247" t="s">
        <v>506</v>
      </c>
      <c r="E686" s="1247"/>
      <c r="F686" s="1247"/>
      <c r="H686" s="307"/>
      <c r="I686" s="290"/>
      <c r="J686" s="307"/>
      <c r="K686" s="307"/>
    </row>
    <row r="687" spans="1:11" ht="12.75" customHeight="1">
      <c r="A687" s="290"/>
      <c r="B687" s="290"/>
      <c r="C687" s="290"/>
      <c r="E687" s="767" t="s">
        <v>507</v>
      </c>
      <c r="F687" s="247"/>
      <c r="H687" s="307"/>
      <c r="I687" s="290"/>
      <c r="J687" s="307"/>
      <c r="K687" s="307"/>
    </row>
    <row r="688" spans="1:11">
      <c r="A688" s="290"/>
      <c r="B688" s="290"/>
      <c r="C688" s="290"/>
      <c r="E688" s="307" t="s">
        <v>508</v>
      </c>
      <c r="F688" s="247"/>
      <c r="I688" s="290"/>
      <c r="J688" s="307"/>
      <c r="K688" s="307"/>
    </row>
    <row r="689" spans="1:11">
      <c r="A689" s="290"/>
      <c r="B689" s="290"/>
      <c r="C689" s="290"/>
      <c r="D689" s="308"/>
      <c r="E689" s="1132"/>
      <c r="H689" s="307"/>
      <c r="I689" s="290"/>
      <c r="J689" s="307"/>
      <c r="K689" s="307"/>
    </row>
    <row r="690" spans="1:11" ht="14.4">
      <c r="A690" s="291"/>
      <c r="B690" s="292" t="s">
        <v>314</v>
      </c>
      <c r="C690" s="290"/>
      <c r="D690" s="1246" t="s">
        <v>509</v>
      </c>
      <c r="E690" s="1246"/>
      <c r="F690" s="1246"/>
      <c r="H690" s="307"/>
      <c r="I690" s="290"/>
      <c r="J690" s="307"/>
      <c r="K690" s="307"/>
    </row>
    <row r="691" spans="1:11">
      <c r="A691" s="1141"/>
      <c r="B691" s="1141"/>
      <c r="C691" s="290"/>
      <c r="D691" s="1246"/>
      <c r="E691" s="1246"/>
      <c r="F691" s="1246"/>
      <c r="H691" s="307"/>
      <c r="I691" s="290"/>
      <c r="J691" s="307"/>
      <c r="K691" s="307"/>
    </row>
    <row r="692" spans="1:11">
      <c r="A692" s="290"/>
      <c r="B692" s="290"/>
      <c r="C692" s="290"/>
      <c r="D692" s="1246"/>
      <c r="E692" s="1246"/>
      <c r="F692" s="1246"/>
      <c r="H692" s="307"/>
      <c r="I692" s="290"/>
      <c r="J692" s="307"/>
      <c r="K692" s="307"/>
    </row>
    <row r="693" spans="1:11">
      <c r="A693" s="290"/>
      <c r="B693" s="290"/>
      <c r="C693" s="290"/>
      <c r="H693" s="307"/>
      <c r="J693" s="307"/>
      <c r="K693" s="307"/>
    </row>
    <row r="694" spans="1:11" ht="14.4">
      <c r="A694" s="291"/>
      <c r="B694" s="292" t="s">
        <v>309</v>
      </c>
      <c r="C694" s="290"/>
      <c r="D694" s="1247" t="s">
        <v>510</v>
      </c>
      <c r="E694" s="1247"/>
      <c r="F694" s="1247"/>
      <c r="H694" s="307"/>
      <c r="I694" s="290"/>
      <c r="J694" s="307"/>
      <c r="K694" s="307"/>
    </row>
    <row r="695" spans="1:11" ht="14.4">
      <c r="A695" s="291"/>
      <c r="B695" s="291"/>
      <c r="C695" s="290"/>
      <c r="D695" s="1247" t="s">
        <v>506</v>
      </c>
      <c r="E695" s="1247"/>
      <c r="F695" s="1247"/>
      <c r="H695" s="307"/>
      <c r="I695" s="290"/>
      <c r="J695" s="307"/>
      <c r="K695" s="307"/>
    </row>
    <row r="696" spans="1:11">
      <c r="A696" s="290"/>
      <c r="B696" s="290"/>
      <c r="C696" s="290"/>
      <c r="E696" s="767" t="s">
        <v>511</v>
      </c>
      <c r="F696" s="232"/>
      <c r="H696" s="307"/>
      <c r="I696" s="290"/>
      <c r="J696" s="307"/>
      <c r="K696" s="307"/>
    </row>
    <row r="697" spans="1:11">
      <c r="A697" s="290"/>
      <c r="B697" s="290"/>
      <c r="C697" s="290"/>
      <c r="D697" s="232"/>
      <c r="H697" s="307"/>
      <c r="I697" s="290"/>
      <c r="J697" s="307"/>
      <c r="K697" s="307"/>
    </row>
    <row r="698" spans="1:11" ht="14.4">
      <c r="A698" s="291"/>
      <c r="B698" s="292" t="s">
        <v>314</v>
      </c>
      <c r="C698" s="290"/>
      <c r="D698" s="1247" t="s">
        <v>512</v>
      </c>
      <c r="E698" s="1247"/>
      <c r="F698" s="1247"/>
      <c r="H698" s="307"/>
      <c r="I698" s="290"/>
      <c r="J698" s="307"/>
      <c r="K698" s="307"/>
    </row>
    <row r="699" spans="1:11" ht="14.4">
      <c r="A699" s="291"/>
      <c r="B699" s="291"/>
      <c r="C699" s="290"/>
      <c r="D699" s="1247" t="s">
        <v>506</v>
      </c>
      <c r="E699" s="1247"/>
      <c r="F699" s="1247"/>
      <c r="H699" s="307"/>
      <c r="I699" s="290"/>
      <c r="J699" s="307"/>
      <c r="K699" s="307"/>
    </row>
    <row r="700" spans="1:11">
      <c r="A700" s="290"/>
      <c r="B700" s="290"/>
      <c r="C700" s="290"/>
      <c r="E700" s="767" t="s">
        <v>513</v>
      </c>
      <c r="F700" s="232"/>
      <c r="H700" s="307"/>
      <c r="I700" s="290"/>
      <c r="J700" s="307"/>
      <c r="K700" s="307"/>
    </row>
    <row r="701" spans="1:11">
      <c r="A701" s="290"/>
      <c r="B701" s="290"/>
      <c r="C701" s="290"/>
      <c r="D701" s="232"/>
      <c r="H701" s="307"/>
      <c r="I701" s="290"/>
      <c r="J701" s="307"/>
      <c r="K701" s="307"/>
    </row>
    <row r="702" spans="1:11" ht="14.4">
      <c r="A702" s="291"/>
      <c r="B702" s="292" t="s">
        <v>309</v>
      </c>
      <c r="C702" s="290"/>
      <c r="D702" s="1246" t="s">
        <v>514</v>
      </c>
      <c r="E702" s="1246"/>
      <c r="F702" s="1246"/>
      <c r="H702" s="307"/>
      <c r="I702" s="290"/>
      <c r="J702" s="307"/>
      <c r="K702" s="307"/>
    </row>
    <row r="703" spans="1:11">
      <c r="A703" s="290"/>
      <c r="B703" s="290"/>
      <c r="C703" s="290"/>
      <c r="D703" s="1246"/>
      <c r="E703" s="1246"/>
      <c r="F703" s="1246"/>
      <c r="H703" s="307"/>
      <c r="I703" s="290"/>
      <c r="J703" s="307"/>
      <c r="K703" s="307"/>
    </row>
    <row r="704" spans="1:11">
      <c r="A704" s="290"/>
      <c r="B704" s="290"/>
      <c r="C704" s="290"/>
      <c r="D704" s="1246"/>
      <c r="E704" s="1246"/>
      <c r="F704" s="1246"/>
      <c r="H704" s="307"/>
      <c r="I704" s="290"/>
      <c r="J704" s="307"/>
      <c r="K704" s="307"/>
    </row>
    <row r="705" spans="1:11">
      <c r="A705" s="290"/>
      <c r="B705" s="290"/>
      <c r="C705" s="290"/>
      <c r="D705" s="1246"/>
      <c r="E705" s="1246"/>
      <c r="F705" s="1246"/>
      <c r="H705" s="307"/>
      <c r="I705" s="290"/>
      <c r="J705" s="307"/>
      <c r="K705" s="307"/>
    </row>
    <row r="706" spans="1:11">
      <c r="A706" s="290"/>
      <c r="B706" s="290"/>
      <c r="C706" s="290"/>
      <c r="D706" s="1246"/>
      <c r="E706" s="1246"/>
      <c r="F706" s="1246"/>
      <c r="H706" s="307"/>
      <c r="I706" s="290"/>
      <c r="J706" s="307"/>
      <c r="K706" s="307"/>
    </row>
    <row r="707" spans="1:11">
      <c r="A707" s="290"/>
      <c r="B707" s="290"/>
      <c r="C707" s="290"/>
      <c r="D707" s="1246"/>
      <c r="E707" s="1246"/>
      <c r="F707" s="1246"/>
      <c r="H707" s="307"/>
      <c r="I707" s="290"/>
      <c r="J707" s="307"/>
      <c r="K707" s="307"/>
    </row>
    <row r="708" spans="1:11">
      <c r="A708" s="290"/>
      <c r="B708" s="290"/>
      <c r="C708" s="290"/>
      <c r="D708" s="1133"/>
      <c r="E708" s="1133"/>
      <c r="F708" s="1133"/>
      <c r="H708" s="307"/>
      <c r="I708" s="290"/>
      <c r="J708" s="307"/>
      <c r="K708" s="307"/>
    </row>
    <row r="709" spans="1:11">
      <c r="A709" s="290"/>
      <c r="B709" s="292" t="s">
        <v>309</v>
      </c>
      <c r="C709" s="290"/>
      <c r="D709" s="1246" t="s">
        <v>515</v>
      </c>
      <c r="E709" s="1246"/>
      <c r="F709" s="1246"/>
      <c r="H709" s="307"/>
      <c r="I709" s="290"/>
      <c r="J709" s="307"/>
      <c r="K709" s="307"/>
    </row>
    <row r="710" spans="1:11">
      <c r="A710" s="290"/>
      <c r="B710" s="290"/>
      <c r="C710" s="290"/>
      <c r="D710" s="1246"/>
      <c r="E710" s="1246"/>
      <c r="F710" s="1246"/>
      <c r="H710" s="307"/>
      <c r="I710" s="290"/>
      <c r="J710" s="307"/>
      <c r="K710" s="307"/>
    </row>
    <row r="711" spans="1:11">
      <c r="A711" s="290"/>
      <c r="B711" s="290"/>
      <c r="C711" s="290"/>
      <c r="D711" s="1133"/>
      <c r="E711" s="1133"/>
      <c r="F711" s="1133"/>
      <c r="H711" s="307"/>
      <c r="I711" s="290"/>
      <c r="J711" s="307"/>
      <c r="K711" s="307"/>
    </row>
    <row r="712" spans="1:11" ht="14.4">
      <c r="A712" s="291"/>
      <c r="B712" s="292" t="s">
        <v>314</v>
      </c>
      <c r="C712" s="290"/>
      <c r="D712" s="1246" t="s">
        <v>516</v>
      </c>
      <c r="E712" s="1246"/>
      <c r="F712" s="1246"/>
      <c r="H712" s="307"/>
      <c r="I712" s="290"/>
      <c r="J712" s="307"/>
      <c r="K712" s="307"/>
    </row>
    <row r="713" spans="1:11">
      <c r="A713" s="290"/>
      <c r="B713" s="290"/>
      <c r="C713" s="290"/>
      <c r="D713" s="1246"/>
      <c r="E713" s="1246"/>
      <c r="F713" s="1246"/>
      <c r="H713" s="307"/>
      <c r="I713" s="290"/>
      <c r="J713" s="307"/>
      <c r="K713" s="307"/>
    </row>
    <row r="714" spans="1:11">
      <c r="A714" s="290"/>
      <c r="B714" s="290"/>
      <c r="C714" s="290"/>
      <c r="D714" s="1246"/>
      <c r="E714" s="1246"/>
      <c r="F714" s="1246"/>
      <c r="H714" s="307"/>
      <c r="I714" s="290"/>
      <c r="J714" s="307"/>
      <c r="K714" s="307"/>
    </row>
    <row r="715" spans="1:11" ht="15" customHeight="1">
      <c r="A715" s="290"/>
      <c r="B715" s="290"/>
      <c r="C715" s="290"/>
      <c r="D715" s="1246"/>
      <c r="E715" s="1246"/>
      <c r="F715" s="1246"/>
      <c r="H715" s="307"/>
      <c r="I715" s="290"/>
      <c r="J715" s="307"/>
      <c r="K715" s="307"/>
    </row>
    <row r="716" spans="1:11" ht="15" customHeight="1">
      <c r="A716" s="290"/>
      <c r="B716" s="290"/>
      <c r="C716" s="290"/>
      <c r="D716" s="1246"/>
      <c r="E716" s="1246"/>
      <c r="F716" s="1246"/>
      <c r="H716" s="307"/>
      <c r="I716" s="290"/>
      <c r="J716" s="307"/>
      <c r="K716" s="307"/>
    </row>
    <row r="717" spans="1:11">
      <c r="A717" s="290"/>
      <c r="B717" s="290"/>
      <c r="C717" s="290"/>
      <c r="D717" s="1246"/>
      <c r="E717" s="1246"/>
      <c r="F717" s="1246"/>
      <c r="H717" s="307"/>
      <c r="I717" s="290"/>
      <c r="J717" s="307"/>
      <c r="K717" s="307"/>
    </row>
    <row r="718" spans="1:11">
      <c r="A718" s="290"/>
      <c r="B718" s="290"/>
      <c r="C718" s="290"/>
      <c r="D718" s="1246"/>
      <c r="E718" s="1246"/>
      <c r="F718" s="1246"/>
      <c r="H718" s="307"/>
      <c r="I718" s="290"/>
      <c r="J718" s="307"/>
      <c r="K718" s="307"/>
    </row>
    <row r="719" spans="1:11">
      <c r="A719" s="290"/>
      <c r="B719" s="290"/>
      <c r="C719" s="290"/>
      <c r="D719" s="1246"/>
      <c r="E719" s="1246"/>
      <c r="F719" s="1246"/>
      <c r="H719" s="307"/>
      <c r="I719" s="290"/>
      <c r="J719" s="307"/>
      <c r="K719" s="307"/>
    </row>
    <row r="720" spans="1:11" ht="15" customHeight="1">
      <c r="A720" s="290"/>
      <c r="B720" s="290"/>
      <c r="C720" s="290"/>
      <c r="D720" s="1246"/>
      <c r="E720" s="1246"/>
      <c r="F720" s="1246"/>
      <c r="H720" s="307"/>
      <c r="I720" s="290"/>
      <c r="J720" s="307"/>
      <c r="K720" s="307"/>
    </row>
    <row r="721" spans="1:11">
      <c r="A721" s="290"/>
      <c r="B721" s="290"/>
      <c r="C721" s="290"/>
      <c r="D721" s="1246"/>
      <c r="E721" s="1246"/>
      <c r="F721" s="1246"/>
      <c r="H721" s="307"/>
      <c r="I721" s="290"/>
      <c r="J721" s="307"/>
      <c r="K721" s="307"/>
    </row>
    <row r="722" spans="1:11">
      <c r="A722" s="290"/>
      <c r="B722" s="290"/>
      <c r="C722" s="290"/>
      <c r="D722" s="1246"/>
      <c r="E722" s="1246"/>
      <c r="F722" s="1246"/>
      <c r="H722" s="307"/>
      <c r="I722" s="290"/>
      <c r="J722" s="307"/>
      <c r="K722" s="307"/>
    </row>
    <row r="723" spans="1:11">
      <c r="A723" s="290"/>
      <c r="B723" s="290"/>
      <c r="C723" s="290"/>
      <c r="D723" s="1246"/>
      <c r="E723" s="1246"/>
      <c r="F723" s="1246"/>
      <c r="H723" s="307"/>
      <c r="I723" s="290"/>
      <c r="J723" s="307"/>
      <c r="K723" s="307"/>
    </row>
    <row r="724" spans="1:11">
      <c r="A724" s="290"/>
      <c r="B724" s="290"/>
      <c r="C724" s="290"/>
      <c r="D724" s="1246"/>
      <c r="E724" s="1246"/>
      <c r="F724" s="1246"/>
      <c r="H724" s="307"/>
      <c r="I724" s="290"/>
      <c r="J724" s="307"/>
      <c r="K724" s="307"/>
    </row>
    <row r="725" spans="1:11">
      <c r="A725" s="290"/>
      <c r="B725" s="292" t="s">
        <v>314</v>
      </c>
      <c r="C725" s="290"/>
      <c r="D725" s="1246" t="s">
        <v>517</v>
      </c>
      <c r="E725" s="1246"/>
      <c r="F725" s="1246"/>
      <c r="H725" s="307"/>
      <c r="I725" s="290"/>
      <c r="J725" s="307"/>
      <c r="K725" s="307"/>
    </row>
    <row r="726" spans="1:11">
      <c r="A726" s="290"/>
      <c r="B726" s="290"/>
      <c r="C726" s="290"/>
      <c r="D726" s="1246"/>
      <c r="E726" s="1246"/>
      <c r="F726" s="1246"/>
      <c r="H726" s="307"/>
      <c r="I726" s="290"/>
      <c r="J726" s="307"/>
      <c r="K726" s="307"/>
    </row>
    <row r="727" spans="1:11">
      <c r="A727" s="290"/>
      <c r="B727" s="290"/>
      <c r="C727" s="290"/>
      <c r="D727" s="1246"/>
      <c r="E727" s="1246"/>
      <c r="F727" s="1246"/>
      <c r="H727" s="307"/>
      <c r="I727" s="290"/>
      <c r="J727" s="307"/>
      <c r="K727" s="307"/>
    </row>
    <row r="728" spans="1:11">
      <c r="A728" s="290"/>
      <c r="B728" s="290"/>
      <c r="C728" s="290"/>
      <c r="D728" s="1133"/>
      <c r="E728" s="1133"/>
      <c r="F728" s="1133"/>
      <c r="H728" s="307"/>
      <c r="I728" s="290"/>
      <c r="J728" s="307"/>
      <c r="K728" s="307"/>
    </row>
    <row r="729" spans="1:11">
      <c r="A729" s="290"/>
      <c r="B729" s="292" t="s">
        <v>314</v>
      </c>
      <c r="C729" s="290"/>
      <c r="D729" s="1246" t="s">
        <v>518</v>
      </c>
      <c r="E729" s="1246"/>
      <c r="F729" s="1246"/>
      <c r="H729" s="307"/>
      <c r="I729" s="290"/>
      <c r="J729" s="307"/>
      <c r="K729" s="307"/>
    </row>
    <row r="730" spans="1:11">
      <c r="A730" s="290"/>
      <c r="B730" s="290"/>
      <c r="C730" s="290"/>
      <c r="D730" s="1246"/>
      <c r="E730" s="1246"/>
      <c r="F730" s="1246"/>
      <c r="H730" s="307"/>
      <c r="I730" s="290"/>
      <c r="J730" s="307"/>
      <c r="K730" s="307"/>
    </row>
    <row r="731" spans="1:11">
      <c r="A731" s="290"/>
      <c r="B731" s="290"/>
      <c r="C731" s="290"/>
      <c r="D731" s="1246"/>
      <c r="E731" s="1246"/>
      <c r="F731" s="1246"/>
      <c r="H731" s="307"/>
      <c r="I731" s="290"/>
      <c r="J731" s="307"/>
      <c r="K731" s="307"/>
    </row>
    <row r="732" spans="1:11">
      <c r="A732" s="290"/>
      <c r="B732" s="290"/>
      <c r="C732" s="290"/>
      <c r="H732" s="307"/>
      <c r="I732" s="290"/>
      <c r="J732" s="307"/>
      <c r="K732" s="307"/>
    </row>
    <row r="733" spans="1:11">
      <c r="A733" s="290"/>
      <c r="B733" s="292" t="s">
        <v>314</v>
      </c>
      <c r="C733" s="290"/>
      <c r="D733" s="1246" t="s">
        <v>519</v>
      </c>
      <c r="E733" s="1246"/>
      <c r="F733" s="1246"/>
      <c r="H733" s="307"/>
      <c r="I733" s="290"/>
      <c r="J733" s="307"/>
      <c r="K733" s="307"/>
    </row>
    <row r="734" spans="1:11">
      <c r="A734" s="290"/>
      <c r="B734" s="290"/>
      <c r="C734" s="290"/>
      <c r="D734" s="1246"/>
      <c r="E734" s="1246"/>
      <c r="F734" s="1246"/>
      <c r="H734" s="307"/>
      <c r="I734" s="290"/>
      <c r="J734" s="307"/>
      <c r="K734" s="307"/>
    </row>
    <row r="735" spans="1:11">
      <c r="A735" s="290"/>
      <c r="B735" s="290"/>
      <c r="C735" s="290"/>
      <c r="D735" s="1246"/>
      <c r="E735" s="1246"/>
      <c r="F735" s="1246"/>
      <c r="H735" s="307"/>
      <c r="I735" s="290"/>
      <c r="J735" s="307"/>
      <c r="K735" s="307"/>
    </row>
    <row r="736" spans="1:11">
      <c r="A736" s="290"/>
      <c r="B736" s="290"/>
      <c r="C736" s="290"/>
      <c r="D736" s="1246"/>
      <c r="E736" s="1246"/>
      <c r="F736" s="1246"/>
      <c r="H736" s="307"/>
      <c r="I736" s="290"/>
      <c r="J736" s="307"/>
      <c r="K736" s="307"/>
    </row>
    <row r="737" spans="1:11">
      <c r="A737" s="290"/>
      <c r="B737" s="290"/>
      <c r="C737" s="290"/>
      <c r="H737" s="307"/>
      <c r="I737" s="290"/>
      <c r="J737" s="307"/>
      <c r="K737" s="307"/>
    </row>
    <row r="738" spans="1:11" ht="14.4">
      <c r="A738" s="291"/>
      <c r="B738" s="292" t="s">
        <v>314</v>
      </c>
      <c r="C738" s="290"/>
      <c r="D738" s="1246" t="s">
        <v>520</v>
      </c>
      <c r="E738" s="1246"/>
      <c r="F738" s="1246"/>
      <c r="H738" s="307"/>
      <c r="I738" s="290"/>
      <c r="J738" s="307"/>
      <c r="K738" s="307"/>
    </row>
    <row r="739" spans="1:11">
      <c r="A739" s="290"/>
      <c r="B739" s="290"/>
      <c r="C739" s="290"/>
      <c r="D739" s="1246"/>
      <c r="E739" s="1246"/>
      <c r="F739" s="1246"/>
      <c r="H739" s="307"/>
      <c r="I739" s="290"/>
      <c r="J739" s="307"/>
      <c r="K739" s="307"/>
    </row>
    <row r="740" spans="1:11">
      <c r="A740" s="290"/>
      <c r="B740" s="290"/>
      <c r="C740" s="290"/>
      <c r="D740" s="1246"/>
      <c r="E740" s="1246"/>
      <c r="F740" s="1246"/>
      <c r="H740" s="307"/>
      <c r="I740" s="290"/>
      <c r="J740" s="307"/>
      <c r="K740" s="307"/>
    </row>
    <row r="741" spans="1:11">
      <c r="A741" s="290"/>
      <c r="B741" s="290"/>
      <c r="C741" s="290"/>
      <c r="D741" s="1246"/>
      <c r="E741" s="1246"/>
      <c r="F741" s="1246"/>
      <c r="H741" s="307"/>
      <c r="I741" s="290"/>
      <c r="J741" s="307"/>
      <c r="K741" s="307"/>
    </row>
    <row r="742" spans="1:11">
      <c r="A742" s="290"/>
      <c r="B742" s="290"/>
      <c r="C742" s="290"/>
      <c r="D742" s="1246"/>
      <c r="E742" s="1246"/>
      <c r="F742" s="1246"/>
      <c r="H742" s="307"/>
      <c r="I742" s="290"/>
      <c r="J742" s="307"/>
      <c r="K742" s="307"/>
    </row>
    <row r="743" spans="1:11">
      <c r="A743" s="290"/>
      <c r="B743" s="290"/>
      <c r="C743" s="290"/>
      <c r="D743" s="298"/>
      <c r="H743" s="307"/>
      <c r="I743" s="290"/>
      <c r="J743" s="307"/>
      <c r="K743" s="307"/>
    </row>
    <row r="744" spans="1:11" ht="14.4">
      <c r="A744" s="291"/>
      <c r="B744" s="292" t="s">
        <v>314</v>
      </c>
      <c r="C744" s="290"/>
      <c r="D744" s="1246" t="s">
        <v>521</v>
      </c>
      <c r="E744" s="1246"/>
      <c r="F744" s="1246"/>
      <c r="H744" s="307"/>
      <c r="I744" s="290"/>
      <c r="J744" s="307"/>
      <c r="K744" s="307"/>
    </row>
    <row r="745" spans="1:11">
      <c r="A745" s="290"/>
      <c r="B745" s="290"/>
      <c r="C745" s="290"/>
      <c r="D745" s="1246"/>
      <c r="E745" s="1246"/>
      <c r="F745" s="1246"/>
      <c r="H745" s="307"/>
      <c r="I745" s="290"/>
      <c r="J745" s="307"/>
      <c r="K745" s="307"/>
    </row>
    <row r="746" spans="1:11">
      <c r="A746" s="290"/>
      <c r="B746" s="290"/>
      <c r="C746" s="290"/>
      <c r="D746" s="1246"/>
      <c r="E746" s="1246"/>
      <c r="F746" s="1246"/>
      <c r="H746" s="307"/>
      <c r="I746" s="290"/>
      <c r="J746" s="307"/>
      <c r="K746" s="307"/>
    </row>
    <row r="747" spans="1:11">
      <c r="A747" s="290"/>
      <c r="B747" s="290"/>
      <c r="C747" s="290"/>
      <c r="D747" s="1246"/>
      <c r="E747" s="1246"/>
      <c r="F747" s="1246"/>
      <c r="H747" s="307"/>
      <c r="I747" s="290"/>
      <c r="J747" s="307"/>
      <c r="K747" s="307"/>
    </row>
    <row r="748" spans="1:11">
      <c r="A748" s="290"/>
      <c r="B748" s="290"/>
      <c r="C748" s="290"/>
      <c r="D748" s="1246"/>
      <c r="E748" s="1246"/>
      <c r="F748" s="1246"/>
      <c r="H748" s="307"/>
      <c r="I748" s="290"/>
      <c r="J748" s="307"/>
      <c r="K748" s="307"/>
    </row>
    <row r="749" spans="1:11">
      <c r="A749" s="290"/>
      <c r="B749" s="290"/>
      <c r="C749" s="290"/>
      <c r="D749" s="1246"/>
      <c r="E749" s="1246"/>
      <c r="F749" s="1246"/>
      <c r="H749" s="307"/>
      <c r="I749" s="290"/>
      <c r="J749" s="307"/>
      <c r="K749" s="307"/>
    </row>
    <row r="750" spans="1:11">
      <c r="A750" s="290"/>
      <c r="B750" s="290"/>
      <c r="C750" s="290"/>
      <c r="D750" s="1246"/>
      <c r="E750" s="1246"/>
      <c r="F750" s="1246"/>
      <c r="H750" s="307"/>
      <c r="I750" s="290"/>
      <c r="J750" s="307"/>
      <c r="K750" s="307"/>
    </row>
    <row r="751" spans="1:11">
      <c r="A751" s="290"/>
      <c r="B751" s="290"/>
      <c r="C751" s="290"/>
      <c r="D751" s="1284" t="s">
        <v>522</v>
      </c>
      <c r="E751" s="1284"/>
      <c r="F751" s="1284"/>
      <c r="H751" s="307"/>
      <c r="I751" s="290"/>
      <c r="J751" s="307"/>
      <c r="K751" s="307"/>
    </row>
    <row r="752" spans="1:11">
      <c r="A752" s="290"/>
      <c r="B752" s="290"/>
      <c r="C752" s="290"/>
      <c r="D752" s="1134"/>
      <c r="H752" s="307"/>
      <c r="I752" s="290"/>
      <c r="J752" s="307"/>
      <c r="K752" s="307"/>
    </row>
    <row r="753" spans="1:11">
      <c r="A753" s="1253" t="s">
        <v>523</v>
      </c>
      <c r="B753" s="1253"/>
      <c r="C753" s="1253"/>
      <c r="D753" s="1253"/>
      <c r="E753" s="1253"/>
      <c r="F753" s="1253"/>
      <c r="G753" s="1253"/>
      <c r="H753" s="761"/>
      <c r="I753" s="873"/>
      <c r="J753" s="307"/>
      <c r="K753" s="307"/>
    </row>
    <row r="754" spans="1:11">
      <c r="A754" s="290"/>
      <c r="B754" s="290"/>
      <c r="C754" s="290"/>
      <c r="D754" s="298"/>
      <c r="G754" s="307"/>
      <c r="H754" s="307"/>
      <c r="I754" s="290"/>
      <c r="J754" s="307"/>
      <c r="K754" s="307"/>
    </row>
    <row r="755" spans="1:11" ht="13.65" customHeight="1">
      <c r="C755" s="290"/>
      <c r="D755" s="1248" t="s">
        <v>524</v>
      </c>
      <c r="E755" s="1248"/>
      <c r="F755" s="1248"/>
      <c r="G755" s="307"/>
      <c r="H755" s="307"/>
      <c r="I755" s="290"/>
      <c r="J755" s="307"/>
      <c r="K755" s="307"/>
    </row>
    <row r="756" spans="1:11">
      <c r="A756" s="290"/>
      <c r="B756" s="290"/>
      <c r="C756" s="290"/>
      <c r="D756" s="1252" t="s">
        <v>525</v>
      </c>
      <c r="E756" s="1252"/>
      <c r="F756" s="1252"/>
      <c r="G756" s="307"/>
      <c r="H756" s="307"/>
      <c r="I756" s="290"/>
      <c r="J756" s="307"/>
      <c r="K756" s="307"/>
    </row>
    <row r="757" spans="1:11">
      <c r="A757" s="290"/>
      <c r="B757" s="290"/>
      <c r="C757" s="290"/>
      <c r="G757" s="307"/>
      <c r="H757" s="307"/>
      <c r="I757" s="290"/>
      <c r="J757" s="307"/>
      <c r="K757" s="307"/>
    </row>
    <row r="758" spans="1:11" ht="14.4">
      <c r="A758" s="291"/>
      <c r="B758" s="292" t="s">
        <v>309</v>
      </c>
      <c r="D758" s="1246" t="s">
        <v>526</v>
      </c>
      <c r="E758" s="1246"/>
      <c r="F758" s="1246"/>
      <c r="G758" s="307"/>
      <c r="H758" s="307"/>
      <c r="I758" s="290"/>
      <c r="J758" s="307"/>
      <c r="K758" s="307"/>
    </row>
    <row r="759" spans="1:11" ht="10.5" customHeight="1">
      <c r="D759" s="1246"/>
      <c r="E759" s="1246"/>
      <c r="F759" s="1246"/>
      <c r="G759" s="307"/>
      <c r="H759" s="307"/>
      <c r="I759" s="290"/>
      <c r="J759" s="307"/>
      <c r="K759" s="307"/>
    </row>
    <row r="760" spans="1:11">
      <c r="D760" s="1246"/>
      <c r="E760" s="1246"/>
      <c r="F760" s="1246"/>
      <c r="G760" s="307"/>
      <c r="H760" s="307"/>
      <c r="I760" s="290"/>
      <c r="J760" s="307"/>
      <c r="K760" s="307"/>
    </row>
    <row r="761" spans="1:11">
      <c r="D761" s="1246"/>
      <c r="E761" s="1246"/>
      <c r="F761" s="1246"/>
      <c r="G761" s="307"/>
      <c r="H761" s="307"/>
      <c r="I761" s="290"/>
      <c r="J761" s="307"/>
      <c r="K761" s="307"/>
    </row>
    <row r="762" spans="1:11">
      <c r="D762" s="1246"/>
      <c r="E762" s="1246"/>
      <c r="F762" s="1246"/>
      <c r="G762" s="307"/>
      <c r="H762" s="307"/>
      <c r="I762" s="290"/>
      <c r="J762" s="307"/>
      <c r="K762" s="307"/>
    </row>
    <row r="763" spans="1:11" ht="15.6" customHeight="1">
      <c r="D763" s="1246"/>
      <c r="E763" s="1246"/>
      <c r="F763" s="1246"/>
      <c r="G763" s="307"/>
      <c r="H763" s="307"/>
      <c r="I763" s="290"/>
      <c r="J763" s="307"/>
      <c r="K763" s="307"/>
    </row>
    <row r="764" spans="1:11">
      <c r="D764" s="305"/>
      <c r="E764" s="1132"/>
      <c r="F764" s="1132"/>
      <c r="G764" s="307"/>
      <c r="H764" s="307"/>
      <c r="I764" s="290"/>
      <c r="J764" s="307"/>
      <c r="K764" s="307"/>
    </row>
    <row r="765" spans="1:11" s="311" customFormat="1" ht="14.4">
      <c r="A765" s="309"/>
      <c r="B765" s="292" t="s">
        <v>314</v>
      </c>
      <c r="C765" s="310"/>
      <c r="D765" s="1246" t="s">
        <v>527</v>
      </c>
      <c r="E765" s="1246"/>
      <c r="F765" s="1246"/>
      <c r="I765" s="874"/>
    </row>
    <row r="766" spans="1:11" s="311" customFormat="1">
      <c r="A766" s="310"/>
      <c r="B766" s="310"/>
      <c r="C766" s="310"/>
      <c r="D766" s="1246"/>
      <c r="E766" s="1246"/>
      <c r="F766" s="1246"/>
      <c r="I766" s="874"/>
    </row>
    <row r="767" spans="1:11" s="311" customFormat="1">
      <c r="A767" s="310"/>
      <c r="B767" s="310"/>
      <c r="C767" s="310"/>
      <c r="D767" s="1246"/>
      <c r="E767" s="1246"/>
      <c r="F767" s="1246"/>
      <c r="I767" s="874"/>
    </row>
    <row r="768" spans="1:11" s="311" customFormat="1">
      <c r="A768" s="310"/>
      <c r="B768" s="310"/>
      <c r="C768" s="310"/>
      <c r="D768" s="1246"/>
      <c r="E768" s="1246"/>
      <c r="F768" s="1246"/>
      <c r="I768" s="874"/>
    </row>
    <row r="769" spans="1:11" s="311" customFormat="1">
      <c r="A769" s="310"/>
      <c r="B769" s="310"/>
      <c r="C769" s="310"/>
      <c r="D769" s="305"/>
      <c r="I769" s="874"/>
    </row>
    <row r="770" spans="1:11" s="311" customFormat="1" ht="14.4">
      <c r="A770" s="291"/>
      <c r="B770" s="292" t="s">
        <v>309</v>
      </c>
      <c r="C770" s="310"/>
      <c r="D770" s="1271" t="s">
        <v>528</v>
      </c>
      <c r="E770" s="1271"/>
      <c r="F770" s="1271"/>
      <c r="I770" s="874"/>
    </row>
    <row r="771" spans="1:11" s="311" customFormat="1">
      <c r="A771" s="310"/>
      <c r="B771" s="310"/>
      <c r="C771" s="310"/>
      <c r="D771" s="1271"/>
      <c r="E771" s="1271"/>
      <c r="F771" s="1271"/>
      <c r="I771" s="874"/>
    </row>
    <row r="772" spans="1:11" s="311" customFormat="1">
      <c r="A772" s="310"/>
      <c r="B772" s="310"/>
      <c r="C772" s="310"/>
      <c r="D772" s="1271"/>
      <c r="E772" s="1271"/>
      <c r="F772" s="1271"/>
      <c r="I772" s="874"/>
    </row>
    <row r="773" spans="1:11">
      <c r="D773" s="305"/>
      <c r="E773" s="1132"/>
      <c r="F773" s="1132"/>
      <c r="G773" s="307"/>
      <c r="H773" s="307"/>
      <c r="I773" s="290"/>
      <c r="J773" s="307"/>
      <c r="K773" s="307"/>
    </row>
    <row r="774" spans="1:11" ht="14.4">
      <c r="A774" s="291"/>
      <c r="B774" s="292" t="s">
        <v>314</v>
      </c>
      <c r="D774" s="1246" t="s">
        <v>529</v>
      </c>
      <c r="E774" s="1246"/>
      <c r="F774" s="1246"/>
      <c r="G774" s="307"/>
      <c r="H774" s="307"/>
      <c r="I774" s="290"/>
      <c r="J774" s="307"/>
      <c r="K774" s="307"/>
    </row>
    <row r="775" spans="1:11">
      <c r="D775" s="1246"/>
      <c r="E775" s="1246"/>
      <c r="F775" s="1246"/>
      <c r="G775" s="307"/>
      <c r="H775" s="307"/>
      <c r="I775" s="290"/>
      <c r="J775" s="307"/>
      <c r="K775" s="307"/>
    </row>
    <row r="776" spans="1:11">
      <c r="D776" s="1133"/>
      <c r="E776" s="1133"/>
      <c r="F776" s="1133"/>
      <c r="G776" s="307"/>
      <c r="H776" s="307"/>
      <c r="I776" s="290"/>
      <c r="J776" s="307"/>
      <c r="K776" s="307"/>
    </row>
    <row r="777" spans="1:11">
      <c r="B777" s="292" t="s">
        <v>314</v>
      </c>
      <c r="D777" s="1246" t="s">
        <v>530</v>
      </c>
      <c r="E777" s="1246"/>
      <c r="F777" s="1246"/>
      <c r="G777" s="307"/>
      <c r="H777" s="307"/>
      <c r="I777" s="290"/>
      <c r="J777" s="307"/>
      <c r="K777" s="307"/>
    </row>
    <row r="778" spans="1:11">
      <c r="D778" s="1246"/>
      <c r="E778" s="1246"/>
      <c r="F778" s="1246"/>
      <c r="G778" s="307"/>
      <c r="H778" s="307"/>
      <c r="I778" s="290"/>
      <c r="J778" s="307"/>
      <c r="K778" s="307"/>
    </row>
    <row r="779" spans="1:11">
      <c r="D779" s="1246"/>
      <c r="E779" s="1246"/>
      <c r="F779" s="1246"/>
      <c r="G779" s="307"/>
      <c r="H779" s="307"/>
      <c r="I779" s="290"/>
      <c r="J779" s="307"/>
      <c r="K779" s="307"/>
    </row>
    <row r="780" spans="1:11">
      <c r="D780" s="1133"/>
      <c r="E780" s="1133"/>
      <c r="F780" s="1133"/>
      <c r="G780" s="307"/>
      <c r="H780" s="307"/>
      <c r="I780" s="290"/>
      <c r="J780" s="307"/>
      <c r="K780" s="307"/>
    </row>
    <row r="781" spans="1:11">
      <c r="A781" s="1278" t="s">
        <v>531</v>
      </c>
      <c r="B781" s="1278"/>
      <c r="C781" s="1278"/>
      <c r="D781" s="1278"/>
      <c r="E781" s="1278"/>
      <c r="F781" s="1278"/>
      <c r="G781" s="1278"/>
      <c r="H781" s="759"/>
      <c r="I781" s="869"/>
    </row>
    <row r="782" spans="1:11">
      <c r="A782" s="38"/>
      <c r="B782" s="38"/>
      <c r="C782" s="1152"/>
      <c r="D782" s="2"/>
      <c r="E782" s="2"/>
      <c r="F782" s="2"/>
      <c r="G782" s="2"/>
      <c r="I782" s="1141"/>
    </row>
    <row r="783" spans="1:11">
      <c r="A783" s="38"/>
      <c r="B783" s="38"/>
      <c r="C783" s="1152"/>
      <c r="D783" s="1277" t="s">
        <v>532</v>
      </c>
      <c r="E783" s="1277"/>
      <c r="F783" s="1277"/>
      <c r="G783" s="2"/>
      <c r="I783" s="1141"/>
    </row>
    <row r="784" spans="1:11">
      <c r="A784" s="38"/>
      <c r="B784" s="38"/>
      <c r="C784" s="1152"/>
      <c r="D784" s="1258" t="s">
        <v>533</v>
      </c>
      <c r="E784" s="1258"/>
      <c r="F784" s="1258"/>
      <c r="G784" s="2"/>
      <c r="I784" s="1141"/>
    </row>
    <row r="785" spans="1:9">
      <c r="A785" s="38"/>
      <c r="B785" s="38"/>
      <c r="C785" s="1152"/>
      <c r="D785" s="1140"/>
      <c r="E785" s="1140"/>
      <c r="F785" s="1140"/>
      <c r="G785" s="2"/>
      <c r="I785" s="1141"/>
    </row>
    <row r="786" spans="1:9">
      <c r="A786" s="38"/>
      <c r="B786" s="292" t="s">
        <v>309</v>
      </c>
      <c r="C786" s="1152"/>
      <c r="D786" s="1279" t="s">
        <v>534</v>
      </c>
      <c r="E786" s="1279"/>
      <c r="F786" s="1279"/>
      <c r="G786" s="2"/>
      <c r="I786" s="290"/>
    </row>
    <row r="787" spans="1:9">
      <c r="A787" s="38"/>
      <c r="B787" s="38"/>
      <c r="C787" s="1152"/>
      <c r="D787" s="1279"/>
      <c r="E787" s="1279"/>
      <c r="F787" s="1279"/>
      <c r="G787" s="2"/>
      <c r="I787" s="1141"/>
    </row>
    <row r="788" spans="1:9">
      <c r="A788" s="92"/>
      <c r="B788" s="92"/>
      <c r="C788" s="92"/>
      <c r="D788" s="1279"/>
      <c r="E788" s="1279"/>
      <c r="F788" s="1279"/>
      <c r="G788" s="68"/>
      <c r="I788" s="1141"/>
    </row>
    <row r="789" spans="1:9">
      <c r="A789" s="1152"/>
      <c r="B789" s="1152"/>
      <c r="C789" s="1152"/>
      <c r="D789" s="1129"/>
      <c r="E789" s="2"/>
      <c r="F789" s="2"/>
      <c r="G789" s="2"/>
      <c r="I789" s="1141"/>
    </row>
    <row r="790" spans="1:9">
      <c r="A790" s="91"/>
      <c r="B790" s="292" t="s">
        <v>314</v>
      </c>
      <c r="C790" s="91"/>
      <c r="D790" s="1279" t="s">
        <v>535</v>
      </c>
      <c r="E790" s="1279"/>
      <c r="F790" s="1279"/>
      <c r="G790" s="2"/>
      <c r="I790" s="290"/>
    </row>
    <row r="791" spans="1:9">
      <c r="A791" s="91"/>
      <c r="B791" s="91"/>
      <c r="C791" s="91"/>
      <c r="D791" s="1279"/>
      <c r="E791" s="1279"/>
      <c r="F791" s="1279"/>
      <c r="G791" s="2"/>
      <c r="I791" s="1141"/>
    </row>
    <row r="792" spans="1:9">
      <c r="A792" s="91"/>
      <c r="B792" s="91"/>
      <c r="C792" s="91"/>
      <c r="D792" s="1279"/>
      <c r="E792" s="1279"/>
      <c r="F792" s="1279"/>
      <c r="G792" s="2"/>
      <c r="I792" s="1141"/>
    </row>
    <row r="793" spans="1:9">
      <c r="A793" s="92"/>
      <c r="B793" s="92"/>
      <c r="C793" s="92"/>
      <c r="D793" s="2"/>
      <c r="E793" s="730"/>
      <c r="F793" s="730"/>
      <c r="G793" s="730"/>
      <c r="I793" s="1141"/>
    </row>
    <row r="794" spans="1:9" ht="14.4">
      <c r="A794" s="93"/>
      <c r="B794" s="292" t="s">
        <v>314</v>
      </c>
      <c r="C794" s="731"/>
      <c r="D794" s="1279" t="s">
        <v>536</v>
      </c>
      <c r="E794" s="1279"/>
      <c r="F794" s="1279"/>
      <c r="G794" s="730"/>
      <c r="I794" s="290"/>
    </row>
    <row r="795" spans="1:9" ht="14.4">
      <c r="A795" s="93"/>
      <c r="B795" s="93"/>
      <c r="C795" s="731"/>
      <c r="D795" s="1279"/>
      <c r="E795" s="1279"/>
      <c r="F795" s="1279"/>
      <c r="G795" s="730"/>
      <c r="I795" s="1141"/>
    </row>
    <row r="796" spans="1:9" ht="14.4">
      <c r="A796" s="93"/>
      <c r="B796" s="93"/>
      <c r="C796" s="731"/>
      <c r="D796" s="1279"/>
      <c r="E796" s="1279"/>
      <c r="F796" s="1279"/>
      <c r="G796" s="730"/>
      <c r="I796" s="1141"/>
    </row>
    <row r="797" spans="1:9" ht="14.4">
      <c r="A797" s="93"/>
      <c r="B797" s="93"/>
      <c r="C797" s="731"/>
      <c r="D797" s="68"/>
      <c r="E797" s="2"/>
      <c r="F797" s="2"/>
      <c r="G797" s="730"/>
      <c r="I797" s="1141"/>
    </row>
    <row r="798" spans="1:9" ht="14.4">
      <c r="A798" s="93"/>
      <c r="B798" s="292" t="s">
        <v>314</v>
      </c>
      <c r="C798" s="731"/>
      <c r="D798" s="1279" t="s">
        <v>537</v>
      </c>
      <c r="E798" s="1279"/>
      <c r="F798" s="1279"/>
      <c r="G798" s="730"/>
      <c r="I798" s="290"/>
    </row>
    <row r="799" spans="1:9" ht="14.4">
      <c r="A799" s="93"/>
      <c r="B799" s="93"/>
      <c r="C799" s="731"/>
      <c r="D799" s="1279"/>
      <c r="E799" s="1279"/>
      <c r="F799" s="1279"/>
      <c r="G799" s="730"/>
      <c r="I799" s="1141"/>
    </row>
    <row r="800" spans="1:9" ht="14.4">
      <c r="A800" s="93"/>
      <c r="B800" s="93"/>
      <c r="C800" s="731"/>
      <c r="D800" s="1279"/>
      <c r="E800" s="1279"/>
      <c r="F800" s="1279"/>
      <c r="G800" s="730"/>
      <c r="I800" s="1141"/>
    </row>
    <row r="801" spans="1:9" ht="14.4">
      <c r="A801" s="93"/>
      <c r="B801" s="93"/>
      <c r="C801" s="731"/>
      <c r="D801" s="1279"/>
      <c r="E801" s="1279"/>
      <c r="F801" s="1279"/>
      <c r="G801" s="730"/>
      <c r="I801" s="1141"/>
    </row>
    <row r="802" spans="1:9" ht="14.4">
      <c r="A802" s="93"/>
      <c r="B802" s="93"/>
      <c r="C802" s="731"/>
      <c r="D802" s="1279"/>
      <c r="E802" s="1279"/>
      <c r="F802" s="1279"/>
      <c r="G802" s="730"/>
      <c r="I802" s="1141"/>
    </row>
    <row r="803" spans="1:9" ht="14.4">
      <c r="A803" s="93"/>
      <c r="B803" s="93"/>
      <c r="C803" s="731"/>
      <c r="D803" s="1279"/>
      <c r="E803" s="1279"/>
      <c r="F803" s="1279"/>
      <c r="G803" s="730"/>
      <c r="I803" s="1141"/>
    </row>
    <row r="804" spans="1:9" ht="14.4">
      <c r="A804" s="93"/>
      <c r="B804" s="93"/>
      <c r="C804" s="731"/>
      <c r="D804" s="1279" t="s">
        <v>538</v>
      </c>
      <c r="E804" s="1279"/>
      <c r="F804" s="1279"/>
      <c r="G804" s="730"/>
      <c r="I804" s="1141"/>
    </row>
    <row r="805" spans="1:9" ht="14.4">
      <c r="A805" s="93"/>
      <c r="B805" s="93"/>
      <c r="C805" s="731"/>
      <c r="D805" s="1279"/>
      <c r="E805" s="1279"/>
      <c r="F805" s="1279"/>
      <c r="G805" s="730"/>
      <c r="I805" s="1141"/>
    </row>
    <row r="806" spans="1:9" ht="14.4">
      <c r="A806" s="93"/>
      <c r="B806" s="93"/>
      <c r="C806" s="731"/>
      <c r="D806" s="1279"/>
      <c r="E806" s="1279"/>
      <c r="F806" s="1279"/>
      <c r="G806" s="730"/>
      <c r="I806" s="1141"/>
    </row>
    <row r="807" spans="1:9" ht="14.4">
      <c r="A807" s="93"/>
      <c r="B807" s="1152"/>
      <c r="C807" s="731"/>
      <c r="D807" s="732"/>
      <c r="E807" s="732"/>
      <c r="F807" s="732"/>
      <c r="G807" s="730"/>
      <c r="I807" s="1141"/>
    </row>
    <row r="808" spans="1:9" ht="14.4">
      <c r="A808" s="93"/>
      <c r="B808" s="292" t="s">
        <v>314</v>
      </c>
      <c r="C808" s="731"/>
      <c r="D808" s="1279" t="s">
        <v>539</v>
      </c>
      <c r="E808" s="1279"/>
      <c r="F808" s="1279"/>
      <c r="G808" s="730"/>
      <c r="I808" s="290"/>
    </row>
    <row r="809" spans="1:9" ht="14.4">
      <c r="A809" s="93"/>
      <c r="B809" s="93"/>
      <c r="C809" s="731"/>
      <c r="D809" s="1279"/>
      <c r="E809" s="1279"/>
      <c r="F809" s="1279"/>
      <c r="G809" s="730"/>
      <c r="I809" s="1141"/>
    </row>
    <row r="810" spans="1:9" ht="14.4">
      <c r="A810" s="93"/>
      <c r="B810" s="93"/>
      <c r="C810" s="731"/>
      <c r="D810" s="1279"/>
      <c r="E810" s="1279"/>
      <c r="F810" s="1279"/>
      <c r="G810" s="730"/>
      <c r="I810" s="1141"/>
    </row>
    <row r="811" spans="1:9" ht="14.4">
      <c r="A811" s="93"/>
      <c r="B811" s="93"/>
      <c r="C811" s="731"/>
      <c r="D811" s="1279"/>
      <c r="E811" s="1279"/>
      <c r="F811" s="1279"/>
      <c r="G811" s="730"/>
      <c r="I811" s="1141"/>
    </row>
    <row r="812" spans="1:9" ht="14.4">
      <c r="A812" s="93"/>
      <c r="B812" s="93"/>
      <c r="C812" s="731"/>
      <c r="D812" s="1279"/>
      <c r="E812" s="1279"/>
      <c r="F812" s="1279"/>
      <c r="G812" s="730"/>
      <c r="I812" s="1141"/>
    </row>
    <row r="813" spans="1:9" ht="14.4">
      <c r="A813" s="93"/>
      <c r="B813" s="93"/>
      <c r="C813" s="731"/>
      <c r="D813" s="1279"/>
      <c r="E813" s="1279"/>
      <c r="F813" s="1279"/>
      <c r="G813" s="730"/>
      <c r="I813" s="1141"/>
    </row>
    <row r="814" spans="1:9" ht="14.4">
      <c r="A814" s="93"/>
      <c r="B814" s="93"/>
      <c r="C814" s="731"/>
      <c r="D814" s="1128"/>
      <c r="E814" s="1128"/>
      <c r="F814" s="1128"/>
      <c r="G814" s="730"/>
      <c r="I814" s="1141"/>
    </row>
    <row r="815" spans="1:9" ht="14.4">
      <c r="A815" s="93"/>
      <c r="B815" s="292" t="s">
        <v>314</v>
      </c>
      <c r="C815" s="731"/>
      <c r="D815" s="1279" t="s">
        <v>540</v>
      </c>
      <c r="E815" s="1279"/>
      <c r="F815" s="1279"/>
      <c r="G815" s="730"/>
      <c r="I815" s="290"/>
    </row>
    <row r="816" spans="1:9" ht="14.4">
      <c r="A816" s="93"/>
      <c r="B816" s="93"/>
      <c r="C816" s="731"/>
      <c r="D816" s="1279"/>
      <c r="E816" s="1279"/>
      <c r="F816" s="1279"/>
      <c r="G816" s="730"/>
      <c r="I816" s="1141"/>
    </row>
    <row r="817" spans="1:9" ht="14.4">
      <c r="A817" s="93"/>
      <c r="B817" s="93"/>
      <c r="C817" s="731"/>
      <c r="D817" s="1279"/>
      <c r="E817" s="1279"/>
      <c r="F817" s="1279"/>
      <c r="G817" s="730"/>
      <c r="I817" s="1141"/>
    </row>
    <row r="818" spans="1:9" ht="14.4">
      <c r="A818" s="93"/>
      <c r="B818" s="93"/>
      <c r="C818" s="731"/>
      <c r="D818" s="1279"/>
      <c r="E818" s="1279"/>
      <c r="F818" s="1279"/>
      <c r="G818" s="730"/>
      <c r="I818" s="1141"/>
    </row>
    <row r="819" spans="1:9" ht="14.4">
      <c r="A819" s="93"/>
      <c r="B819" s="93"/>
      <c r="C819" s="731"/>
      <c r="D819" s="1279"/>
      <c r="E819" s="1279"/>
      <c r="F819" s="1279"/>
      <c r="G819" s="730"/>
      <c r="I819" s="1141"/>
    </row>
    <row r="820" spans="1:9" ht="14.4">
      <c r="A820" s="93"/>
      <c r="B820" s="93"/>
      <c r="C820" s="731"/>
      <c r="D820" s="1279"/>
      <c r="E820" s="1279"/>
      <c r="F820" s="1279"/>
      <c r="G820" s="730"/>
      <c r="I820" s="1141"/>
    </row>
    <row r="821" spans="1:9" ht="14.4">
      <c r="A821" s="93"/>
      <c r="B821" s="93"/>
      <c r="C821" s="731"/>
      <c r="D821" s="1128"/>
      <c r="E821" s="1128"/>
      <c r="F821" s="1128"/>
      <c r="G821" s="730"/>
      <c r="I821" s="1141"/>
    </row>
    <row r="822" spans="1:9" ht="14.4">
      <c r="A822" s="93"/>
      <c r="B822" s="292" t="s">
        <v>314</v>
      </c>
      <c r="C822" s="731"/>
      <c r="D822" s="1251" t="s">
        <v>541</v>
      </c>
      <c r="E822" s="1251"/>
      <c r="F822" s="1251"/>
      <c r="G822" s="730"/>
      <c r="I822" s="290"/>
    </row>
    <row r="823" spans="1:9" ht="14.4">
      <c r="A823" s="93"/>
      <c r="B823" s="93"/>
      <c r="C823" s="731"/>
      <c r="D823" s="1251"/>
      <c r="E823" s="1251"/>
      <c r="F823" s="1251"/>
      <c r="G823" s="730"/>
      <c r="I823" s="1141"/>
    </row>
    <row r="824" spans="1:9">
      <c r="A824" s="1150"/>
      <c r="B824" s="1150"/>
      <c r="C824" s="731"/>
      <c r="D824" s="1251"/>
      <c r="E824" s="1251"/>
      <c r="F824" s="1251"/>
      <c r="G824" s="730"/>
      <c r="I824" s="1141"/>
    </row>
    <row r="825" spans="1:9" ht="14.4">
      <c r="A825" s="93"/>
      <c r="B825" s="1150"/>
      <c r="C825" s="731"/>
      <c r="D825" s="1251"/>
      <c r="E825" s="1251"/>
      <c r="F825" s="1251"/>
      <c r="G825" s="730"/>
      <c r="I825" s="1141"/>
    </row>
    <row r="826" spans="1:9" ht="12.75" customHeight="1">
      <c r="A826" s="93"/>
      <c r="B826" s="1150"/>
      <c r="C826" s="731"/>
      <c r="D826" s="1251"/>
      <c r="E826" s="1251"/>
      <c r="F826" s="1251"/>
      <c r="G826" s="730"/>
      <c r="I826" s="1141"/>
    </row>
    <row r="827" spans="1:9" ht="12.75" customHeight="1">
      <c r="A827" s="93"/>
      <c r="B827" s="1150"/>
      <c r="C827" s="731"/>
      <c r="D827" s="1251"/>
      <c r="E827" s="1251"/>
      <c r="F827" s="1251"/>
      <c r="G827" s="730"/>
      <c r="I827" s="1141"/>
    </row>
    <row r="828" spans="1:9" ht="12.75" customHeight="1">
      <c r="A828" s="1150"/>
      <c r="B828" s="1150"/>
      <c r="C828" s="731"/>
      <c r="D828" s="730"/>
      <c r="E828" s="2"/>
      <c r="F828" s="2"/>
      <c r="G828" s="730"/>
      <c r="I828" s="1141"/>
    </row>
    <row r="829" spans="1:9" ht="12.75" customHeight="1">
      <c r="A829" s="1272" t="s">
        <v>542</v>
      </c>
      <c r="B829" s="1272"/>
      <c r="C829" s="1272"/>
      <c r="D829" s="1272"/>
      <c r="E829" s="1272"/>
      <c r="F829" s="1272"/>
      <c r="G829" s="1272"/>
      <c r="H829" s="759"/>
      <c r="I829" s="869"/>
    </row>
    <row r="830" spans="1:9" ht="12.75" customHeight="1">
      <c r="A830" s="91"/>
      <c r="B830" s="91"/>
      <c r="C830" s="731"/>
      <c r="D830" s="730"/>
      <c r="E830" s="730"/>
      <c r="F830" s="730"/>
      <c r="G830" s="730"/>
      <c r="I830" s="1141"/>
    </row>
    <row r="831" spans="1:9" ht="12.75" customHeight="1">
      <c r="A831" s="93"/>
      <c r="B831" s="93"/>
      <c r="C831" s="1152"/>
      <c r="D831" s="1276" t="s">
        <v>543</v>
      </c>
      <c r="E831" s="1276"/>
      <c r="F831" s="1276"/>
      <c r="G831" s="2"/>
      <c r="I831" s="1141"/>
    </row>
    <row r="832" spans="1:9" ht="14.25" customHeight="1">
      <c r="A832" s="93"/>
      <c r="B832" s="93"/>
      <c r="C832" s="1152"/>
      <c r="D832" s="1223" t="s">
        <v>544</v>
      </c>
      <c r="E832" s="1223"/>
      <c r="F832" s="1223"/>
      <c r="G832" s="2"/>
      <c r="I832" s="1141"/>
    </row>
    <row r="833" spans="1:9" ht="12.75" customHeight="1">
      <c r="A833" s="93"/>
      <c r="B833" s="93"/>
      <c r="C833" s="1152"/>
      <c r="D833" s="1113"/>
      <c r="E833" s="1113"/>
      <c r="F833" s="1113"/>
      <c r="G833" s="2"/>
      <c r="I833" s="1141"/>
    </row>
    <row r="834" spans="1:9" ht="12.75" customHeight="1">
      <c r="A834" s="1152"/>
      <c r="B834" s="292" t="s">
        <v>309</v>
      </c>
      <c r="C834" s="731"/>
      <c r="D834" s="1223" t="s">
        <v>545</v>
      </c>
      <c r="E834" s="1223"/>
      <c r="F834" s="1223"/>
      <c r="G834" s="2"/>
      <c r="I834" s="1141" t="s">
        <v>546</v>
      </c>
    </row>
    <row r="835" spans="1:9" ht="14.25" customHeight="1">
      <c r="A835" s="1150"/>
      <c r="B835" s="1150"/>
      <c r="C835" s="731"/>
      <c r="E835" s="767" t="s">
        <v>375</v>
      </c>
      <c r="F835" s="1130"/>
      <c r="G835" s="2"/>
      <c r="I835" s="1141"/>
    </row>
    <row r="836" spans="1:9" ht="12.75" customHeight="1">
      <c r="A836" s="1150"/>
      <c r="B836" s="1150"/>
      <c r="C836" s="731"/>
      <c r="D836" s="733"/>
      <c r="E836" s="2"/>
      <c r="F836" s="2"/>
      <c r="G836" s="2"/>
      <c r="I836" s="1141"/>
    </row>
    <row r="837" spans="1:9" ht="14.25" hidden="1" customHeight="1">
      <c r="A837" s="1150"/>
      <c r="B837" s="292" t="s">
        <v>547</v>
      </c>
      <c r="C837" s="731"/>
      <c r="D837" s="1281" t="s">
        <v>548</v>
      </c>
      <c r="E837" s="1281"/>
      <c r="F837" s="1281"/>
      <c r="G837" s="2"/>
      <c r="I837" s="1141"/>
    </row>
    <row r="838" spans="1:9" ht="12.75" hidden="1" customHeight="1">
      <c r="A838" s="1150"/>
      <c r="B838" s="1150"/>
      <c r="C838" s="731"/>
      <c r="D838" s="1281"/>
      <c r="E838" s="1281"/>
      <c r="F838" s="1281"/>
      <c r="G838" s="2"/>
      <c r="I838" s="1141"/>
    </row>
    <row r="839" spans="1:9" ht="12.75" hidden="1" customHeight="1">
      <c r="A839" s="1150"/>
      <c r="B839" s="1150"/>
      <c r="C839" s="731"/>
      <c r="D839" s="1281"/>
      <c r="E839" s="1281"/>
      <c r="F839" s="1281"/>
      <c r="G839" s="2"/>
      <c r="I839" s="1141"/>
    </row>
    <row r="840" spans="1:9" ht="12.75" hidden="1" customHeight="1">
      <c r="A840" s="1150"/>
      <c r="B840" s="1150"/>
      <c r="C840" s="731"/>
      <c r="D840" s="1281"/>
      <c r="E840" s="1281"/>
      <c r="F840" s="1281"/>
      <c r="G840" s="2"/>
      <c r="I840" s="1141"/>
    </row>
    <row r="841" spans="1:9" ht="12.75" hidden="1" customHeight="1">
      <c r="A841" s="1150"/>
      <c r="B841" s="1150"/>
      <c r="C841" s="731"/>
      <c r="D841" s="1281"/>
      <c r="E841" s="1281"/>
      <c r="F841" s="1281"/>
      <c r="G841" s="2"/>
      <c r="I841" s="1141"/>
    </row>
    <row r="842" spans="1:9" ht="12.75" hidden="1" customHeight="1">
      <c r="A842" s="1150"/>
      <c r="B842" s="1150"/>
      <c r="C842" s="731"/>
      <c r="D842" s="1281"/>
      <c r="E842" s="1281"/>
      <c r="F842" s="1281"/>
      <c r="G842" s="2"/>
      <c r="I842" s="1141"/>
    </row>
    <row r="843" spans="1:9" ht="12.75" hidden="1" customHeight="1">
      <c r="A843" s="1150"/>
      <c r="B843" s="1150"/>
      <c r="C843" s="731"/>
      <c r="D843" s="1281"/>
      <c r="E843" s="1281"/>
      <c r="F843" s="1281"/>
      <c r="G843" s="2"/>
      <c r="I843" s="1141"/>
    </row>
    <row r="844" spans="1:9" ht="12.75" hidden="1" customHeight="1">
      <c r="A844" s="1150"/>
      <c r="B844" s="1150"/>
      <c r="C844" s="731"/>
      <c r="D844" s="1281"/>
      <c r="E844" s="1281"/>
      <c r="F844" s="1281"/>
      <c r="G844" s="2"/>
      <c r="I844" s="1141"/>
    </row>
    <row r="845" spans="1:9" ht="12.75" hidden="1" customHeight="1">
      <c r="A845" s="1150"/>
      <c r="B845" s="1150"/>
      <c r="C845" s="731"/>
      <c r="D845" s="1281"/>
      <c r="E845" s="1281"/>
      <c r="F845" s="1281"/>
      <c r="G845" s="2"/>
      <c r="I845" s="1141"/>
    </row>
    <row r="846" spans="1:9" ht="12.75" hidden="1" customHeight="1">
      <c r="A846" s="1150"/>
      <c r="B846" s="1150"/>
      <c r="C846" s="731"/>
      <c r="D846" s="1281"/>
      <c r="E846" s="1281"/>
      <c r="F846" s="1281"/>
      <c r="G846" s="2"/>
      <c r="I846" s="1141"/>
    </row>
    <row r="847" spans="1:9" ht="12.75" hidden="1" customHeight="1">
      <c r="A847" s="1150"/>
      <c r="B847" s="1150"/>
      <c r="C847" s="731"/>
      <c r="D847" s="733"/>
      <c r="E847" s="2"/>
      <c r="F847" s="2"/>
      <c r="G847" s="2"/>
      <c r="I847" s="1141"/>
    </row>
    <row r="848" spans="1:9" ht="12.75" customHeight="1">
      <c r="A848" s="93"/>
      <c r="B848" s="292" t="s">
        <v>309</v>
      </c>
      <c r="C848" s="731"/>
      <c r="D848" s="1223" t="s">
        <v>549</v>
      </c>
      <c r="E848" s="1223"/>
      <c r="F848" s="1223"/>
      <c r="G848" s="2"/>
      <c r="I848" s="1141" t="s">
        <v>550</v>
      </c>
    </row>
    <row r="849" spans="1:9" ht="12.75" customHeight="1">
      <c r="A849" s="93"/>
      <c r="B849" s="93"/>
      <c r="C849" s="731"/>
      <c r="D849" s="1223"/>
      <c r="E849" s="1223"/>
      <c r="F849" s="1223"/>
      <c r="G849" s="2"/>
      <c r="I849" s="1141"/>
    </row>
    <row r="850" spans="1:9" ht="12.75" customHeight="1">
      <c r="A850" s="93"/>
      <c r="B850" s="93"/>
      <c r="C850" s="731"/>
      <c r="D850" s="1223"/>
      <c r="E850" s="1223"/>
      <c r="F850" s="1223"/>
      <c r="G850" s="2"/>
      <c r="I850" s="1141"/>
    </row>
    <row r="851" spans="1:9" ht="12.75" customHeight="1">
      <c r="A851" s="93"/>
      <c r="B851" s="93"/>
      <c r="C851" s="731"/>
      <c r="D851" s="68"/>
      <c r="E851" s="2"/>
      <c r="F851" s="2"/>
      <c r="G851" s="2"/>
      <c r="I851" s="1141"/>
    </row>
    <row r="852" spans="1:9" ht="12.75" customHeight="1">
      <c r="A852" s="734"/>
      <c r="B852" s="292" t="s">
        <v>314</v>
      </c>
      <c r="C852" s="731"/>
      <c r="D852" s="1276" t="s">
        <v>551</v>
      </c>
      <c r="E852" s="1276"/>
      <c r="F852" s="1276"/>
      <c r="G852" s="2"/>
      <c r="I852" s="1141"/>
    </row>
    <row r="853" spans="1:9" ht="12.75" customHeight="1">
      <c r="A853" s="1152"/>
      <c r="B853" s="734"/>
      <c r="C853" s="731"/>
      <c r="D853" s="1276"/>
      <c r="E853" s="1276"/>
      <c r="F853" s="1276"/>
      <c r="G853" s="2"/>
      <c r="I853" s="1141"/>
    </row>
    <row r="854" spans="1:9" ht="12.75" customHeight="1">
      <c r="A854" s="93"/>
      <c r="B854" s="1152"/>
      <c r="C854" s="731"/>
      <c r="D854" s="1223" t="s">
        <v>552</v>
      </c>
      <c r="E854" s="1223"/>
      <c r="F854" s="1223"/>
      <c r="G854" s="2"/>
      <c r="I854" s="1141"/>
    </row>
    <row r="855" spans="1:9" ht="12.75" customHeight="1">
      <c r="A855" s="93"/>
      <c r="B855" s="93"/>
      <c r="C855" s="731"/>
      <c r="D855" s="1223"/>
      <c r="E855" s="1223"/>
      <c r="F855" s="1223"/>
      <c r="G855" s="2"/>
      <c r="I855" s="1141"/>
    </row>
    <row r="856" spans="1:9" ht="12.75" customHeight="1">
      <c r="A856" s="93"/>
      <c r="B856" s="93"/>
      <c r="C856" s="731"/>
      <c r="D856" s="1223"/>
      <c r="E856" s="1223"/>
      <c r="F856" s="1223"/>
      <c r="G856" s="2"/>
      <c r="I856" s="1141"/>
    </row>
    <row r="857" spans="1:9" ht="12.75" customHeight="1">
      <c r="A857" s="93"/>
      <c r="B857" s="93"/>
      <c r="C857" s="731"/>
      <c r="D857" s="1223"/>
      <c r="E857" s="1223"/>
      <c r="F857" s="1223"/>
      <c r="G857" s="2"/>
      <c r="I857" s="1141"/>
    </row>
    <row r="858" spans="1:9" ht="12.75" customHeight="1">
      <c r="A858" s="93"/>
      <c r="B858" s="93"/>
      <c r="C858" s="731"/>
      <c r="D858" s="1223"/>
      <c r="E858" s="1223"/>
      <c r="F858" s="1223"/>
      <c r="G858" s="2"/>
      <c r="I858" s="1141"/>
    </row>
    <row r="859" spans="1:9" ht="12.75" customHeight="1">
      <c r="A859" s="93"/>
      <c r="B859" s="93"/>
      <c r="C859" s="731"/>
      <c r="D859" s="1223"/>
      <c r="E859" s="1223"/>
      <c r="F859" s="1223"/>
      <c r="G859" s="2"/>
      <c r="I859" s="1141"/>
    </row>
    <row r="860" spans="1:9" ht="12.75" customHeight="1">
      <c r="A860" s="93"/>
      <c r="B860" s="93"/>
      <c r="C860" s="731"/>
      <c r="D860" s="68"/>
      <c r="E860" s="2"/>
      <c r="F860" s="2"/>
      <c r="G860" s="2"/>
      <c r="I860" s="1141"/>
    </row>
    <row r="861" spans="1:9" ht="12.75" customHeight="1">
      <c r="A861" s="93"/>
      <c r="B861" s="292" t="s">
        <v>314</v>
      </c>
      <c r="C861" s="731"/>
      <c r="D861" s="1223" t="s">
        <v>553</v>
      </c>
      <c r="E861" s="1223"/>
      <c r="F861" s="1223"/>
      <c r="G861" s="2"/>
      <c r="I861" s="1141" t="s">
        <v>554</v>
      </c>
    </row>
    <row r="862" spans="1:9" ht="12.75" customHeight="1">
      <c r="A862" s="93"/>
      <c r="B862" s="93"/>
      <c r="C862" s="731"/>
      <c r="D862" s="1223" t="s">
        <v>555</v>
      </c>
      <c r="E862" s="1223"/>
      <c r="F862" s="1223"/>
      <c r="G862" s="2"/>
      <c r="I862" s="1141"/>
    </row>
    <row r="863" spans="1:9" ht="12.75" customHeight="1">
      <c r="A863" s="93"/>
      <c r="B863" s="93"/>
      <c r="C863" s="731"/>
      <c r="E863" s="767" t="s">
        <v>384</v>
      </c>
      <c r="F863" s="1130"/>
      <c r="G863" s="2"/>
      <c r="I863" s="1141"/>
    </row>
    <row r="864" spans="1:9" ht="12.75" customHeight="1">
      <c r="A864" s="93"/>
      <c r="B864" s="93"/>
      <c r="C864" s="731"/>
      <c r="D864" s="68"/>
      <c r="E864" s="2"/>
      <c r="F864" s="2"/>
      <c r="G864" s="2"/>
      <c r="I864" s="1141"/>
    </row>
    <row r="865" spans="1:9" ht="12.75" customHeight="1">
      <c r="A865" s="93"/>
      <c r="B865" s="292" t="s">
        <v>314</v>
      </c>
      <c r="C865" s="731"/>
      <c r="D865" s="1223" t="s">
        <v>556</v>
      </c>
      <c r="E865" s="1223"/>
      <c r="F865" s="1223"/>
      <c r="G865" s="2"/>
      <c r="I865" s="1141" t="s">
        <v>557</v>
      </c>
    </row>
    <row r="866" spans="1:9" ht="12.75" customHeight="1">
      <c r="A866" s="93"/>
      <c r="B866" s="93"/>
      <c r="C866" s="731"/>
      <c r="D866" s="1223"/>
      <c r="E866" s="1223"/>
      <c r="F866" s="1223"/>
      <c r="G866" s="2"/>
      <c r="I866" s="1141"/>
    </row>
    <row r="867" spans="1:9" ht="12.75" customHeight="1">
      <c r="A867" s="93"/>
      <c r="B867" s="93"/>
      <c r="C867" s="731"/>
      <c r="D867" s="1223"/>
      <c r="E867" s="1223"/>
      <c r="F867" s="1223"/>
      <c r="G867" s="2"/>
      <c r="I867" s="1141"/>
    </row>
    <row r="868" spans="1:9" ht="12.75" customHeight="1">
      <c r="A868" s="93"/>
      <c r="B868" s="93"/>
      <c r="C868" s="731"/>
      <c r="D868" s="1223"/>
      <c r="E868" s="1223"/>
      <c r="F868" s="1223"/>
      <c r="G868" s="2"/>
      <c r="I868" s="1141"/>
    </row>
    <row r="869" spans="1:9" ht="12.75" customHeight="1">
      <c r="A869" s="91"/>
      <c r="B869" s="91"/>
      <c r="C869" s="91"/>
      <c r="D869" s="68"/>
      <c r="E869" s="2"/>
      <c r="F869" s="2"/>
      <c r="G869" s="2"/>
      <c r="I869" s="1141"/>
    </row>
    <row r="870" spans="1:9" ht="12.75" customHeight="1">
      <c r="A870" s="1125" t="s">
        <v>558</v>
      </c>
      <c r="B870" s="1125"/>
      <c r="C870" s="1177"/>
      <c r="D870" s="1177"/>
      <c r="E870" s="1177"/>
      <c r="F870" s="1177"/>
      <c r="G870" s="1177"/>
      <c r="H870" s="759"/>
      <c r="I870" s="869"/>
    </row>
    <row r="871" spans="1:9" ht="12.75" customHeight="1">
      <c r="A871" s="91"/>
      <c r="B871" s="91"/>
      <c r="C871" s="91"/>
      <c r="D871" s="735"/>
      <c r="E871" s="2"/>
      <c r="F871" s="2"/>
      <c r="G871" s="2"/>
      <c r="I871" s="1141"/>
    </row>
    <row r="872" spans="1:9" ht="12.75" customHeight="1">
      <c r="A872" s="1152"/>
      <c r="B872" s="1152"/>
      <c r="C872" s="92"/>
      <c r="D872" s="1285" t="s">
        <v>559</v>
      </c>
      <c r="E872" s="1285"/>
      <c r="F872" s="1285"/>
      <c r="G872" s="730"/>
      <c r="I872" s="1141"/>
    </row>
    <row r="873" spans="1:9" ht="12.75" customHeight="1">
      <c r="A873" s="1152"/>
      <c r="B873" s="1152"/>
      <c r="C873" s="92"/>
      <c r="D873" s="1280" t="s">
        <v>560</v>
      </c>
      <c r="E873" s="1280"/>
      <c r="F873" s="1280"/>
      <c r="G873" s="730"/>
      <c r="I873" s="1141"/>
    </row>
    <row r="874" spans="1:9" ht="12.75" customHeight="1">
      <c r="A874" s="1152"/>
      <c r="B874" s="1152"/>
      <c r="C874" s="92"/>
      <c r="D874" s="1136"/>
      <c r="E874" s="1136"/>
      <c r="F874" s="1136"/>
      <c r="G874" s="730"/>
      <c r="I874" s="1141"/>
    </row>
    <row r="875" spans="1:9" ht="12.75" customHeight="1">
      <c r="A875" s="93"/>
      <c r="B875" s="292" t="s">
        <v>309</v>
      </c>
      <c r="C875" s="1152"/>
      <c r="D875" s="1263" t="s">
        <v>561</v>
      </c>
      <c r="E875" s="1263"/>
      <c r="F875" s="1263"/>
      <c r="G875" s="730"/>
      <c r="I875" s="1141" t="s">
        <v>554</v>
      </c>
    </row>
    <row r="876" spans="1:9" ht="12.75" customHeight="1">
      <c r="A876" s="1152"/>
      <c r="B876" s="1152"/>
      <c r="C876" s="1152"/>
      <c r="D876" s="1" t="s">
        <v>355</v>
      </c>
      <c r="E876" s="767" t="s">
        <v>384</v>
      </c>
      <c r="F876" s="768"/>
      <c r="G876" s="730"/>
      <c r="I876" s="1141"/>
    </row>
    <row r="877" spans="1:9" ht="12.75" customHeight="1">
      <c r="A877" s="1152"/>
      <c r="B877" s="1152"/>
      <c r="C877" s="1152"/>
      <c r="D877" s="68"/>
      <c r="E877" s="730"/>
      <c r="F877" s="730"/>
      <c r="G877" s="730"/>
      <c r="I877" s="1141"/>
    </row>
    <row r="878" spans="1:9" ht="12.75" customHeight="1">
      <c r="A878" s="93"/>
      <c r="B878" s="292" t="s">
        <v>309</v>
      </c>
      <c r="C878" s="1152"/>
      <c r="D878" s="1223" t="s">
        <v>562</v>
      </c>
      <c r="E878" s="1273"/>
      <c r="F878" s="1273"/>
      <c r="G878" s="2"/>
      <c r="I878" s="1141" t="s">
        <v>557</v>
      </c>
    </row>
    <row r="879" spans="1:9" ht="12.75" customHeight="1">
      <c r="A879" s="1152"/>
      <c r="B879" s="1152"/>
      <c r="C879" s="1152"/>
      <c r="D879" s="1273"/>
      <c r="E879" s="1273"/>
      <c r="F879" s="1273"/>
      <c r="G879" s="2"/>
      <c r="I879" s="1141"/>
    </row>
    <row r="880" spans="1:9" ht="12.75" customHeight="1">
      <c r="A880" s="1152"/>
      <c r="B880" s="1152"/>
      <c r="C880" s="1152"/>
      <c r="D880" s="68"/>
      <c r="E880" s="2"/>
      <c r="F880" s="2"/>
      <c r="G880" s="2"/>
      <c r="I880" s="1141"/>
    </row>
    <row r="881" spans="1:9" ht="12.75" customHeight="1">
      <c r="A881" s="1152"/>
      <c r="B881" s="292" t="s">
        <v>314</v>
      </c>
      <c r="C881" s="1152"/>
      <c r="D881" s="1274" t="s">
        <v>563</v>
      </c>
      <c r="E881" s="1274"/>
      <c r="F881" s="1274"/>
      <c r="G881" s="730"/>
      <c r="I881" s="1141"/>
    </row>
    <row r="882" spans="1:9" ht="12.75" customHeight="1">
      <c r="A882" s="1152"/>
      <c r="B882" s="736"/>
      <c r="C882" s="1152"/>
      <c r="D882" s="1274"/>
      <c r="E882" s="1274"/>
      <c r="F882" s="1274"/>
      <c r="G882" s="730"/>
      <c r="I882" s="1141"/>
    </row>
    <row r="883" spans="1:9" ht="12.75" customHeight="1">
      <c r="A883" s="93"/>
      <c r="B883"/>
      <c r="C883" s="1152"/>
      <c r="D883" s="1223" t="s">
        <v>552</v>
      </c>
      <c r="E883" s="1223"/>
      <c r="F883" s="1223"/>
      <c r="G883" s="730"/>
      <c r="I883" s="1141"/>
    </row>
    <row r="884" spans="1:9" ht="12.75" customHeight="1">
      <c r="A884" s="93"/>
      <c r="B884" s="93"/>
      <c r="C884" s="1152"/>
      <c r="D884" s="1223"/>
      <c r="E884" s="1223"/>
      <c r="F884" s="1223"/>
      <c r="G884" s="730"/>
      <c r="I884" s="1141"/>
    </row>
    <row r="885" spans="1:9" ht="12.75" customHeight="1">
      <c r="A885" s="93"/>
      <c r="B885" s="93"/>
      <c r="C885" s="1152"/>
      <c r="D885" s="1223"/>
      <c r="E885" s="1223"/>
      <c r="F885" s="1223"/>
      <c r="G885" s="730"/>
      <c r="I885" s="1141"/>
    </row>
    <row r="886" spans="1:9" ht="12.75" customHeight="1">
      <c r="A886" s="93"/>
      <c r="B886" s="93"/>
      <c r="C886" s="1152"/>
      <c r="D886" s="1223"/>
      <c r="E886" s="1223"/>
      <c r="F886" s="1223"/>
      <c r="G886" s="730"/>
      <c r="I886" s="1141"/>
    </row>
    <row r="887" spans="1:9" ht="12.75" customHeight="1">
      <c r="A887" s="93"/>
      <c r="B887" s="93"/>
      <c r="C887" s="1152"/>
      <c r="D887" s="1223"/>
      <c r="E887" s="1223"/>
      <c r="F887" s="1223"/>
      <c r="G887" s="730"/>
      <c r="I887" s="1141"/>
    </row>
    <row r="888" spans="1:9" ht="12.75" customHeight="1">
      <c r="A888" s="93"/>
      <c r="B888" s="93"/>
      <c r="C888" s="1152"/>
      <c r="D888" s="1223"/>
      <c r="E888" s="1223"/>
      <c r="F888" s="1223"/>
      <c r="G888" s="730"/>
      <c r="I888" s="1141"/>
    </row>
    <row r="889" spans="1:9" ht="12.75" customHeight="1">
      <c r="A889" s="93"/>
      <c r="B889" s="93"/>
      <c r="C889" s="1152"/>
      <c r="D889" s="68"/>
      <c r="E889" s="730"/>
      <c r="F889" s="730"/>
      <c r="G889" s="730"/>
      <c r="I889" s="1141"/>
    </row>
    <row r="890" spans="1:9" ht="12.75" customHeight="1">
      <c r="A890" s="93"/>
      <c r="B890" s="292" t="s">
        <v>314</v>
      </c>
      <c r="C890" s="1152"/>
      <c r="D890" s="1264" t="s">
        <v>553</v>
      </c>
      <c r="E890" s="1264"/>
      <c r="F890" s="1264"/>
      <c r="G890" s="730"/>
      <c r="I890" s="1141"/>
    </row>
    <row r="891" spans="1:9" ht="12.75" customHeight="1">
      <c r="A891" s="93"/>
      <c r="B891" s="93"/>
      <c r="C891" s="1152"/>
      <c r="D891" s="1264" t="s">
        <v>555</v>
      </c>
      <c r="E891" s="1264"/>
      <c r="F891" s="1264"/>
      <c r="G891" s="730"/>
      <c r="I891" s="1141"/>
    </row>
    <row r="892" spans="1:9" ht="12.75" customHeight="1">
      <c r="A892" s="93"/>
      <c r="B892" s="93"/>
      <c r="C892" s="1152"/>
      <c r="D892" s="1" t="s">
        <v>564</v>
      </c>
      <c r="E892" s="767" t="s">
        <v>384</v>
      </c>
      <c r="F892" s="769"/>
      <c r="G892" s="730"/>
      <c r="I892" s="1141"/>
    </row>
    <row r="893" spans="1:9" ht="12.75" customHeight="1">
      <c r="A893" s="93"/>
      <c r="B893" s="93"/>
      <c r="C893" s="1152"/>
      <c r="D893" s="68"/>
      <c r="E893" s="730"/>
      <c r="F893" s="730"/>
      <c r="G893" s="730"/>
      <c r="I893" s="1141"/>
    </row>
    <row r="894" spans="1:9" ht="12.75" customHeight="1">
      <c r="A894" s="93"/>
      <c r="B894" s="292" t="s">
        <v>314</v>
      </c>
      <c r="C894" s="1152"/>
      <c r="D894" s="1223" t="s">
        <v>556</v>
      </c>
      <c r="E894" s="1223"/>
      <c r="F894" s="1223"/>
      <c r="G894" s="730"/>
      <c r="I894" s="1141"/>
    </row>
    <row r="895" spans="1:9" ht="12.75" customHeight="1">
      <c r="A895" s="93"/>
      <c r="B895" s="93"/>
      <c r="C895" s="1152"/>
      <c r="D895" s="1223"/>
      <c r="E895" s="1223"/>
      <c r="F895" s="1223"/>
      <c r="G895" s="730"/>
      <c r="I895" s="1141"/>
    </row>
    <row r="896" spans="1:9" ht="12.75" customHeight="1">
      <c r="A896" s="93"/>
      <c r="B896" s="93"/>
      <c r="C896" s="1152"/>
      <c r="D896" s="1223"/>
      <c r="E896" s="1223"/>
      <c r="F896" s="1223"/>
      <c r="G896" s="730"/>
      <c r="I896" s="1141"/>
    </row>
    <row r="897" spans="1:9" ht="12.75" customHeight="1">
      <c r="A897" s="93"/>
      <c r="B897" s="93"/>
      <c r="C897" s="1152"/>
      <c r="D897" s="1223"/>
      <c r="E897" s="1223"/>
      <c r="F897" s="1223"/>
      <c r="G897" s="730"/>
      <c r="I897" s="1141"/>
    </row>
    <row r="898" spans="1:9" ht="12.75" customHeight="1">
      <c r="A898" s="68"/>
      <c r="B898" s="68"/>
      <c r="C898" s="731"/>
      <c r="D898" s="730"/>
      <c r="E898" s="730"/>
      <c r="F898" s="730"/>
      <c r="G898" s="730"/>
      <c r="I898" s="1141"/>
    </row>
    <row r="899" spans="1:9" ht="12.75" customHeight="1">
      <c r="A899" s="1272" t="s">
        <v>565</v>
      </c>
      <c r="B899" s="1272"/>
      <c r="C899" s="1272"/>
      <c r="D899" s="1272"/>
      <c r="E899" s="1272"/>
      <c r="F899" s="1272"/>
      <c r="G899" s="1272"/>
      <c r="H899" s="759"/>
      <c r="I899" s="869"/>
    </row>
    <row r="900" spans="1:9" ht="12.75" customHeight="1">
      <c r="A900" s="38"/>
      <c r="B900" s="38"/>
      <c r="C900" s="38"/>
      <c r="D900" s="38"/>
      <c r="E900" s="38"/>
      <c r="F900" s="38"/>
      <c r="G900" s="38"/>
      <c r="I900" s="1141"/>
    </row>
    <row r="901" spans="1:9" ht="12.75" customHeight="1">
      <c r="A901" s="38"/>
      <c r="B901" s="38"/>
      <c r="C901" s="38"/>
      <c r="D901" s="1288" t="s">
        <v>566</v>
      </c>
      <c r="E901" s="1288"/>
      <c r="F901" s="1288"/>
      <c r="G901" s="38"/>
      <c r="I901" s="1141"/>
    </row>
    <row r="902" spans="1:9" ht="12.75" customHeight="1">
      <c r="A902" s="38"/>
      <c r="B902" s="38"/>
      <c r="C902" s="38"/>
      <c r="D902" s="1123"/>
      <c r="E902" s="1123"/>
      <c r="F902" s="1123"/>
      <c r="G902" s="38"/>
      <c r="I902" s="1141"/>
    </row>
    <row r="903" spans="1:9" ht="12.75" customHeight="1">
      <c r="A903" s="38"/>
      <c r="B903" s="292" t="s">
        <v>309</v>
      </c>
      <c r="C903" s="38"/>
      <c r="D903" s="1124" t="s">
        <v>567</v>
      </c>
      <c r="E903" s="1123"/>
      <c r="F903" s="1123"/>
      <c r="G903" s="38"/>
      <c r="I903" s="1141"/>
    </row>
    <row r="904" spans="1:9" ht="12.75" customHeight="1">
      <c r="A904" s="38"/>
      <c r="B904" s="38"/>
      <c r="C904" s="38"/>
      <c r="D904" s="1123"/>
      <c r="E904" s="1123"/>
      <c r="F904" s="1123"/>
      <c r="G904" s="38"/>
      <c r="I904" s="1141"/>
    </row>
    <row r="905" spans="1:9" ht="12.75" customHeight="1">
      <c r="A905" s="1152"/>
      <c r="B905" s="1152"/>
      <c r="C905" s="731"/>
      <c r="D905" s="1288" t="s">
        <v>568</v>
      </c>
      <c r="E905" s="1288"/>
      <c r="F905" s="1288"/>
      <c r="G905" s="730"/>
      <c r="I905" s="1141"/>
    </row>
    <row r="906" spans="1:9" ht="12.75" customHeight="1">
      <c r="A906" s="91"/>
      <c r="B906" s="91"/>
      <c r="C906" s="91"/>
      <c r="D906" s="1263" t="s">
        <v>569</v>
      </c>
      <c r="E906" s="1263"/>
      <c r="F906" s="1263"/>
      <c r="G906" s="730"/>
      <c r="I906" s="1141"/>
    </row>
    <row r="907" spans="1:9" ht="12.75" customHeight="1">
      <c r="A907" s="731"/>
      <c r="B907" s="731"/>
      <c r="C907" s="731"/>
      <c r="D907" s="1"/>
      <c r="E907" s="730"/>
      <c r="F907" s="730"/>
      <c r="G907" s="730"/>
      <c r="I907" s="1141"/>
    </row>
    <row r="908" spans="1:9" ht="12.75" customHeight="1">
      <c r="A908" s="93"/>
      <c r="B908" s="292" t="s">
        <v>309</v>
      </c>
      <c r="C908" s="1152"/>
      <c r="D908" s="1223" t="s">
        <v>570</v>
      </c>
      <c r="E908" s="1223"/>
      <c r="F908" s="1223"/>
      <c r="G908" s="2"/>
      <c r="I908" s="1141"/>
    </row>
    <row r="909" spans="1:9" ht="12.75" customHeight="1">
      <c r="A909" s="1152"/>
      <c r="B909" s="1152"/>
      <c r="C909" s="1152"/>
      <c r="D909" s="1223"/>
      <c r="E909" s="1223"/>
      <c r="F909" s="1223"/>
      <c r="G909" s="2"/>
      <c r="I909" s="1141"/>
    </row>
    <row r="910" spans="1:9" ht="12.75" customHeight="1">
      <c r="A910" s="91"/>
      <c r="B910" s="91"/>
      <c r="C910" s="91"/>
      <c r="D910" s="1223" t="s">
        <v>571</v>
      </c>
      <c r="E910" s="1223"/>
      <c r="F910" s="1223"/>
      <c r="G910" s="730"/>
      <c r="I910" s="1141"/>
    </row>
    <row r="911" spans="1:9" ht="12.75" customHeight="1">
      <c r="A911" s="91"/>
      <c r="B911" s="91"/>
      <c r="C911" s="91"/>
      <c r="D911" s="1223"/>
      <c r="E911" s="1223"/>
      <c r="F911" s="1223"/>
      <c r="G911" s="730"/>
      <c r="I911" s="1141"/>
    </row>
    <row r="912" spans="1:9" ht="12.75" customHeight="1">
      <c r="A912" s="91"/>
      <c r="B912" s="91"/>
      <c r="C912" s="91"/>
      <c r="D912" s="2"/>
      <c r="E912" s="2"/>
      <c r="F912" s="730"/>
      <c r="G912" s="730"/>
      <c r="I912" s="1141"/>
    </row>
    <row r="913" spans="1:9" ht="12.75" customHeight="1">
      <c r="A913" s="93"/>
      <c r="B913" s="292" t="s">
        <v>309</v>
      </c>
      <c r="C913" s="92"/>
      <c r="D913" s="1227" t="s">
        <v>572</v>
      </c>
      <c r="E913" s="1227"/>
      <c r="F913" s="1227"/>
      <c r="G913" s="730"/>
      <c r="I913" s="1141"/>
    </row>
    <row r="914" spans="1:9" ht="12.75" customHeight="1">
      <c r="A914" s="93"/>
      <c r="B914" s="93"/>
      <c r="C914" s="92"/>
      <c r="D914" s="1227"/>
      <c r="E914" s="1227"/>
      <c r="F914" s="1227"/>
      <c r="G914" s="730"/>
      <c r="I914" s="1141"/>
    </row>
    <row r="915" spans="1:9" ht="12.75" customHeight="1">
      <c r="A915" s="93"/>
      <c r="B915" s="93"/>
      <c r="C915" s="92"/>
      <c r="D915" s="1227"/>
      <c r="E915" s="1227"/>
      <c r="F915" s="1227"/>
      <c r="G915" s="730"/>
      <c r="I915" s="1141"/>
    </row>
    <row r="916" spans="1:9" ht="12.75" customHeight="1">
      <c r="A916" s="93"/>
      <c r="B916" s="93"/>
      <c r="C916" s="92"/>
      <c r="D916" s="1227"/>
      <c r="E916" s="1227"/>
      <c r="F916" s="1227"/>
      <c r="G916" s="730"/>
      <c r="I916" s="1141"/>
    </row>
    <row r="917" spans="1:9" ht="12.75" customHeight="1">
      <c r="A917" s="93"/>
      <c r="B917" s="93"/>
      <c r="C917" s="92"/>
      <c r="D917" s="1227"/>
      <c r="E917" s="1227"/>
      <c r="F917" s="1227"/>
      <c r="G917" s="730"/>
      <c r="I917" s="1141"/>
    </row>
    <row r="918" spans="1:9" ht="12.75" customHeight="1">
      <c r="A918" s="92"/>
      <c r="B918" s="92"/>
      <c r="C918" s="92"/>
      <c r="D918" s="1227"/>
      <c r="E918" s="1227"/>
      <c r="F918" s="1227"/>
      <c r="G918" s="730"/>
      <c r="I918" s="1141"/>
    </row>
    <row r="919" spans="1:9" ht="12.75" customHeight="1">
      <c r="A919" s="92"/>
      <c r="B919" s="92"/>
      <c r="C919" s="92"/>
      <c r="D919" s="1227"/>
      <c r="E919" s="1227"/>
      <c r="F919" s="1227"/>
      <c r="G919" s="730"/>
      <c r="I919" s="1141"/>
    </row>
    <row r="920" spans="1:9" ht="12.75" customHeight="1">
      <c r="A920" s="92"/>
      <c r="B920" s="92"/>
      <c r="C920" s="92"/>
      <c r="D920" s="1227"/>
      <c r="E920" s="1227"/>
      <c r="F920" s="1227"/>
      <c r="G920" s="730"/>
      <c r="I920" s="1141"/>
    </row>
    <row r="921" spans="1:9" ht="12.75" customHeight="1">
      <c r="A921" s="92"/>
      <c r="B921" s="92"/>
      <c r="C921" s="92"/>
      <c r="D921" s="1119"/>
      <c r="E921" s="1119"/>
      <c r="F921" s="1119"/>
      <c r="G921" s="730"/>
      <c r="I921" s="1141"/>
    </row>
    <row r="922" spans="1:9" ht="12.75" customHeight="1">
      <c r="A922" s="731"/>
      <c r="B922" s="292" t="s">
        <v>314</v>
      </c>
      <c r="C922" s="731"/>
      <c r="D922" s="1223" t="s">
        <v>573</v>
      </c>
      <c r="E922" s="1223"/>
      <c r="F922" s="1223"/>
      <c r="G922" s="730"/>
      <c r="I922" s="1141"/>
    </row>
    <row r="923" spans="1:9" ht="12.75" customHeight="1">
      <c r="A923" s="731"/>
      <c r="B923" s="731"/>
      <c r="C923" s="731"/>
      <c r="D923" s="1223"/>
      <c r="E923" s="1223"/>
      <c r="F923" s="1223"/>
      <c r="G923" s="730"/>
      <c r="I923" s="1141"/>
    </row>
    <row r="924" spans="1:9" ht="12.75" customHeight="1">
      <c r="A924" s="731"/>
      <c r="B924" s="731"/>
      <c r="C924" s="731"/>
      <c r="D924" s="730"/>
      <c r="E924" s="730"/>
      <c r="F924" s="730"/>
      <c r="G924" s="730"/>
      <c r="I924" s="1141"/>
    </row>
    <row r="925" spans="1:9" ht="12.75" customHeight="1">
      <c r="A925" s="731"/>
      <c r="B925" s="292" t="s">
        <v>314</v>
      </c>
      <c r="C925" s="731"/>
      <c r="D925" s="1251" t="s">
        <v>574</v>
      </c>
      <c r="E925" s="1251"/>
      <c r="F925" s="1251"/>
      <c r="G925" s="730"/>
      <c r="I925" s="1141"/>
    </row>
    <row r="926" spans="1:9" ht="12.75" customHeight="1">
      <c r="A926" s="731"/>
      <c r="B926" s="731"/>
      <c r="C926" s="731"/>
      <c r="D926" s="1251"/>
      <c r="E926" s="1251"/>
      <c r="F926" s="1251"/>
      <c r="G926" s="730"/>
      <c r="I926" s="1141"/>
    </row>
    <row r="927" spans="1:9" ht="12.75" customHeight="1">
      <c r="A927" s="731"/>
      <c r="B927" s="731"/>
      <c r="C927" s="731"/>
      <c r="D927" s="1251"/>
      <c r="E927" s="1251"/>
      <c r="F927" s="1251"/>
      <c r="G927" s="730"/>
      <c r="I927" s="1141"/>
    </row>
    <row r="928" spans="1:9" ht="12.75" customHeight="1">
      <c r="A928" s="731"/>
      <c r="B928" s="731"/>
      <c r="C928" s="731"/>
      <c r="D928" s="1251"/>
      <c r="E928" s="1251"/>
      <c r="F928" s="1251"/>
      <c r="G928" s="730"/>
      <c r="I928" s="1141"/>
    </row>
    <row r="929" spans="1:9" ht="12.75" customHeight="1">
      <c r="A929" s="731"/>
      <c r="B929" s="731"/>
      <c r="C929" s="731"/>
      <c r="D929" s="68"/>
      <c r="E929" s="730"/>
      <c r="F929" s="730"/>
      <c r="G929" s="730"/>
      <c r="I929" s="1141"/>
    </row>
    <row r="930" spans="1:9" ht="12.75" customHeight="1">
      <c r="A930" s="731"/>
      <c r="B930" s="292" t="s">
        <v>314</v>
      </c>
      <c r="C930" s="731"/>
      <c r="D930" s="1263" t="s">
        <v>575</v>
      </c>
      <c r="E930" s="1263"/>
      <c r="F930" s="1263"/>
      <c r="G930" s="730"/>
      <c r="I930" s="1141"/>
    </row>
    <row r="931" spans="1:9" ht="12.75" customHeight="1">
      <c r="A931" s="731"/>
      <c r="B931" s="731"/>
      <c r="C931" s="731"/>
      <c r="D931" s="68"/>
      <c r="E931" s="730"/>
      <c r="F931" s="730"/>
      <c r="G931" s="730"/>
      <c r="I931" s="1141"/>
    </row>
    <row r="932" spans="1:9" ht="12.75" customHeight="1">
      <c r="A932" s="731"/>
      <c r="B932" s="292" t="s">
        <v>314</v>
      </c>
      <c r="C932" s="731"/>
      <c r="D932" s="1263" t="s">
        <v>576</v>
      </c>
      <c r="E932" s="1263"/>
      <c r="F932" s="1263"/>
      <c r="G932" s="730"/>
      <c r="I932" s="1141"/>
    </row>
    <row r="933" spans="1:9" ht="12.75" customHeight="1">
      <c r="A933" s="92"/>
      <c r="B933" s="92"/>
      <c r="C933" s="92"/>
      <c r="D933" s="1"/>
      <c r="E933" s="2"/>
      <c r="F933" s="730"/>
      <c r="G933" s="730"/>
      <c r="I933" s="1141"/>
    </row>
    <row r="934" spans="1:9" ht="12.75" customHeight="1">
      <c r="A934" s="737"/>
      <c r="B934" s="292" t="s">
        <v>314</v>
      </c>
      <c r="C934" s="738"/>
      <c r="D934" s="1227" t="s">
        <v>577</v>
      </c>
      <c r="E934" s="1227"/>
      <c r="F934" s="1227"/>
      <c r="G934" s="739"/>
      <c r="I934" s="1141"/>
    </row>
    <row r="935" spans="1:9" ht="12.75" customHeight="1">
      <c r="A935" s="737"/>
      <c r="B935" s="737"/>
      <c r="C935" s="738"/>
      <c r="D935" s="1227"/>
      <c r="E935" s="1227"/>
      <c r="F935" s="1227"/>
      <c r="G935" s="739"/>
      <c r="I935" s="1141"/>
    </row>
    <row r="936" spans="1:9" ht="12.75" customHeight="1">
      <c r="A936" s="737"/>
      <c r="B936" s="737"/>
      <c r="C936" s="738"/>
      <c r="D936" s="1227"/>
      <c r="E936" s="1227"/>
      <c r="F936" s="1227"/>
      <c r="G936" s="739"/>
      <c r="I936" s="1141"/>
    </row>
    <row r="937" spans="1:9" ht="12.75" customHeight="1">
      <c r="A937" s="737"/>
      <c r="B937" s="737"/>
      <c r="C937" s="738"/>
      <c r="D937" s="1227"/>
      <c r="E937" s="1227"/>
      <c r="F937" s="1227"/>
      <c r="G937" s="739"/>
      <c r="I937" s="1141"/>
    </row>
    <row r="938" spans="1:9" ht="12.75" customHeight="1">
      <c r="A938" s="737"/>
      <c r="B938" s="737"/>
      <c r="C938" s="738"/>
      <c r="D938" s="1227"/>
      <c r="E938" s="1227"/>
      <c r="F938" s="1227"/>
      <c r="G938" s="739"/>
      <c r="I938" s="1141"/>
    </row>
    <row r="939" spans="1:9" ht="12.75" customHeight="1">
      <c r="A939" s="737"/>
      <c r="B939" s="737"/>
      <c r="C939" s="738"/>
      <c r="D939" s="1227"/>
      <c r="E939" s="1227"/>
      <c r="F939" s="1227"/>
      <c r="G939" s="739"/>
      <c r="I939" s="1141"/>
    </row>
    <row r="940" spans="1:9" ht="12.75" customHeight="1">
      <c r="A940" s="737"/>
      <c r="B940" s="737"/>
      <c r="C940" s="738"/>
      <c r="D940" s="1227"/>
      <c r="E940" s="1227"/>
      <c r="F940" s="1227"/>
      <c r="G940" s="739"/>
      <c r="I940" s="1141"/>
    </row>
    <row r="941" spans="1:9" ht="12.75" customHeight="1">
      <c r="A941" s="737"/>
      <c r="B941" s="737"/>
      <c r="C941" s="738"/>
      <c r="D941" s="1227"/>
      <c r="E941" s="1227"/>
      <c r="F941" s="1227"/>
      <c r="G941" s="739"/>
      <c r="I941" s="1141"/>
    </row>
    <row r="942" spans="1:9" ht="12.75" customHeight="1">
      <c r="A942" s="737"/>
      <c r="B942" s="737"/>
      <c r="C942" s="738"/>
      <c r="D942" s="1227"/>
      <c r="E942" s="1227"/>
      <c r="F942" s="1227"/>
      <c r="G942" s="739"/>
      <c r="I942" s="1141"/>
    </row>
    <row r="943" spans="1:9" ht="12.75" customHeight="1">
      <c r="A943" s="92"/>
      <c r="B943" s="92"/>
      <c r="C943" s="92"/>
      <c r="D943" s="1"/>
      <c r="E943" s="2"/>
      <c r="F943" s="730"/>
      <c r="G943" s="730"/>
      <c r="I943" s="1141"/>
    </row>
    <row r="944" spans="1:9" ht="12.75" customHeight="1">
      <c r="A944" s="93"/>
      <c r="B944" s="292" t="s">
        <v>309</v>
      </c>
      <c r="C944" s="92"/>
      <c r="D944" s="1282" t="s">
        <v>578</v>
      </c>
      <c r="E944" s="1282"/>
      <c r="F944" s="1282"/>
      <c r="G944" s="730"/>
      <c r="I944" s="1141"/>
    </row>
    <row r="945" spans="1:9" ht="12.75" customHeight="1">
      <c r="A945" s="93"/>
      <c r="B945" s="93"/>
      <c r="C945" s="92"/>
      <c r="D945" s="1282"/>
      <c r="E945" s="1282"/>
      <c r="F945" s="1282"/>
      <c r="G945" s="730"/>
      <c r="I945" s="1141"/>
    </row>
    <row r="946" spans="1:9" ht="12.75" customHeight="1">
      <c r="A946" s="93"/>
      <c r="B946" s="93"/>
      <c r="C946" s="92"/>
      <c r="D946" s="1282"/>
      <c r="E946" s="1282"/>
      <c r="F946" s="1282"/>
      <c r="G946" s="730"/>
      <c r="I946" s="1141"/>
    </row>
    <row r="947" spans="1:9" ht="12.75" customHeight="1">
      <c r="A947" s="93"/>
      <c r="B947" s="93"/>
      <c r="C947" s="92"/>
      <c r="D947" s="1282"/>
      <c r="E947" s="1282"/>
      <c r="F947" s="1282"/>
      <c r="G947" s="730"/>
      <c r="I947" s="1141"/>
    </row>
    <row r="948" spans="1:9" ht="12.75" customHeight="1">
      <c r="A948" s="93"/>
      <c r="B948" s="93"/>
      <c r="C948" s="92"/>
      <c r="D948" s="1282"/>
      <c r="E948" s="1282"/>
      <c r="F948" s="1282"/>
      <c r="G948" s="730"/>
      <c r="I948" s="1141"/>
    </row>
    <row r="949" spans="1:9" ht="12.75" customHeight="1">
      <c r="A949" s="93"/>
      <c r="B949" s="93"/>
      <c r="C949" s="92"/>
      <c r="D949" s="1282"/>
      <c r="E949" s="1282"/>
      <c r="F949" s="1282"/>
      <c r="G949" s="730"/>
      <c r="I949" s="1141"/>
    </row>
    <row r="950" spans="1:9" ht="12.75" customHeight="1">
      <c r="A950" s="93"/>
      <c r="B950" s="93"/>
      <c r="C950" s="92"/>
      <c r="D950" s="1282"/>
      <c r="E950" s="1282"/>
      <c r="F950" s="1282"/>
      <c r="G950" s="730"/>
      <c r="I950" s="1141"/>
    </row>
    <row r="951" spans="1:9" ht="12.75" customHeight="1">
      <c r="A951" s="93"/>
      <c r="B951" s="93"/>
      <c r="C951" s="92"/>
      <c r="D951" s="1131"/>
      <c r="E951" s="1131"/>
      <c r="F951" s="1131"/>
      <c r="G951" s="730"/>
      <c r="I951" s="1141"/>
    </row>
    <row r="952" spans="1:9" ht="12.75" customHeight="1">
      <c r="A952" s="93"/>
      <c r="B952" s="292" t="s">
        <v>314</v>
      </c>
      <c r="C952" s="92"/>
      <c r="D952" s="1226" t="s">
        <v>579</v>
      </c>
      <c r="E952" s="1226"/>
      <c r="F952" s="1226"/>
      <c r="G952" s="730"/>
      <c r="I952" s="1141"/>
    </row>
    <row r="953" spans="1:9" ht="12.75" customHeight="1">
      <c r="A953" s="93"/>
      <c r="B953" s="93"/>
      <c r="C953" s="92"/>
      <c r="D953" s="1226"/>
      <c r="E953" s="1226"/>
      <c r="F953" s="1226"/>
      <c r="G953" s="730"/>
      <c r="I953" s="1141"/>
    </row>
    <row r="954" spans="1:9" ht="12.75" customHeight="1">
      <c r="A954" s="93"/>
      <c r="B954" s="93"/>
      <c r="C954" s="92"/>
      <c r="D954" s="1226"/>
      <c r="E954" s="1226"/>
      <c r="F954" s="1226"/>
      <c r="G954" s="730"/>
      <c r="I954" s="1141"/>
    </row>
    <row r="955" spans="1:9" ht="12.75" customHeight="1">
      <c r="A955" s="93"/>
      <c r="B955" s="93"/>
      <c r="C955" s="92"/>
      <c r="D955" s="1226"/>
      <c r="E955" s="1226"/>
      <c r="F955" s="1226"/>
      <c r="G955" s="730"/>
      <c r="I955" s="1141"/>
    </row>
    <row r="956" spans="1:9" ht="12.75" customHeight="1">
      <c r="A956" s="93"/>
      <c r="B956" s="93"/>
      <c r="C956" s="92"/>
      <c r="D956" s="1226"/>
      <c r="E956" s="1226"/>
      <c r="F956" s="1226"/>
      <c r="G956" s="730"/>
      <c r="I956" s="1141"/>
    </row>
    <row r="957" spans="1:9" ht="12.75" customHeight="1">
      <c r="A957" s="93"/>
      <c r="B957" s="93"/>
      <c r="C957" s="92"/>
      <c r="D957" s="1226"/>
      <c r="E957" s="1226"/>
      <c r="F957" s="1226"/>
      <c r="G957" s="730"/>
      <c r="I957" s="1141"/>
    </row>
    <row r="958" spans="1:9" ht="12.75" customHeight="1">
      <c r="A958" s="93"/>
      <c r="B958" s="93"/>
      <c r="C958" s="92"/>
      <c r="D958" s="1131"/>
      <c r="E958" s="1131"/>
      <c r="F958" s="1131"/>
      <c r="G958" s="730"/>
      <c r="I958" s="1141"/>
    </row>
    <row r="959" spans="1:9" ht="12.75" customHeight="1">
      <c r="A959" s="731"/>
      <c r="B959" s="292" t="s">
        <v>314</v>
      </c>
      <c r="C959" s="731"/>
      <c r="D959" s="1251" t="s">
        <v>580</v>
      </c>
      <c r="E959" s="1251"/>
      <c r="F959" s="1251"/>
      <c r="G959" s="730"/>
      <c r="I959" s="1141"/>
    </row>
    <row r="960" spans="1:9" ht="12.75" customHeight="1">
      <c r="A960" s="731"/>
      <c r="B960" s="731"/>
      <c r="C960" s="731"/>
      <c r="D960" s="1251"/>
      <c r="E960" s="1251"/>
      <c r="F960" s="1251"/>
      <c r="G960" s="730"/>
      <c r="I960" s="1141"/>
    </row>
    <row r="961" spans="1:9" ht="12.75" customHeight="1">
      <c r="A961" s="731"/>
      <c r="B961" s="731"/>
      <c r="C961" s="731"/>
      <c r="D961" s="1251"/>
      <c r="E961" s="1251"/>
      <c r="F961" s="1251"/>
      <c r="G961" s="730"/>
      <c r="I961" s="1141"/>
    </row>
    <row r="962" spans="1:9" ht="12.75" customHeight="1">
      <c r="A962" s="93"/>
      <c r="B962" s="93"/>
      <c r="C962" s="92"/>
      <c r="D962" s="1131"/>
      <c r="E962" s="1131"/>
      <c r="F962" s="1131"/>
      <c r="G962" s="730"/>
      <c r="I962" s="1141"/>
    </row>
    <row r="963" spans="1:9" ht="12.75" customHeight="1">
      <c r="A963" s="93"/>
      <c r="B963" s="93"/>
      <c r="C963" s="92"/>
      <c r="D963" s="619"/>
      <c r="E963" s="2"/>
      <c r="F963" s="730"/>
      <c r="G963" s="730"/>
      <c r="I963" s="1141"/>
    </row>
    <row r="964" spans="1:9" ht="12.75" customHeight="1">
      <c r="A964" s="93"/>
      <c r="B964" s="292" t="s">
        <v>314</v>
      </c>
      <c r="C964" s="92"/>
      <c r="D964" s="1227" t="s">
        <v>581</v>
      </c>
      <c r="E964" s="1227"/>
      <c r="F964" s="1227"/>
      <c r="G964" s="730"/>
      <c r="I964" s="1141"/>
    </row>
    <row r="965" spans="1:9" ht="12.75" customHeight="1">
      <c r="A965" s="93"/>
      <c r="B965" s="93"/>
      <c r="C965" s="92"/>
      <c r="D965" s="1227"/>
      <c r="E965" s="1227"/>
      <c r="F965" s="1227"/>
      <c r="G965" s="730"/>
      <c r="I965" s="1141"/>
    </row>
    <row r="966" spans="1:9" ht="12.75" customHeight="1">
      <c r="A966" s="93"/>
      <c r="B966" s="93"/>
      <c r="C966" s="92"/>
      <c r="D966" s="1227"/>
      <c r="E966" s="1227"/>
      <c r="F966" s="1227"/>
      <c r="G966" s="730"/>
      <c r="I966" s="1141"/>
    </row>
    <row r="967" spans="1:9" ht="12.75" customHeight="1">
      <c r="A967" s="93"/>
      <c r="B967" s="93"/>
      <c r="C967" s="92"/>
      <c r="D967" s="1227"/>
      <c r="E967" s="1227"/>
      <c r="F967" s="1227"/>
      <c r="G967" s="730"/>
      <c r="I967" s="1141"/>
    </row>
    <row r="968" spans="1:9" ht="12.75" customHeight="1">
      <c r="A968" s="731"/>
      <c r="B968" s="731"/>
      <c r="C968" s="731"/>
      <c r="D968" s="1116"/>
      <c r="E968" s="1116"/>
      <c r="F968" s="1116"/>
      <c r="G968" s="1116"/>
      <c r="I968" s="1141"/>
    </row>
    <row r="969" spans="1:9" ht="12.75" customHeight="1">
      <c r="A969" s="1152"/>
      <c r="B969" s="1152"/>
      <c r="C969" s="1152"/>
      <c r="D969" s="1285" t="s">
        <v>582</v>
      </c>
      <c r="E969" s="1285"/>
      <c r="F969" s="1285"/>
      <c r="G969" s="2"/>
      <c r="I969" s="1141"/>
    </row>
    <row r="970" spans="1:9" ht="12.75" customHeight="1">
      <c r="A970" s="93"/>
      <c r="B970" s="292" t="s">
        <v>314</v>
      </c>
      <c r="C970" s="1152"/>
      <c r="D970" s="1263" t="s">
        <v>583</v>
      </c>
      <c r="E970" s="1263"/>
      <c r="F970" s="1263"/>
      <c r="G970" s="2"/>
      <c r="I970" s="1141"/>
    </row>
    <row r="971" spans="1:9" ht="12.75" customHeight="1">
      <c r="A971" s="1152"/>
      <c r="B971" s="1152"/>
      <c r="C971" s="1152"/>
      <c r="D971" s="2"/>
      <c r="E971" s="2"/>
      <c r="F971" s="2"/>
      <c r="G971" s="2"/>
      <c r="I971" s="1141"/>
    </row>
    <row r="972" spans="1:9" ht="12.75" customHeight="1">
      <c r="A972" s="1152"/>
      <c r="B972" s="1152"/>
      <c r="C972" s="1152"/>
      <c r="D972" s="1285" t="s">
        <v>584</v>
      </c>
      <c r="E972" s="1285"/>
      <c r="F972" s="1285"/>
      <c r="G972"/>
      <c r="I972" s="1141"/>
    </row>
    <row r="973" spans="1:9" ht="12.75" customHeight="1">
      <c r="A973" s="93"/>
      <c r="B973" s="292" t="s">
        <v>309</v>
      </c>
      <c r="C973" s="1152"/>
      <c r="D973" s="1223" t="s">
        <v>585</v>
      </c>
      <c r="E973" s="1223"/>
      <c r="F973" s="1223"/>
      <c r="G973"/>
      <c r="I973" s="1141"/>
    </row>
    <row r="974" spans="1:9" ht="12.75" customHeight="1">
      <c r="A974" s="93"/>
      <c r="B974" s="93"/>
      <c r="C974" s="1152"/>
      <c r="D974" s="1223"/>
      <c r="E974" s="1223"/>
      <c r="F974" s="1223"/>
      <c r="G974"/>
      <c r="I974" s="1141"/>
    </row>
    <row r="975" spans="1:9" ht="12.75" customHeight="1">
      <c r="A975" s="93"/>
      <c r="B975" s="93"/>
      <c r="C975" s="1152"/>
      <c r="D975" s="1223"/>
      <c r="E975" s="1223"/>
      <c r="F975" s="1223"/>
      <c r="G975"/>
      <c r="I975" s="1141"/>
    </row>
    <row r="976" spans="1:9" ht="12.75" customHeight="1">
      <c r="A976" s="93"/>
      <c r="B976" s="93"/>
      <c r="C976" s="1152"/>
      <c r="D976" s="1223"/>
      <c r="E976" s="1223"/>
      <c r="F976" s="1223"/>
      <c r="G976"/>
      <c r="I976" s="1141"/>
    </row>
    <row r="977" spans="1:9" ht="12.75" customHeight="1">
      <c r="A977" s="93"/>
      <c r="B977" s="93"/>
      <c r="C977" s="1152"/>
      <c r="D977" s="1223"/>
      <c r="E977" s="1223"/>
      <c r="F977" s="1223"/>
      <c r="G977"/>
      <c r="I977" s="1141"/>
    </row>
    <row r="978" spans="1:9" ht="12.75" customHeight="1">
      <c r="A978" s="93"/>
      <c r="B978" s="93"/>
      <c r="C978" s="1152"/>
      <c r="D978" s="1223"/>
      <c r="E978" s="1223"/>
      <c r="F978" s="1223"/>
      <c r="G978"/>
      <c r="I978" s="1141"/>
    </row>
    <row r="979" spans="1:9" ht="12.75" customHeight="1">
      <c r="A979" s="93"/>
      <c r="B979" s="93"/>
      <c r="C979" s="1152"/>
      <c r="D979" s="1223"/>
      <c r="E979" s="1223"/>
      <c r="F979" s="1223"/>
      <c r="G979"/>
      <c r="I979" s="1141"/>
    </row>
    <row r="980" spans="1:9" ht="12.75" customHeight="1">
      <c r="A980" s="93"/>
      <c r="B980" s="93"/>
      <c r="C980" s="1152"/>
      <c r="D980" s="1223"/>
      <c r="E980" s="1223"/>
      <c r="F980" s="1223"/>
      <c r="G980"/>
      <c r="I980" s="1141"/>
    </row>
    <row r="981" spans="1:9" ht="12.75" customHeight="1">
      <c r="A981" s="93"/>
      <c r="B981" s="93"/>
      <c r="C981" s="1152"/>
      <c r="D981" s="1223"/>
      <c r="E981" s="1223"/>
      <c r="F981" s="1223"/>
      <c r="G981"/>
      <c r="I981" s="1141"/>
    </row>
    <row r="982" spans="1:9" ht="12.75" customHeight="1">
      <c r="A982" s="93"/>
      <c r="B982" s="93"/>
      <c r="C982" s="1152"/>
      <c r="D982" s="1223"/>
      <c r="E982" s="1223"/>
      <c r="F982" s="1223"/>
      <c r="G982"/>
      <c r="I982" s="1141"/>
    </row>
    <row r="983" spans="1:9" ht="12.75" customHeight="1">
      <c r="A983" s="93"/>
      <c r="B983" s="93"/>
      <c r="C983" s="1152"/>
      <c r="D983" s="1223"/>
      <c r="E983" s="1223"/>
      <c r="F983" s="1223"/>
      <c r="G983"/>
      <c r="I983" s="1141"/>
    </row>
    <row r="984" spans="1:9" ht="12.75" customHeight="1">
      <c r="A984" s="93"/>
      <c r="B984" s="93"/>
      <c r="C984" s="1152"/>
      <c r="D984" s="1223"/>
      <c r="E984" s="1223"/>
      <c r="F984" s="1223"/>
      <c r="G984"/>
      <c r="I984" s="1141"/>
    </row>
    <row r="985" spans="1:9" ht="12.75" customHeight="1">
      <c r="A985" s="93"/>
      <c r="B985" s="93"/>
      <c r="C985" s="1152"/>
      <c r="D985" s="1223"/>
      <c r="E985" s="1223"/>
      <c r="F985" s="1223"/>
      <c r="G985"/>
      <c r="I985" s="1141"/>
    </row>
    <row r="986" spans="1:9" ht="12.75" customHeight="1">
      <c r="A986" s="93"/>
      <c r="B986" s="93"/>
      <c r="C986" s="1152"/>
      <c r="D986" s="1223"/>
      <c r="E986" s="1223"/>
      <c r="F986" s="1223"/>
      <c r="G986"/>
      <c r="I986" s="1141"/>
    </row>
    <row r="987" spans="1:9" ht="12.75" customHeight="1">
      <c r="A987" s="93"/>
      <c r="B987" s="93"/>
      <c r="C987" s="1152"/>
      <c r="D987" s="1223"/>
      <c r="E987" s="1223"/>
      <c r="F987" s="1223"/>
      <c r="G987" s="2"/>
      <c r="I987" s="1141"/>
    </row>
    <row r="988" spans="1:9" ht="12.75" customHeight="1">
      <c r="A988" s="1152"/>
      <c r="B988" s="1152"/>
      <c r="C988" s="1152"/>
      <c r="D988" s="2"/>
      <c r="E988" s="2"/>
      <c r="F988" s="2"/>
      <c r="G988" s="2"/>
      <c r="I988" s="1141"/>
    </row>
    <row r="989" spans="1:9" ht="12.75" customHeight="1">
      <c r="A989" s="1272" t="s">
        <v>586</v>
      </c>
      <c r="B989" s="1272"/>
      <c r="C989" s="1272"/>
      <c r="D989" s="1272"/>
      <c r="E989" s="1272"/>
      <c r="F989" s="1272"/>
      <c r="G989" s="1272"/>
      <c r="H989" s="759"/>
      <c r="I989" s="869"/>
    </row>
    <row r="990" spans="1:9" ht="12.75" customHeight="1">
      <c r="A990" s="68"/>
      <c r="B990" s="68"/>
      <c r="C990" s="1152"/>
      <c r="D990" s="2"/>
      <c r="E990" s="2"/>
      <c r="F990" s="2"/>
      <c r="G990" s="2"/>
      <c r="I990" s="1141"/>
    </row>
    <row r="991" spans="1:9" ht="12.75" customHeight="1">
      <c r="A991" s="1152"/>
      <c r="B991" s="1152"/>
      <c r="C991" s="731"/>
      <c r="D991" s="1285" t="s">
        <v>587</v>
      </c>
      <c r="E991" s="1285"/>
      <c r="F991" s="1285"/>
      <c r="G991" s="2"/>
      <c r="I991" s="1141"/>
    </row>
    <row r="992" spans="1:9" ht="12.75" customHeight="1">
      <c r="A992" s="91"/>
      <c r="B992" s="91"/>
      <c r="C992" s="91"/>
      <c r="D992" s="1263" t="s">
        <v>588</v>
      </c>
      <c r="E992" s="1263"/>
      <c r="F992" s="1263"/>
      <c r="G992" s="2"/>
      <c r="I992" s="1141"/>
    </row>
    <row r="993" spans="1:9" ht="12.75" customHeight="1">
      <c r="A993" s="91"/>
      <c r="B993" s="91"/>
      <c r="C993" s="91"/>
      <c r="D993" s="2"/>
      <c r="E993" s="2"/>
      <c r="F993" s="730"/>
      <c r="G993"/>
      <c r="I993" s="1141"/>
    </row>
    <row r="994" spans="1:9" ht="12.75" customHeight="1">
      <c r="A994" s="1152"/>
      <c r="B994" s="292" t="s">
        <v>309</v>
      </c>
      <c r="C994" s="1152"/>
      <c r="D994" s="1287" t="s">
        <v>589</v>
      </c>
      <c r="E994" s="1287"/>
      <c r="F994" s="1287"/>
      <c r="G994"/>
      <c r="I994" s="1141"/>
    </row>
    <row r="995" spans="1:9" ht="12.75" customHeight="1">
      <c r="A995" s="1152"/>
      <c r="B995" s="1152"/>
      <c r="C995" s="1152"/>
      <c r="D995" s="1287"/>
      <c r="E995" s="1287"/>
      <c r="F995" s="1287"/>
      <c r="G995"/>
      <c r="I995" s="1141"/>
    </row>
    <row r="996" spans="1:9" ht="12.75" customHeight="1">
      <c r="A996" s="1152"/>
      <c r="B996" s="1152"/>
      <c r="C996" s="1152"/>
      <c r="D996" s="1130"/>
      <c r="E996" s="767" t="s">
        <v>590</v>
      </c>
      <c r="F996" s="1130"/>
      <c r="G996"/>
      <c r="I996" s="1141"/>
    </row>
    <row r="997" spans="1:9" ht="12.75" customHeight="1">
      <c r="A997" s="1152"/>
      <c r="B997" s="1152"/>
      <c r="C997" s="1152"/>
      <c r="D997" s="1229" t="s">
        <v>591</v>
      </c>
      <c r="E997" s="1229"/>
      <c r="F997" s="1229"/>
      <c r="G997"/>
      <c r="I997" s="1141"/>
    </row>
    <row r="998" spans="1:9" ht="12.75" customHeight="1">
      <c r="A998" s="1152"/>
      <c r="B998" s="1152"/>
      <c r="C998" s="1152"/>
      <c r="D998" s="1229"/>
      <c r="E998" s="1229"/>
      <c r="F998" s="1229"/>
      <c r="G998"/>
      <c r="I998" s="1141"/>
    </row>
    <row r="999" spans="1:9" ht="12.75" customHeight="1">
      <c r="A999" s="92"/>
      <c r="B999" s="92"/>
      <c r="C999" s="92"/>
      <c r="D999" s="1229"/>
      <c r="E999" s="1229"/>
      <c r="F999" s="1229"/>
      <c r="G999"/>
      <c r="I999" s="1141"/>
    </row>
    <row r="1000" spans="1:9" ht="12.75" customHeight="1">
      <c r="A1000" s="92"/>
      <c r="B1000" s="92"/>
      <c r="C1000" s="92"/>
      <c r="D1000" s="1229"/>
      <c r="E1000" s="1229"/>
      <c r="F1000" s="1229"/>
      <c r="G1000"/>
      <c r="I1000" s="1141"/>
    </row>
    <row r="1001" spans="1:9" ht="12.75" customHeight="1">
      <c r="A1001" s="92"/>
      <c r="B1001" s="92"/>
      <c r="C1001" s="92"/>
      <c r="D1001" s="1119"/>
      <c r="E1001" s="1119"/>
      <c r="F1001" s="1119"/>
      <c r="G1001"/>
      <c r="I1001" s="1141"/>
    </row>
    <row r="1002" spans="1:9" ht="12.75" customHeight="1">
      <c r="A1002" s="92"/>
      <c r="B1002" s="292" t="s">
        <v>314</v>
      </c>
      <c r="C1002" s="92"/>
      <c r="D1002" s="1223" t="s">
        <v>592</v>
      </c>
      <c r="E1002" s="1223"/>
      <c r="F1002" s="1223"/>
      <c r="G1002"/>
      <c r="I1002" s="1141"/>
    </row>
    <row r="1003" spans="1:9" ht="12.75" customHeight="1">
      <c r="A1003" s="92"/>
      <c r="B1003" s="92"/>
      <c r="C1003" s="92"/>
      <c r="D1003" s="1223"/>
      <c r="E1003" s="1223"/>
      <c r="F1003" s="1223"/>
      <c r="G1003"/>
      <c r="I1003" s="1141"/>
    </row>
    <row r="1004" spans="1:9" ht="12.75" customHeight="1">
      <c r="A1004" s="92"/>
      <c r="B1004" s="92"/>
      <c r="C1004" s="92"/>
      <c r="D1004" s="1223"/>
      <c r="E1004" s="1223"/>
      <c r="F1004" s="1223"/>
      <c r="G1004"/>
      <c r="I1004" s="1141"/>
    </row>
    <row r="1005" spans="1:9" ht="12.75" customHeight="1">
      <c r="A1005" s="92"/>
      <c r="B1005" s="92"/>
      <c r="C1005" s="92"/>
      <c r="D1005" s="1223"/>
      <c r="E1005" s="1223"/>
      <c r="F1005" s="1223"/>
      <c r="G1005"/>
      <c r="I1005" s="1141"/>
    </row>
    <row r="1006" spans="1:9" ht="12.75" customHeight="1">
      <c r="A1006" s="92"/>
      <c r="B1006" s="92"/>
      <c r="C1006" s="92"/>
      <c r="D1006" s="1113"/>
      <c r="E1006" s="1113"/>
      <c r="F1006" s="1113"/>
      <c r="G1006"/>
      <c r="I1006" s="1141"/>
    </row>
    <row r="1007" spans="1:9" ht="12.75" customHeight="1">
      <c r="A1007" s="92"/>
      <c r="B1007" s="292" t="s">
        <v>314</v>
      </c>
      <c r="C1007" s="92"/>
      <c r="D1007" s="1223" t="s">
        <v>593</v>
      </c>
      <c r="E1007" s="1223"/>
      <c r="F1007" s="1223"/>
      <c r="G1007"/>
      <c r="I1007" s="1141"/>
    </row>
    <row r="1008" spans="1:9" ht="12.75" customHeight="1">
      <c r="A1008" s="92"/>
      <c r="B1008" s="92"/>
      <c r="C1008" s="92"/>
      <c r="D1008" s="1223"/>
      <c r="E1008" s="1223"/>
      <c r="F1008" s="1223"/>
      <c r="G1008"/>
      <c r="I1008" s="1141"/>
    </row>
    <row r="1009" spans="1:9" ht="12.75" customHeight="1">
      <c r="A1009" s="92"/>
      <c r="B1009" s="92"/>
      <c r="C1009" s="92"/>
      <c r="D1009" s="1113"/>
      <c r="E1009" s="1113"/>
      <c r="F1009" s="1113"/>
      <c r="G1009"/>
      <c r="I1009" s="1141"/>
    </row>
    <row r="1010" spans="1:9" ht="12.75" customHeight="1">
      <c r="A1010" s="93"/>
      <c r="B1010" s="292" t="s">
        <v>309</v>
      </c>
      <c r="C1010" s="1152"/>
      <c r="D1010" s="1263" t="s">
        <v>594</v>
      </c>
      <c r="E1010" s="1263"/>
      <c r="F1010" s="1263"/>
      <c r="G1010"/>
      <c r="I1010" s="1141"/>
    </row>
    <row r="1011" spans="1:9" ht="12.75" customHeight="1">
      <c r="A1011" s="1152"/>
      <c r="B1011" s="1152"/>
      <c r="C1011" s="1152"/>
      <c r="D1011" s="2"/>
      <c r="E1011" s="2"/>
      <c r="F1011" s="2"/>
      <c r="G1011"/>
      <c r="I1011" s="1141"/>
    </row>
    <row r="1012" spans="1:9" ht="12.75" customHeight="1">
      <c r="A1012" s="93"/>
      <c r="B1012" s="292" t="s">
        <v>314</v>
      </c>
      <c r="C1012" s="1152"/>
      <c r="D1012" s="1263" t="s">
        <v>595</v>
      </c>
      <c r="E1012" s="1263"/>
      <c r="F1012" s="1263"/>
      <c r="G1012"/>
      <c r="I1012" s="1141"/>
    </row>
    <row r="1013" spans="1:9" ht="12.75" customHeight="1">
      <c r="A1013" s="1152"/>
      <c r="B1013" s="1152"/>
      <c r="C1013" s="1152"/>
      <c r="D1013" s="68"/>
      <c r="E1013" s="2"/>
      <c r="F1013" s="2"/>
      <c r="G1013"/>
      <c r="I1013" s="1141"/>
    </row>
    <row r="1014" spans="1:9" ht="12.75" customHeight="1">
      <c r="A1014" s="93"/>
      <c r="B1014" s="292" t="s">
        <v>314</v>
      </c>
      <c r="C1014" s="1152"/>
      <c r="D1014" s="1263" t="s">
        <v>596</v>
      </c>
      <c r="E1014" s="1263"/>
      <c r="F1014" s="1263"/>
      <c r="G1014"/>
      <c r="I1014" s="1141"/>
    </row>
    <row r="1015" spans="1:9" ht="12.75" customHeight="1">
      <c r="A1015" s="1152"/>
      <c r="B1015" s="1152"/>
      <c r="C1015" s="1152"/>
      <c r="D1015" s="68"/>
      <c r="E1015" s="2"/>
      <c r="F1015" s="2"/>
      <c r="G1015"/>
      <c r="I1015" s="1141"/>
    </row>
    <row r="1016" spans="1:9" ht="12.75" customHeight="1">
      <c r="A1016" s="93"/>
      <c r="B1016" s="292" t="s">
        <v>309</v>
      </c>
      <c r="C1016" s="1152"/>
      <c r="D1016" s="1223" t="s">
        <v>597</v>
      </c>
      <c r="E1016" s="1223"/>
      <c r="F1016" s="1223"/>
      <c r="G1016"/>
      <c r="I1016" s="1141"/>
    </row>
    <row r="1017" spans="1:9" ht="12.75" customHeight="1">
      <c r="A1017" s="93"/>
      <c r="B1017" s="93"/>
      <c r="C1017" s="1152"/>
      <c r="D1017" s="1223"/>
      <c r="E1017" s="1223"/>
      <c r="F1017" s="1223"/>
      <c r="G1017"/>
      <c r="I1017" s="1141"/>
    </row>
    <row r="1018" spans="1:9" ht="12.75" customHeight="1">
      <c r="A1018" s="93"/>
      <c r="B1018" s="93"/>
      <c r="C1018" s="1152"/>
      <c r="D1018" s="68"/>
      <c r="E1018" s="2"/>
      <c r="F1018" s="2"/>
      <c r="G1018" s="2"/>
      <c r="I1018" s="1141"/>
    </row>
    <row r="1019" spans="1:9" ht="12.75" customHeight="1">
      <c r="A1019" s="138"/>
      <c r="B1019" s="292" t="s">
        <v>314</v>
      </c>
      <c r="C1019" s="740"/>
      <c r="D1019" s="1279" t="s">
        <v>598</v>
      </c>
      <c r="E1019" s="1279"/>
      <c r="F1019" s="1279"/>
      <c r="G1019" s="741"/>
      <c r="I1019" s="1141"/>
    </row>
    <row r="1020" spans="1:9" ht="12.75" customHeight="1">
      <c r="A1020" s="740"/>
      <c r="B1020" s="740"/>
      <c r="C1020" s="740"/>
      <c r="D1020" s="1279"/>
      <c r="E1020" s="1279"/>
      <c r="F1020" s="1279"/>
      <c r="G1020" s="741"/>
      <c r="I1020" s="1141"/>
    </row>
    <row r="1021" spans="1:9" ht="12.75" customHeight="1">
      <c r="A1021" s="740"/>
      <c r="B1021" s="740"/>
      <c r="C1021" s="740"/>
      <c r="D1021" s="1124"/>
      <c r="E1021" s="741"/>
      <c r="F1021" s="741"/>
      <c r="G1021" s="741"/>
      <c r="I1021" s="1141"/>
    </row>
    <row r="1022" spans="1:9" ht="12.75" customHeight="1">
      <c r="A1022" s="138"/>
      <c r="B1022" s="292" t="s">
        <v>314</v>
      </c>
      <c r="C1022" s="740"/>
      <c r="D1022" s="1286" t="s">
        <v>599</v>
      </c>
      <c r="E1022" s="1286"/>
      <c r="F1022" s="1286"/>
      <c r="G1022" s="741"/>
      <c r="I1022" s="1141"/>
    </row>
    <row r="1023" spans="1:9" ht="12.75" customHeight="1">
      <c r="A1023" s="740"/>
      <c r="B1023" s="740"/>
      <c r="C1023" s="740"/>
      <c r="D1023" s="1124"/>
      <c r="E1023" s="741"/>
      <c r="F1023" s="741"/>
      <c r="G1023" s="741"/>
      <c r="I1023" s="1141"/>
    </row>
    <row r="1024" spans="1:9" ht="12.75" customHeight="1">
      <c r="A1024" s="93"/>
      <c r="B1024" s="292" t="s">
        <v>314</v>
      </c>
      <c r="C1024" s="1152"/>
      <c r="D1024" s="1263" t="s">
        <v>600</v>
      </c>
      <c r="E1024" s="1263"/>
      <c r="F1024" s="1263"/>
      <c r="G1024" s="2"/>
      <c r="I1024" s="1141"/>
    </row>
    <row r="1025" spans="1:9" ht="12.75" customHeight="1">
      <c r="A1025" s="93"/>
      <c r="B1025" s="93"/>
      <c r="C1025" s="1152"/>
      <c r="D1025" s="68"/>
      <c r="E1025" s="2"/>
      <c r="F1025" s="2"/>
      <c r="G1025" s="2"/>
      <c r="I1025" s="1141"/>
    </row>
    <row r="1026" spans="1:9" ht="12.75" customHeight="1">
      <c r="A1026" s="93"/>
      <c r="B1026" s="292" t="s">
        <v>314</v>
      </c>
      <c r="C1026" s="1152"/>
      <c r="D1026" s="1223" t="s">
        <v>601</v>
      </c>
      <c r="E1026" s="1223"/>
      <c r="F1026" s="1223"/>
      <c r="G1026" s="2"/>
      <c r="I1026" s="1141"/>
    </row>
    <row r="1027" spans="1:9" ht="12.75" customHeight="1">
      <c r="A1027" s="93"/>
      <c r="B1027" s="93"/>
      <c r="C1027" s="1152"/>
      <c r="D1027" s="1223"/>
      <c r="E1027" s="1223"/>
      <c r="F1027" s="1223"/>
      <c r="G1027" s="2"/>
      <c r="I1027" s="1141"/>
    </row>
    <row r="1028" spans="1:9" ht="12.75" customHeight="1">
      <c r="A1028" s="1152"/>
      <c r="B1028" s="1152"/>
      <c r="C1028" s="1152"/>
      <c r="D1028" s="2"/>
      <c r="E1028" s="2"/>
      <c r="F1028" s="2"/>
      <c r="G1028" s="2"/>
      <c r="I1028" s="1141"/>
    </row>
    <row r="1029" spans="1:9" ht="12.75" customHeight="1">
      <c r="A1029" s="1272" t="s">
        <v>602</v>
      </c>
      <c r="B1029" s="1272"/>
      <c r="C1029" s="1272"/>
      <c r="D1029" s="1272"/>
      <c r="E1029" s="1272"/>
      <c r="F1029" s="1272"/>
      <c r="G1029" s="1272"/>
      <c r="H1029" s="759"/>
      <c r="I1029" s="869"/>
    </row>
    <row r="1030" spans="1:9" ht="12.75" customHeight="1">
      <c r="A1030" s="1152"/>
      <c r="B1030" s="1152"/>
      <c r="C1030" s="1152"/>
      <c r="D1030" s="2"/>
      <c r="E1030" s="2"/>
      <c r="F1030" s="2"/>
      <c r="G1030" s="2"/>
      <c r="I1030" s="1141"/>
    </row>
    <row r="1031" spans="1:9" ht="12.75" customHeight="1">
      <c r="A1031" s="1152"/>
      <c r="B1031" s="1152"/>
      <c r="C1031" s="1152"/>
      <c r="D1031" s="1288" t="s">
        <v>603</v>
      </c>
      <c r="E1031" s="1288"/>
      <c r="F1031" s="1288"/>
      <c r="G1031" s="2"/>
      <c r="I1031" s="1141"/>
    </row>
    <row r="1032" spans="1:9" ht="12.75" customHeight="1">
      <c r="A1032" s="1152"/>
      <c r="B1032" s="1152"/>
      <c r="C1032" s="1152"/>
      <c r="D1032" s="1286" t="s">
        <v>604</v>
      </c>
      <c r="E1032" s="1286"/>
      <c r="F1032" s="1286"/>
      <c r="G1032" s="2"/>
      <c r="I1032" s="1141"/>
    </row>
    <row r="1033" spans="1:9" ht="12.75" customHeight="1">
      <c r="A1033" s="91"/>
      <c r="B1033" s="91"/>
      <c r="C1033" s="91"/>
      <c r="D1033" s="2"/>
      <c r="E1033" s="2"/>
      <c r="F1033" s="2"/>
      <c r="G1033" s="2"/>
      <c r="I1033" s="1141"/>
    </row>
    <row r="1034" spans="1:9" ht="12.75" customHeight="1">
      <c r="A1034" s="93"/>
      <c r="B1034" s="93"/>
      <c r="C1034" s="92"/>
      <c r="D1034" s="1288" t="s">
        <v>605</v>
      </c>
      <c r="E1034" s="1288"/>
      <c r="F1034" s="1288"/>
      <c r="G1034" s="2"/>
      <c r="I1034" s="1141"/>
    </row>
    <row r="1035" spans="1:9" ht="12.75" customHeight="1">
      <c r="A1035" s="1152"/>
      <c r="B1035" s="292" t="s">
        <v>309</v>
      </c>
      <c r="C1035" s="1152"/>
      <c r="D1035" s="1286" t="s">
        <v>606</v>
      </c>
      <c r="E1035" s="1286"/>
      <c r="F1035" s="1286"/>
      <c r="G1035" s="2"/>
      <c r="I1035" s="1141"/>
    </row>
    <row r="1036" spans="1:9" ht="12.75" customHeight="1">
      <c r="A1036" s="1152"/>
      <c r="B1036" s="93"/>
      <c r="C1036" s="1152"/>
      <c r="D1036" s="1286" t="s">
        <v>607</v>
      </c>
      <c r="E1036" s="1286"/>
      <c r="F1036" s="1286"/>
      <c r="G1036" s="2"/>
      <c r="I1036" s="1141"/>
    </row>
    <row r="1037" spans="1:9" ht="12.75" customHeight="1">
      <c r="A1037" s="1152"/>
      <c r="B1037" s="1152"/>
      <c r="C1037" s="1152"/>
      <c r="D1037" s="1286"/>
      <c r="E1037" s="1286"/>
      <c r="F1037" s="1286"/>
      <c r="G1037" s="2"/>
      <c r="I1037" s="1141"/>
    </row>
    <row r="1038" spans="1:9" ht="12.75" customHeight="1">
      <c r="A1038" s="1272" t="s">
        <v>608</v>
      </c>
      <c r="B1038" s="1272"/>
      <c r="C1038" s="1272"/>
      <c r="D1038" s="1272"/>
      <c r="E1038" s="1272"/>
      <c r="F1038" s="1272"/>
      <c r="G1038" s="1272"/>
      <c r="H1038" s="759"/>
      <c r="I1038" s="869"/>
    </row>
    <row r="1039" spans="1:9" ht="12.75" customHeight="1">
      <c r="A1039" s="68"/>
      <c r="B1039" s="68"/>
      <c r="C1039" s="1152"/>
      <c r="D1039" s="2"/>
      <c r="E1039" s="2"/>
      <c r="F1039" s="2"/>
      <c r="G1039" s="2"/>
      <c r="I1039" s="1141"/>
    </row>
    <row r="1040" spans="1:9" ht="12.75" hidden="1" customHeight="1">
      <c r="A1040" s="68"/>
      <c r="B1040" s="230"/>
      <c r="D1040" s="1293" t="s">
        <v>609</v>
      </c>
      <c r="E1040" s="1293"/>
      <c r="F1040" s="1293"/>
      <c r="G1040" s="2"/>
      <c r="I1040" s="1141"/>
    </row>
    <row r="1041" spans="1:9" ht="12.75" hidden="1" customHeight="1">
      <c r="A1041" s="68"/>
      <c r="B1041" s="292" t="s">
        <v>547</v>
      </c>
      <c r="D1041" s="1255" t="s">
        <v>606</v>
      </c>
      <c r="E1041" s="1255"/>
      <c r="F1041" s="1255"/>
      <c r="G1041" s="2"/>
      <c r="I1041" s="1141"/>
    </row>
    <row r="1042" spans="1:9" ht="12.75" hidden="1" customHeight="1">
      <c r="A1042" s="68"/>
      <c r="B1042" s="230"/>
      <c r="D1042" s="1255" t="s">
        <v>610</v>
      </c>
      <c r="E1042" s="1255"/>
      <c r="F1042" s="1255"/>
      <c r="G1042" s="2"/>
      <c r="I1042" s="1141"/>
    </row>
    <row r="1043" spans="1:9" ht="12.75" hidden="1" customHeight="1">
      <c r="A1043" s="68"/>
      <c r="B1043" s="230"/>
      <c r="D1043" s="1122"/>
      <c r="E1043" s="1122"/>
      <c r="F1043" s="1122"/>
      <c r="G1043" s="2"/>
      <c r="I1043" s="1141"/>
    </row>
    <row r="1044" spans="1:9" ht="12.75" customHeight="1">
      <c r="A1044" s="68"/>
      <c r="B1044" s="68"/>
      <c r="C1044" s="1152"/>
      <c r="D1044" s="1294" t="s">
        <v>611</v>
      </c>
      <c r="E1044" s="1294"/>
      <c r="F1044" s="1294"/>
      <c r="G1044" s="2"/>
      <c r="I1044" s="1141"/>
    </row>
    <row r="1045" spans="1:9" ht="12.75" customHeight="1">
      <c r="A1045" s="175"/>
      <c r="B1045" s="175"/>
      <c r="C1045" s="175"/>
      <c r="D1045" s="1264" t="s">
        <v>612</v>
      </c>
      <c r="E1045" s="1264"/>
      <c r="F1045" s="1264"/>
      <c r="G1045" s="57"/>
      <c r="I1045" s="1141"/>
    </row>
    <row r="1046" spans="1:9" ht="12.75" customHeight="1">
      <c r="A1046" s="93"/>
      <c r="B1046" s="292" t="s">
        <v>314</v>
      </c>
      <c r="C1046" s="1152"/>
      <c r="D1046" s="1264" t="s">
        <v>613</v>
      </c>
      <c r="E1046" s="1264"/>
      <c r="F1046" s="1264"/>
      <c r="G1046" s="2"/>
      <c r="I1046" s="1141"/>
    </row>
    <row r="1047" spans="1:9" ht="12.75" customHeight="1">
      <c r="A1047" s="1152"/>
      <c r="B1047" s="1152"/>
      <c r="C1047" s="1152"/>
      <c r="D1047" s="767" t="s">
        <v>614</v>
      </c>
      <c r="E1047" s="55"/>
      <c r="F1047" s="55"/>
      <c r="G1047" s="2"/>
      <c r="I1047" s="1141"/>
    </row>
    <row r="1048" spans="1:9">
      <c r="A1048" s="230"/>
      <c r="B1048" s="230"/>
      <c r="C1048" s="230"/>
      <c r="I1048" s="1141"/>
    </row>
    <row r="1049" spans="1:9">
      <c r="A1049" s="1272" t="s">
        <v>615</v>
      </c>
      <c r="B1049" s="1272"/>
      <c r="C1049" s="1272"/>
      <c r="D1049" s="1272"/>
      <c r="E1049" s="1272"/>
      <c r="F1049" s="1272"/>
      <c r="G1049" s="1272"/>
      <c r="H1049" s="759"/>
      <c r="I1049" s="869"/>
    </row>
    <row r="1050" spans="1:9">
      <c r="A1050" s="230"/>
      <c r="B1050" s="230"/>
      <c r="C1050" s="230"/>
      <c r="I1050" s="1141"/>
    </row>
    <row r="1051" spans="1:9">
      <c r="A1051" s="230"/>
      <c r="B1051" s="230"/>
      <c r="C1051" s="230"/>
      <c r="D1051" s="232" t="s">
        <v>616</v>
      </c>
      <c r="I1051" s="1141"/>
    </row>
    <row r="1052" spans="1:9">
      <c r="A1052" s="230"/>
      <c r="B1052" s="230"/>
      <c r="C1052" s="230"/>
      <c r="D1052" s="230" t="s">
        <v>617</v>
      </c>
      <c r="I1052" s="1141"/>
    </row>
    <row r="1053" spans="1:9">
      <c r="A1053" s="230"/>
      <c r="B1053" s="230"/>
      <c r="C1053" s="230"/>
      <c r="D1053" s="232"/>
      <c r="I1053" s="1141"/>
    </row>
    <row r="1054" spans="1:9">
      <c r="A1054" s="230"/>
      <c r="B1054" s="292" t="s">
        <v>314</v>
      </c>
      <c r="C1054" s="230"/>
      <c r="D1054" s="1290" t="s">
        <v>618</v>
      </c>
      <c r="E1054" s="1290"/>
      <c r="F1054" s="1290"/>
      <c r="I1054" s="1141"/>
    </row>
    <row r="1055" spans="1:9">
      <c r="A1055" s="230"/>
      <c r="B1055" s="230"/>
      <c r="C1055" s="230"/>
      <c r="D1055" s="1290"/>
      <c r="E1055" s="1290"/>
      <c r="F1055" s="1290"/>
      <c r="I1055" s="1141"/>
    </row>
    <row r="1056" spans="1:9">
      <c r="A1056" s="230"/>
      <c r="B1056" s="230"/>
      <c r="C1056" s="230"/>
      <c r="D1056" s="1290"/>
      <c r="E1056" s="1290"/>
      <c r="F1056" s="1290"/>
      <c r="I1056" s="1141"/>
    </row>
    <row r="1057" spans="1:9">
      <c r="A1057" s="230"/>
      <c r="B1057" s="230"/>
      <c r="C1057" s="230"/>
      <c r="D1057" s="1290"/>
      <c r="E1057" s="1290"/>
      <c r="F1057" s="1290"/>
      <c r="I1057" s="1141"/>
    </row>
    <row r="1058" spans="1:9">
      <c r="A1058" s="230"/>
      <c r="B1058" s="230"/>
      <c r="C1058" s="230"/>
      <c r="I1058" s="1141"/>
    </row>
    <row r="1059" spans="1:9">
      <c r="A1059" s="230"/>
      <c r="B1059" s="230"/>
      <c r="C1059" s="230"/>
      <c r="D1059" s="232" t="s">
        <v>619</v>
      </c>
      <c r="I1059" s="1141"/>
    </row>
    <row r="1060" spans="1:9">
      <c r="A1060" s="230"/>
      <c r="B1060" s="230"/>
      <c r="C1060" s="230"/>
      <c r="D1060" s="230" t="s">
        <v>620</v>
      </c>
      <c r="I1060" s="1141"/>
    </row>
    <row r="1061" spans="1:9">
      <c r="A1061" s="230"/>
      <c r="B1061" s="230"/>
      <c r="C1061" s="230"/>
      <c r="I1061" s="1141"/>
    </row>
    <row r="1062" spans="1:9">
      <c r="A1062" s="230"/>
      <c r="B1062" s="292" t="s">
        <v>314</v>
      </c>
      <c r="C1062" s="230"/>
      <c r="D1062" s="230" t="s">
        <v>567</v>
      </c>
      <c r="I1062" s="1141"/>
    </row>
    <row r="1063" spans="1:9">
      <c r="A1063" s="230"/>
      <c r="B1063" s="230"/>
      <c r="C1063" s="230"/>
      <c r="I1063" s="1141"/>
    </row>
    <row r="1064" spans="1:9">
      <c r="A1064" s="230"/>
      <c r="B1064" s="292" t="s">
        <v>309</v>
      </c>
      <c r="C1064" s="230"/>
      <c r="D1064" s="1290" t="s">
        <v>621</v>
      </c>
      <c r="E1064" s="1290"/>
      <c r="F1064" s="1290"/>
      <c r="I1064" s="1141"/>
    </row>
    <row r="1065" spans="1:9">
      <c r="A1065" s="230"/>
      <c r="B1065" s="230"/>
      <c r="C1065" s="230"/>
      <c r="D1065" s="1290"/>
      <c r="E1065" s="1290"/>
      <c r="F1065" s="1290"/>
      <c r="I1065" s="1141"/>
    </row>
    <row r="1066" spans="1:9">
      <c r="A1066" s="230"/>
      <c r="B1066" s="230"/>
      <c r="C1066" s="230"/>
      <c r="D1066" s="1290"/>
      <c r="E1066" s="1290"/>
      <c r="F1066" s="1290"/>
      <c r="I1066" s="1141"/>
    </row>
    <row r="1067" spans="1:9">
      <c r="A1067" s="230"/>
      <c r="B1067" s="230"/>
      <c r="C1067" s="230"/>
      <c r="D1067" s="1290"/>
      <c r="E1067" s="1290"/>
      <c r="F1067" s="1290"/>
      <c r="I1067" s="1141"/>
    </row>
    <row r="1068" spans="1:9">
      <c r="A1068" s="230"/>
      <c r="B1068" s="230"/>
      <c r="C1068" s="230"/>
      <c r="D1068" s="1290"/>
      <c r="E1068" s="1290"/>
      <c r="F1068" s="1290"/>
      <c r="I1068" s="1141"/>
    </row>
    <row r="1069" spans="1:9">
      <c r="A1069" s="230"/>
      <c r="B1069" s="230"/>
      <c r="C1069" s="230"/>
      <c r="I1069" s="1141"/>
    </row>
    <row r="1070" spans="1:9">
      <c r="A1070" s="1272" t="s">
        <v>622</v>
      </c>
      <c r="B1070" s="1272"/>
      <c r="C1070" s="1272"/>
      <c r="D1070" s="1272"/>
      <c r="E1070" s="1272"/>
      <c r="F1070" s="1272"/>
      <c r="G1070" s="1272"/>
      <c r="H1070" s="759"/>
      <c r="I1070" s="869"/>
    </row>
    <row r="1071" spans="1:9">
      <c r="A1071" s="230"/>
      <c r="B1071" s="230"/>
      <c r="C1071" s="230"/>
      <c r="I1071" s="1141"/>
    </row>
    <row r="1072" spans="1:9">
      <c r="A1072" s="230"/>
      <c r="B1072" s="230"/>
      <c r="C1072" s="230"/>
      <c r="I1072" s="1141"/>
    </row>
    <row r="1073" spans="1:9">
      <c r="A1073" s="230"/>
      <c r="B1073" s="292" t="s">
        <v>309</v>
      </c>
      <c r="C1073" s="230"/>
      <c r="D1073" s="327" t="s">
        <v>623</v>
      </c>
      <c r="I1073" s="1141"/>
    </row>
    <row r="1074" spans="1:9">
      <c r="A1074" s="230"/>
      <c r="B1074" s="230"/>
      <c r="C1074" s="230"/>
      <c r="D1074" s="327" t="s">
        <v>624</v>
      </c>
      <c r="I1074" s="1141"/>
    </row>
    <row r="1075" spans="1:9">
      <c r="A1075" s="230"/>
      <c r="B1075" s="230"/>
      <c r="C1075" s="230"/>
      <c r="D1075" s="327"/>
      <c r="I1075" s="1141"/>
    </row>
    <row r="1076" spans="1:9">
      <c r="A1076" s="230"/>
      <c r="B1076" s="292" t="s">
        <v>314</v>
      </c>
      <c r="C1076" s="230"/>
      <c r="D1076" s="327" t="s">
        <v>625</v>
      </c>
      <c r="I1076" s="1141"/>
    </row>
    <row r="1077" spans="1:9">
      <c r="A1077" s="230"/>
      <c r="B1077" s="230"/>
      <c r="C1077" s="230"/>
      <c r="D1077" s="327" t="s">
        <v>626</v>
      </c>
      <c r="I1077" s="1141"/>
    </row>
    <row r="1078" spans="1:9">
      <c r="A1078" s="230"/>
      <c r="B1078" s="230"/>
      <c r="C1078" s="230"/>
      <c r="D1078" s="327"/>
      <c r="I1078" s="1141"/>
    </row>
    <row r="1079" spans="1:9">
      <c r="A1079" s="230"/>
      <c r="B1079" s="292" t="s">
        <v>314</v>
      </c>
      <c r="C1079" s="230"/>
      <c r="D1079" s="69" t="s">
        <v>627</v>
      </c>
      <c r="I1079" s="1141"/>
    </row>
    <row r="1080" spans="1:9">
      <c r="A1080" s="230"/>
      <c r="B1080" s="230"/>
      <c r="C1080" s="230"/>
      <c r="D1080" s="1223" t="s">
        <v>628</v>
      </c>
      <c r="E1080" s="1223"/>
      <c r="F1080" s="1223"/>
      <c r="I1080" s="1141"/>
    </row>
    <row r="1081" spans="1:9">
      <c r="A1081" s="230"/>
      <c r="B1081" s="230"/>
      <c r="C1081" s="230"/>
      <c r="D1081" s="1223"/>
      <c r="E1081" s="1223"/>
      <c r="F1081" s="1223"/>
      <c r="I1081" s="1141"/>
    </row>
    <row r="1082" spans="1:9">
      <c r="A1082" s="230"/>
      <c r="B1082" s="230"/>
      <c r="C1082" s="230"/>
      <c r="D1082" s="1223"/>
      <c r="E1082" s="1223"/>
      <c r="F1082" s="1223"/>
      <c r="I1082" s="1141"/>
    </row>
    <row r="1083" spans="1:9">
      <c r="A1083" s="230"/>
      <c r="B1083" s="230"/>
      <c r="C1083" s="230"/>
      <c r="D1083" s="1223"/>
      <c r="E1083" s="1223"/>
      <c r="F1083" s="1223"/>
      <c r="I1083" s="1141"/>
    </row>
    <row r="1084" spans="1:9">
      <c r="A1084" s="230"/>
      <c r="B1084" s="230"/>
      <c r="C1084" s="230"/>
      <c r="D1084" s="69" t="s">
        <v>629</v>
      </c>
      <c r="I1084" s="1141"/>
    </row>
    <row r="1085" spans="1:9">
      <c r="A1085" s="230"/>
      <c r="B1085" s="230"/>
      <c r="C1085" s="230"/>
      <c r="D1085" s="69"/>
      <c r="I1085" s="1141"/>
    </row>
    <row r="1086" spans="1:9">
      <c r="A1086" s="230"/>
      <c r="B1086" s="230"/>
      <c r="C1086" s="230"/>
      <c r="D1086" s="327" t="s">
        <v>630</v>
      </c>
      <c r="I1086" s="1141"/>
    </row>
    <row r="1087" spans="1:9">
      <c r="A1087" s="230"/>
      <c r="B1087" s="292" t="s">
        <v>314</v>
      </c>
      <c r="C1087" s="230"/>
      <c r="D1087" s="1289" t="s">
        <v>631</v>
      </c>
      <c r="E1087" s="1289"/>
      <c r="F1087" s="1289"/>
      <c r="I1087" s="1141"/>
    </row>
    <row r="1088" spans="1:9">
      <c r="A1088" s="230"/>
      <c r="B1088" s="230"/>
      <c r="C1088" s="230"/>
      <c r="D1088" s="1289"/>
      <c r="E1088" s="1289"/>
      <c r="F1088" s="1289"/>
      <c r="I1088" s="1141"/>
    </row>
    <row r="1089" spans="1:9">
      <c r="A1089" s="230"/>
      <c r="B1089" s="230"/>
      <c r="C1089" s="230"/>
      <c r="D1089" s="1289"/>
      <c r="E1089" s="1289"/>
      <c r="F1089" s="1289"/>
      <c r="I1089" s="1141"/>
    </row>
    <row r="1090" spans="1:9">
      <c r="A1090" s="230"/>
      <c r="B1090" s="230"/>
      <c r="C1090" s="230"/>
      <c r="D1090" s="1289"/>
      <c r="E1090" s="1289"/>
      <c r="F1090" s="1289"/>
      <c r="I1090" s="1141"/>
    </row>
    <row r="1091" spans="1:9">
      <c r="A1091" s="230"/>
      <c r="B1091" s="230"/>
      <c r="C1091" s="230"/>
      <c r="D1091" s="1289"/>
      <c r="E1091" s="1289"/>
      <c r="F1091" s="1289"/>
      <c r="I1091" s="1141"/>
    </row>
    <row r="1092" spans="1:9">
      <c r="A1092" s="230"/>
      <c r="B1092" s="230"/>
      <c r="C1092" s="230"/>
      <c r="D1092" s="327" t="s">
        <v>632</v>
      </c>
      <c r="I1092" s="1141"/>
    </row>
    <row r="1093" spans="1:9">
      <c r="A1093" s="230"/>
      <c r="B1093" s="230"/>
      <c r="C1093" s="230"/>
      <c r="I1093" s="1141"/>
    </row>
    <row r="1094" spans="1:9">
      <c r="A1094" s="230"/>
      <c r="B1094" s="292" t="s">
        <v>314</v>
      </c>
      <c r="C1094" s="230"/>
      <c r="D1094" s="1239" t="s">
        <v>633</v>
      </c>
      <c r="E1094" s="1239"/>
      <c r="F1094" s="1239"/>
      <c r="I1094" s="1141"/>
    </row>
    <row r="1095" spans="1:9">
      <c r="A1095" s="230"/>
      <c r="B1095" s="230"/>
      <c r="C1095" s="230"/>
      <c r="D1095" s="1239"/>
      <c r="E1095" s="1239"/>
      <c r="F1095" s="1239"/>
      <c r="I1095" s="1141"/>
    </row>
    <row r="1096" spans="1:9">
      <c r="A1096" s="230"/>
      <c r="B1096" s="230"/>
      <c r="C1096" s="230"/>
      <c r="D1096" s="1239"/>
      <c r="E1096" s="1239"/>
      <c r="F1096" s="1239"/>
      <c r="I1096" s="1141"/>
    </row>
    <row r="1097" spans="1:9">
      <c r="A1097" s="230"/>
      <c r="B1097" s="230"/>
      <c r="C1097" s="230"/>
      <c r="I1097" s="1141"/>
    </row>
    <row r="1098" spans="1:9">
      <c r="A1098" s="1272" t="s">
        <v>634</v>
      </c>
      <c r="B1098" s="1272"/>
      <c r="C1098" s="1272"/>
      <c r="D1098" s="1272"/>
      <c r="E1098" s="1272"/>
      <c r="F1098" s="1272"/>
      <c r="G1098" s="1272"/>
      <c r="H1098" s="759"/>
      <c r="I1098" s="869"/>
    </row>
    <row r="1099" spans="1:9">
      <c r="A1099" s="230"/>
      <c r="B1099" s="230"/>
      <c r="C1099" s="230"/>
      <c r="I1099" s="1141"/>
    </row>
    <row r="1100" spans="1:9">
      <c r="A1100" s="230"/>
      <c r="B1100" s="230"/>
      <c r="C1100" s="230"/>
      <c r="I1100" s="1141"/>
    </row>
    <row r="1101" spans="1:9" ht="12.75" customHeight="1">
      <c r="A1101" s="230"/>
      <c r="B1101" s="292" t="s">
        <v>314</v>
      </c>
      <c r="C1101" s="230"/>
      <c r="D1101" s="1291" t="s">
        <v>635</v>
      </c>
      <c r="E1101" s="1291"/>
      <c r="F1101" s="1291"/>
      <c r="I1101" s="1141"/>
    </row>
    <row r="1102" spans="1:9">
      <c r="A1102" s="230"/>
      <c r="B1102" s="230"/>
      <c r="C1102" s="230"/>
      <c r="D1102" s="1291"/>
      <c r="E1102" s="1291"/>
      <c r="F1102" s="1291"/>
      <c r="I1102" s="1141"/>
    </row>
    <row r="1103" spans="1:9">
      <c r="A1103" s="230"/>
      <c r="B1103" s="230"/>
      <c r="C1103" s="230"/>
      <c r="D1103" s="1292" t="s">
        <v>636</v>
      </c>
      <c r="E1103" s="1223"/>
      <c r="F1103" s="1223"/>
      <c r="I1103" s="1141"/>
    </row>
    <row r="1104" spans="1:9">
      <c r="A1104" s="230"/>
      <c r="B1104" s="230"/>
      <c r="C1104" s="230"/>
      <c r="D1104" s="327"/>
      <c r="I1104" s="1141"/>
    </row>
    <row r="1105" spans="1:9">
      <c r="A1105" s="230"/>
      <c r="B1105" s="292" t="s">
        <v>314</v>
      </c>
      <c r="C1105" s="230"/>
      <c r="D1105" s="1289" t="s">
        <v>637</v>
      </c>
      <c r="E1105" s="1289"/>
      <c r="F1105" s="1289"/>
      <c r="I1105" s="1141"/>
    </row>
    <row r="1106" spans="1:9">
      <c r="A1106" s="230"/>
      <c r="B1106" s="230"/>
      <c r="C1106" s="230"/>
      <c r="D1106" s="1289"/>
      <c r="E1106" s="1289"/>
      <c r="F1106" s="1289"/>
      <c r="I1106" s="1141"/>
    </row>
    <row r="1107" spans="1:9">
      <c r="A1107" s="230"/>
      <c r="B1107" s="230"/>
      <c r="C1107" s="230"/>
      <c r="D1107" s="327"/>
      <c r="I1107" s="1141"/>
    </row>
    <row r="1108" spans="1:9">
      <c r="A1108" s="230"/>
      <c r="B1108" s="292" t="s">
        <v>314</v>
      </c>
      <c r="C1108" s="230"/>
      <c r="D1108" s="1289" t="s">
        <v>638</v>
      </c>
      <c r="E1108" s="1289"/>
      <c r="F1108" s="1289"/>
      <c r="I1108" s="1141"/>
    </row>
    <row r="1109" spans="1:9">
      <c r="A1109" s="230"/>
      <c r="B1109" s="230"/>
      <c r="C1109" s="230"/>
      <c r="D1109" s="1289"/>
      <c r="E1109" s="1289"/>
      <c r="F1109" s="1289"/>
      <c r="I1109" s="1141"/>
    </row>
    <row r="1110" spans="1:9">
      <c r="A1110" s="230"/>
      <c r="B1110" s="230"/>
      <c r="C1110" s="230"/>
      <c r="D1110" s="1289"/>
      <c r="E1110" s="1289"/>
      <c r="F1110" s="1289"/>
      <c r="I1110" s="1141"/>
    </row>
    <row r="1111" spans="1:9">
      <c r="A1111" s="230"/>
      <c r="B1111" s="230"/>
      <c r="C1111" s="230"/>
      <c r="D1111" s="1289"/>
      <c r="E1111" s="1289"/>
      <c r="F1111" s="1289"/>
      <c r="I1111" s="1141"/>
    </row>
    <row r="1112" spans="1:9">
      <c r="A1112" s="230"/>
      <c r="B1112" s="230"/>
      <c r="C1112" s="230"/>
      <c r="D1112" s="1289"/>
      <c r="E1112" s="1289"/>
      <c r="F1112" s="1289"/>
      <c r="I1112" s="1141"/>
    </row>
    <row r="1113" spans="1:9">
      <c r="A1113" s="230"/>
      <c r="B1113" s="230"/>
      <c r="C1113" s="230"/>
      <c r="D1113" s="1289"/>
      <c r="E1113" s="1289"/>
      <c r="F1113" s="1289"/>
      <c r="I1113" s="1141"/>
    </row>
    <row r="1114" spans="1:9">
      <c r="A1114" s="230"/>
      <c r="B1114" s="230"/>
      <c r="C1114" s="230"/>
      <c r="D1114" s="327"/>
      <c r="I1114" s="289"/>
    </row>
    <row r="1115" spans="1:9">
      <c r="A1115" s="230"/>
      <c r="B1115" s="292" t="s">
        <v>314</v>
      </c>
      <c r="C1115" s="230"/>
      <c r="D1115" s="1289" t="s">
        <v>639</v>
      </c>
      <c r="E1115" s="1289"/>
      <c r="F1115" s="1289"/>
      <c r="I1115" s="1141"/>
    </row>
    <row r="1116" spans="1:9">
      <c r="A1116" s="230"/>
      <c r="B1116" s="230"/>
      <c r="C1116" s="230"/>
      <c r="D1116" s="1289"/>
      <c r="E1116" s="1289"/>
      <c r="F1116" s="1289"/>
      <c r="I1116" s="1141"/>
    </row>
    <row r="1117" spans="1:9">
      <c r="A1117" s="230"/>
      <c r="B1117" s="230"/>
      <c r="C1117" s="230"/>
      <c r="D1117" s="1289"/>
      <c r="E1117" s="1289"/>
      <c r="F1117" s="1289"/>
      <c r="I1117" s="1141"/>
    </row>
    <row r="1118" spans="1:9">
      <c r="A1118" s="230"/>
      <c r="B1118" s="230"/>
      <c r="C1118" s="230"/>
      <c r="D1118" s="327"/>
      <c r="I1118" s="1141"/>
    </row>
    <row r="1119" spans="1:9">
      <c r="A1119" s="230"/>
      <c r="B1119" s="292" t="s">
        <v>309</v>
      </c>
      <c r="C1119" s="230"/>
      <c r="D1119" s="1229" t="s">
        <v>640</v>
      </c>
      <c r="E1119" s="1229"/>
      <c r="F1119" s="1229"/>
      <c r="I1119" s="1141"/>
    </row>
    <row r="1120" spans="1:9">
      <c r="A1120" s="230"/>
      <c r="B1120" s="230"/>
      <c r="C1120" s="230"/>
      <c r="D1120" s="1229"/>
      <c r="E1120" s="1229"/>
      <c r="F1120" s="1229"/>
      <c r="I1120" s="1141"/>
    </row>
    <row r="1121" spans="1:9">
      <c r="A1121" s="230"/>
      <c r="B1121" s="230"/>
      <c r="C1121" s="230"/>
      <c r="D1121" s="1229"/>
      <c r="E1121" s="1229"/>
      <c r="F1121" s="1229"/>
      <c r="I1121" s="1141"/>
    </row>
    <row r="1122" spans="1:9">
      <c r="A1122" s="230"/>
      <c r="B1122" s="230"/>
      <c r="C1122" s="230"/>
      <c r="D1122" s="1116"/>
      <c r="E1122" s="1116"/>
      <c r="F1122" s="1116"/>
      <c r="I1122" s="1141"/>
    </row>
    <row r="1123" spans="1:9" ht="15.75" customHeight="1">
      <c r="A1123" s="230"/>
      <c r="B1123" s="292" t="s">
        <v>314</v>
      </c>
      <c r="C1123" s="230"/>
      <c r="D1123" s="1223" t="s">
        <v>641</v>
      </c>
      <c r="E1123" s="1223"/>
      <c r="F1123" s="1223"/>
      <c r="I1123" s="1141"/>
    </row>
    <row r="1124" spans="1:9">
      <c r="A1124" s="230"/>
      <c r="B1124" s="230"/>
      <c r="C1124" s="230"/>
      <c r="D1124" s="1223"/>
      <c r="E1124" s="1223"/>
      <c r="F1124" s="1223"/>
      <c r="I1124" s="1141"/>
    </row>
    <row r="1125" spans="1:9">
      <c r="A1125" s="230"/>
      <c r="B1125" s="230"/>
      <c r="C1125" s="230"/>
      <c r="D1125" s="1223"/>
      <c r="E1125" s="1223"/>
      <c r="F1125" s="1223"/>
      <c r="I1125" s="1141"/>
    </row>
    <row r="1126" spans="1:9">
      <c r="A1126" s="230"/>
      <c r="B1126" s="230"/>
      <c r="C1126" s="230"/>
      <c r="D1126" s="1223"/>
      <c r="E1126" s="1223"/>
      <c r="F1126" s="1223"/>
      <c r="I1126" s="1141"/>
    </row>
    <row r="1127" spans="1:9">
      <c r="A1127" s="230"/>
      <c r="B1127" s="230"/>
      <c r="C1127" s="230"/>
      <c r="D1127" s="1116"/>
      <c r="E1127" s="1116"/>
      <c r="F1127" s="1116"/>
      <c r="I1127" s="1141"/>
    </row>
    <row r="1128" spans="1:9">
      <c r="A1128" s="230"/>
      <c r="B1128" s="230"/>
      <c r="C1128" s="230"/>
      <c r="I1128" s="875"/>
    </row>
    <row r="1129" spans="1:9">
      <c r="A1129" s="230"/>
      <c r="B1129" s="230"/>
      <c r="C1129" s="230"/>
      <c r="I1129" s="1141"/>
    </row>
    <row r="1130" spans="1:9">
      <c r="A1130" s="230"/>
      <c r="B1130" s="230"/>
      <c r="C1130" s="230"/>
      <c r="I1130" s="1141"/>
    </row>
    <row r="1131" spans="1:9">
      <c r="A1131" s="230"/>
      <c r="B1131" s="230"/>
      <c r="C1131" s="230"/>
    </row>
    <row r="1132" spans="1:9">
      <c r="A1132" s="230"/>
      <c r="B1132" s="230"/>
      <c r="C1132" s="230"/>
    </row>
    <row r="1133" spans="1:9">
      <c r="A1133" s="230"/>
      <c r="B1133" s="230"/>
      <c r="C1133" s="230"/>
    </row>
    <row r="1134" spans="1:9">
      <c r="A1134" s="230"/>
      <c r="B1134" s="230"/>
      <c r="C1134" s="230"/>
    </row>
    <row r="1135" spans="1:9">
      <c r="A1135" s="230"/>
      <c r="B1135" s="230"/>
      <c r="C1135" s="230"/>
    </row>
    <row r="1136" spans="1:9">
      <c r="A1136" s="230"/>
      <c r="B1136" s="230"/>
      <c r="C1136" s="230"/>
    </row>
    <row r="1137" spans="1:3">
      <c r="A1137" s="230"/>
      <c r="B1137" s="230"/>
      <c r="C1137" s="230"/>
    </row>
    <row r="1138" spans="1:3">
      <c r="A1138" s="230"/>
      <c r="B1138" s="230"/>
      <c r="C1138" s="230"/>
    </row>
    <row r="1139" spans="1:3">
      <c r="A1139" s="230"/>
      <c r="B1139" s="230"/>
      <c r="C1139" s="230"/>
    </row>
    <row r="1140" spans="1:3">
      <c r="A1140" s="230"/>
      <c r="B1140" s="230"/>
      <c r="C1140" s="230"/>
    </row>
    <row r="1141" spans="1:3">
      <c r="A1141" s="230"/>
      <c r="B1141" s="230"/>
      <c r="C1141" s="230"/>
    </row>
    <row r="1142" spans="1:3">
      <c r="A1142" s="230"/>
      <c r="B1142" s="230"/>
      <c r="C1142" s="230"/>
    </row>
    <row r="1143" spans="1:3">
      <c r="A1143" s="230"/>
      <c r="B1143" s="230"/>
      <c r="C1143" s="230"/>
    </row>
    <row r="1144" spans="1:3">
      <c r="A1144" s="230"/>
      <c r="B1144" s="230"/>
      <c r="C1144" s="230"/>
    </row>
    <row r="1145" spans="1:3">
      <c r="A1145" s="230"/>
      <c r="B1145" s="230"/>
      <c r="C1145" s="230"/>
    </row>
    <row r="1146" spans="1:3"/>
    <row r="1147" spans="1:3"/>
    <row r="1148" spans="1:3"/>
    <row r="1149" spans="1:3"/>
    <row r="1150" spans="1:3"/>
    <row r="1151" spans="1:3"/>
    <row r="1152" spans="1:3"/>
    <row r="1153" spans="1:3">
      <c r="A1153" s="230"/>
      <c r="B1153" s="230"/>
      <c r="C1153" s="230"/>
    </row>
    <row r="1154" spans="1:3">
      <c r="A1154" s="230"/>
      <c r="B1154" s="230"/>
      <c r="C1154" s="230"/>
    </row>
    <row r="1155" spans="1:3">
      <c r="A1155" s="230"/>
      <c r="B1155" s="230"/>
      <c r="C1155" s="230"/>
    </row>
    <row r="1156" spans="1:3">
      <c r="A1156" s="230"/>
      <c r="B1156" s="230"/>
      <c r="C1156" s="230"/>
    </row>
    <row r="1157" spans="1:3">
      <c r="A1157" s="230"/>
      <c r="B1157" s="230"/>
      <c r="C1157" s="230"/>
    </row>
    <row r="1158" spans="1:3">
      <c r="A1158" s="230"/>
      <c r="B1158" s="230"/>
      <c r="C1158" s="230"/>
    </row>
    <row r="1159" spans="1:3">
      <c r="A1159" s="230"/>
      <c r="B1159" s="230"/>
      <c r="C1159" s="230"/>
    </row>
    <row r="1160" spans="1:3">
      <c r="A1160" s="230"/>
      <c r="B1160" s="230"/>
      <c r="C1160" s="230"/>
    </row>
    <row r="1161" spans="1:3">
      <c r="A1161" s="230"/>
      <c r="B1161" s="230"/>
      <c r="C1161" s="230"/>
    </row>
    <row r="1162" spans="1:3">
      <c r="A1162" s="230"/>
      <c r="B1162" s="230"/>
      <c r="C1162" s="230"/>
    </row>
    <row r="1163" spans="1:3">
      <c r="A1163" s="230"/>
      <c r="B1163" s="230"/>
      <c r="C1163" s="230"/>
    </row>
    <row r="1164" spans="1:3">
      <c r="A1164" s="230"/>
      <c r="B1164" s="230"/>
      <c r="C1164" s="230"/>
    </row>
    <row r="1165" spans="1:3">
      <c r="A1165" s="230"/>
      <c r="B1165" s="230"/>
      <c r="C1165" s="230"/>
    </row>
    <row r="1166" spans="1:3">
      <c r="A1166" s="230"/>
      <c r="B1166" s="230"/>
      <c r="C1166" s="230"/>
    </row>
    <row r="1167" spans="1:3">
      <c r="A1167" s="230"/>
      <c r="B1167" s="230"/>
      <c r="C1167" s="230"/>
    </row>
    <row r="1168" spans="1:3">
      <c r="A1168" s="230"/>
      <c r="B1168" s="230"/>
      <c r="C1168" s="230"/>
    </row>
    <row r="1169" spans="1:3">
      <c r="A1169" s="230"/>
      <c r="B1169" s="230"/>
      <c r="C1169" s="230"/>
    </row>
    <row r="1170" spans="1:3">
      <c r="A1170" s="230"/>
      <c r="B1170" s="230"/>
      <c r="C1170" s="230"/>
    </row>
    <row r="1171" spans="1:3">
      <c r="A1171" s="230"/>
      <c r="B1171" s="230"/>
      <c r="C1171" s="230"/>
    </row>
    <row r="1172" spans="1:3">
      <c r="A1172" s="230"/>
      <c r="B1172" s="230"/>
      <c r="C1172" s="230"/>
    </row>
    <row r="1173" spans="1:3">
      <c r="A1173" s="230"/>
      <c r="B1173" s="230"/>
      <c r="C1173" s="230"/>
    </row>
    <row r="1174" spans="1:3">
      <c r="A1174" s="230"/>
      <c r="B1174" s="230"/>
      <c r="C1174" s="230"/>
    </row>
    <row r="1175" spans="1:3">
      <c r="A1175" s="230"/>
      <c r="B1175" s="230"/>
      <c r="C1175" s="230"/>
    </row>
    <row r="1176" spans="1:3">
      <c r="A1176" s="230"/>
      <c r="B1176" s="230"/>
      <c r="C1176" s="230"/>
    </row>
    <row r="1177" spans="1:3">
      <c r="A1177" s="230"/>
      <c r="B1177" s="230"/>
      <c r="C1177" s="230"/>
    </row>
    <row r="1178" spans="1:3">
      <c r="A1178" s="230"/>
      <c r="B1178" s="230"/>
      <c r="C1178" s="230"/>
    </row>
    <row r="1179" spans="1:3">
      <c r="A1179" s="230"/>
      <c r="B1179" s="230"/>
      <c r="C1179" s="230"/>
    </row>
    <row r="1180" spans="1:3">
      <c r="A1180" s="230"/>
      <c r="B1180" s="230"/>
      <c r="C1180" s="230"/>
    </row>
    <row r="1181" spans="1:3">
      <c r="A1181" s="230"/>
      <c r="B1181" s="230"/>
      <c r="C1181" s="230"/>
    </row>
    <row r="1182" spans="1:3">
      <c r="A1182" s="230"/>
      <c r="B1182" s="230"/>
      <c r="C1182" s="230"/>
    </row>
    <row r="1183" spans="1:3">
      <c r="A1183" s="230"/>
      <c r="B1183" s="230"/>
      <c r="C1183" s="230"/>
    </row>
    <row r="1184" spans="1:3">
      <c r="A1184" s="230"/>
      <c r="B1184" s="230"/>
      <c r="C1184" s="230"/>
    </row>
    <row r="1185" spans="1:3">
      <c r="A1185" s="230"/>
      <c r="B1185" s="230"/>
      <c r="C1185" s="230"/>
    </row>
    <row r="1186" spans="1:3">
      <c r="A1186" s="230"/>
      <c r="B1186" s="230"/>
      <c r="C1186" s="230"/>
    </row>
    <row r="1187" spans="1:3">
      <c r="A1187" s="230"/>
      <c r="B1187" s="230"/>
      <c r="C1187" s="230"/>
    </row>
    <row r="1188" spans="1:3">
      <c r="A1188" s="230"/>
      <c r="B1188" s="230"/>
      <c r="C1188" s="230"/>
    </row>
    <row r="1189" spans="1:3">
      <c r="A1189" s="230"/>
      <c r="B1189" s="230"/>
      <c r="C1189" s="230"/>
    </row>
    <row r="1190" spans="1:3">
      <c r="A1190" s="230"/>
      <c r="B1190" s="230"/>
      <c r="C1190" s="230"/>
    </row>
    <row r="1191" spans="1:3">
      <c r="A1191" s="230"/>
      <c r="B1191" s="230"/>
      <c r="C1191" s="230"/>
    </row>
    <row r="1192" spans="1:3">
      <c r="A1192" s="230"/>
      <c r="B1192" s="230"/>
      <c r="C1192" s="230"/>
    </row>
    <row r="1193" spans="1:3">
      <c r="A1193" s="230"/>
      <c r="B1193" s="230"/>
      <c r="C1193" s="230"/>
    </row>
    <row r="1194" spans="1:3">
      <c r="A1194" s="230"/>
      <c r="B1194" s="230"/>
      <c r="C1194" s="230"/>
    </row>
    <row r="1195" spans="1:3">
      <c r="A1195" s="230"/>
      <c r="B1195" s="230"/>
      <c r="C1195" s="230"/>
    </row>
    <row r="1196" spans="1:3">
      <c r="A1196" s="230"/>
      <c r="B1196" s="230"/>
      <c r="C1196" s="230"/>
    </row>
    <row r="1197" spans="1:3">
      <c r="A1197" s="230"/>
      <c r="B1197" s="230"/>
      <c r="C1197" s="230"/>
    </row>
    <row r="1198" spans="1:3">
      <c r="A1198" s="230"/>
      <c r="B1198" s="230"/>
      <c r="C1198" s="230"/>
    </row>
    <row r="1199" spans="1:3">
      <c r="A1199" s="230"/>
      <c r="B1199" s="230"/>
      <c r="C1199" s="230"/>
    </row>
    <row r="1200" spans="1:3">
      <c r="A1200" s="230"/>
      <c r="B1200" s="230"/>
      <c r="C1200" s="230"/>
    </row>
    <row r="1201" spans="1:3">
      <c r="A1201" s="230"/>
      <c r="B1201" s="230"/>
      <c r="C1201" s="230"/>
    </row>
    <row r="1202" spans="1:3">
      <c r="A1202" s="230"/>
      <c r="B1202" s="230"/>
      <c r="C1202" s="230"/>
    </row>
    <row r="1203" spans="1:3">
      <c r="A1203" s="230"/>
      <c r="B1203" s="230"/>
      <c r="C1203" s="230"/>
    </row>
    <row r="1204" spans="1:3">
      <c r="A1204" s="230"/>
      <c r="B1204" s="230"/>
      <c r="C1204" s="230"/>
    </row>
    <row r="1205" spans="1:3">
      <c r="A1205" s="230"/>
      <c r="B1205" s="230"/>
      <c r="C1205" s="230"/>
    </row>
    <row r="1206" spans="1:3">
      <c r="A1206" s="230"/>
      <c r="B1206" s="230"/>
      <c r="C1206" s="230"/>
    </row>
    <row r="1207" spans="1:3">
      <c r="A1207" s="230"/>
      <c r="B1207" s="230"/>
      <c r="C1207" s="230"/>
    </row>
    <row r="1208" spans="1:3">
      <c r="A1208" s="230"/>
      <c r="B1208" s="230"/>
      <c r="C1208" s="230"/>
    </row>
    <row r="1209" spans="1:3">
      <c r="A1209" s="230"/>
      <c r="B1209" s="230"/>
      <c r="C1209" s="230"/>
    </row>
    <row r="1210" spans="1:3">
      <c r="A1210" s="230"/>
      <c r="B1210" s="230"/>
      <c r="C1210" s="230"/>
    </row>
    <row r="1211" spans="1:3">
      <c r="A1211" s="230"/>
      <c r="B1211" s="230"/>
      <c r="C1211" s="230"/>
    </row>
    <row r="1212" spans="1:3">
      <c r="A1212" s="230"/>
      <c r="B1212" s="230"/>
      <c r="C1212" s="230"/>
    </row>
    <row r="1213" spans="1:3">
      <c r="A1213" s="230"/>
      <c r="B1213" s="230"/>
      <c r="C1213" s="230"/>
    </row>
    <row r="1214" spans="1:3">
      <c r="A1214" s="230"/>
      <c r="B1214" s="230"/>
      <c r="C1214" s="230"/>
    </row>
    <row r="1215" spans="1:3">
      <c r="A1215" s="230"/>
      <c r="B1215" s="230"/>
      <c r="C1215" s="230"/>
    </row>
    <row r="1216" spans="1:3">
      <c r="A1216" s="230"/>
      <c r="B1216" s="230"/>
      <c r="C1216" s="230"/>
    </row>
    <row r="1217" spans="1:3">
      <c r="A1217" s="230"/>
      <c r="B1217" s="230"/>
      <c r="C1217" s="230"/>
    </row>
    <row r="1218" spans="1:3">
      <c r="A1218" s="230"/>
      <c r="B1218" s="230"/>
      <c r="C1218" s="230"/>
    </row>
    <row r="1219" spans="1:3">
      <c r="A1219" s="230"/>
      <c r="B1219" s="230"/>
      <c r="C1219" s="230"/>
    </row>
    <row r="1220" spans="1:3">
      <c r="A1220" s="230"/>
      <c r="B1220" s="230"/>
      <c r="C1220" s="230"/>
    </row>
    <row r="1221" spans="1:3">
      <c r="A1221" s="230"/>
      <c r="B1221" s="230"/>
      <c r="C1221" s="230"/>
    </row>
    <row r="1222" spans="1:3">
      <c r="A1222" s="230"/>
      <c r="B1222" s="230"/>
      <c r="C1222" s="230"/>
    </row>
    <row r="1223" spans="1:3">
      <c r="A1223" s="230"/>
      <c r="B1223" s="230"/>
      <c r="C1223" s="230"/>
    </row>
    <row r="1224" spans="1:3">
      <c r="A1224" s="230"/>
      <c r="B1224" s="230"/>
      <c r="C1224" s="230"/>
    </row>
    <row r="1225" spans="1:3">
      <c r="A1225" s="230"/>
      <c r="B1225" s="230"/>
      <c r="C1225" s="230"/>
    </row>
    <row r="1226" spans="1:3">
      <c r="A1226" s="230"/>
      <c r="B1226" s="230"/>
      <c r="C1226" s="230"/>
    </row>
    <row r="1227" spans="1:3">
      <c r="A1227" s="230"/>
      <c r="B1227" s="230"/>
      <c r="C1227" s="230"/>
    </row>
    <row r="1228" spans="1:3">
      <c r="A1228" s="230"/>
      <c r="B1228" s="230"/>
      <c r="C1228" s="230"/>
    </row>
    <row r="1229" spans="1:3">
      <c r="A1229" s="230"/>
      <c r="B1229" s="230"/>
      <c r="C1229" s="230"/>
    </row>
    <row r="1230" spans="1:3">
      <c r="A1230" s="230"/>
      <c r="B1230" s="230"/>
      <c r="C1230" s="230"/>
    </row>
    <row r="1231" spans="1:3">
      <c r="A1231" s="230"/>
      <c r="B1231" s="230"/>
      <c r="C1231" s="230"/>
    </row>
    <row r="1232" spans="1:3">
      <c r="A1232" s="230"/>
      <c r="B1232" s="230"/>
      <c r="C1232" s="230"/>
    </row>
    <row r="1233" spans="1:3">
      <c r="A1233" s="230"/>
      <c r="B1233" s="230"/>
      <c r="C1233" s="230"/>
    </row>
    <row r="1234" spans="1:3">
      <c r="A1234" s="230"/>
      <c r="B1234" s="230"/>
      <c r="C1234" s="230"/>
    </row>
    <row r="1235" spans="1:3">
      <c r="A1235" s="230"/>
      <c r="B1235" s="230"/>
      <c r="C1235" s="230"/>
    </row>
    <row r="1236" spans="1:3">
      <c r="A1236" s="230"/>
      <c r="B1236" s="230"/>
      <c r="C1236" s="230"/>
    </row>
    <row r="1237" spans="1:3">
      <c r="A1237" s="230"/>
      <c r="B1237" s="230"/>
      <c r="C1237" s="230"/>
    </row>
    <row r="1238" spans="1:3">
      <c r="A1238" s="230"/>
      <c r="B1238" s="230"/>
      <c r="C1238" s="230"/>
    </row>
    <row r="1239" spans="1:3">
      <c r="A1239" s="230"/>
      <c r="B1239" s="230"/>
      <c r="C1239" s="230"/>
    </row>
    <row r="1240" spans="1:3">
      <c r="A1240" s="230"/>
      <c r="B1240" s="230"/>
      <c r="C1240" s="230"/>
    </row>
    <row r="1241" spans="1:3">
      <c r="A1241" s="230"/>
      <c r="B1241" s="230"/>
      <c r="C1241" s="230"/>
    </row>
    <row r="1242" spans="1:3">
      <c r="A1242" s="230"/>
      <c r="B1242" s="230"/>
      <c r="C1242" s="230"/>
    </row>
    <row r="1243" spans="1:3">
      <c r="A1243" s="230"/>
      <c r="B1243" s="230"/>
      <c r="C1243" s="230"/>
    </row>
    <row r="1244" spans="1:3">
      <c r="A1244" s="230"/>
      <c r="B1244" s="230"/>
      <c r="C1244" s="230"/>
    </row>
    <row r="1245" spans="1:3">
      <c r="A1245" s="230"/>
      <c r="B1245" s="230"/>
      <c r="C1245" s="230"/>
    </row>
    <row r="1246" spans="1:3">
      <c r="A1246" s="230"/>
      <c r="B1246" s="230"/>
      <c r="C1246" s="230"/>
    </row>
    <row r="1247" spans="1:3">
      <c r="A1247" s="230"/>
      <c r="B1247" s="230"/>
      <c r="C1247" s="230"/>
    </row>
    <row r="1248" spans="1:3">
      <c r="A1248" s="230"/>
      <c r="B1248" s="230"/>
      <c r="C1248" s="230"/>
    </row>
    <row r="1249" spans="1:3">
      <c r="A1249" s="230"/>
      <c r="B1249" s="230"/>
      <c r="C1249" s="230"/>
    </row>
    <row r="1250" spans="1:3">
      <c r="A1250" s="230"/>
      <c r="B1250" s="230"/>
      <c r="C1250" s="230"/>
    </row>
    <row r="1251" spans="1:3">
      <c r="A1251" s="230"/>
      <c r="B1251" s="230"/>
      <c r="C1251" s="230"/>
    </row>
    <row r="1252" spans="1:3">
      <c r="A1252" s="230"/>
      <c r="B1252" s="230"/>
      <c r="C1252" s="230"/>
    </row>
    <row r="1253" spans="1:3">
      <c r="A1253" s="230"/>
      <c r="B1253" s="230"/>
      <c r="C1253" s="230"/>
    </row>
    <row r="1254" spans="1:3">
      <c r="A1254" s="230"/>
      <c r="B1254" s="230"/>
      <c r="C1254" s="230"/>
    </row>
    <row r="1255" spans="1:3">
      <c r="A1255" s="230"/>
      <c r="B1255" s="230"/>
      <c r="C1255" s="230"/>
    </row>
    <row r="1256" spans="1:3">
      <c r="A1256" s="230"/>
      <c r="B1256" s="230"/>
      <c r="C1256" s="230"/>
    </row>
    <row r="1257" spans="1:3">
      <c r="A1257" s="230"/>
      <c r="B1257" s="230"/>
      <c r="C1257" s="230"/>
    </row>
    <row r="1258" spans="1:3">
      <c r="A1258" s="230"/>
      <c r="B1258" s="230"/>
      <c r="C1258" s="230"/>
    </row>
    <row r="1259" spans="1:3">
      <c r="A1259" s="230"/>
      <c r="B1259" s="230"/>
      <c r="C1259" s="230"/>
    </row>
    <row r="1260" spans="1:3">
      <c r="A1260" s="230"/>
      <c r="B1260" s="230"/>
      <c r="C1260" s="230"/>
    </row>
    <row r="1261" spans="1:3">
      <c r="A1261" s="230"/>
      <c r="B1261" s="230"/>
      <c r="C1261" s="230"/>
    </row>
    <row r="1262" spans="1:3">
      <c r="A1262" s="230"/>
      <c r="B1262" s="230"/>
      <c r="C1262" s="230"/>
    </row>
    <row r="1263" spans="1:3">
      <c r="A1263" s="230"/>
      <c r="B1263" s="230"/>
      <c r="C1263" s="230"/>
    </row>
    <row r="1264" spans="1:3">
      <c r="A1264" s="230"/>
      <c r="B1264" s="230"/>
      <c r="C1264" s="230"/>
    </row>
    <row r="1265" spans="1:3">
      <c r="A1265" s="230"/>
      <c r="B1265" s="230"/>
      <c r="C1265" s="230"/>
    </row>
    <row r="1266" spans="1:3">
      <c r="A1266" s="230"/>
      <c r="B1266" s="230"/>
      <c r="C1266" s="230"/>
    </row>
    <row r="1267" spans="1:3">
      <c r="A1267" s="230"/>
      <c r="B1267" s="230"/>
      <c r="C1267" s="230"/>
    </row>
    <row r="1268" spans="1:3">
      <c r="A1268" s="230"/>
      <c r="B1268" s="230"/>
      <c r="C1268" s="230"/>
    </row>
    <row r="1269" spans="1:3">
      <c r="A1269" s="230"/>
      <c r="B1269" s="230"/>
      <c r="C1269" s="230"/>
    </row>
    <row r="1270" spans="1:3">
      <c r="A1270" s="230"/>
      <c r="B1270" s="230"/>
      <c r="C1270" s="230"/>
    </row>
    <row r="1271" spans="1:3">
      <c r="A1271" s="230"/>
      <c r="B1271" s="230"/>
      <c r="C1271" s="230"/>
    </row>
    <row r="1272" spans="1:3">
      <c r="A1272" s="230"/>
      <c r="B1272" s="230"/>
      <c r="C1272" s="230"/>
    </row>
    <row r="1273" spans="1:3">
      <c r="A1273" s="230"/>
      <c r="B1273" s="230"/>
      <c r="C1273" s="230"/>
    </row>
    <row r="1274" spans="1:3">
      <c r="A1274" s="230"/>
      <c r="B1274" s="230"/>
      <c r="C1274" s="230"/>
    </row>
    <row r="1275" spans="1:3">
      <c r="A1275" s="230"/>
      <c r="B1275" s="230"/>
      <c r="C1275" s="230"/>
    </row>
    <row r="1276" spans="1:3">
      <c r="A1276" s="230"/>
      <c r="B1276" s="230"/>
      <c r="C1276" s="230"/>
    </row>
    <row r="1277" spans="1:3">
      <c r="A1277" s="230"/>
      <c r="B1277" s="230"/>
      <c r="C1277" s="230"/>
    </row>
    <row r="1278" spans="1:3">
      <c r="A1278" s="230"/>
      <c r="B1278" s="230"/>
      <c r="C1278" s="230"/>
    </row>
    <row r="1279" spans="1:3">
      <c r="A1279" s="230"/>
      <c r="B1279" s="230"/>
      <c r="C1279" s="230"/>
    </row>
    <row r="1280" spans="1:3">
      <c r="A1280" s="230"/>
      <c r="B1280" s="230"/>
      <c r="C1280" s="230"/>
    </row>
    <row r="1281" spans="1:3">
      <c r="A1281" s="230"/>
      <c r="B1281" s="230"/>
      <c r="C1281" s="230"/>
    </row>
    <row r="1282" spans="1:3">
      <c r="A1282" s="230"/>
      <c r="B1282" s="230"/>
      <c r="C1282" s="230"/>
    </row>
    <row r="1283" spans="1:3">
      <c r="A1283" s="230"/>
      <c r="B1283" s="230"/>
      <c r="C1283" s="230"/>
    </row>
    <row r="1284" spans="1:3">
      <c r="A1284" s="230"/>
      <c r="B1284" s="230"/>
      <c r="C1284" s="230"/>
    </row>
    <row r="1285" spans="1:3">
      <c r="A1285" s="230"/>
      <c r="B1285" s="230"/>
      <c r="C1285" s="230"/>
    </row>
    <row r="1286" spans="1:3">
      <c r="A1286" s="230"/>
      <c r="B1286" s="230"/>
      <c r="C1286" s="230"/>
    </row>
    <row r="1287" spans="1:3">
      <c r="A1287" s="230"/>
      <c r="B1287" s="230"/>
      <c r="C1287" s="230"/>
    </row>
    <row r="1288" spans="1:3">
      <c r="A1288" s="230"/>
      <c r="B1288" s="230"/>
      <c r="C1288" s="230"/>
    </row>
    <row r="1289" spans="1:3">
      <c r="A1289" s="230"/>
      <c r="B1289" s="230"/>
      <c r="C1289" s="230"/>
    </row>
    <row r="1290" spans="1:3">
      <c r="A1290" s="230"/>
      <c r="B1290" s="230"/>
      <c r="C1290" s="230"/>
    </row>
    <row r="1291" spans="1:3">
      <c r="A1291" s="230"/>
      <c r="B1291" s="230"/>
      <c r="C1291" s="230"/>
    </row>
    <row r="1292" spans="1:3">
      <c r="A1292" s="230"/>
      <c r="B1292" s="230"/>
      <c r="C1292" s="230"/>
    </row>
    <row r="1293" spans="1:3">
      <c r="A1293" s="230"/>
      <c r="B1293" s="230"/>
      <c r="C1293" s="230"/>
    </row>
    <row r="1294" spans="1:3">
      <c r="A1294" s="230"/>
      <c r="B1294" s="230"/>
      <c r="C1294" s="230"/>
    </row>
    <row r="1295" spans="1:3">
      <c r="A1295" s="230"/>
      <c r="B1295" s="230"/>
      <c r="C1295" s="230"/>
    </row>
    <row r="1296" spans="1:3">
      <c r="A1296" s="230"/>
      <c r="B1296" s="230"/>
      <c r="C1296" s="230"/>
    </row>
    <row r="1297" spans="1:3">
      <c r="A1297" s="230"/>
      <c r="B1297" s="230"/>
      <c r="C1297" s="230"/>
    </row>
    <row r="1298" spans="1:3">
      <c r="A1298" s="230"/>
      <c r="B1298" s="230"/>
      <c r="C1298" s="230"/>
    </row>
    <row r="1299" spans="1:3">
      <c r="A1299" s="230"/>
      <c r="B1299" s="230"/>
      <c r="C1299" s="230"/>
    </row>
    <row r="1300" spans="1:3">
      <c r="A1300" s="230"/>
      <c r="B1300" s="230"/>
      <c r="C1300" s="230"/>
    </row>
    <row r="1301" spans="1:3">
      <c r="A1301" s="230"/>
      <c r="B1301" s="230"/>
      <c r="C1301" s="230"/>
    </row>
    <row r="1302" spans="1:3">
      <c r="A1302" s="230"/>
      <c r="B1302" s="230"/>
      <c r="C1302" s="230"/>
    </row>
    <row r="1303" spans="1:3">
      <c r="A1303" s="230"/>
      <c r="B1303" s="230"/>
      <c r="C1303" s="230"/>
    </row>
    <row r="1304" spans="1:3">
      <c r="A1304" s="230"/>
      <c r="B1304" s="230"/>
      <c r="C1304" s="230"/>
    </row>
    <row r="1305" spans="1:3">
      <c r="A1305" s="230"/>
      <c r="B1305" s="230"/>
      <c r="C1305" s="230"/>
    </row>
    <row r="1306" spans="1:3">
      <c r="A1306" s="230"/>
      <c r="B1306" s="230"/>
      <c r="C1306" s="230"/>
    </row>
    <row r="1307" spans="1:3">
      <c r="A1307" s="230"/>
      <c r="B1307" s="230"/>
      <c r="C1307" s="230"/>
    </row>
    <row r="1308" spans="1:3">
      <c r="A1308" s="230"/>
      <c r="B1308" s="230"/>
      <c r="C1308" s="230"/>
    </row>
    <row r="1309" spans="1:3">
      <c r="A1309" s="230"/>
      <c r="B1309" s="230"/>
      <c r="C1309" s="230"/>
    </row>
    <row r="1310" spans="1:3">
      <c r="A1310" s="230"/>
      <c r="B1310" s="230"/>
      <c r="C1310" s="230"/>
    </row>
    <row r="1311" spans="1:3">
      <c r="A1311" s="230"/>
      <c r="B1311" s="230"/>
      <c r="C1311" s="230"/>
    </row>
    <row r="1312" spans="1:3">
      <c r="A1312" s="230"/>
      <c r="B1312" s="230"/>
      <c r="C1312" s="230"/>
    </row>
    <row r="1313" spans="1:3">
      <c r="A1313" s="230"/>
      <c r="B1313" s="230"/>
      <c r="C1313" s="230"/>
    </row>
    <row r="1314" spans="1:3">
      <c r="A1314" s="230"/>
      <c r="B1314" s="230"/>
      <c r="C1314" s="230"/>
    </row>
    <row r="1315" spans="1:3">
      <c r="A1315" s="230"/>
      <c r="B1315" s="230"/>
      <c r="C1315" s="230"/>
    </row>
    <row r="1316" spans="1:3">
      <c r="A1316" s="230"/>
      <c r="B1316" s="230"/>
      <c r="C1316" s="230"/>
    </row>
    <row r="1317" spans="1:3">
      <c r="A1317" s="230"/>
      <c r="B1317" s="230"/>
      <c r="C1317" s="230"/>
    </row>
    <row r="1318" spans="1:3">
      <c r="A1318" s="230"/>
      <c r="B1318" s="230"/>
      <c r="C1318" s="230"/>
    </row>
    <row r="1319" spans="1:3">
      <c r="A1319" s="230"/>
      <c r="B1319" s="230"/>
      <c r="C1319" s="230"/>
    </row>
    <row r="1320" spans="1:3">
      <c r="A1320" s="230"/>
      <c r="B1320" s="230"/>
      <c r="C1320" s="230"/>
    </row>
    <row r="1321" spans="1:3">
      <c r="A1321" s="230"/>
      <c r="B1321" s="230"/>
      <c r="C1321" s="230"/>
    </row>
    <row r="1322" spans="1:3">
      <c r="A1322" s="230"/>
      <c r="B1322" s="230"/>
      <c r="C1322" s="230"/>
    </row>
    <row r="1323" spans="1:3">
      <c r="A1323" s="230"/>
      <c r="B1323" s="230"/>
      <c r="C1323" s="230"/>
    </row>
    <row r="1324" spans="1:3">
      <c r="A1324" s="230"/>
      <c r="B1324" s="230"/>
      <c r="C1324" s="230"/>
    </row>
    <row r="1325" spans="1:3">
      <c r="A1325" s="230"/>
      <c r="B1325" s="230"/>
      <c r="C1325" s="230"/>
    </row>
    <row r="1326" spans="1:3">
      <c r="A1326" s="230"/>
      <c r="B1326" s="230"/>
      <c r="C1326" s="230"/>
    </row>
    <row r="1327" spans="1:3">
      <c r="A1327" s="230"/>
      <c r="B1327" s="230"/>
      <c r="C1327" s="230"/>
    </row>
    <row r="1328" spans="1:3">
      <c r="A1328" s="230"/>
      <c r="B1328" s="230"/>
      <c r="C1328" s="230"/>
    </row>
    <row r="1329" spans="1:3">
      <c r="A1329" s="230"/>
      <c r="B1329" s="230"/>
      <c r="C1329" s="230"/>
    </row>
    <row r="1330" spans="1:3">
      <c r="A1330" s="230"/>
      <c r="B1330" s="230"/>
      <c r="C1330" s="230"/>
    </row>
    <row r="1331" spans="1:3">
      <c r="A1331" s="230"/>
      <c r="B1331" s="230"/>
      <c r="C1331" s="230"/>
    </row>
    <row r="1332" spans="1:3">
      <c r="A1332" s="230"/>
      <c r="B1332" s="230"/>
      <c r="C1332" s="230"/>
    </row>
    <row r="1333" spans="1:3">
      <c r="A1333" s="230"/>
      <c r="B1333" s="230"/>
      <c r="C1333" s="230"/>
    </row>
    <row r="1334" spans="1:3">
      <c r="A1334" s="230"/>
      <c r="B1334" s="230"/>
      <c r="C1334" s="230"/>
    </row>
    <row r="1335" spans="1:3">
      <c r="A1335" s="230"/>
      <c r="B1335" s="230"/>
      <c r="C1335" s="230"/>
    </row>
    <row r="1336" spans="1:3">
      <c r="A1336" s="230"/>
      <c r="B1336" s="230"/>
      <c r="C1336" s="230"/>
    </row>
    <row r="1337" spans="1:3">
      <c r="A1337" s="230"/>
      <c r="B1337" s="230"/>
      <c r="C1337" s="230"/>
    </row>
    <row r="1338" spans="1:3">
      <c r="A1338" s="230"/>
      <c r="B1338" s="230"/>
      <c r="C1338" s="230"/>
    </row>
    <row r="1339" spans="1:3">
      <c r="A1339" s="230"/>
      <c r="B1339" s="230"/>
      <c r="C1339" s="230"/>
    </row>
    <row r="1340" spans="1:3">
      <c r="A1340" s="230"/>
      <c r="B1340" s="230"/>
      <c r="C1340" s="230"/>
    </row>
    <row r="1341" spans="1:3">
      <c r="A1341" s="230"/>
      <c r="B1341" s="230"/>
      <c r="C1341" s="230"/>
    </row>
    <row r="1342" spans="1:3">
      <c r="A1342" s="230"/>
      <c r="B1342" s="230"/>
      <c r="C1342" s="230"/>
    </row>
    <row r="1343" spans="1:3">
      <c r="A1343" s="230"/>
      <c r="B1343" s="230"/>
      <c r="C1343" s="230"/>
    </row>
    <row r="1344" spans="1:3">
      <c r="A1344" s="230"/>
      <c r="B1344" s="230"/>
      <c r="C1344" s="230"/>
    </row>
    <row r="1345" spans="1:3">
      <c r="A1345" s="230"/>
      <c r="B1345" s="230"/>
      <c r="C1345" s="230"/>
    </row>
    <row r="1346" spans="1:3">
      <c r="A1346" s="230"/>
      <c r="B1346" s="230"/>
      <c r="C1346" s="230"/>
    </row>
    <row r="1347" spans="1:3">
      <c r="A1347" s="230"/>
      <c r="B1347" s="230"/>
      <c r="C1347" s="230"/>
    </row>
    <row r="1348" spans="1:3">
      <c r="A1348" s="230"/>
      <c r="B1348" s="230"/>
      <c r="C1348" s="230"/>
    </row>
    <row r="1349" spans="1:3">
      <c r="A1349" s="230"/>
      <c r="B1349" s="230"/>
      <c r="C1349" s="230"/>
    </row>
    <row r="1350" spans="1:3">
      <c r="A1350" s="230"/>
      <c r="B1350" s="230"/>
      <c r="C1350" s="230"/>
    </row>
    <row r="1351" spans="1:3">
      <c r="A1351" s="230"/>
      <c r="B1351" s="230"/>
      <c r="C1351" s="230"/>
    </row>
    <row r="1352" spans="1:3">
      <c r="A1352" s="230"/>
      <c r="B1352" s="230"/>
      <c r="C1352" s="230"/>
    </row>
    <row r="1353" spans="1:3">
      <c r="A1353" s="230"/>
      <c r="B1353" s="230"/>
      <c r="C1353" s="230"/>
    </row>
    <row r="1354" spans="1:3">
      <c r="A1354" s="230"/>
      <c r="B1354" s="230"/>
      <c r="C1354" s="230"/>
    </row>
    <row r="1355" spans="1:3">
      <c r="A1355" s="230"/>
      <c r="B1355" s="230"/>
      <c r="C1355" s="230"/>
    </row>
    <row r="1356" spans="1:3">
      <c r="A1356" s="230"/>
      <c r="B1356" s="230"/>
      <c r="C1356" s="230"/>
    </row>
    <row r="1357" spans="1:3">
      <c r="A1357" s="230"/>
      <c r="B1357" s="230"/>
      <c r="C1357" s="230"/>
    </row>
    <row r="1358" spans="1:3">
      <c r="A1358" s="230"/>
      <c r="B1358" s="230"/>
      <c r="C1358" s="230"/>
    </row>
    <row r="1359" spans="1:3">
      <c r="A1359" s="230"/>
      <c r="B1359" s="230"/>
      <c r="C1359" s="230"/>
    </row>
    <row r="1360" spans="1:3">
      <c r="A1360" s="230"/>
      <c r="B1360" s="230"/>
      <c r="C1360" s="230"/>
    </row>
    <row r="1361" spans="1:3">
      <c r="A1361" s="230"/>
      <c r="B1361" s="230"/>
      <c r="C1361" s="230"/>
    </row>
    <row r="1362" spans="1:3">
      <c r="A1362" s="230"/>
      <c r="B1362" s="230"/>
      <c r="C1362" s="230"/>
    </row>
    <row r="1363" spans="1:3">
      <c r="A1363" s="230"/>
      <c r="B1363" s="230"/>
      <c r="C1363" s="230"/>
    </row>
    <row r="1364" spans="1:3">
      <c r="A1364" s="230"/>
      <c r="B1364" s="230"/>
      <c r="C1364" s="230"/>
    </row>
    <row r="1365" spans="1:3">
      <c r="A1365" s="230"/>
      <c r="B1365" s="230"/>
      <c r="C1365" s="230"/>
    </row>
    <row r="1366" spans="1:3">
      <c r="A1366" s="230"/>
      <c r="B1366" s="230"/>
      <c r="C1366" s="230"/>
    </row>
    <row r="1367" spans="1:3">
      <c r="A1367" s="230"/>
      <c r="B1367" s="230"/>
      <c r="C1367" s="230"/>
    </row>
    <row r="1368" spans="1:3">
      <c r="A1368" s="230"/>
      <c r="B1368" s="230"/>
      <c r="C1368" s="230"/>
    </row>
    <row r="1369" spans="1:3">
      <c r="A1369" s="230"/>
      <c r="B1369" s="230"/>
      <c r="C1369" s="230"/>
    </row>
    <row r="1370" spans="1:3">
      <c r="A1370" s="230"/>
      <c r="B1370" s="230"/>
      <c r="C1370" s="230"/>
    </row>
    <row r="1371" spans="1:3">
      <c r="A1371" s="230"/>
      <c r="B1371" s="230"/>
      <c r="C1371" s="230"/>
    </row>
    <row r="1372" spans="1:3">
      <c r="A1372" s="230"/>
      <c r="B1372" s="230"/>
      <c r="C1372" s="230"/>
    </row>
    <row r="1373" spans="1:3">
      <c r="A1373" s="230"/>
      <c r="B1373" s="230"/>
      <c r="C1373" s="230"/>
    </row>
    <row r="1374" spans="1:3">
      <c r="A1374" s="230"/>
      <c r="B1374" s="230"/>
      <c r="C1374" s="230"/>
    </row>
    <row r="1375" spans="1:3">
      <c r="A1375" s="230"/>
      <c r="B1375" s="230"/>
      <c r="C1375" s="230"/>
    </row>
    <row r="1376" spans="1:3">
      <c r="A1376" s="230"/>
      <c r="B1376" s="230"/>
      <c r="C1376" s="230"/>
    </row>
    <row r="1377" spans="1:3">
      <c r="A1377" s="230"/>
      <c r="B1377" s="230"/>
      <c r="C1377" s="230"/>
    </row>
    <row r="1378" spans="1:3">
      <c r="A1378" s="230"/>
      <c r="B1378" s="230"/>
      <c r="C1378" s="230"/>
    </row>
    <row r="1379" spans="1:3">
      <c r="A1379" s="230"/>
      <c r="B1379" s="230"/>
      <c r="C1379" s="230"/>
    </row>
    <row r="1380" spans="1:3">
      <c r="A1380" s="230"/>
      <c r="B1380" s="230"/>
      <c r="C1380" s="230"/>
    </row>
    <row r="1381" spans="1:3">
      <c r="A1381" s="230"/>
      <c r="B1381" s="230"/>
      <c r="C1381" s="230"/>
    </row>
    <row r="1382" spans="1:3">
      <c r="A1382" s="230"/>
      <c r="B1382" s="230"/>
      <c r="C1382" s="230"/>
    </row>
    <row r="1383" spans="1:3">
      <c r="A1383" s="230"/>
      <c r="B1383" s="230"/>
      <c r="C1383" s="230"/>
    </row>
    <row r="1384" spans="1:3">
      <c r="A1384" s="230"/>
      <c r="B1384" s="230"/>
      <c r="C1384" s="230"/>
    </row>
    <row r="1385" spans="1:3">
      <c r="A1385" s="230"/>
      <c r="B1385" s="230"/>
      <c r="C1385" s="230"/>
    </row>
    <row r="1386" spans="1:3">
      <c r="A1386" s="230"/>
      <c r="B1386" s="230"/>
      <c r="C1386" s="230"/>
    </row>
    <row r="1387" spans="1:3">
      <c r="A1387" s="230"/>
      <c r="B1387" s="230"/>
      <c r="C1387" s="230"/>
    </row>
    <row r="1388" spans="1:3">
      <c r="A1388" s="230"/>
      <c r="B1388" s="230"/>
      <c r="C1388" s="230"/>
    </row>
    <row r="1389" spans="1:3">
      <c r="A1389" s="230"/>
      <c r="B1389" s="230"/>
      <c r="C1389" s="230"/>
    </row>
    <row r="1390" spans="1:3">
      <c r="A1390" s="230"/>
      <c r="B1390" s="230"/>
      <c r="C1390" s="230"/>
    </row>
    <row r="1391" spans="1:3">
      <c r="A1391" s="230"/>
      <c r="B1391" s="230"/>
      <c r="C1391" s="230"/>
    </row>
    <row r="1392" spans="1:3">
      <c r="A1392" s="230"/>
      <c r="B1392" s="230"/>
      <c r="C1392" s="230"/>
    </row>
    <row r="1393" spans="1:3"/>
    <row r="1394" spans="1:3"/>
    <row r="1395" spans="1:3">
      <c r="A1395" s="230"/>
      <c r="B1395" s="230"/>
      <c r="C1395" s="230"/>
    </row>
    <row r="1396" spans="1:3">
      <c r="A1396" s="230"/>
      <c r="B1396" s="230"/>
      <c r="C1396" s="230"/>
    </row>
    <row r="1397" spans="1:3">
      <c r="A1397" s="230"/>
      <c r="B1397" s="230"/>
      <c r="C1397" s="230"/>
    </row>
    <row r="1398" spans="1:3">
      <c r="A1398" s="230"/>
      <c r="B1398" s="230"/>
      <c r="C1398" s="230"/>
    </row>
    <row r="1399" spans="1:3">
      <c r="A1399" s="230"/>
      <c r="B1399" s="230"/>
      <c r="C1399" s="230"/>
    </row>
    <row r="1400" spans="1:3">
      <c r="A1400" s="230"/>
      <c r="B1400" s="230"/>
      <c r="C1400" s="230"/>
    </row>
    <row r="1401" spans="1:3">
      <c r="A1401" s="230"/>
      <c r="B1401" s="230"/>
      <c r="C1401" s="230"/>
    </row>
    <row r="1402" spans="1:3">
      <c r="A1402" s="230"/>
      <c r="B1402" s="230"/>
      <c r="C1402" s="230"/>
    </row>
    <row r="1403" spans="1:3">
      <c r="A1403" s="230"/>
      <c r="B1403" s="230"/>
      <c r="C1403" s="230"/>
    </row>
    <row r="1404" spans="1:3">
      <c r="A1404" s="230"/>
      <c r="B1404" s="230"/>
      <c r="C1404" s="230"/>
    </row>
    <row r="1405" spans="1:3">
      <c r="A1405" s="230"/>
      <c r="B1405" s="230"/>
      <c r="C1405" s="230"/>
    </row>
    <row r="1406" spans="1:3">
      <c r="A1406" s="230"/>
      <c r="B1406" s="230"/>
      <c r="C1406" s="230"/>
    </row>
    <row r="1407" spans="1:3">
      <c r="A1407" s="230"/>
      <c r="B1407" s="230"/>
      <c r="C1407" s="230"/>
    </row>
    <row r="1408" spans="1:3">
      <c r="A1408" s="230"/>
      <c r="B1408" s="230"/>
      <c r="C1408" s="230"/>
    </row>
    <row r="1409" spans="1:3">
      <c r="A1409" s="230"/>
      <c r="B1409" s="230"/>
      <c r="C1409" s="230"/>
    </row>
    <row r="1410" spans="1:3">
      <c r="A1410" s="230"/>
      <c r="B1410" s="230"/>
      <c r="C1410" s="230"/>
    </row>
    <row r="1411" spans="1:3">
      <c r="A1411" s="230"/>
      <c r="B1411" s="230"/>
      <c r="C1411" s="230"/>
    </row>
    <row r="1412" spans="1:3">
      <c r="A1412" s="230"/>
      <c r="B1412" s="230"/>
      <c r="C1412" s="230"/>
    </row>
    <row r="1413" spans="1:3">
      <c r="A1413" s="230"/>
      <c r="B1413" s="230"/>
      <c r="C1413" s="230"/>
    </row>
    <row r="1414" spans="1:3">
      <c r="A1414" s="230"/>
      <c r="B1414" s="230"/>
      <c r="C1414" s="230"/>
    </row>
    <row r="1415" spans="1:3">
      <c r="A1415" s="230"/>
      <c r="B1415" s="230"/>
      <c r="C1415" s="230"/>
    </row>
    <row r="1416" spans="1:3">
      <c r="A1416" s="230"/>
      <c r="B1416" s="230"/>
      <c r="C1416" s="230"/>
    </row>
    <row r="1417" spans="1:3">
      <c r="A1417" s="230"/>
      <c r="B1417" s="230"/>
      <c r="C1417" s="230"/>
    </row>
    <row r="1418" spans="1:3">
      <c r="A1418" s="230"/>
      <c r="B1418" s="230"/>
      <c r="C1418" s="230"/>
    </row>
    <row r="1419" spans="1:3">
      <c r="A1419" s="230"/>
      <c r="B1419" s="230"/>
      <c r="C1419" s="230"/>
    </row>
    <row r="1420" spans="1:3">
      <c r="A1420" s="230"/>
      <c r="B1420" s="230"/>
      <c r="C1420" s="230"/>
    </row>
    <row r="1421" spans="1:3">
      <c r="A1421" s="230"/>
      <c r="B1421" s="230"/>
      <c r="C1421" s="230"/>
    </row>
    <row r="1422" spans="1:3">
      <c r="A1422" s="230"/>
      <c r="B1422" s="230"/>
      <c r="C1422" s="230"/>
    </row>
    <row r="1423" spans="1:3">
      <c r="A1423" s="230"/>
      <c r="B1423" s="230"/>
      <c r="C1423" s="230"/>
    </row>
    <row r="1424" spans="1:3">
      <c r="A1424" s="230"/>
      <c r="B1424" s="230"/>
      <c r="C1424" s="230"/>
    </row>
    <row r="1425" spans="1:3">
      <c r="A1425" s="230"/>
      <c r="B1425" s="230"/>
      <c r="C1425" s="230"/>
    </row>
    <row r="1426" spans="1:3">
      <c r="A1426" s="230"/>
      <c r="B1426" s="230"/>
      <c r="C1426" s="230"/>
    </row>
    <row r="1427" spans="1:3">
      <c r="A1427" s="230"/>
      <c r="B1427" s="230"/>
      <c r="C1427" s="230"/>
    </row>
    <row r="1428" spans="1:3">
      <c r="A1428" s="230"/>
      <c r="B1428" s="230"/>
      <c r="C1428" s="230"/>
    </row>
    <row r="1429" spans="1:3">
      <c r="A1429" s="230"/>
      <c r="B1429" s="230"/>
      <c r="C1429" s="230"/>
    </row>
    <row r="1430" spans="1:3">
      <c r="A1430" s="230"/>
      <c r="B1430" s="230"/>
      <c r="C1430" s="230"/>
    </row>
    <row r="1431" spans="1:3">
      <c r="A1431" s="230"/>
      <c r="B1431" s="230"/>
      <c r="C1431" s="230"/>
    </row>
    <row r="1432" spans="1:3">
      <c r="A1432" s="230"/>
      <c r="B1432" s="230"/>
      <c r="C1432" s="230"/>
    </row>
    <row r="1433" spans="1:3">
      <c r="A1433" s="230"/>
      <c r="B1433" s="230"/>
      <c r="C1433" s="230"/>
    </row>
    <row r="1434" spans="1:3">
      <c r="A1434" s="230"/>
      <c r="B1434" s="230"/>
      <c r="C1434" s="230"/>
    </row>
    <row r="1435" spans="1:3">
      <c r="A1435" s="230"/>
      <c r="B1435" s="230"/>
      <c r="C1435" s="230"/>
    </row>
    <row r="1436" spans="1:3">
      <c r="A1436" s="230"/>
      <c r="B1436" s="230"/>
      <c r="C1436" s="230"/>
    </row>
    <row r="1437" spans="1:3">
      <c r="A1437" s="230"/>
      <c r="B1437" s="230"/>
      <c r="C1437" s="230"/>
    </row>
    <row r="1438" spans="1:3">
      <c r="A1438" s="230"/>
      <c r="B1438" s="230"/>
      <c r="C1438" s="230"/>
    </row>
    <row r="1439" spans="1:3">
      <c r="A1439" s="230"/>
      <c r="B1439" s="230"/>
      <c r="C1439" s="230"/>
    </row>
    <row r="1440" spans="1:3">
      <c r="A1440" s="230"/>
      <c r="B1440" s="230"/>
      <c r="C1440" s="230"/>
    </row>
    <row r="1441" spans="1:3">
      <c r="A1441" s="230"/>
      <c r="B1441" s="230"/>
      <c r="C1441" s="230"/>
    </row>
    <row r="1442" spans="1:3">
      <c r="A1442" s="230"/>
      <c r="B1442" s="230"/>
      <c r="C1442" s="230"/>
    </row>
    <row r="1443" spans="1:3">
      <c r="A1443" s="230"/>
      <c r="B1443" s="230"/>
      <c r="C1443" s="230"/>
    </row>
    <row r="1444" spans="1:3">
      <c r="A1444" s="230"/>
      <c r="B1444" s="230"/>
      <c r="C1444" s="230"/>
    </row>
    <row r="1445" spans="1:3">
      <c r="A1445" s="230"/>
      <c r="B1445" s="230"/>
      <c r="C1445" s="230"/>
    </row>
    <row r="1446" spans="1:3">
      <c r="A1446" s="230"/>
      <c r="B1446" s="230"/>
      <c r="C1446" s="230"/>
    </row>
    <row r="1447" spans="1:3">
      <c r="A1447" s="230"/>
      <c r="B1447" s="230"/>
      <c r="C1447" s="230"/>
    </row>
    <row r="1448" spans="1:3">
      <c r="A1448" s="230"/>
      <c r="B1448" s="230"/>
      <c r="C1448" s="230"/>
    </row>
    <row r="1449" spans="1:3">
      <c r="A1449" s="230"/>
      <c r="B1449" s="230"/>
      <c r="C1449" s="230"/>
    </row>
    <row r="1450" spans="1:3">
      <c r="A1450" s="230"/>
      <c r="B1450" s="230"/>
      <c r="C1450" s="230"/>
    </row>
    <row r="1451" spans="1:3">
      <c r="A1451" s="230"/>
      <c r="B1451" s="230"/>
      <c r="C1451" s="230"/>
    </row>
    <row r="1452" spans="1:3">
      <c r="A1452" s="230"/>
      <c r="B1452" s="230"/>
      <c r="C1452" s="230"/>
    </row>
    <row r="1453" spans="1:3">
      <c r="A1453" s="230"/>
      <c r="B1453" s="230"/>
      <c r="C1453" s="230"/>
    </row>
    <row r="1454" spans="1:3">
      <c r="A1454" s="230"/>
      <c r="B1454" s="230"/>
      <c r="C1454" s="230"/>
    </row>
    <row r="1455" spans="1:3">
      <c r="A1455" s="230"/>
      <c r="B1455" s="230"/>
      <c r="C1455" s="230"/>
    </row>
    <row r="1456" spans="1:3">
      <c r="A1456" s="230"/>
      <c r="B1456" s="230"/>
      <c r="C1456" s="230"/>
    </row>
    <row r="1457" spans="1:3">
      <c r="A1457" s="230"/>
      <c r="B1457" s="230"/>
      <c r="C1457" s="230"/>
    </row>
    <row r="1458" spans="1:3">
      <c r="A1458" s="230"/>
      <c r="B1458" s="230"/>
      <c r="C1458" s="230"/>
    </row>
    <row r="1459" spans="1:3">
      <c r="A1459" s="230"/>
      <c r="B1459" s="230"/>
      <c r="C1459" s="230"/>
    </row>
    <row r="1460" spans="1:3">
      <c r="A1460" s="230"/>
      <c r="B1460" s="230"/>
      <c r="C1460" s="230"/>
    </row>
    <row r="1461" spans="1:3">
      <c r="A1461" s="230"/>
      <c r="B1461" s="230"/>
      <c r="C1461" s="230"/>
    </row>
    <row r="1462" spans="1:3">
      <c r="A1462" s="230"/>
      <c r="B1462" s="230"/>
      <c r="C1462" s="230"/>
    </row>
    <row r="1463" spans="1:3">
      <c r="A1463" s="230"/>
      <c r="B1463" s="230"/>
      <c r="C1463" s="230"/>
    </row>
    <row r="1464" spans="1:3">
      <c r="A1464" s="230"/>
      <c r="B1464" s="230"/>
      <c r="C1464" s="230"/>
    </row>
    <row r="1465" spans="1:3">
      <c r="A1465" s="230"/>
      <c r="B1465" s="230"/>
      <c r="C1465" s="230"/>
    </row>
    <row r="1466" spans="1:3">
      <c r="A1466" s="230"/>
      <c r="B1466" s="230"/>
      <c r="C1466" s="230"/>
    </row>
    <row r="1467" spans="1:3">
      <c r="A1467" s="230"/>
      <c r="B1467" s="230"/>
      <c r="C1467" s="230"/>
    </row>
    <row r="1468" spans="1:3">
      <c r="A1468" s="230"/>
      <c r="B1468" s="230"/>
      <c r="C1468" s="230"/>
    </row>
    <row r="1469" spans="1:3">
      <c r="A1469" s="230"/>
      <c r="B1469" s="230"/>
      <c r="C1469" s="230"/>
    </row>
    <row r="1470" spans="1:3">
      <c r="A1470" s="230"/>
      <c r="B1470" s="230"/>
      <c r="C1470" s="230"/>
    </row>
    <row r="1471" spans="1:3">
      <c r="A1471" s="230"/>
      <c r="B1471" s="230"/>
      <c r="C1471" s="230"/>
    </row>
    <row r="1472" spans="1:3">
      <c r="A1472" s="230"/>
      <c r="B1472" s="230"/>
      <c r="C1472" s="230"/>
    </row>
    <row r="1473" spans="1:3">
      <c r="A1473" s="230"/>
      <c r="B1473" s="230"/>
      <c r="C1473" s="230"/>
    </row>
    <row r="1474" spans="1:3">
      <c r="A1474" s="230"/>
      <c r="B1474" s="230"/>
      <c r="C1474" s="230"/>
    </row>
    <row r="1475" spans="1:3">
      <c r="A1475" s="230"/>
      <c r="B1475" s="230"/>
      <c r="C1475" s="230"/>
    </row>
    <row r="1476" spans="1:3">
      <c r="A1476" s="230"/>
      <c r="B1476" s="230"/>
      <c r="C1476" s="230"/>
    </row>
    <row r="1477" spans="1:3">
      <c r="A1477" s="230"/>
      <c r="B1477" s="230"/>
      <c r="C1477" s="230"/>
    </row>
    <row r="1478" spans="1:3">
      <c r="A1478" s="230"/>
      <c r="B1478" s="230"/>
      <c r="C1478" s="230"/>
    </row>
    <row r="1479" spans="1:3">
      <c r="A1479" s="230"/>
      <c r="B1479" s="230"/>
      <c r="C1479" s="230"/>
    </row>
    <row r="1480" spans="1:3">
      <c r="A1480" s="230"/>
      <c r="B1480" s="230"/>
      <c r="C1480" s="230"/>
    </row>
    <row r="1481" spans="1:3">
      <c r="A1481" s="230"/>
      <c r="B1481" s="230"/>
      <c r="C1481" s="230"/>
    </row>
    <row r="1482" spans="1:3">
      <c r="A1482" s="230"/>
      <c r="B1482" s="230"/>
      <c r="C1482" s="230"/>
    </row>
    <row r="1483" spans="1:3">
      <c r="A1483" s="230"/>
      <c r="B1483" s="230"/>
      <c r="C1483" s="230"/>
    </row>
    <row r="1484" spans="1:3">
      <c r="A1484" s="230"/>
      <c r="B1484" s="230"/>
      <c r="C1484" s="230"/>
    </row>
    <row r="1485" spans="1:3">
      <c r="A1485" s="230"/>
      <c r="B1485" s="230"/>
      <c r="C1485" s="230"/>
    </row>
    <row r="1486" spans="1:3">
      <c r="A1486" s="230"/>
      <c r="B1486" s="230"/>
      <c r="C1486" s="230"/>
    </row>
    <row r="1487" spans="1:3">
      <c r="A1487" s="230"/>
      <c r="B1487" s="230"/>
      <c r="C1487" s="230"/>
    </row>
    <row r="1488" spans="1:3">
      <c r="A1488" s="230"/>
      <c r="B1488" s="230"/>
      <c r="C1488" s="230"/>
    </row>
    <row r="1489" spans="1:3">
      <c r="A1489" s="230"/>
      <c r="B1489" s="230"/>
      <c r="C1489" s="230"/>
    </row>
    <row r="1490" spans="1:3">
      <c r="A1490" s="230"/>
      <c r="B1490" s="230"/>
      <c r="C1490" s="230"/>
    </row>
    <row r="1491" spans="1:3">
      <c r="A1491" s="230"/>
      <c r="B1491" s="230"/>
      <c r="C1491" s="230"/>
    </row>
    <row r="1492" spans="1:3">
      <c r="A1492" s="230"/>
      <c r="B1492" s="230"/>
      <c r="C1492" s="230"/>
    </row>
    <row r="1493" spans="1:3">
      <c r="A1493" s="230"/>
      <c r="B1493" s="230"/>
      <c r="C1493" s="230"/>
    </row>
    <row r="1494" spans="1:3">
      <c r="A1494" s="230"/>
      <c r="B1494" s="230"/>
      <c r="C1494" s="230"/>
    </row>
    <row r="1495" spans="1:3">
      <c r="A1495" s="230"/>
      <c r="B1495" s="230"/>
      <c r="C1495" s="230"/>
    </row>
    <row r="1496" spans="1:3">
      <c r="A1496" s="230"/>
      <c r="B1496" s="230"/>
      <c r="C1496" s="230"/>
    </row>
    <row r="1497" spans="1:3">
      <c r="A1497" s="230"/>
      <c r="B1497" s="230"/>
      <c r="C1497" s="230"/>
    </row>
    <row r="1498" spans="1:3">
      <c r="A1498" s="230"/>
      <c r="B1498" s="230"/>
      <c r="C1498" s="230"/>
    </row>
    <row r="1499" spans="1:3">
      <c r="A1499" s="230"/>
      <c r="B1499" s="230"/>
      <c r="C1499" s="230"/>
    </row>
    <row r="1500" spans="1:3">
      <c r="A1500" s="230"/>
      <c r="B1500" s="230"/>
      <c r="C1500" s="230"/>
    </row>
    <row r="1501" spans="1:3">
      <c r="A1501" s="230"/>
      <c r="B1501" s="230"/>
      <c r="C1501" s="230"/>
    </row>
    <row r="1502" spans="1:3">
      <c r="A1502" s="230"/>
      <c r="B1502" s="230"/>
      <c r="C1502" s="230"/>
    </row>
    <row r="1503" spans="1:3">
      <c r="A1503" s="230"/>
      <c r="B1503" s="230"/>
      <c r="C1503" s="230"/>
    </row>
    <row r="1504" spans="1:3">
      <c r="A1504" s="230"/>
      <c r="B1504" s="230"/>
      <c r="C1504" s="230"/>
    </row>
    <row r="1505" spans="1:3">
      <c r="A1505" s="230"/>
      <c r="B1505" s="230"/>
      <c r="C1505" s="230"/>
    </row>
    <row r="1506" spans="1:3">
      <c r="A1506" s="230"/>
      <c r="B1506" s="230"/>
      <c r="C1506" s="230"/>
    </row>
    <row r="1507" spans="1:3">
      <c r="A1507" s="230"/>
      <c r="B1507" s="230"/>
      <c r="C1507" s="230"/>
    </row>
    <row r="1508" spans="1:3">
      <c r="A1508" s="230"/>
      <c r="B1508" s="230"/>
      <c r="C1508" s="230"/>
    </row>
    <row r="1509" spans="1:3">
      <c r="A1509" s="230"/>
      <c r="B1509" s="230"/>
      <c r="C1509" s="230"/>
    </row>
    <row r="1510" spans="1:3">
      <c r="A1510" s="230"/>
      <c r="B1510" s="230"/>
      <c r="C1510" s="230"/>
    </row>
    <row r="1511" spans="1:3">
      <c r="A1511" s="230"/>
      <c r="B1511" s="230"/>
      <c r="C1511" s="230"/>
    </row>
    <row r="1512" spans="1:3">
      <c r="A1512" s="230"/>
      <c r="B1512" s="230"/>
      <c r="C1512" s="230"/>
    </row>
    <row r="1513" spans="1:3">
      <c r="A1513" s="230"/>
      <c r="B1513" s="230"/>
      <c r="C1513" s="230"/>
    </row>
    <row r="1514" spans="1:3">
      <c r="A1514" s="230"/>
      <c r="B1514" s="230"/>
      <c r="C1514" s="230"/>
    </row>
    <row r="1515" spans="1:3">
      <c r="A1515" s="230"/>
      <c r="B1515" s="230"/>
      <c r="C1515" s="230"/>
    </row>
    <row r="1516" spans="1:3">
      <c r="A1516" s="230"/>
      <c r="B1516" s="230"/>
      <c r="C1516" s="230"/>
    </row>
    <row r="1517" spans="1:3">
      <c r="A1517" s="230"/>
      <c r="B1517" s="230"/>
      <c r="C1517" s="230"/>
    </row>
    <row r="1518" spans="1:3">
      <c r="A1518" s="230"/>
      <c r="B1518" s="230"/>
      <c r="C1518" s="230"/>
    </row>
    <row r="1519" spans="1:3">
      <c r="A1519" s="230"/>
      <c r="B1519" s="230"/>
      <c r="C1519" s="230"/>
    </row>
    <row r="1520" spans="1:3">
      <c r="A1520" s="230"/>
      <c r="B1520" s="230"/>
      <c r="C1520" s="230"/>
    </row>
    <row r="1521" spans="1:3">
      <c r="A1521" s="230"/>
      <c r="B1521" s="230"/>
      <c r="C1521" s="230"/>
    </row>
    <row r="1522" spans="1:3">
      <c r="A1522" s="230"/>
      <c r="B1522" s="230"/>
      <c r="C1522" s="230"/>
    </row>
    <row r="1523" spans="1:3">
      <c r="A1523" s="230"/>
      <c r="B1523" s="230"/>
      <c r="C1523" s="230"/>
    </row>
    <row r="1524" spans="1:3">
      <c r="A1524" s="230"/>
      <c r="B1524" s="230"/>
      <c r="C1524" s="230"/>
    </row>
    <row r="1525" spans="1:3">
      <c r="A1525" s="230"/>
      <c r="B1525" s="230"/>
      <c r="C1525" s="230"/>
    </row>
    <row r="1526" spans="1:3">
      <c r="A1526" s="230"/>
      <c r="B1526" s="230"/>
      <c r="C1526" s="230"/>
    </row>
    <row r="1527" spans="1:3">
      <c r="A1527" s="230"/>
      <c r="B1527" s="230"/>
      <c r="C1527" s="230"/>
    </row>
    <row r="1528" spans="1:3">
      <c r="A1528" s="230"/>
      <c r="B1528" s="230"/>
      <c r="C1528" s="230"/>
    </row>
    <row r="1529" spans="1:3">
      <c r="A1529" s="230"/>
      <c r="B1529" s="230"/>
      <c r="C1529" s="230"/>
    </row>
    <row r="1530" spans="1:3">
      <c r="A1530" s="230"/>
      <c r="B1530" s="230"/>
      <c r="C1530" s="230"/>
    </row>
    <row r="1531" spans="1:3">
      <c r="A1531" s="230"/>
      <c r="B1531" s="230"/>
      <c r="C1531" s="230"/>
    </row>
    <row r="1532" spans="1:3">
      <c r="A1532" s="230"/>
      <c r="B1532" s="230"/>
      <c r="C1532" s="230"/>
    </row>
    <row r="1533" spans="1:3">
      <c r="A1533" s="230"/>
      <c r="B1533" s="230"/>
      <c r="C1533" s="230"/>
    </row>
    <row r="1534" spans="1:3">
      <c r="A1534" s="230"/>
      <c r="B1534" s="230"/>
      <c r="C1534" s="230"/>
    </row>
    <row r="1535" spans="1:3">
      <c r="A1535" s="230"/>
      <c r="B1535" s="230"/>
      <c r="C1535" s="230"/>
    </row>
    <row r="1536" spans="1:3">
      <c r="A1536" s="230"/>
      <c r="B1536" s="230"/>
      <c r="C1536" s="230"/>
    </row>
    <row r="1537" spans="1:9">
      <c r="A1537" s="230"/>
      <c r="B1537" s="230"/>
      <c r="C1537" s="230"/>
    </row>
    <row r="1538" spans="1:9"/>
    <row r="1539" spans="1:9"/>
    <row r="1540" spans="1:9"/>
    <row r="1541" spans="1:9">
      <c r="G1541" s="1254"/>
      <c r="H1541" s="1254"/>
      <c r="I1541" s="1254"/>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25" right="0.25" top="0.75" bottom="0.75" header="0.3" footer="0.3"/>
  <pageSetup scale="96" fitToHeight="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B170" zoomScale="85" zoomScaleNormal="85" workbookViewId="0">
      <selection activeCell="W561" sqref="W561:Y561"/>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59"/>
      <c r="AS1" s="762">
        <v>4</v>
      </c>
      <c r="BD1" s="2" t="s">
        <v>642</v>
      </c>
      <c r="BE1" s="2"/>
      <c r="BF1" s="2"/>
    </row>
    <row r="2" spans="1:58" ht="12.9" customHeight="1">
      <c r="BD2" s="2" t="s">
        <v>643</v>
      </c>
      <c r="BE2" s="2" t="s">
        <v>644</v>
      </c>
      <c r="BF2" s="2" t="s">
        <v>645</v>
      </c>
    </row>
    <row r="3" spans="1:58" ht="12.9" customHeight="1">
      <c r="BD3" s="2" t="s">
        <v>646</v>
      </c>
      <c r="BE3" t="str">
        <f>AC220</f>
        <v>Balance of Los Angeles County</v>
      </c>
    </row>
    <row r="4" spans="1:58" ht="12.9" customHeight="1">
      <c r="BD4" s="2" t="s">
        <v>647</v>
      </c>
      <c r="BE4" s="952"/>
    </row>
    <row r="5" spans="1:58" ht="12.9" customHeight="1">
      <c r="BD5" s="2" t="s">
        <v>648</v>
      </c>
      <c r="BE5">
        <f>SUMIF($AC$718:$AC$752,"&lt;=20%",$G$718:G$752)</f>
        <v>0</v>
      </c>
      <c r="BF5" s="2" t="s">
        <v>649</v>
      </c>
    </row>
    <row r="6" spans="1:58" ht="12.9" customHeight="1">
      <c r="BD6" s="2" t="s">
        <v>650</v>
      </c>
      <c r="BE6" s="955">
        <f>SUMIF($AC$718:$AC$752,"&lt;=25%",$G$718:G$752)-SUM($BE$5:BE5)</f>
        <v>0</v>
      </c>
    </row>
    <row r="7" spans="1:58" ht="12.9" customHeight="1">
      <c r="BD7" s="953" t="s">
        <v>651</v>
      </c>
      <c r="BE7" s="955">
        <f>SUMIF($AC$718:$AC$752,"&lt;=30%",$G$718:G$752)-SUM($BE$5:BE6)</f>
        <v>14</v>
      </c>
    </row>
    <row r="8" spans="1:58" ht="26.25" customHeight="1">
      <c r="A8" s="1773" t="s">
        <v>652</v>
      </c>
      <c r="B8" s="1773"/>
      <c r="C8" s="1773"/>
      <c r="D8" s="1773"/>
      <c r="E8" s="1773"/>
      <c r="F8" s="1773"/>
      <c r="G8" s="1773"/>
      <c r="H8" s="1773"/>
      <c r="I8" s="1773"/>
      <c r="J8" s="1773"/>
      <c r="K8" s="1773"/>
      <c r="L8" s="1773"/>
      <c r="M8" s="1773"/>
      <c r="N8" s="1773"/>
      <c r="O8" s="1773"/>
      <c r="P8" s="1773"/>
      <c r="Q8" s="1773"/>
      <c r="R8" s="1773"/>
      <c r="S8" s="1773"/>
      <c r="T8" s="1773"/>
      <c r="U8" s="1773"/>
      <c r="V8" s="1773"/>
      <c r="W8" s="1773"/>
      <c r="X8" s="1773"/>
      <c r="Y8" s="1773"/>
      <c r="Z8" s="1773"/>
      <c r="AA8" s="1773"/>
      <c r="AB8" s="1773"/>
      <c r="AC8" s="1773"/>
      <c r="AD8" s="1773"/>
      <c r="AE8" s="1773"/>
      <c r="AF8" s="1773"/>
      <c r="AG8" s="1773"/>
      <c r="AH8" s="1773"/>
      <c r="AI8" s="1773"/>
      <c r="AJ8" s="1773"/>
      <c r="AK8" s="1773"/>
      <c r="AL8" s="1773"/>
      <c r="AM8" s="1773"/>
      <c r="AN8" s="1773"/>
      <c r="AO8" s="1773"/>
      <c r="AP8" s="1773"/>
      <c r="AQ8" s="1773"/>
      <c r="AR8" s="1773"/>
      <c r="AS8" s="1773"/>
      <c r="AT8" s="1773"/>
      <c r="AU8" s="1151"/>
      <c r="AV8" s="1151"/>
      <c r="AW8" s="1151"/>
      <c r="AX8" s="1151"/>
      <c r="AY8" s="1151"/>
      <c r="BD8" s="2" t="s">
        <v>653</v>
      </c>
      <c r="BE8" s="955">
        <f>SUMIF($AC$718:$AC$752,"&lt;=35%",$G$718:G$752)-SUM($BE$5:BE7)</f>
        <v>0</v>
      </c>
    </row>
    <row r="9" spans="1:58" ht="12.9" customHeight="1">
      <c r="A9" s="1774" t="s">
        <v>654</v>
      </c>
      <c r="B9" s="1774"/>
      <c r="C9" s="1774"/>
      <c r="D9" s="1774"/>
      <c r="E9" s="1774"/>
      <c r="F9" s="1774"/>
      <c r="G9" s="1774"/>
      <c r="H9" s="1774"/>
      <c r="I9" s="1774"/>
      <c r="J9" s="1774"/>
      <c r="K9" s="1774"/>
      <c r="L9" s="1774"/>
      <c r="M9" s="1774"/>
      <c r="N9" s="1774"/>
      <c r="O9" s="1774"/>
      <c r="P9" s="1774"/>
      <c r="Q9" s="1774"/>
      <c r="R9" s="1774"/>
      <c r="S9" s="1774"/>
      <c r="T9" s="1774"/>
      <c r="U9" s="1774"/>
      <c r="V9" s="1774"/>
      <c r="W9" s="1774"/>
      <c r="X9" s="1774"/>
      <c r="Y9" s="1774"/>
      <c r="Z9" s="1774"/>
      <c r="AA9" s="1774"/>
      <c r="AB9" s="1774"/>
      <c r="AC9" s="1774"/>
      <c r="AD9" s="1774"/>
      <c r="AE9" s="1774"/>
      <c r="AF9" s="1774"/>
      <c r="AG9" s="1774"/>
      <c r="AH9" s="1774"/>
      <c r="AI9" s="1774"/>
      <c r="AJ9" s="1774"/>
      <c r="AK9" s="1774"/>
      <c r="AL9" s="1774"/>
      <c r="AM9" s="1774"/>
      <c r="AN9" s="1774"/>
      <c r="AO9" s="1774"/>
      <c r="AP9" s="1774"/>
      <c r="AQ9" s="1774"/>
      <c r="AR9" s="1774"/>
      <c r="AS9" s="1774"/>
      <c r="AT9" s="1774"/>
      <c r="AU9" s="1150"/>
      <c r="AV9" s="1150"/>
      <c r="AW9" s="1150"/>
      <c r="AX9" s="1150"/>
      <c r="AY9" s="1150"/>
      <c r="BD9" s="954" t="s">
        <v>655</v>
      </c>
      <c r="BE9" s="955">
        <f>SUMIF($AC$718:$AC$752,"&lt;=40%",$G$718:G$752)-SUM($BE$5:BE8)</f>
        <v>0</v>
      </c>
    </row>
    <row r="10" spans="1:58" ht="12.9" customHeight="1">
      <c r="A10" s="1774" t="s">
        <v>656</v>
      </c>
      <c r="B10" s="1774"/>
      <c r="C10" s="1774"/>
      <c r="D10" s="1774"/>
      <c r="E10" s="1774"/>
      <c r="F10" s="1774"/>
      <c r="G10" s="1774"/>
      <c r="H10" s="1774"/>
      <c r="I10" s="1774"/>
      <c r="J10" s="1774"/>
      <c r="K10" s="1774"/>
      <c r="L10" s="1774"/>
      <c r="M10" s="1774"/>
      <c r="N10" s="1774"/>
      <c r="O10" s="1774"/>
      <c r="P10" s="1774"/>
      <c r="Q10" s="1774"/>
      <c r="R10" s="1774"/>
      <c r="S10" s="1774"/>
      <c r="T10" s="1774"/>
      <c r="U10" s="1774"/>
      <c r="V10" s="1774"/>
      <c r="W10" s="1774"/>
      <c r="X10" s="1774"/>
      <c r="Y10" s="1774"/>
      <c r="Z10" s="1774"/>
      <c r="AA10" s="1774"/>
      <c r="AB10" s="1774"/>
      <c r="AC10" s="1774"/>
      <c r="AD10" s="1774"/>
      <c r="AE10" s="1774"/>
      <c r="AF10" s="1774"/>
      <c r="AG10" s="1774"/>
      <c r="AH10" s="1774"/>
      <c r="AI10" s="1774"/>
      <c r="AJ10" s="1774"/>
      <c r="AK10" s="1774"/>
      <c r="AL10" s="1774"/>
      <c r="AM10" s="1774"/>
      <c r="AN10" s="1774"/>
      <c r="AO10" s="1774"/>
      <c r="AP10" s="1774"/>
      <c r="AQ10" s="1774"/>
      <c r="AR10" s="1774"/>
      <c r="AS10" s="1774"/>
      <c r="AT10" s="1774"/>
      <c r="AU10" s="1150"/>
      <c r="AV10" s="1150"/>
      <c r="AW10" s="1150"/>
      <c r="AX10" s="1150"/>
      <c r="AY10" s="1150"/>
      <c r="BD10" s="2" t="s">
        <v>657</v>
      </c>
      <c r="BE10" s="955">
        <f>SUMIF($AC$718:$AC$752,"&lt;=45%",$G$718:G$752)-SUM($BE$5:BE9)</f>
        <v>0</v>
      </c>
    </row>
    <row r="11" spans="1:58" ht="12.9" customHeight="1">
      <c r="A11" s="1774" t="s">
        <v>658</v>
      </c>
      <c r="B11" s="1774"/>
      <c r="C11" s="1774"/>
      <c r="D11" s="1774"/>
      <c r="E11" s="1774"/>
      <c r="F11" s="1774"/>
      <c r="G11" s="1774"/>
      <c r="H11" s="1774"/>
      <c r="I11" s="1774"/>
      <c r="J11" s="1774"/>
      <c r="K11" s="1774"/>
      <c r="L11" s="1774"/>
      <c r="M11" s="1774"/>
      <c r="N11" s="1774"/>
      <c r="O11" s="1774"/>
      <c r="P11" s="1774"/>
      <c r="Q11" s="1774"/>
      <c r="R11" s="1774"/>
      <c r="S11" s="1774"/>
      <c r="T11" s="1774"/>
      <c r="U11" s="1774"/>
      <c r="V11" s="1774"/>
      <c r="W11" s="1774"/>
      <c r="X11" s="1774"/>
      <c r="Y11" s="1774"/>
      <c r="Z11" s="1774"/>
      <c r="AA11" s="1774"/>
      <c r="AB11" s="1774"/>
      <c r="AC11" s="1774"/>
      <c r="AD11" s="1774"/>
      <c r="AE11" s="1774"/>
      <c r="AF11" s="1774"/>
      <c r="AG11" s="1774"/>
      <c r="AH11" s="1774"/>
      <c r="AI11" s="1774"/>
      <c r="AJ11" s="1774"/>
      <c r="AK11" s="1774"/>
      <c r="AL11" s="1774"/>
      <c r="AM11" s="1774"/>
      <c r="AN11" s="1774"/>
      <c r="AO11" s="1774"/>
      <c r="AP11" s="1774"/>
      <c r="AQ11" s="1774"/>
      <c r="AR11" s="1774"/>
      <c r="AS11" s="1774"/>
      <c r="AT11" s="1774"/>
      <c r="AU11" s="1150"/>
      <c r="AV11" s="1150"/>
      <c r="AW11" s="1150"/>
      <c r="AX11" s="1150"/>
      <c r="AY11" s="1150"/>
      <c r="BD11" s="953" t="s">
        <v>659</v>
      </c>
      <c r="BE11" s="955">
        <f>SUMIF($AC$718:$AC$752,"&lt;=50%",$G$718:G$752)-SUM($BE$5:BE10)</f>
        <v>14</v>
      </c>
    </row>
    <row r="12" spans="1:58" ht="12.9" customHeight="1">
      <c r="A12" s="1775" t="s">
        <v>660</v>
      </c>
      <c r="B12" s="1775"/>
      <c r="C12" s="1775"/>
      <c r="D12" s="1775"/>
      <c r="E12" s="1775"/>
      <c r="F12" s="1775"/>
      <c r="G12" s="1775"/>
      <c r="H12" s="1775"/>
      <c r="I12" s="1775"/>
      <c r="J12" s="1775"/>
      <c r="K12" s="1775"/>
      <c r="L12" s="1775"/>
      <c r="M12" s="1775"/>
      <c r="N12" s="1775"/>
      <c r="O12" s="1775"/>
      <c r="P12" s="1775"/>
      <c r="Q12" s="1775"/>
      <c r="R12" s="1775"/>
      <c r="S12" s="1775"/>
      <c r="T12" s="1775"/>
      <c r="U12" s="1775"/>
      <c r="V12" s="1775"/>
      <c r="W12" s="1775"/>
      <c r="X12" s="1775"/>
      <c r="Y12" s="1775"/>
      <c r="Z12" s="1775"/>
      <c r="AA12" s="1775"/>
      <c r="AB12" s="1775"/>
      <c r="AC12" s="1775"/>
      <c r="AD12" s="1775"/>
      <c r="AE12" s="1775"/>
      <c r="AF12" s="1775"/>
      <c r="AG12" s="1775"/>
      <c r="AH12" s="1775"/>
      <c r="AI12" s="1775"/>
      <c r="AJ12" s="1775"/>
      <c r="AK12" s="1775"/>
      <c r="AL12" s="1775"/>
      <c r="AM12" s="1775"/>
      <c r="AN12" s="1775"/>
      <c r="AO12" s="1775"/>
      <c r="AP12" s="1775"/>
      <c r="AQ12" s="1775"/>
      <c r="AR12" s="1775"/>
      <c r="AS12" s="1775"/>
      <c r="AT12" s="1775"/>
      <c r="AU12" s="1152"/>
      <c r="AV12" s="1152"/>
      <c r="AW12" s="1152"/>
      <c r="AX12" s="1152"/>
      <c r="AY12" s="1152"/>
      <c r="BD12" s="2" t="s">
        <v>661</v>
      </c>
      <c r="BE12" s="955">
        <f>SUMIF($AC$718:$AC$752,"&lt;=55%",$G$718:G$752)-SUM($BE$5:BE11)</f>
        <v>0</v>
      </c>
    </row>
    <row r="13" spans="1:58" ht="12.9" customHeight="1">
      <c r="A13" s="1233" t="s">
        <v>662</v>
      </c>
      <c r="B13" s="1233"/>
      <c r="C13" s="1233"/>
      <c r="D13" s="1233"/>
      <c r="E13" s="1233"/>
      <c r="F13" s="1233"/>
      <c r="G13" s="1233"/>
      <c r="H13" s="1233"/>
      <c r="I13" s="1233"/>
      <c r="J13" s="1233"/>
      <c r="K13" s="1233"/>
      <c r="L13" s="1233"/>
      <c r="M13" s="1233"/>
      <c r="N13" s="1233"/>
      <c r="O13" s="1233"/>
      <c r="P13" s="1233"/>
      <c r="Q13" s="1233"/>
      <c r="R13" s="1233"/>
      <c r="S13" s="1233"/>
      <c r="T13" s="1233"/>
      <c r="U13" s="1233"/>
      <c r="V13" s="1233"/>
      <c r="W13" s="1233"/>
      <c r="X13" s="1233"/>
      <c r="Y13" s="1233"/>
      <c r="Z13" s="1233"/>
      <c r="AA13" s="1233"/>
      <c r="AB13" s="1233"/>
      <c r="AC13" s="1233"/>
      <c r="AD13" s="1233"/>
      <c r="AE13" s="1233"/>
      <c r="AF13" s="1233"/>
      <c r="AG13" s="1233"/>
      <c r="AH13" s="1233"/>
      <c r="AI13" s="1233"/>
      <c r="AJ13" s="1233"/>
      <c r="AK13" s="1233"/>
      <c r="AL13" s="1233"/>
      <c r="AM13" s="1233"/>
      <c r="AN13" s="1233"/>
      <c r="AO13" s="1233"/>
      <c r="AP13" s="1233"/>
      <c r="AQ13" s="1233"/>
      <c r="AR13" s="1233"/>
      <c r="AS13" s="1233"/>
      <c r="AT13" s="1233"/>
      <c r="AU13" s="660"/>
      <c r="AV13" s="660"/>
      <c r="AW13" s="660"/>
      <c r="AX13" s="660"/>
      <c r="AY13" s="660"/>
      <c r="BD13" s="954" t="s">
        <v>663</v>
      </c>
      <c r="BE13" s="955">
        <f>SUMIF($AC$718:$AC$752,"&lt;=60%",$G$718:G$752)-SUM($BE$5:BE12)</f>
        <v>45</v>
      </c>
    </row>
    <row r="14" spans="1:58" ht="12.9" customHeight="1">
      <c r="A14" s="1233"/>
      <c r="B14" s="1233"/>
      <c r="C14" s="1233"/>
      <c r="D14" s="1233"/>
      <c r="E14" s="1233"/>
      <c r="F14" s="1233"/>
      <c r="G14" s="1233"/>
      <c r="H14" s="1233"/>
      <c r="I14" s="1233"/>
      <c r="J14" s="1233"/>
      <c r="K14" s="1233"/>
      <c r="L14" s="1233"/>
      <c r="M14" s="1233"/>
      <c r="N14" s="1233"/>
      <c r="O14" s="1233"/>
      <c r="P14" s="1233"/>
      <c r="Q14" s="1233"/>
      <c r="R14" s="1233"/>
      <c r="S14" s="1233"/>
      <c r="T14" s="1233"/>
      <c r="U14" s="1233"/>
      <c r="V14" s="1233"/>
      <c r="W14" s="1233"/>
      <c r="X14" s="1233"/>
      <c r="Y14" s="1233"/>
      <c r="Z14" s="1233"/>
      <c r="AA14" s="1233"/>
      <c r="AB14" s="1233"/>
      <c r="AC14" s="1233"/>
      <c r="AD14" s="1233"/>
      <c r="AE14" s="1233"/>
      <c r="AF14" s="1233"/>
      <c r="AG14" s="1233"/>
      <c r="AH14" s="1233"/>
      <c r="AI14" s="1233"/>
      <c r="AJ14" s="1233"/>
      <c r="AK14" s="1233"/>
      <c r="AL14" s="1233"/>
      <c r="AM14" s="1233"/>
      <c r="AN14" s="1233"/>
      <c r="AO14" s="1233"/>
      <c r="AP14" s="1233"/>
      <c r="AQ14" s="1233"/>
      <c r="AR14" s="1233"/>
      <c r="AS14" s="1233"/>
      <c r="AT14" s="1233"/>
      <c r="AU14" s="660"/>
      <c r="AV14" s="660"/>
      <c r="AW14" s="660"/>
      <c r="AX14" s="660"/>
      <c r="AY14" s="660"/>
      <c r="BD14" s="953" t="s">
        <v>664</v>
      </c>
      <c r="BE14" s="955">
        <f>SUMIF($AC$718:$AC$752,"&lt;=70%",$G$718:G$752)-SUM($BE$5:BE13)</f>
        <v>54</v>
      </c>
    </row>
    <row r="15" spans="1:58" ht="12.9"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BD15" s="954" t="s">
        <v>665</v>
      </c>
      <c r="BE15" s="955">
        <f>SUMIF($AC$718:$AC$752,"&lt;=80%",$G$718:G$752)-SUM($BE$5:BE14)</f>
        <v>0</v>
      </c>
    </row>
    <row r="16" spans="1:58" ht="12.9" customHeight="1">
      <c r="A16" s="38" t="s">
        <v>666</v>
      </c>
      <c r="C16" s="2"/>
      <c r="D16" s="2"/>
      <c r="E16" s="2"/>
      <c r="F16" s="2"/>
      <c r="G16" s="2"/>
      <c r="H16" s="1494" t="s">
        <v>667</v>
      </c>
      <c r="I16" s="1494"/>
      <c r="J16" s="1494"/>
      <c r="K16" s="1494"/>
      <c r="L16" s="1494"/>
      <c r="M16" s="1494"/>
      <c r="N16" s="1494"/>
      <c r="O16" s="1494"/>
      <c r="P16" s="1494"/>
      <c r="Q16" s="1494"/>
      <c r="R16" s="1494"/>
      <c r="S16" s="1494"/>
      <c r="T16" s="1494"/>
      <c r="U16" s="1494"/>
      <c r="V16" s="1494"/>
      <c r="W16" s="1494"/>
      <c r="X16" s="1494"/>
      <c r="Y16" s="1494"/>
      <c r="Z16" s="1494"/>
      <c r="AA16" s="1494"/>
      <c r="AB16" s="1494"/>
      <c r="AC16" s="1494"/>
      <c r="AD16" s="1494"/>
      <c r="AE16" s="1494"/>
      <c r="AF16" s="1494"/>
      <c r="AG16" s="1494"/>
      <c r="AH16" s="1494"/>
      <c r="AI16" s="1494"/>
      <c r="AJ16" s="1494"/>
      <c r="BD16" s="954" t="s">
        <v>77</v>
      </c>
      <c r="BE16" s="955" t="str">
        <f>Application!H18</f>
        <v>Creekside Commons</v>
      </c>
    </row>
    <row r="17" spans="1:58" ht="12.9" customHeight="1">
      <c r="BD17" s="953" t="s">
        <v>668</v>
      </c>
      <c r="BE17" s="955">
        <f>Application!AA934</f>
        <v>0</v>
      </c>
    </row>
    <row r="18" spans="1:58" ht="12.9" customHeight="1">
      <c r="A18" s="38" t="s">
        <v>669</v>
      </c>
      <c r="C18" s="2"/>
      <c r="D18" s="2"/>
      <c r="E18" s="2"/>
      <c r="F18" s="2"/>
      <c r="G18" s="2"/>
      <c r="H18" s="1473" t="s">
        <v>670</v>
      </c>
      <c r="I18" s="1473"/>
      <c r="J18" s="1473"/>
      <c r="K18" s="1473"/>
      <c r="L18" s="1473"/>
      <c r="M18" s="1473"/>
      <c r="N18" s="1473"/>
      <c r="O18" s="1473"/>
      <c r="P18" s="1473"/>
      <c r="Q18" s="1473"/>
      <c r="R18" s="1473"/>
      <c r="S18" s="1473"/>
      <c r="T18" s="1473"/>
      <c r="U18" s="1473"/>
      <c r="V18" s="1473"/>
      <c r="W18" s="1473"/>
      <c r="X18" s="1473"/>
      <c r="Y18" s="1473"/>
      <c r="Z18" s="1473"/>
      <c r="AA18" s="1473"/>
      <c r="AB18" s="1473"/>
      <c r="AC18" s="1473"/>
      <c r="AD18" s="1473"/>
      <c r="AE18" s="1473"/>
      <c r="AF18" s="1473"/>
      <c r="AG18" s="1473"/>
      <c r="AH18" s="1473"/>
      <c r="AI18" s="1473"/>
      <c r="AJ18" s="1473"/>
      <c r="BD18" s="954" t="s">
        <v>671</v>
      </c>
      <c r="BE18" s="955">
        <f>'CalHFA Addendum'!N11</f>
        <v>0</v>
      </c>
    </row>
    <row r="19" spans="1:58" ht="12.9" customHeight="1">
      <c r="BD19" s="953" t="s">
        <v>672</v>
      </c>
      <c r="BE19" s="955">
        <f>Application!M26</f>
        <v>4437739</v>
      </c>
    </row>
    <row r="20" spans="1:58" ht="12.9" customHeight="1">
      <c r="A20" s="1776" t="s">
        <v>673</v>
      </c>
      <c r="B20" s="1776"/>
      <c r="C20" s="1776"/>
      <c r="D20" s="1776"/>
      <c r="E20" s="1776"/>
      <c r="F20" s="1776"/>
      <c r="G20" s="1776"/>
      <c r="H20" s="1776"/>
      <c r="I20" s="1776"/>
      <c r="J20" s="1776"/>
      <c r="K20" s="1776"/>
      <c r="L20" s="1776"/>
      <c r="M20" s="1776"/>
      <c r="N20" s="1776"/>
      <c r="O20" s="1776"/>
      <c r="P20" s="1776"/>
      <c r="Q20" s="1776"/>
      <c r="R20" s="1776"/>
      <c r="S20" s="1776"/>
      <c r="T20" s="1776"/>
      <c r="U20" s="1776"/>
      <c r="V20" s="1776"/>
      <c r="W20" s="1776"/>
      <c r="X20" s="1776"/>
      <c r="Y20" s="1776"/>
      <c r="Z20" s="1776"/>
      <c r="AA20" s="1776"/>
      <c r="AB20" s="1776"/>
      <c r="AC20" s="1776"/>
      <c r="AD20" s="1776"/>
      <c r="AE20" s="1776"/>
      <c r="AF20" s="1776"/>
      <c r="AG20" s="1776"/>
      <c r="AH20" s="1776"/>
      <c r="AI20" s="1776"/>
      <c r="AJ20" s="1776"/>
      <c r="AK20" s="1776"/>
      <c r="AL20" s="1776"/>
      <c r="AM20" s="1776"/>
      <c r="AN20" s="1776"/>
      <c r="AO20" s="1776"/>
      <c r="AP20" s="1776"/>
      <c r="AQ20" s="1776"/>
      <c r="AR20" s="1776"/>
      <c r="AS20" s="1776"/>
      <c r="AT20" s="1776"/>
      <c r="AU20" s="1153"/>
      <c r="AV20" s="1153"/>
      <c r="AW20" s="1153"/>
      <c r="AX20" s="1153"/>
      <c r="AY20" s="1153"/>
      <c r="BD20" s="954" t="s">
        <v>674</v>
      </c>
      <c r="BE20" s="955">
        <f>Application!M27</f>
        <v>25600000</v>
      </c>
    </row>
    <row r="21" spans="1:58" ht="12.9" customHeight="1">
      <c r="A21" s="1778" t="s">
        <v>675</v>
      </c>
      <c r="B21" s="1778"/>
      <c r="C21" s="1778"/>
      <c r="D21" s="1778"/>
      <c r="E21" s="1778"/>
      <c r="F21" s="1778"/>
      <c r="G21" s="1778"/>
      <c r="H21" s="1778"/>
      <c r="I21" s="1778"/>
      <c r="J21" s="1778"/>
      <c r="K21" s="1778"/>
      <c r="L21" s="1778"/>
      <c r="M21" s="1778"/>
      <c r="N21" s="1778"/>
      <c r="O21" s="1778"/>
      <c r="P21" s="1778"/>
      <c r="Q21" s="1778"/>
      <c r="R21" s="1778"/>
      <c r="S21" s="1778"/>
      <c r="T21" s="1778"/>
      <c r="U21" s="1778"/>
      <c r="V21" s="1778"/>
      <c r="W21" s="1778"/>
      <c r="X21" s="1778"/>
      <c r="Y21" s="1778"/>
      <c r="Z21" s="1778"/>
      <c r="AA21" s="1778"/>
      <c r="AB21" s="1778"/>
      <c r="AC21" s="1778"/>
      <c r="AD21" s="1778"/>
      <c r="AE21" s="1778"/>
      <c r="AF21" s="1778"/>
      <c r="AG21" s="1778"/>
      <c r="AH21" s="1778"/>
      <c r="AI21" s="1778"/>
      <c r="AJ21" s="1778"/>
      <c r="AK21" s="1778"/>
      <c r="AL21" s="1778"/>
      <c r="AM21" s="1155"/>
      <c r="AN21" s="1155"/>
      <c r="AO21" s="1155"/>
      <c r="AP21" s="1155"/>
      <c r="AQ21" s="1155"/>
      <c r="AR21" s="1155"/>
      <c r="AS21" s="1155"/>
      <c r="AT21" s="1155"/>
      <c r="AU21" s="1155"/>
      <c r="AV21" s="1155"/>
      <c r="AW21" s="1155"/>
      <c r="AX21" s="1155"/>
      <c r="AY21" s="1155"/>
      <c r="BD21" s="953" t="s">
        <v>676</v>
      </c>
      <c r="BE21" s="955">
        <f>Application!AM554</f>
        <v>43523983</v>
      </c>
    </row>
    <row r="22" spans="1:58" ht="12.9"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BD22" s="954" t="s">
        <v>677</v>
      </c>
      <c r="BE22" s="955">
        <f>'Sources and Uses Budget'!B105</f>
        <v>88469408</v>
      </c>
      <c r="BF22" s="2" t="s">
        <v>678</v>
      </c>
    </row>
    <row r="23" spans="1:58" ht="12.9" customHeight="1">
      <c r="A23" s="1291" t="s">
        <v>679</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4"/>
      <c r="AV23" s="14"/>
      <c r="AW23" s="14"/>
      <c r="AX23" s="14"/>
      <c r="AY23" s="14"/>
      <c r="AZ23" s="14"/>
      <c r="BD23" s="953" t="s">
        <v>680</v>
      </c>
      <c r="BE23" s="955">
        <f>'Sources and Uses Budget'!B4</f>
        <v>0</v>
      </c>
    </row>
    <row r="24" spans="1:58" ht="12.9"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4"/>
      <c r="AV24" s="14"/>
      <c r="AW24" s="14"/>
      <c r="AX24" s="14"/>
      <c r="AY24" s="14"/>
      <c r="AZ24" s="14"/>
      <c r="BD24" s="954" t="s">
        <v>681</v>
      </c>
      <c r="BE24" s="955">
        <f>Application!AG450</f>
        <v>129788</v>
      </c>
    </row>
    <row r="25" spans="1:58" ht="12.9" customHeight="1">
      <c r="A25" s="1113"/>
      <c r="C25" s="1113"/>
      <c r="D25" s="1113"/>
      <c r="E25" s="1113"/>
      <c r="F25" s="1113"/>
      <c r="G25" s="1113"/>
      <c r="H25" s="1113"/>
      <c r="I25" s="1113"/>
      <c r="J25" s="1113"/>
      <c r="K25" s="1113"/>
      <c r="L25" s="1113"/>
      <c r="M25" s="1113"/>
      <c r="N25" s="1113"/>
      <c r="O25" s="1113"/>
      <c r="P25" s="1113"/>
      <c r="Q25" s="1113"/>
      <c r="R25" s="1113"/>
      <c r="S25" s="1113"/>
      <c r="T25" s="1113"/>
      <c r="U25" s="1113"/>
      <c r="V25" s="1113"/>
      <c r="W25" s="1113"/>
      <c r="X25" s="1113"/>
      <c r="Y25" s="1113"/>
      <c r="Z25" s="1113"/>
      <c r="AA25" s="1113"/>
      <c r="AB25" s="1113"/>
      <c r="AC25" s="1113"/>
      <c r="AD25" s="1113"/>
      <c r="AE25" s="1113"/>
      <c r="AF25" s="1113"/>
      <c r="AG25" s="1113"/>
      <c r="AH25" s="1113"/>
      <c r="AI25" s="1113"/>
      <c r="AJ25" s="1113"/>
      <c r="AK25" s="2"/>
      <c r="BD25" s="953" t="s">
        <v>682</v>
      </c>
      <c r="BE25" s="955" t="str">
        <f>Application!D208</f>
        <v>40%/60%</v>
      </c>
    </row>
    <row r="26" spans="1:58" ht="12.9" customHeight="1">
      <c r="A26" s="2"/>
      <c r="C26" s="2"/>
      <c r="D26" s="2"/>
      <c r="E26" s="2"/>
      <c r="F26" s="2"/>
      <c r="G26" s="2"/>
      <c r="H26" s="2"/>
      <c r="I26" s="2"/>
      <c r="J26" s="2"/>
      <c r="K26" s="2"/>
      <c r="L26" s="2"/>
      <c r="M26" s="1501">
        <f>'Basis &amp; Credits'!AB56</f>
        <v>4437739</v>
      </c>
      <c r="N26" s="1501"/>
      <c r="O26" s="1501"/>
      <c r="P26" s="1501"/>
      <c r="Q26" s="1501"/>
      <c r="R26" s="2" t="s">
        <v>683</v>
      </c>
      <c r="S26" s="2"/>
      <c r="T26" s="2"/>
      <c r="U26" s="2"/>
      <c r="V26" s="2"/>
      <c r="W26" s="2"/>
      <c r="X26" s="2"/>
      <c r="Y26" s="2"/>
      <c r="Z26" s="2"/>
      <c r="AF26" s="2"/>
      <c r="AG26" s="2"/>
      <c r="AH26" s="2"/>
      <c r="AI26" s="2"/>
      <c r="AJ26" s="2"/>
      <c r="AK26" s="2"/>
      <c r="BD26" s="954" t="s">
        <v>684</v>
      </c>
      <c r="BE26" s="955" t="b">
        <f>Application!M356="Yes"</f>
        <v>0</v>
      </c>
    </row>
    <row r="27" spans="1:58" ht="12.9" customHeight="1">
      <c r="A27" s="2"/>
      <c r="C27" s="2"/>
      <c r="D27" s="2"/>
      <c r="E27" s="2"/>
      <c r="F27" s="2"/>
      <c r="G27" s="2"/>
      <c r="H27" s="2"/>
      <c r="I27" s="2"/>
      <c r="J27" s="2"/>
      <c r="K27" s="2"/>
      <c r="L27" s="2"/>
      <c r="M27" s="1316">
        <f>'Basis &amp; Credits'!AB78</f>
        <v>25600000</v>
      </c>
      <c r="N27" s="1316"/>
      <c r="O27" s="1316"/>
      <c r="P27" s="1316"/>
      <c r="Q27" s="1316"/>
      <c r="R27" s="2" t="s">
        <v>685</v>
      </c>
      <c r="S27" s="2"/>
      <c r="T27" s="2"/>
      <c r="U27" s="2"/>
      <c r="V27" s="2"/>
      <c r="W27" s="2"/>
      <c r="X27" s="2"/>
      <c r="Y27" s="2"/>
      <c r="Z27" s="2"/>
      <c r="AF27" s="2"/>
      <c r="AG27" s="2"/>
      <c r="AH27" s="2"/>
      <c r="AI27" s="2"/>
      <c r="AJ27" s="2"/>
      <c r="AK27" s="2"/>
      <c r="BD27" s="953" t="s">
        <v>686</v>
      </c>
      <c r="BE27" s="955" t="b">
        <f>Application!M355="Yes"</f>
        <v>1</v>
      </c>
    </row>
    <row r="28" spans="1:58" ht="12.9"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c r="BD28" s="954" t="s">
        <v>687</v>
      </c>
      <c r="BE28" s="955" t="b">
        <f>Application!M357="Yes"</f>
        <v>0</v>
      </c>
    </row>
    <row r="29" spans="1:58" ht="12.9" customHeight="1">
      <c r="A29" s="1492" t="s">
        <v>688</v>
      </c>
      <c r="B29" s="1492"/>
      <c r="C29" s="1492"/>
      <c r="D29" s="1492"/>
      <c r="E29" s="1492"/>
      <c r="F29" s="1492"/>
      <c r="G29" s="1492"/>
      <c r="H29" s="1492"/>
      <c r="I29" s="1492"/>
      <c r="J29" s="1492"/>
      <c r="K29" s="1492"/>
      <c r="L29" s="1492"/>
      <c r="M29" s="1492"/>
      <c r="N29" s="1492"/>
      <c r="O29" s="1492"/>
      <c r="P29" s="1492"/>
      <c r="Q29" s="1492"/>
      <c r="R29" s="1492"/>
      <c r="S29" s="1492"/>
      <c r="T29" s="1492"/>
      <c r="U29" s="1492"/>
      <c r="V29" s="1492"/>
      <c r="W29" s="1492"/>
      <c r="X29" s="1492"/>
      <c r="Y29" s="1492"/>
      <c r="Z29" s="1492"/>
      <c r="AA29" s="1492"/>
      <c r="AB29" s="1492"/>
      <c r="AC29" s="1492"/>
      <c r="AD29" s="1492"/>
      <c r="AE29" s="1492"/>
      <c r="AF29" s="1492"/>
      <c r="AG29" s="1492"/>
      <c r="AH29" s="1492"/>
      <c r="AI29" s="1492"/>
      <c r="AJ29" s="1492"/>
      <c r="AK29" s="1492"/>
      <c r="AL29" s="1492"/>
      <c r="AM29" s="1492"/>
      <c r="AN29" s="1492"/>
      <c r="AO29" s="1492"/>
      <c r="AP29" s="1492"/>
      <c r="AQ29" s="1492"/>
      <c r="AR29" s="1492"/>
      <c r="AS29" s="1492"/>
      <c r="AT29" s="1492"/>
      <c r="BD29" s="953" t="s">
        <v>689</v>
      </c>
      <c r="BE29" s="955" t="b">
        <f>Application!M358="Yes"</f>
        <v>0</v>
      </c>
    </row>
    <row r="30" spans="1:58" ht="12.9" customHeight="1">
      <c r="A30" s="1492"/>
      <c r="B30" s="1492"/>
      <c r="C30" s="1492"/>
      <c r="D30" s="1492"/>
      <c r="E30" s="1492"/>
      <c r="F30" s="1492"/>
      <c r="G30" s="1492"/>
      <c r="H30" s="1492"/>
      <c r="I30" s="1492"/>
      <c r="J30" s="1492"/>
      <c r="K30" s="1492"/>
      <c r="L30" s="1492"/>
      <c r="M30" s="1492"/>
      <c r="N30" s="1492"/>
      <c r="O30" s="1492"/>
      <c r="P30" s="1492"/>
      <c r="Q30" s="1492"/>
      <c r="R30" s="1492"/>
      <c r="S30" s="1492"/>
      <c r="T30" s="1492"/>
      <c r="U30" s="1492"/>
      <c r="V30" s="1492"/>
      <c r="W30" s="1492"/>
      <c r="X30" s="1492"/>
      <c r="Y30" s="1492"/>
      <c r="Z30" s="1492"/>
      <c r="AA30" s="1492"/>
      <c r="AB30" s="1492"/>
      <c r="AC30" s="1492"/>
      <c r="AD30" s="1492"/>
      <c r="AE30" s="1492"/>
      <c r="AF30" s="1492"/>
      <c r="AG30" s="1492"/>
      <c r="AH30" s="1492"/>
      <c r="AI30" s="1492"/>
      <c r="AJ30" s="1492"/>
      <c r="AK30" s="1492"/>
      <c r="AL30" s="1492"/>
      <c r="AM30" s="1492"/>
      <c r="AN30" s="1492"/>
      <c r="AO30" s="1492"/>
      <c r="AP30" s="1492"/>
      <c r="AQ30" s="1492"/>
      <c r="AR30" s="1492"/>
      <c r="AS30" s="1492"/>
      <c r="AT30" s="1492"/>
      <c r="AZ30" s="15"/>
      <c r="BD30" s="954" t="s">
        <v>690</v>
      </c>
      <c r="BE30" s="955" t="b">
        <f>Application!AJ355="Yes"</f>
        <v>0</v>
      </c>
    </row>
    <row r="31" spans="1:58" ht="12.9" customHeight="1">
      <c r="A31" s="1492"/>
      <c r="B31" s="1492"/>
      <c r="C31" s="1492"/>
      <c r="D31" s="1492"/>
      <c r="E31" s="1492"/>
      <c r="F31" s="1492"/>
      <c r="G31" s="1492"/>
      <c r="H31" s="1492"/>
      <c r="I31" s="1492"/>
      <c r="J31" s="1492"/>
      <c r="K31" s="1492"/>
      <c r="L31" s="1492"/>
      <c r="M31" s="1492"/>
      <c r="N31" s="1492"/>
      <c r="O31" s="1492"/>
      <c r="P31" s="1492"/>
      <c r="Q31" s="1492"/>
      <c r="R31" s="1492"/>
      <c r="S31" s="1492"/>
      <c r="T31" s="1492"/>
      <c r="U31" s="1492"/>
      <c r="V31" s="1492"/>
      <c r="W31" s="1492"/>
      <c r="X31" s="1492"/>
      <c r="Y31" s="1492"/>
      <c r="Z31" s="1492"/>
      <c r="AA31" s="1492"/>
      <c r="AB31" s="1492"/>
      <c r="AC31" s="1492"/>
      <c r="AD31" s="1492"/>
      <c r="AE31" s="1492"/>
      <c r="AF31" s="1492"/>
      <c r="AG31" s="1492"/>
      <c r="AH31" s="1492"/>
      <c r="AI31" s="1492"/>
      <c r="AJ31" s="1492"/>
      <c r="AK31" s="1492"/>
      <c r="AL31" s="1492"/>
      <c r="AM31" s="1492"/>
      <c r="AN31" s="1492"/>
      <c r="AO31" s="1492"/>
      <c r="AP31" s="1492"/>
      <c r="AQ31" s="1492"/>
      <c r="AR31" s="1492"/>
      <c r="AS31" s="1492"/>
      <c r="AT31" s="1492"/>
      <c r="AU31" s="15"/>
      <c r="AV31" s="15"/>
      <c r="AW31" s="15"/>
      <c r="AX31" s="15"/>
      <c r="AY31" s="15"/>
      <c r="AZ31" s="15"/>
      <c r="BD31" s="953" t="s">
        <v>691</v>
      </c>
      <c r="BE31" s="955" t="str">
        <f>Application!D211</f>
        <v>Large Family</v>
      </c>
    </row>
    <row r="32" spans="1:58" ht="12.9" customHeight="1">
      <c r="A32" s="1126"/>
      <c r="C32" s="1126"/>
      <c r="D32" s="1126"/>
      <c r="E32" s="1126"/>
      <c r="F32" s="1126"/>
      <c r="G32" s="1126"/>
      <c r="H32" s="1126"/>
      <c r="I32" s="1126"/>
      <c r="J32" s="1126"/>
      <c r="K32" s="1126"/>
      <c r="L32" s="1126"/>
      <c r="M32" s="1126"/>
      <c r="N32" s="1126"/>
      <c r="O32" s="1126"/>
      <c r="P32" s="1126"/>
      <c r="Q32" s="1126"/>
      <c r="R32" s="1126"/>
      <c r="S32" s="1126"/>
      <c r="T32" s="1126"/>
      <c r="U32" s="1126"/>
      <c r="V32" s="1126"/>
      <c r="W32" s="1126"/>
      <c r="X32" s="1126"/>
      <c r="Y32" s="1126"/>
      <c r="Z32" s="1126"/>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D32" s="954" t="s">
        <v>692</v>
      </c>
      <c r="BE32" s="955">
        <f>IF(ISNUMBER(Application!W465),W465,0)</f>
        <v>0</v>
      </c>
    </row>
    <row r="33" spans="1:57" ht="12.9" customHeight="1">
      <c r="A33" s="1126" t="s">
        <v>693</v>
      </c>
      <c r="C33" s="1126"/>
      <c r="D33" s="1126"/>
      <c r="E33" s="1126"/>
      <c r="F33" s="1126"/>
      <c r="G33" s="1126"/>
      <c r="H33" s="1126"/>
      <c r="I33" s="1126"/>
      <c r="J33" s="1126"/>
      <c r="K33" s="1126"/>
      <c r="L33" s="1126"/>
      <c r="M33" s="1126"/>
      <c r="N33" s="1126"/>
      <c r="O33" s="1440" t="s">
        <v>694</v>
      </c>
      <c r="P33" s="1440"/>
      <c r="Q33" s="1777" t="s">
        <v>695</v>
      </c>
      <c r="R33" s="1777"/>
      <c r="S33" s="1777"/>
      <c r="T33" s="1777"/>
      <c r="U33" s="1777"/>
      <c r="V33" s="1777"/>
      <c r="W33" s="1777"/>
      <c r="X33" s="1777"/>
      <c r="Y33" s="1777"/>
      <c r="Z33" s="1777"/>
      <c r="AA33" s="1777"/>
      <c r="AB33" s="1777"/>
      <c r="AC33" s="1777"/>
      <c r="AD33" s="1777"/>
      <c r="AE33" s="1777"/>
      <c r="AF33" s="1777"/>
      <c r="AG33" s="1777"/>
      <c r="AH33" s="1777"/>
      <c r="AI33" s="1777"/>
      <c r="AJ33" s="1777"/>
      <c r="AK33" s="1777"/>
      <c r="AL33" s="1777"/>
      <c r="AM33" s="1777"/>
      <c r="AN33" s="1777"/>
      <c r="AO33" s="1777"/>
      <c r="AP33" s="1777"/>
      <c r="AQ33" s="1777"/>
      <c r="AR33" s="1777"/>
      <c r="AS33" s="1777"/>
      <c r="AT33" s="1777"/>
      <c r="AU33" s="15"/>
      <c r="AV33" s="15"/>
      <c r="AW33" s="15"/>
      <c r="AX33" s="15"/>
      <c r="AY33" s="15"/>
      <c r="BD33" s="953" t="s">
        <v>696</v>
      </c>
      <c r="BE33" s="955" t="str">
        <f>Application!D220</f>
        <v>Balance of Los Angeles County</v>
      </c>
    </row>
    <row r="34" spans="1:57" ht="12.9" customHeight="1">
      <c r="A34" s="1492" t="s">
        <v>697</v>
      </c>
      <c r="B34" s="1492"/>
      <c r="C34" s="1492"/>
      <c r="D34" s="1492"/>
      <c r="E34" s="1492"/>
      <c r="F34" s="1492"/>
      <c r="G34" s="1492"/>
      <c r="H34" s="1492"/>
      <c r="I34" s="1492"/>
      <c r="J34" s="1492"/>
      <c r="K34" s="1492"/>
      <c r="L34" s="1492"/>
      <c r="M34" s="1492"/>
      <c r="N34" s="1492"/>
      <c r="O34" s="1492"/>
      <c r="P34" s="1492"/>
      <c r="Q34" s="1492"/>
      <c r="R34" s="1492"/>
      <c r="S34" s="1492"/>
      <c r="T34" s="1492"/>
      <c r="U34" s="1492"/>
      <c r="V34" s="1492"/>
      <c r="W34" s="1492"/>
      <c r="X34" s="1492"/>
      <c r="Y34" s="1492"/>
      <c r="Z34" s="1492"/>
      <c r="AA34" s="1492"/>
      <c r="AB34" s="1492"/>
      <c r="AC34" s="1492"/>
      <c r="AD34" s="1492"/>
      <c r="AE34" s="1492"/>
      <c r="AF34" s="1492"/>
      <c r="AG34" s="1492"/>
      <c r="AH34" s="1492"/>
      <c r="AI34" s="1492"/>
      <c r="AJ34" s="1492"/>
      <c r="AK34" s="1492"/>
      <c r="AL34" s="1492"/>
      <c r="AM34" s="1492"/>
      <c r="AN34" s="1492"/>
      <c r="AO34" s="1492"/>
      <c r="AP34" s="1492"/>
      <c r="AQ34" s="1492"/>
      <c r="AR34" s="1492"/>
      <c r="AS34" s="1492"/>
      <c r="AT34" s="1492"/>
      <c r="AU34" s="15"/>
      <c r="AV34" s="15"/>
      <c r="AW34" s="15"/>
      <c r="AX34" s="15"/>
      <c r="AY34" s="15"/>
      <c r="AZ34" s="15"/>
      <c r="BD34" s="954" t="s">
        <v>698</v>
      </c>
      <c r="BE34" s="955" t="str">
        <f>Application!I185</f>
        <v>Flying Tiger Drive</v>
      </c>
    </row>
    <row r="35" spans="1:57" ht="12.9" customHeight="1">
      <c r="A35" s="1492"/>
      <c r="B35" s="1492"/>
      <c r="C35" s="1492"/>
      <c r="D35" s="1492"/>
      <c r="E35" s="1492"/>
      <c r="F35" s="1492"/>
      <c r="G35" s="1492"/>
      <c r="H35" s="1492"/>
      <c r="I35" s="1492"/>
      <c r="J35" s="1492"/>
      <c r="K35" s="1492"/>
      <c r="L35" s="1492"/>
      <c r="M35" s="1492"/>
      <c r="N35" s="1492"/>
      <c r="O35" s="1492"/>
      <c r="P35" s="1492"/>
      <c r="Q35" s="1492"/>
      <c r="R35" s="1492"/>
      <c r="S35" s="1492"/>
      <c r="T35" s="1492"/>
      <c r="U35" s="1492"/>
      <c r="V35" s="1492"/>
      <c r="W35" s="1492"/>
      <c r="X35" s="1492"/>
      <c r="Y35" s="1492"/>
      <c r="Z35" s="1492"/>
      <c r="AA35" s="1492"/>
      <c r="AB35" s="1492"/>
      <c r="AC35" s="1492"/>
      <c r="AD35" s="1492"/>
      <c r="AE35" s="1492"/>
      <c r="AF35" s="1492"/>
      <c r="AG35" s="1492"/>
      <c r="AH35" s="1492"/>
      <c r="AI35" s="1492"/>
      <c r="AJ35" s="1492"/>
      <c r="AK35" s="1492"/>
      <c r="AL35" s="1492"/>
      <c r="AM35" s="1492"/>
      <c r="AN35" s="1492"/>
      <c r="AO35" s="1492"/>
      <c r="AP35" s="1492"/>
      <c r="AQ35" s="1492"/>
      <c r="AR35" s="1492"/>
      <c r="AS35" s="1492"/>
      <c r="AT35" s="1492"/>
      <c r="AU35" s="15"/>
      <c r="AV35" s="15"/>
      <c r="AW35" s="15"/>
      <c r="AX35" s="15"/>
      <c r="AY35" s="15"/>
      <c r="AZ35" s="15"/>
      <c r="BD35" s="953" t="s">
        <v>699</v>
      </c>
      <c r="BE35" s="955" t="str">
        <f>IF(Application!E187="","",Application!E187)</f>
        <v/>
      </c>
    </row>
    <row r="36" spans="1:57" ht="12.9" customHeight="1">
      <c r="A36" s="1492"/>
      <c r="B36" s="1492"/>
      <c r="C36" s="1492"/>
      <c r="D36" s="1492"/>
      <c r="E36" s="1492"/>
      <c r="F36" s="1492"/>
      <c r="G36" s="1492"/>
      <c r="H36" s="1492"/>
      <c r="I36" s="1492"/>
      <c r="J36" s="1492"/>
      <c r="K36" s="1492"/>
      <c r="L36" s="1492"/>
      <c r="M36" s="1492"/>
      <c r="N36" s="1492"/>
      <c r="O36" s="1492"/>
      <c r="P36" s="1492"/>
      <c r="Q36" s="1492"/>
      <c r="R36" s="1492"/>
      <c r="S36" s="1492"/>
      <c r="T36" s="1492"/>
      <c r="U36" s="1492"/>
      <c r="V36" s="1492"/>
      <c r="W36" s="1492"/>
      <c r="X36" s="1492"/>
      <c r="Y36" s="1492"/>
      <c r="Z36" s="1492"/>
      <c r="AA36" s="1492"/>
      <c r="AB36" s="1492"/>
      <c r="AC36" s="1492"/>
      <c r="AD36" s="1492"/>
      <c r="AE36" s="1492"/>
      <c r="AF36" s="1492"/>
      <c r="AG36" s="1492"/>
      <c r="AH36" s="1492"/>
      <c r="AI36" s="1492"/>
      <c r="AJ36" s="1492"/>
      <c r="AK36" s="1492"/>
      <c r="AL36" s="1492"/>
      <c r="AM36" s="1492"/>
      <c r="AN36" s="1492"/>
      <c r="AO36" s="1492"/>
      <c r="AP36" s="1492"/>
      <c r="AQ36" s="1492"/>
      <c r="AR36" s="1492"/>
      <c r="AS36" s="1492"/>
      <c r="AT36" s="1492"/>
      <c r="AU36" s="15"/>
      <c r="AV36" s="15"/>
      <c r="AW36" s="15"/>
      <c r="AX36" s="15"/>
      <c r="AY36" s="15"/>
      <c r="AZ36" s="15"/>
      <c r="BD36" s="954" t="s">
        <v>700</v>
      </c>
      <c r="BE36" s="955" t="str">
        <f>Application!I189</f>
        <v>Santa Clarita</v>
      </c>
    </row>
    <row r="37" spans="1:57" ht="12.9" customHeight="1">
      <c r="A37" s="1492"/>
      <c r="B37" s="1492"/>
      <c r="C37" s="1492"/>
      <c r="D37" s="1492"/>
      <c r="E37" s="1492"/>
      <c r="F37" s="1492"/>
      <c r="G37" s="1492"/>
      <c r="H37" s="1492"/>
      <c r="I37" s="1492"/>
      <c r="J37" s="1492"/>
      <c r="K37" s="1492"/>
      <c r="L37" s="1492"/>
      <c r="M37" s="1492"/>
      <c r="N37" s="1492"/>
      <c r="O37" s="1492"/>
      <c r="P37" s="1492"/>
      <c r="Q37" s="1492"/>
      <c r="R37" s="1492"/>
      <c r="S37" s="1492"/>
      <c r="T37" s="1492"/>
      <c r="U37" s="1492"/>
      <c r="V37" s="1492"/>
      <c r="W37" s="1492"/>
      <c r="X37" s="1492"/>
      <c r="Y37" s="1492"/>
      <c r="Z37" s="1492"/>
      <c r="AA37" s="1492"/>
      <c r="AB37" s="1492"/>
      <c r="AC37" s="1492"/>
      <c r="AD37" s="1492"/>
      <c r="AE37" s="1492"/>
      <c r="AF37" s="1492"/>
      <c r="AG37" s="1492"/>
      <c r="AH37" s="1492"/>
      <c r="AI37" s="1492"/>
      <c r="AJ37" s="1492"/>
      <c r="AK37" s="1492"/>
      <c r="AL37" s="1492"/>
      <c r="AM37" s="1492"/>
      <c r="AN37" s="1492"/>
      <c r="AO37" s="1492"/>
      <c r="AP37" s="1492"/>
      <c r="AQ37" s="1492"/>
      <c r="AR37" s="1492"/>
      <c r="AS37" s="1492"/>
      <c r="AT37" s="1492"/>
      <c r="AZ37" s="15"/>
      <c r="BD37" s="953" t="s">
        <v>701</v>
      </c>
      <c r="BE37" s="955" t="str">
        <f>Application!T189</f>
        <v>Los Angeles</v>
      </c>
    </row>
    <row r="38" spans="1:57" ht="12.9" customHeight="1">
      <c r="A38" s="2"/>
      <c r="AZ38" s="15"/>
      <c r="BD38" s="954" t="s">
        <v>702</v>
      </c>
      <c r="BE38" s="955">
        <f>Application!I190</f>
        <v>91351</v>
      </c>
    </row>
    <row r="39" spans="1:57" ht="12.9" customHeight="1">
      <c r="A39" s="1223" t="s">
        <v>703</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Z39" s="15"/>
      <c r="BD39" s="953" t="s">
        <v>704</v>
      </c>
      <c r="BE39" s="955">
        <f>Application!AG437</f>
        <v>128</v>
      </c>
    </row>
    <row r="40" spans="1:57" ht="12.9" customHeight="1">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5"/>
      <c r="AV40" s="15"/>
      <c r="AW40" s="15"/>
      <c r="AX40" s="15"/>
      <c r="AY40" s="15"/>
      <c r="AZ40" s="15"/>
      <c r="BD40" s="954" t="s">
        <v>201</v>
      </c>
      <c r="BE40" s="955">
        <f>Application!AG440</f>
        <v>127</v>
      </c>
    </row>
    <row r="41" spans="1:57" ht="12.9" customHeight="1">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5"/>
      <c r="AV41" s="15"/>
      <c r="AW41" s="15"/>
      <c r="AX41" s="15"/>
      <c r="AY41" s="15"/>
      <c r="AZ41" s="15"/>
      <c r="BD41" s="953" t="s">
        <v>209</v>
      </c>
      <c r="BE41" s="955">
        <f>Application!AG438</f>
        <v>0</v>
      </c>
    </row>
    <row r="42" spans="1:57" ht="12.9" customHeight="1">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Z42" s="15"/>
      <c r="BD42" s="954" t="s">
        <v>705</v>
      </c>
      <c r="BE42" s="957">
        <f>Application!AC753</f>
        <v>0.59842519685039375</v>
      </c>
    </row>
    <row r="43" spans="1:57" ht="12.9" customHeight="1">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5"/>
      <c r="AV43" s="15"/>
      <c r="AW43" s="15"/>
      <c r="AX43" s="15"/>
      <c r="AY43" s="15"/>
      <c r="AZ43" s="15"/>
      <c r="BD43" s="953" t="s">
        <v>706</v>
      </c>
      <c r="BE43" s="957">
        <f>Application!AH753</f>
        <v>0.59848080585512753</v>
      </c>
    </row>
    <row r="44" spans="1:57" ht="12.9" customHeight="1">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5"/>
      <c r="AV44" s="15"/>
      <c r="AW44" s="15"/>
      <c r="AX44" s="15"/>
      <c r="AY44" s="15"/>
      <c r="AZ44" s="15"/>
      <c r="BD44" s="954" t="s">
        <v>707</v>
      </c>
      <c r="BE44" s="955">
        <f>Application!AC454</f>
        <v>691167.25</v>
      </c>
    </row>
    <row r="45" spans="1:57" ht="12.9" customHeight="1">
      <c r="A45" s="1126"/>
      <c r="C45" s="1126"/>
      <c r="D45" s="1126"/>
      <c r="E45" s="1126"/>
      <c r="F45" s="1126"/>
      <c r="G45" s="1126"/>
      <c r="H45" s="1126"/>
      <c r="I45" s="1126"/>
      <c r="J45" s="1126"/>
      <c r="K45" s="1126"/>
      <c r="L45" s="1126"/>
      <c r="M45" s="1126"/>
      <c r="N45" s="1126"/>
      <c r="O45" s="1126"/>
      <c r="P45" s="1126"/>
      <c r="Q45" s="1126"/>
      <c r="R45" s="1126"/>
      <c r="S45" s="1126"/>
      <c r="T45" s="1126"/>
      <c r="U45" s="1126"/>
      <c r="V45" s="1126"/>
      <c r="W45" s="1126"/>
      <c r="X45" s="1126"/>
      <c r="Y45" s="1126"/>
      <c r="Z45" s="1126"/>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BD45" s="953" t="s">
        <v>708</v>
      </c>
      <c r="BE45" s="955">
        <f>Application!AE424</f>
        <v>3</v>
      </c>
    </row>
    <row r="46" spans="1:57" ht="12.9" customHeight="1">
      <c r="A46" s="1291" t="s">
        <v>709</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15"/>
      <c r="AV46" s="15"/>
      <c r="AW46" s="15"/>
      <c r="AX46" s="15"/>
      <c r="AY46" s="15"/>
      <c r="AZ46" s="15"/>
      <c r="BD46" s="954" t="s">
        <v>710</v>
      </c>
      <c r="BE46" s="955" t="b">
        <f>Application!T195="Yes"</f>
        <v>1</v>
      </c>
    </row>
    <row r="47" spans="1:57" ht="12.9"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15"/>
      <c r="AV47" s="15"/>
      <c r="AW47" s="15"/>
      <c r="AX47" s="15"/>
      <c r="AY47" s="15"/>
      <c r="AZ47" s="15"/>
      <c r="BD47" s="953" t="s">
        <v>711</v>
      </c>
      <c r="BE47" s="955" t="b">
        <f>Application!T196="Yes"</f>
        <v>0</v>
      </c>
    </row>
    <row r="48" spans="1:57" ht="12.9"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15"/>
      <c r="AV48" s="15"/>
      <c r="AW48" s="15"/>
      <c r="AX48" s="15"/>
      <c r="AY48" s="15"/>
      <c r="AZ48" s="15"/>
      <c r="BD48" s="954" t="s">
        <v>712</v>
      </c>
      <c r="BE48" s="955" t="str">
        <f>Application!M243</f>
        <v>Creekside Commons AGP LLC</v>
      </c>
    </row>
    <row r="49" spans="1:57" ht="12.9"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15"/>
      <c r="AV49" s="15"/>
      <c r="AW49" s="15"/>
      <c r="AX49" s="15"/>
      <c r="AY49" s="15"/>
      <c r="AZ49" s="15"/>
      <c r="BD49" s="953" t="s">
        <v>713</v>
      </c>
      <c r="BE49" s="955" t="str">
        <f>Application!M246</f>
        <v>Paul Salib</v>
      </c>
    </row>
    <row r="50" spans="1:57" ht="12.9" customHeight="1">
      <c r="A50" s="1127"/>
      <c r="B50" s="1127"/>
      <c r="C50" s="1127"/>
      <c r="D50" s="1127"/>
      <c r="E50" s="1127"/>
      <c r="F50" s="1127"/>
      <c r="G50" s="1127"/>
      <c r="H50" s="1127"/>
      <c r="I50" s="1127"/>
      <c r="J50" s="1127"/>
      <c r="K50" s="1127"/>
      <c r="L50" s="1127"/>
      <c r="M50" s="1127"/>
      <c r="N50" s="1127"/>
      <c r="O50" s="1127"/>
      <c r="P50" s="1127"/>
      <c r="Q50" s="1127"/>
      <c r="R50" s="1127"/>
      <c r="S50" s="1127"/>
      <c r="T50" s="1127"/>
      <c r="U50" s="1127"/>
      <c r="V50" s="1127"/>
      <c r="W50" s="1127"/>
      <c r="X50" s="1127"/>
      <c r="Y50" s="1127"/>
      <c r="Z50" s="1127"/>
      <c r="AA50" s="1127"/>
      <c r="AB50" s="1127"/>
      <c r="AC50" s="1127"/>
      <c r="AD50" s="1127"/>
      <c r="AE50" s="1127"/>
      <c r="AF50" s="1127"/>
      <c r="AG50" s="1127"/>
      <c r="AH50" s="1127"/>
      <c r="AI50" s="1127"/>
      <c r="AJ50" s="1127"/>
      <c r="AK50" s="1127"/>
      <c r="AL50" s="1127"/>
      <c r="AM50" s="1127"/>
      <c r="AN50" s="1127"/>
      <c r="AO50" s="1127"/>
      <c r="AP50" s="1127"/>
      <c r="AQ50" s="1127"/>
      <c r="AR50" s="1127"/>
      <c r="AS50" s="1127"/>
      <c r="AT50" s="1127"/>
      <c r="AU50" s="15"/>
      <c r="AV50" s="15"/>
      <c r="AW50" s="15"/>
      <c r="AX50" s="15"/>
      <c r="AY50" s="15"/>
      <c r="AZ50" s="15"/>
      <c r="BD50" s="954" t="s">
        <v>714</v>
      </c>
      <c r="BE50" s="955">
        <f>Application!AA249</f>
        <v>0</v>
      </c>
    </row>
    <row r="51" spans="1:57" ht="12.9" customHeight="1">
      <c r="A51" s="1223" t="s">
        <v>715</v>
      </c>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1223"/>
      <c r="AS51" s="1223"/>
      <c r="AT51" s="1223"/>
      <c r="AU51" s="15"/>
      <c r="AV51" s="15"/>
      <c r="AW51" s="15"/>
      <c r="AX51" s="15"/>
      <c r="AY51" s="15"/>
      <c r="AZ51" s="15"/>
      <c r="BD51" s="953" t="s">
        <v>716</v>
      </c>
      <c r="BE51" s="955" t="str">
        <f>Application!M251</f>
        <v>Central Valley Coalition for Affordable Housing</v>
      </c>
    </row>
    <row r="52" spans="1:57" ht="12.9" customHeight="1">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23"/>
      <c r="AN52" s="1223"/>
      <c r="AO52" s="1223"/>
      <c r="AP52" s="1223"/>
      <c r="AQ52" s="1223"/>
      <c r="AR52" s="1223"/>
      <c r="AS52" s="1223"/>
      <c r="AT52" s="1223"/>
      <c r="AU52" s="15"/>
      <c r="AV52" s="15"/>
      <c r="AW52" s="15"/>
      <c r="AX52" s="15"/>
      <c r="AY52" s="15"/>
      <c r="AZ52" s="15"/>
      <c r="BD52" s="954" t="s">
        <v>717</v>
      </c>
      <c r="BE52" s="955" t="str">
        <f>Application!M254</f>
        <v>Christina Alley</v>
      </c>
    </row>
    <row r="53" spans="1:57" ht="12.9" customHeight="1">
      <c r="C53" s="1126"/>
      <c r="D53" s="1126"/>
      <c r="E53" s="1126"/>
      <c r="F53" s="1126"/>
      <c r="G53" s="1126"/>
      <c r="H53" s="1126"/>
      <c r="I53" s="1126"/>
      <c r="J53" s="1126"/>
      <c r="K53" s="1126"/>
      <c r="L53" s="1126"/>
      <c r="M53" s="1126"/>
      <c r="N53" s="1126"/>
      <c r="O53" s="1126"/>
      <c r="P53" s="1126"/>
      <c r="Q53" s="1126"/>
      <c r="R53" s="1126"/>
      <c r="S53" s="1126"/>
      <c r="T53" s="1126"/>
      <c r="U53" s="1126"/>
      <c r="V53" s="1126"/>
      <c r="W53" s="1126"/>
      <c r="X53" s="1126"/>
      <c r="Y53" s="1126"/>
      <c r="Z53" s="1126"/>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D53" s="953" t="s">
        <v>718</v>
      </c>
      <c r="BE53" s="955">
        <f>Application!AA257</f>
        <v>0</v>
      </c>
    </row>
    <row r="54" spans="1:57" ht="12.9" customHeight="1">
      <c r="A54" s="1223" t="s">
        <v>719</v>
      </c>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5"/>
      <c r="AV54" s="15"/>
      <c r="AW54" s="15"/>
      <c r="AX54" s="15"/>
      <c r="AY54" s="15"/>
      <c r="AZ54" s="16"/>
      <c r="BD54" s="954" t="s">
        <v>720</v>
      </c>
      <c r="BE54" s="955">
        <f>Application!M259</f>
        <v>0</v>
      </c>
    </row>
    <row r="55" spans="1:57" ht="12.9" customHeight="1">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Z55" s="16"/>
      <c r="BD55" s="953" t="s">
        <v>721</v>
      </c>
      <c r="BE55" s="955">
        <f>Application!M262</f>
        <v>0</v>
      </c>
    </row>
    <row r="56" spans="1:57" ht="12.9" customHeight="1">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1223"/>
      <c r="AS56" s="1223"/>
      <c r="AT56" s="1223"/>
      <c r="BD56" s="954" t="s">
        <v>722</v>
      </c>
      <c r="BE56" s="955">
        <f>Application!AA265</f>
        <v>0</v>
      </c>
    </row>
    <row r="57" spans="1:57" ht="12.9" customHeight="1">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1223"/>
      <c r="AS57" s="1223"/>
      <c r="AT57" s="1223"/>
      <c r="BD57" s="953" t="s">
        <v>723</v>
      </c>
      <c r="BE57" s="955" t="str">
        <f>Application!H287</f>
        <v>CRP Affordable Housing ad Community Development LLC</v>
      </c>
    </row>
    <row r="58" spans="1:57" ht="12.9" customHeight="1">
      <c r="A58" s="1223"/>
      <c r="B58" s="1223"/>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c r="AH58" s="1223"/>
      <c r="AI58" s="1223"/>
      <c r="AJ58" s="1223"/>
      <c r="AK58" s="1223"/>
      <c r="AL58" s="1223"/>
      <c r="AM58" s="1223"/>
      <c r="AN58" s="1223"/>
      <c r="AO58" s="1223"/>
      <c r="AP58" s="1223"/>
      <c r="AQ58" s="1223"/>
      <c r="AR58" s="1223"/>
      <c r="AS58" s="1223"/>
      <c r="AT58" s="1223"/>
      <c r="BD58" s="954" t="s">
        <v>724</v>
      </c>
      <c r="BE58" s="955" t="str">
        <f>Application!H288</f>
        <v>4429 Morena Blvd STE A</v>
      </c>
    </row>
    <row r="59" spans="1:57" ht="12.9" customHeight="1">
      <c r="A59" s="1126"/>
      <c r="C59" s="1126"/>
      <c r="D59" s="1126"/>
      <c r="E59" s="1126"/>
      <c r="F59" s="1126"/>
      <c r="G59" s="1126"/>
      <c r="H59" s="1126"/>
      <c r="I59" s="1126"/>
      <c r="J59" s="1126"/>
      <c r="K59" s="1126"/>
      <c r="L59" s="1126"/>
      <c r="M59" s="1126"/>
      <c r="N59" s="1126"/>
      <c r="O59" s="1126"/>
      <c r="P59" s="1126"/>
      <c r="Q59" s="1126"/>
      <c r="R59" s="1126"/>
      <c r="S59" s="1126"/>
      <c r="T59" s="1126"/>
      <c r="U59" s="1126"/>
      <c r="V59" s="1126"/>
      <c r="W59" s="1126"/>
      <c r="X59" s="1126"/>
      <c r="Y59" s="1126"/>
      <c r="Z59" s="1126"/>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D59" s="953" t="s">
        <v>725</v>
      </c>
      <c r="BE59" s="955" t="str">
        <f>Application!H289</f>
        <v>San Diego, CA 92117</v>
      </c>
    </row>
    <row r="60" spans="1:57" ht="12.9" customHeight="1">
      <c r="A60" s="1223" t="s">
        <v>726</v>
      </c>
      <c r="B60" s="1223"/>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c r="AM60" s="1223"/>
      <c r="AN60" s="1223"/>
      <c r="AO60" s="1223"/>
      <c r="AP60" s="1223"/>
      <c r="AQ60" s="1223"/>
      <c r="AR60" s="1223"/>
      <c r="AS60" s="1223"/>
      <c r="AT60" s="1223"/>
      <c r="AU60" s="15"/>
      <c r="AV60" s="15"/>
      <c r="AW60" s="15"/>
      <c r="AX60" s="15"/>
      <c r="AY60" s="15"/>
      <c r="AZ60" s="15"/>
      <c r="BD60" s="954" t="s">
        <v>727</v>
      </c>
      <c r="BE60" s="955" t="str">
        <f>Application!H290</f>
        <v>Paul Salib</v>
      </c>
    </row>
    <row r="61" spans="1:57" ht="12.9" customHeight="1">
      <c r="A61" s="1223"/>
      <c r="B61" s="1223"/>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3"/>
      <c r="AT61" s="1223"/>
      <c r="AU61" s="15"/>
      <c r="AV61" s="15"/>
      <c r="AW61" s="15"/>
      <c r="AX61" s="15"/>
      <c r="AY61" s="15"/>
      <c r="AZ61" s="15"/>
      <c r="BD61" s="953" t="s">
        <v>728</v>
      </c>
      <c r="BE61" s="955" t="str">
        <f>Application!H293</f>
        <v>psalib@crpaffordable.com</v>
      </c>
    </row>
    <row r="62" spans="1:57" ht="12.9" customHeight="1">
      <c r="A62" s="1126"/>
      <c r="C62" s="1126"/>
      <c r="D62" s="1126"/>
      <c r="E62" s="1126"/>
      <c r="F62" s="1126"/>
      <c r="G62" s="1126"/>
      <c r="H62" s="1126"/>
      <c r="I62" s="1126"/>
      <c r="J62" s="1126"/>
      <c r="K62" s="1126"/>
      <c r="L62" s="1126"/>
      <c r="M62" s="1126"/>
      <c r="N62" s="1126"/>
      <c r="O62" s="1126"/>
      <c r="P62" s="1126"/>
      <c r="Q62" s="1126"/>
      <c r="R62" s="1126"/>
      <c r="S62" s="1126"/>
      <c r="T62" s="1126"/>
      <c r="U62" s="1126"/>
      <c r="V62" s="1126"/>
      <c r="W62" s="1126"/>
      <c r="X62" s="1126"/>
      <c r="Y62" s="1126"/>
      <c r="Z62" s="1126"/>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D62" s="954" t="s">
        <v>729</v>
      </c>
      <c r="BE62" s="958">
        <f>'Basis &amp; Credits'!AB50</f>
        <v>0.86991306999999995</v>
      </c>
    </row>
    <row r="63" spans="1:57" ht="12.9" customHeight="1">
      <c r="A63" s="1126" t="s">
        <v>730</v>
      </c>
      <c r="C63" s="1126"/>
      <c r="D63" s="1126"/>
      <c r="E63" s="1126"/>
      <c r="F63" s="1126"/>
      <c r="G63" s="1126"/>
      <c r="H63" s="1126"/>
      <c r="I63" s="1126"/>
      <c r="J63" s="1126"/>
      <c r="K63" s="1126"/>
      <c r="L63" s="1126"/>
      <c r="M63" s="1126"/>
      <c r="N63" s="1126"/>
      <c r="O63" s="1126"/>
      <c r="P63" s="1126"/>
      <c r="Q63" s="1126"/>
      <c r="R63" s="1126"/>
      <c r="S63" s="1126"/>
      <c r="T63" s="1126"/>
      <c r="U63" s="1126"/>
      <c r="V63" s="1126"/>
      <c r="W63" s="1126"/>
      <c r="X63" s="1126"/>
      <c r="Y63" s="1126"/>
      <c r="Z63" s="1126"/>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D63" s="953" t="s">
        <v>731</v>
      </c>
      <c r="BE63" s="958">
        <f>'Basis &amp; Credits'!AB72</f>
        <v>0.9</v>
      </c>
    </row>
    <row r="64" spans="1:57" ht="12.9" customHeight="1">
      <c r="C64" s="1126"/>
      <c r="D64" s="1126"/>
      <c r="E64" s="1126"/>
      <c r="F64" s="1126"/>
      <c r="G64" s="1126"/>
      <c r="H64" s="1126"/>
      <c r="I64" s="1126"/>
      <c r="J64" s="1126"/>
      <c r="K64" s="1126"/>
      <c r="L64" s="1126"/>
      <c r="M64" s="1126"/>
      <c r="N64" s="1126"/>
      <c r="O64" s="1126"/>
      <c r="P64" s="1126"/>
      <c r="Q64" s="1126"/>
      <c r="R64" s="1126"/>
      <c r="S64" s="1126"/>
      <c r="T64" s="1126"/>
      <c r="U64" s="1126"/>
      <c r="V64" s="1126"/>
      <c r="W64" s="1126"/>
      <c r="X64" s="1126"/>
      <c r="Y64" s="1126"/>
      <c r="Z64" s="1126"/>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D64" s="954" t="s">
        <v>732</v>
      </c>
      <c r="BE64" s="955" t="str">
        <f>Application!X180</f>
        <v>No</v>
      </c>
    </row>
    <row r="65" spans="1:57" ht="12.9" customHeight="1">
      <c r="A65" s="1223" t="s">
        <v>733</v>
      </c>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23"/>
      <c r="AO65" s="1223"/>
      <c r="AP65" s="1223"/>
      <c r="AQ65" s="1223"/>
      <c r="AR65" s="1223"/>
      <c r="AS65" s="1223"/>
      <c r="AT65" s="1223"/>
      <c r="AU65" s="16"/>
      <c r="AV65" s="16"/>
      <c r="AW65" s="16"/>
      <c r="AX65" s="16"/>
      <c r="AY65" s="16"/>
      <c r="AZ65" s="15"/>
      <c r="BD65" s="953" t="s">
        <v>734</v>
      </c>
      <c r="BE65" s="955" t="str">
        <f>Z205</f>
        <v>$500M</v>
      </c>
    </row>
    <row r="66" spans="1:57" ht="12.9" customHeight="1">
      <c r="A66" s="1223"/>
      <c r="B66" s="1223"/>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23"/>
      <c r="AO66" s="1223"/>
      <c r="AP66" s="1223"/>
      <c r="AQ66" s="1223"/>
      <c r="AR66" s="1223"/>
      <c r="AS66" s="1223"/>
      <c r="AT66" s="1223"/>
      <c r="AU66" s="16"/>
      <c r="AV66" s="16"/>
      <c r="AW66" s="16"/>
      <c r="AX66" s="16"/>
      <c r="AY66" s="16"/>
      <c r="AZ66" s="15"/>
      <c r="BD66" s="954" t="s">
        <v>735</v>
      </c>
      <c r="BE66" s="955" t="b">
        <f>Application!Z205="State Farmworker Credit"</f>
        <v>0</v>
      </c>
    </row>
    <row r="67" spans="1:57" ht="12.9" customHeight="1">
      <c r="A67" s="1223"/>
      <c r="B67" s="1223"/>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23"/>
      <c r="AO67" s="1223"/>
      <c r="AP67" s="1223"/>
      <c r="AQ67" s="1223"/>
      <c r="AR67" s="1223"/>
      <c r="AS67" s="1223"/>
      <c r="AT67" s="1223"/>
      <c r="AZ67" s="15"/>
      <c r="BD67" s="953" t="s">
        <v>736</v>
      </c>
      <c r="BE67" s="955" t="b">
        <f>Application!O33="Yes"</f>
        <v>1</v>
      </c>
    </row>
    <row r="68" spans="1:57" ht="12.9" customHeight="1">
      <c r="A68" s="68"/>
      <c r="C68" s="2"/>
      <c r="D68" s="2"/>
      <c r="E68" s="2"/>
      <c r="F68" s="2"/>
      <c r="G68" s="2"/>
      <c r="H68" s="2"/>
      <c r="I68" s="2"/>
      <c r="J68" s="2"/>
      <c r="K68" s="2"/>
      <c r="L68" s="2"/>
      <c r="M68" s="2"/>
      <c r="N68" s="2"/>
      <c r="O68" s="2"/>
      <c r="P68" s="2"/>
      <c r="Q68" s="2"/>
      <c r="R68" s="2"/>
      <c r="S68" s="2"/>
      <c r="T68" s="2"/>
      <c r="U68" s="2"/>
      <c r="V68" s="2"/>
      <c r="W68" s="2"/>
      <c r="X68" s="2"/>
      <c r="Y68" s="2"/>
      <c r="Z68" s="2"/>
      <c r="AZ68" s="15"/>
      <c r="BD68" s="954" t="s">
        <v>737</v>
      </c>
      <c r="BE68" s="955">
        <f>'Sources and Uses Budget'!D105</f>
        <v>0</v>
      </c>
    </row>
    <row r="69" spans="1:57" ht="12.9" customHeight="1">
      <c r="A69" s="1223" t="s">
        <v>738</v>
      </c>
      <c r="B69" s="1223"/>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23"/>
      <c r="AO69" s="1223"/>
      <c r="AP69" s="1223"/>
      <c r="AQ69" s="1223"/>
      <c r="AR69" s="1223"/>
      <c r="AS69" s="1223"/>
      <c r="AT69" s="1223"/>
      <c r="AZ69" s="15"/>
      <c r="BD69" s="953" t="s">
        <v>739</v>
      </c>
      <c r="BE69" s="955" t="str">
        <f>Application!W700</f>
        <v>California Housing Finance Authority</v>
      </c>
    </row>
    <row r="70" spans="1:57" ht="12.9" customHeight="1">
      <c r="A70" s="1223"/>
      <c r="B70" s="1223"/>
      <c r="C70" s="1223"/>
      <c r="D70" s="1223"/>
      <c r="E70" s="1223"/>
      <c r="F70" s="1223"/>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23"/>
      <c r="AO70" s="1223"/>
      <c r="AP70" s="1223"/>
      <c r="AQ70" s="1223"/>
      <c r="AR70" s="1223"/>
      <c r="AS70" s="1223"/>
      <c r="AT70" s="1223"/>
      <c r="AU70" s="15"/>
      <c r="AV70" s="15"/>
      <c r="AW70" s="15"/>
      <c r="AX70" s="15"/>
      <c r="AY70" s="15"/>
      <c r="AZ70" s="15"/>
      <c r="BD70" s="954" t="s">
        <v>740</v>
      </c>
      <c r="BE70" s="955">
        <f ca="1">'Points System'!AF821</f>
        <v>120</v>
      </c>
    </row>
    <row r="71" spans="1:57" ht="12.9" customHeight="1">
      <c r="A71" s="1126"/>
      <c r="C71" s="1126"/>
      <c r="D71" s="1126"/>
      <c r="E71" s="1126"/>
      <c r="F71" s="1126"/>
      <c r="G71" s="1126"/>
      <c r="H71" s="1126"/>
      <c r="I71" s="1126"/>
      <c r="J71" s="1126"/>
      <c r="K71" s="1126"/>
      <c r="L71" s="1126"/>
      <c r="M71" s="1126"/>
      <c r="N71" s="1126"/>
      <c r="O71" s="1126"/>
      <c r="P71" s="1126"/>
      <c r="Q71" s="1126"/>
      <c r="R71" s="1126"/>
      <c r="S71" s="1126"/>
      <c r="T71" s="1126"/>
      <c r="U71" s="1126"/>
      <c r="V71" s="1126"/>
      <c r="W71" s="1126"/>
      <c r="X71" s="1126"/>
      <c r="Y71" s="1126"/>
      <c r="Z71" s="1126"/>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D71" s="953" t="s">
        <v>741</v>
      </c>
      <c r="BE71" s="955">
        <f>'Points System'!AF804</f>
        <v>0</v>
      </c>
    </row>
    <row r="72" spans="1:57" ht="12.9" customHeight="1">
      <c r="A72" s="1492" t="s">
        <v>742</v>
      </c>
      <c r="B72" s="1492"/>
      <c r="C72" s="1492"/>
      <c r="D72" s="1492"/>
      <c r="E72" s="1492"/>
      <c r="F72" s="1492"/>
      <c r="G72" s="1492"/>
      <c r="H72" s="1492"/>
      <c r="I72" s="1492"/>
      <c r="J72" s="1492"/>
      <c r="K72" s="1492"/>
      <c r="L72" s="1492"/>
      <c r="M72" s="1492"/>
      <c r="N72" s="1492"/>
      <c r="O72" s="1492"/>
      <c r="P72" s="1492"/>
      <c r="Q72" s="1492"/>
      <c r="R72" s="1492"/>
      <c r="S72" s="1492"/>
      <c r="T72" s="1492"/>
      <c r="U72" s="1492"/>
      <c r="V72" s="1492"/>
      <c r="W72" s="1492"/>
      <c r="X72" s="1492"/>
      <c r="Y72" s="1492"/>
      <c r="Z72" s="1492"/>
      <c r="AA72" s="1492"/>
      <c r="AB72" s="1492"/>
      <c r="AC72" s="1492"/>
      <c r="AD72" s="1492"/>
      <c r="AE72" s="1492"/>
      <c r="AF72" s="1492"/>
      <c r="AG72" s="1492"/>
      <c r="AH72" s="1492"/>
      <c r="AI72" s="1492"/>
      <c r="AJ72" s="1492"/>
      <c r="AK72" s="1492"/>
      <c r="AL72" s="1492"/>
      <c r="AM72" s="1492"/>
      <c r="AN72" s="1492"/>
      <c r="AO72" s="1492"/>
      <c r="AP72" s="1492"/>
      <c r="AQ72" s="1492"/>
      <c r="AR72" s="1492"/>
      <c r="AS72" s="1492"/>
      <c r="AT72" s="1492"/>
      <c r="AU72" s="15"/>
      <c r="AV72" s="15"/>
      <c r="AW72" s="15"/>
      <c r="AX72" s="15"/>
      <c r="AY72" s="15"/>
      <c r="AZ72" s="15"/>
      <c r="BD72" s="954" t="s">
        <v>743</v>
      </c>
      <c r="BE72" s="955">
        <f>'Points System'!AF805</f>
        <v>10</v>
      </c>
    </row>
    <row r="73" spans="1:57" ht="12.9" customHeight="1">
      <c r="A73" s="1492"/>
      <c r="B73" s="1492"/>
      <c r="C73" s="1492"/>
      <c r="D73" s="1492"/>
      <c r="E73" s="1492"/>
      <c r="F73" s="1492"/>
      <c r="G73" s="1492"/>
      <c r="H73" s="1492"/>
      <c r="I73" s="1492"/>
      <c r="J73" s="1492"/>
      <c r="K73" s="1492"/>
      <c r="L73" s="1492"/>
      <c r="M73" s="1492"/>
      <c r="N73" s="1492"/>
      <c r="O73" s="1492"/>
      <c r="P73" s="1492"/>
      <c r="Q73" s="1492"/>
      <c r="R73" s="1492"/>
      <c r="S73" s="1492"/>
      <c r="T73" s="1492"/>
      <c r="U73" s="1492"/>
      <c r="V73" s="1492"/>
      <c r="W73" s="1492"/>
      <c r="X73" s="1492"/>
      <c r="Y73" s="1492"/>
      <c r="Z73" s="1492"/>
      <c r="AA73" s="1492"/>
      <c r="AB73" s="1492"/>
      <c r="AC73" s="1492"/>
      <c r="AD73" s="1492"/>
      <c r="AE73" s="1492"/>
      <c r="AF73" s="1492"/>
      <c r="AG73" s="1492"/>
      <c r="AH73" s="1492"/>
      <c r="AI73" s="1492"/>
      <c r="AJ73" s="1492"/>
      <c r="AK73" s="1492"/>
      <c r="AL73" s="1492"/>
      <c r="AM73" s="1492"/>
      <c r="AN73" s="1492"/>
      <c r="AO73" s="1492"/>
      <c r="AP73" s="1492"/>
      <c r="AQ73" s="1492"/>
      <c r="AR73" s="1492"/>
      <c r="AS73" s="1492"/>
      <c r="AT73" s="1492"/>
      <c r="AU73" s="15"/>
      <c r="AV73" s="15"/>
      <c r="AW73" s="15"/>
      <c r="AX73" s="15"/>
      <c r="AY73" s="15"/>
      <c r="AZ73" s="15"/>
      <c r="BD73" s="953" t="s">
        <v>744</v>
      </c>
      <c r="BE73" s="955">
        <f ca="1">'Points System'!AF806</f>
        <v>20</v>
      </c>
    </row>
    <row r="74" spans="1:57" ht="12.9" customHeight="1">
      <c r="A74" s="1126"/>
      <c r="C74" s="1126"/>
      <c r="D74" s="1126"/>
      <c r="E74" s="1126"/>
      <c r="F74" s="1126"/>
      <c r="G74" s="1126"/>
      <c r="H74" s="1126"/>
      <c r="I74" s="1126"/>
      <c r="J74" s="1126"/>
      <c r="K74" s="1126"/>
      <c r="L74" s="1126"/>
      <c r="M74" s="1126"/>
      <c r="N74" s="1126"/>
      <c r="O74" s="1126"/>
      <c r="P74" s="1126"/>
      <c r="Q74" s="1126"/>
      <c r="R74" s="1126"/>
      <c r="S74" s="1126"/>
      <c r="T74" s="1126"/>
      <c r="U74" s="1126"/>
      <c r="V74" s="1126"/>
      <c r="W74" s="1126"/>
      <c r="X74" s="1126"/>
      <c r="Y74" s="1126"/>
      <c r="Z74" s="1126"/>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D74" s="954" t="s">
        <v>745</v>
      </c>
      <c r="BE74" s="955">
        <f>'Points System'!AF807</f>
        <v>10</v>
      </c>
    </row>
    <row r="75" spans="1:57" ht="12.9" customHeight="1">
      <c r="A75" s="1496" t="s">
        <v>746</v>
      </c>
      <c r="B75" s="1496"/>
      <c r="C75" s="1496"/>
      <c r="D75" s="1496"/>
      <c r="E75" s="1496"/>
      <c r="F75" s="1496"/>
      <c r="G75" s="1496"/>
      <c r="H75" s="1496"/>
      <c r="I75" s="1496"/>
      <c r="J75" s="1496"/>
      <c r="K75" s="1496"/>
      <c r="L75" s="1496"/>
      <c r="M75" s="1496"/>
      <c r="N75" s="1496"/>
      <c r="O75" s="1496"/>
      <c r="P75" s="1496"/>
      <c r="Q75" s="1496"/>
      <c r="R75" s="1496"/>
      <c r="S75" s="1496"/>
      <c r="T75" s="1496"/>
      <c r="U75" s="1496"/>
      <c r="V75" s="1496"/>
      <c r="W75" s="1496"/>
      <c r="X75" s="1496"/>
      <c r="Y75" s="1496"/>
      <c r="Z75" s="1496"/>
      <c r="AA75" s="1496"/>
      <c r="AB75" s="1496"/>
      <c r="AC75" s="1496"/>
      <c r="AD75" s="1496"/>
      <c r="AE75" s="1496"/>
      <c r="AF75" s="1496"/>
      <c r="AG75" s="1496"/>
      <c r="AH75" s="1496"/>
      <c r="AI75" s="1496"/>
      <c r="AJ75" s="1496"/>
      <c r="AK75" s="1496"/>
      <c r="AL75" s="1496"/>
      <c r="AM75" s="1496"/>
      <c r="AN75" s="1496"/>
      <c r="AO75" s="1496"/>
      <c r="AP75" s="1496"/>
      <c r="AQ75" s="1496"/>
      <c r="AR75" s="1496"/>
      <c r="AS75" s="1496"/>
      <c r="AT75" s="1496"/>
      <c r="AU75" s="15"/>
      <c r="AV75" s="15"/>
      <c r="AW75" s="15"/>
      <c r="AX75" s="15"/>
      <c r="AY75" s="15"/>
      <c r="AZ75" s="15"/>
      <c r="BD75" s="953" t="s">
        <v>747</v>
      </c>
      <c r="BE75" s="955">
        <f>'Points System'!AF808</f>
        <v>10</v>
      </c>
    </row>
    <row r="76" spans="1:57" ht="12.9" customHeight="1">
      <c r="A76" s="1496"/>
      <c r="B76" s="1496"/>
      <c r="C76" s="1496"/>
      <c r="D76" s="1496"/>
      <c r="E76" s="1496"/>
      <c r="F76" s="1496"/>
      <c r="G76" s="1496"/>
      <c r="H76" s="1496"/>
      <c r="I76" s="1496"/>
      <c r="J76" s="1496"/>
      <c r="K76" s="1496"/>
      <c r="L76" s="1496"/>
      <c r="M76" s="1496"/>
      <c r="N76" s="1496"/>
      <c r="O76" s="1496"/>
      <c r="P76" s="1496"/>
      <c r="Q76" s="1496"/>
      <c r="R76" s="1496"/>
      <c r="S76" s="1496"/>
      <c r="T76" s="1496"/>
      <c r="U76" s="1496"/>
      <c r="V76" s="1496"/>
      <c r="W76" s="1496"/>
      <c r="X76" s="1496"/>
      <c r="Y76" s="1496"/>
      <c r="Z76" s="1496"/>
      <c r="AA76" s="1496"/>
      <c r="AB76" s="1496"/>
      <c r="AC76" s="1496"/>
      <c r="AD76" s="1496"/>
      <c r="AE76" s="1496"/>
      <c r="AF76" s="1496"/>
      <c r="AG76" s="1496"/>
      <c r="AH76" s="1496"/>
      <c r="AI76" s="1496"/>
      <c r="AJ76" s="1496"/>
      <c r="AK76" s="1496"/>
      <c r="AL76" s="1496"/>
      <c r="AM76" s="1496"/>
      <c r="AN76" s="1496"/>
      <c r="AO76" s="1496"/>
      <c r="AP76" s="1496"/>
      <c r="AQ76" s="1496"/>
      <c r="AR76" s="1496"/>
      <c r="AS76" s="1496"/>
      <c r="AT76" s="1496"/>
      <c r="AU76" s="15"/>
      <c r="AV76" s="15"/>
      <c r="AW76" s="15"/>
      <c r="AX76" s="15"/>
      <c r="AY76" s="15"/>
      <c r="AZ76" s="13"/>
      <c r="BD76" s="954" t="s">
        <v>748</v>
      </c>
      <c r="BE76" s="955">
        <f>'Points System'!AF811</f>
        <v>10</v>
      </c>
    </row>
    <row r="77" spans="1:57" ht="12.9" customHeight="1">
      <c r="A77" s="1496"/>
      <c r="B77" s="1496"/>
      <c r="C77" s="1496"/>
      <c r="D77" s="1496"/>
      <c r="E77" s="1496"/>
      <c r="F77" s="1496"/>
      <c r="G77" s="1496"/>
      <c r="H77" s="1496"/>
      <c r="I77" s="1496"/>
      <c r="J77" s="1496"/>
      <c r="K77" s="1496"/>
      <c r="L77" s="1496"/>
      <c r="M77" s="1496"/>
      <c r="N77" s="1496"/>
      <c r="O77" s="1496"/>
      <c r="P77" s="1496"/>
      <c r="Q77" s="1496"/>
      <c r="R77" s="1496"/>
      <c r="S77" s="1496"/>
      <c r="T77" s="1496"/>
      <c r="U77" s="1496"/>
      <c r="V77" s="1496"/>
      <c r="W77" s="1496"/>
      <c r="X77" s="1496"/>
      <c r="Y77" s="1496"/>
      <c r="Z77" s="1496"/>
      <c r="AA77" s="1496"/>
      <c r="AB77" s="1496"/>
      <c r="AC77" s="1496"/>
      <c r="AD77" s="1496"/>
      <c r="AE77" s="1496"/>
      <c r="AF77" s="1496"/>
      <c r="AG77" s="1496"/>
      <c r="AH77" s="1496"/>
      <c r="AI77" s="1496"/>
      <c r="AJ77" s="1496"/>
      <c r="AK77" s="1496"/>
      <c r="AL77" s="1496"/>
      <c r="AM77" s="1496"/>
      <c r="AN77" s="1496"/>
      <c r="AO77" s="1496"/>
      <c r="AP77" s="1496"/>
      <c r="AQ77" s="1496"/>
      <c r="AR77" s="1496"/>
      <c r="AS77" s="1496"/>
      <c r="AT77" s="1496"/>
      <c r="AU77" s="15"/>
      <c r="AV77" s="15"/>
      <c r="AW77" s="15"/>
      <c r="AX77" s="15"/>
      <c r="AY77" s="15"/>
      <c r="AZ77" s="13"/>
      <c r="BD77" s="953" t="s">
        <v>749</v>
      </c>
      <c r="BE77" s="955">
        <f>'Points System'!AF812</f>
        <v>8</v>
      </c>
    </row>
    <row r="78" spans="1:57" ht="12.9" customHeight="1">
      <c r="C78" s="1126"/>
      <c r="D78" s="1126"/>
      <c r="E78" s="1126"/>
      <c r="F78" s="1126"/>
      <c r="G78" s="1126"/>
      <c r="H78" s="1126"/>
      <c r="I78" s="1126"/>
      <c r="J78" s="1126"/>
      <c r="K78" s="1126"/>
      <c r="L78" s="1126"/>
      <c r="M78" s="1126"/>
      <c r="N78" s="1126"/>
      <c r="O78" s="1126"/>
      <c r="P78" s="1126"/>
      <c r="Q78" s="1126"/>
      <c r="R78" s="1126"/>
      <c r="S78" s="1126"/>
      <c r="T78" s="1126"/>
      <c r="U78" s="1126"/>
      <c r="V78" s="1126"/>
      <c r="W78" s="1126"/>
      <c r="X78" s="1126"/>
      <c r="Y78" s="1126"/>
      <c r="Z78" s="1126"/>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D78" s="954" t="s">
        <v>750</v>
      </c>
      <c r="BE78" s="955">
        <f>'Points System'!AF814</f>
        <v>10</v>
      </c>
    </row>
    <row r="79" spans="1:57" ht="12.9" customHeight="1">
      <c r="A79" s="1223" t="s">
        <v>751</v>
      </c>
      <c r="B79" s="1223"/>
      <c r="C79" s="1223"/>
      <c r="D79" s="1223"/>
      <c r="E79" s="1223"/>
      <c r="F79" s="1223"/>
      <c r="G79" s="1223"/>
      <c r="H79" s="1223"/>
      <c r="I79" s="1223"/>
      <c r="J79" s="1223"/>
      <c r="K79" s="1223"/>
      <c r="L79" s="1223"/>
      <c r="M79" s="1223"/>
      <c r="N79" s="1223"/>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23"/>
      <c r="AO79" s="1223"/>
      <c r="AP79" s="1223"/>
      <c r="AQ79" s="1223"/>
      <c r="AR79" s="1223"/>
      <c r="AS79" s="1223"/>
      <c r="AT79" s="1223"/>
      <c r="AU79" s="15"/>
      <c r="AV79" s="15"/>
      <c r="AW79" s="15"/>
      <c r="AX79" s="15"/>
      <c r="AY79" s="15"/>
      <c r="AZ79" s="15"/>
      <c r="BD79" s="953" t="s">
        <v>752</v>
      </c>
      <c r="BE79" s="955">
        <f>'Points System'!AF815</f>
        <v>10</v>
      </c>
    </row>
    <row r="80" spans="1:57" ht="12.9" customHeight="1">
      <c r="A80" s="1223"/>
      <c r="B80" s="1223"/>
      <c r="C80" s="1223"/>
      <c r="D80" s="1223"/>
      <c r="E80" s="1223"/>
      <c r="F80" s="1223"/>
      <c r="G80" s="1223"/>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23"/>
      <c r="AO80" s="1223"/>
      <c r="AP80" s="1223"/>
      <c r="AQ80" s="1223"/>
      <c r="AR80" s="1223"/>
      <c r="AS80" s="1223"/>
      <c r="AT80" s="1223"/>
      <c r="AU80" s="15"/>
      <c r="AV80" s="15"/>
      <c r="AW80" s="15"/>
      <c r="AX80" s="15"/>
      <c r="AY80" s="15"/>
      <c r="AZ80" s="15"/>
      <c r="BD80" s="954" t="s">
        <v>753</v>
      </c>
      <c r="BE80" s="955">
        <f>'Points System'!AF817</f>
        <v>10</v>
      </c>
    </row>
    <row r="81" spans="1:57" ht="12.9" customHeight="1">
      <c r="A81" s="1223"/>
      <c r="B81" s="1223"/>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5"/>
      <c r="AV81" s="15"/>
      <c r="AW81" s="15"/>
      <c r="AX81" s="15"/>
      <c r="AY81" s="15"/>
      <c r="AZ81" s="15"/>
      <c r="BD81" s="953" t="s">
        <v>754</v>
      </c>
      <c r="BE81" s="955">
        <f>'Points System'!AF818</f>
        <v>12</v>
      </c>
    </row>
    <row r="82" spans="1:57" ht="12.9" customHeight="1">
      <c r="A82" s="1126"/>
      <c r="C82" s="1126"/>
      <c r="D82" s="1126"/>
      <c r="E82" s="1126"/>
      <c r="F82" s="1126"/>
      <c r="G82" s="1126"/>
      <c r="H82" s="1126"/>
      <c r="I82" s="1126"/>
      <c r="J82" s="1126"/>
      <c r="K82" s="1126"/>
      <c r="L82" s="1126"/>
      <c r="M82" s="1126"/>
      <c r="N82" s="1126"/>
      <c r="O82" s="1126"/>
      <c r="P82" s="1126"/>
      <c r="Q82" s="1126"/>
      <c r="R82" s="1126"/>
      <c r="S82" s="1126"/>
      <c r="T82" s="1126"/>
      <c r="U82" s="1126"/>
      <c r="V82" s="1126"/>
      <c r="W82" s="1126"/>
      <c r="X82" s="1126"/>
      <c r="Y82" s="1126"/>
      <c r="Z82" s="1126"/>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D82" s="954" t="s">
        <v>755</v>
      </c>
      <c r="BE82" s="955">
        <f>'Points System'!AF819</f>
        <v>10</v>
      </c>
    </row>
    <row r="83" spans="1:57" ht="12.9" customHeight="1">
      <c r="A83" s="1223" t="s">
        <v>756</v>
      </c>
      <c r="B83" s="1223"/>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5"/>
      <c r="AV83" s="15"/>
      <c r="AW83" s="15"/>
      <c r="AX83" s="15"/>
      <c r="AY83" s="15"/>
      <c r="AZ83" s="15"/>
      <c r="BD83" s="953" t="s">
        <v>757</v>
      </c>
      <c r="BE83" s="959">
        <f>'Tie Breaker'!H5</f>
        <v>0.59576899731046085</v>
      </c>
    </row>
    <row r="84" spans="1:57" ht="12.9" customHeight="1">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5"/>
      <c r="AV84" s="15"/>
      <c r="AW84" s="15"/>
      <c r="AX84" s="15"/>
      <c r="AY84" s="15"/>
      <c r="AZ84" s="15"/>
      <c r="BD84" s="954" t="s">
        <v>758</v>
      </c>
      <c r="BE84" s="955" t="str">
        <f>Application!O153</f>
        <v>City of Santa Clarita</v>
      </c>
    </row>
    <row r="85" spans="1:57" ht="12.9" customHeight="1">
      <c r="C85" s="1126"/>
      <c r="D85" s="1126"/>
      <c r="E85" s="1126"/>
      <c r="F85" s="1126"/>
      <c r="G85" s="1126"/>
      <c r="H85" s="1126"/>
      <c r="I85" s="1126"/>
      <c r="J85" s="1126"/>
      <c r="K85" s="1126"/>
      <c r="L85" s="1126"/>
      <c r="M85" s="1126"/>
      <c r="N85" s="1126"/>
      <c r="O85" s="1126"/>
      <c r="P85" s="1126"/>
      <c r="Q85" s="1126"/>
      <c r="R85" s="1126"/>
      <c r="S85" s="1126"/>
      <c r="T85" s="1126"/>
      <c r="U85" s="1126"/>
      <c r="V85" s="1126"/>
      <c r="W85" s="1126"/>
      <c r="X85" s="1126"/>
      <c r="Y85" s="1126"/>
      <c r="Z85" s="1126"/>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D85" s="953" t="s">
        <v>759</v>
      </c>
      <c r="BE85" s="955" t="str">
        <f>Application!O154</f>
        <v>Ms. Erin Lay</v>
      </c>
    </row>
    <row r="86" spans="1:57" ht="12.9" customHeight="1">
      <c r="A86" s="1223" t="s">
        <v>760</v>
      </c>
      <c r="B86" s="1223"/>
      <c r="C86" s="1223"/>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c r="AL86" s="1223"/>
      <c r="AM86" s="1223"/>
      <c r="AN86" s="1223"/>
      <c r="AO86" s="1223"/>
      <c r="AP86" s="1223"/>
      <c r="AQ86" s="1223"/>
      <c r="AR86" s="1223"/>
      <c r="AS86" s="1223"/>
      <c r="AT86" s="1223"/>
      <c r="AU86" s="15"/>
      <c r="AV86" s="15"/>
      <c r="AW86" s="15"/>
      <c r="AX86" s="15"/>
      <c r="AY86" s="15"/>
      <c r="AZ86" s="15"/>
      <c r="BD86" s="954" t="s">
        <v>761</v>
      </c>
      <c r="BE86" s="955" t="str">
        <f>Application!O155</f>
        <v>Housing Program Administrator</v>
      </c>
    </row>
    <row r="87" spans="1:57" ht="12.9" customHeight="1">
      <c r="A87" s="1223"/>
      <c r="B87" s="1223"/>
      <c r="C87" s="1223"/>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c r="AL87" s="1223"/>
      <c r="AM87" s="1223"/>
      <c r="AN87" s="1223"/>
      <c r="AO87" s="1223"/>
      <c r="AP87" s="1223"/>
      <c r="AQ87" s="1223"/>
      <c r="AR87" s="1223"/>
      <c r="AS87" s="1223"/>
      <c r="AT87" s="1223"/>
      <c r="AU87" s="15"/>
      <c r="AV87" s="15"/>
      <c r="AW87" s="15"/>
      <c r="AX87" s="15"/>
      <c r="AY87" s="15"/>
      <c r="AZ87" s="15"/>
      <c r="BD87" s="953" t="s">
        <v>762</v>
      </c>
      <c r="BE87" s="955" t="str">
        <f>Application!O156</f>
        <v>23920 Valencia Boulevard, Suite 300</v>
      </c>
    </row>
    <row r="88" spans="1:57" ht="12.9" customHeight="1">
      <c r="A88" s="1126"/>
      <c r="C88" s="1126"/>
      <c r="D88" s="1126"/>
      <c r="E88" s="1126"/>
      <c r="F88" s="1126"/>
      <c r="G88" s="1126"/>
      <c r="H88" s="1126"/>
      <c r="I88" s="1126"/>
      <c r="J88" s="1126"/>
      <c r="K88" s="1126"/>
      <c r="L88" s="1126"/>
      <c r="M88" s="1126"/>
      <c r="N88" s="1126"/>
      <c r="O88" s="1126"/>
      <c r="P88" s="1126"/>
      <c r="Q88" s="1126"/>
      <c r="R88" s="1126"/>
      <c r="S88" s="1126"/>
      <c r="T88" s="1126"/>
      <c r="U88" s="1126"/>
      <c r="V88" s="1126"/>
      <c r="W88" s="1126"/>
      <c r="X88" s="1126"/>
      <c r="Y88" s="1126"/>
      <c r="Z88" s="1126"/>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D88" s="954" t="s">
        <v>763</v>
      </c>
      <c r="BE88" s="955" t="str">
        <f>Application!O157</f>
        <v>Santa Clarita</v>
      </c>
    </row>
    <row r="89" spans="1:57" ht="12.9" customHeight="1">
      <c r="A89" s="1504" t="s">
        <v>764</v>
      </c>
      <c r="B89" s="1504"/>
      <c r="C89" s="1504"/>
      <c r="D89" s="1504"/>
      <c r="E89" s="1504"/>
      <c r="F89" s="1504"/>
      <c r="G89" s="1504"/>
      <c r="H89" s="1504"/>
      <c r="I89" s="1504"/>
      <c r="J89" s="1504"/>
      <c r="K89" s="1504"/>
      <c r="L89" s="1504"/>
      <c r="M89" s="1504"/>
      <c r="N89" s="1504"/>
      <c r="O89" s="1504"/>
      <c r="P89" s="1504"/>
      <c r="Q89" s="1504"/>
      <c r="R89" s="1504"/>
      <c r="S89" s="1504"/>
      <c r="T89" s="1504"/>
      <c r="U89" s="1504"/>
      <c r="V89" s="1504"/>
      <c r="W89" s="1504"/>
      <c r="X89" s="1504"/>
      <c r="Y89" s="1504"/>
      <c r="Z89" s="1504"/>
      <c r="AA89" s="1504"/>
      <c r="AB89" s="1504"/>
      <c r="AC89" s="1504"/>
      <c r="AD89" s="1504"/>
      <c r="AE89" s="1504"/>
      <c r="AF89" s="1504"/>
      <c r="AG89" s="1504"/>
      <c r="AH89" s="1504"/>
      <c r="AI89" s="1504"/>
      <c r="AJ89" s="1504"/>
      <c r="AK89" s="1504"/>
      <c r="AL89" s="1504"/>
      <c r="AM89" s="1504"/>
      <c r="AN89" s="1504"/>
      <c r="AO89" s="1504"/>
      <c r="AP89" s="1504"/>
      <c r="AQ89" s="1504"/>
      <c r="AR89" s="1504"/>
      <c r="AS89" s="1504"/>
      <c r="AT89" s="1504"/>
      <c r="AU89" s="13"/>
      <c r="AV89" s="13"/>
      <c r="AW89" s="13"/>
      <c r="AX89" s="13"/>
      <c r="AY89" s="13"/>
      <c r="AZ89" s="15"/>
      <c r="BD89" s="953" t="s">
        <v>765</v>
      </c>
      <c r="BE89" s="955">
        <f>Application!O158</f>
        <v>91355</v>
      </c>
    </row>
    <row r="90" spans="1:57" ht="12.9" customHeight="1">
      <c r="A90" s="1504"/>
      <c r="B90" s="1504"/>
      <c r="C90" s="1504"/>
      <c r="D90" s="1504"/>
      <c r="E90" s="1504"/>
      <c r="F90" s="1504"/>
      <c r="G90" s="1504"/>
      <c r="H90" s="1504"/>
      <c r="I90" s="1504"/>
      <c r="J90" s="1504"/>
      <c r="K90" s="1504"/>
      <c r="L90" s="1504"/>
      <c r="M90" s="1504"/>
      <c r="N90" s="1504"/>
      <c r="O90" s="1504"/>
      <c r="P90" s="1504"/>
      <c r="Q90" s="1504"/>
      <c r="R90" s="1504"/>
      <c r="S90" s="1504"/>
      <c r="T90" s="1504"/>
      <c r="U90" s="1504"/>
      <c r="V90" s="1504"/>
      <c r="W90" s="1504"/>
      <c r="X90" s="1504"/>
      <c r="Y90" s="1504"/>
      <c r="Z90" s="1504"/>
      <c r="AA90" s="1504"/>
      <c r="AB90" s="1504"/>
      <c r="AC90" s="1504"/>
      <c r="AD90" s="1504"/>
      <c r="AE90" s="1504"/>
      <c r="AF90" s="1504"/>
      <c r="AG90" s="1504"/>
      <c r="AH90" s="1504"/>
      <c r="AI90" s="1504"/>
      <c r="AJ90" s="1504"/>
      <c r="AK90" s="1504"/>
      <c r="AL90" s="1504"/>
      <c r="AM90" s="1504"/>
      <c r="AN90" s="1504"/>
      <c r="AO90" s="1504"/>
      <c r="AP90" s="1504"/>
      <c r="AQ90" s="1504"/>
      <c r="AR90" s="1504"/>
      <c r="AS90" s="1504"/>
      <c r="AT90" s="1504"/>
      <c r="AU90" s="13"/>
      <c r="AV90" s="13"/>
      <c r="AW90" s="13"/>
      <c r="AX90" s="13"/>
      <c r="AY90" s="13"/>
      <c r="AZ90" s="15"/>
      <c r="BD90" s="954" t="s">
        <v>766</v>
      </c>
      <c r="BE90" s="955" t="str">
        <f>Application!H16</f>
        <v>Creekside Commons LP</v>
      </c>
    </row>
    <row r="91" spans="1:57" ht="12.9" customHeight="1">
      <c r="A91" s="1126"/>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D91" s="953" t="s">
        <v>767</v>
      </c>
      <c r="BE91" s="955" t="str">
        <f>Application!M233</f>
        <v>122 E 42nd Street, Suite 1903</v>
      </c>
    </row>
    <row r="92" spans="1:57" ht="12.9" customHeight="1">
      <c r="A92" s="1496" t="s">
        <v>768</v>
      </c>
      <c r="B92" s="1496"/>
      <c r="C92" s="1496"/>
      <c r="D92" s="1496"/>
      <c r="E92" s="1496"/>
      <c r="F92" s="1496"/>
      <c r="G92" s="1496"/>
      <c r="H92" s="1496"/>
      <c r="I92" s="1496"/>
      <c r="J92" s="1496"/>
      <c r="K92" s="1496"/>
      <c r="L92" s="1496"/>
      <c r="M92" s="1496"/>
      <c r="N92" s="1496"/>
      <c r="O92" s="1496"/>
      <c r="P92" s="1496"/>
      <c r="Q92" s="1496"/>
      <c r="R92" s="1496"/>
      <c r="S92" s="1496"/>
      <c r="T92" s="1496"/>
      <c r="U92" s="1496"/>
      <c r="V92" s="1496"/>
      <c r="W92" s="1496"/>
      <c r="X92" s="1496"/>
      <c r="Y92" s="1496"/>
      <c r="Z92" s="1496"/>
      <c r="AA92" s="1496"/>
      <c r="AB92" s="1496"/>
      <c r="AC92" s="1496"/>
      <c r="AD92" s="1496"/>
      <c r="AE92" s="1496"/>
      <c r="AF92" s="1496"/>
      <c r="AG92" s="1496"/>
      <c r="AH92" s="1496"/>
      <c r="AI92" s="1496"/>
      <c r="AJ92" s="1496"/>
      <c r="AK92" s="1496"/>
      <c r="AL92" s="1496"/>
      <c r="AM92" s="1496"/>
      <c r="AN92" s="1496"/>
      <c r="AO92" s="1496"/>
      <c r="AP92" s="1496"/>
      <c r="AQ92" s="1496"/>
      <c r="AR92" s="1496"/>
      <c r="AS92" s="1496"/>
      <c r="AT92" s="1496"/>
      <c r="AU92" s="15"/>
      <c r="AV92" s="15"/>
      <c r="AW92" s="15"/>
      <c r="AX92" s="15"/>
      <c r="AY92" s="15"/>
      <c r="AZ92" s="15"/>
      <c r="BD92" s="954" t="s">
        <v>769</v>
      </c>
      <c r="BE92" s="955" t="str">
        <f>Application!M234</f>
        <v>New York</v>
      </c>
    </row>
    <row r="93" spans="1:57" ht="12.9" customHeight="1">
      <c r="A93" s="1496"/>
      <c r="B93" s="1496"/>
      <c r="C93" s="1496"/>
      <c r="D93" s="1496"/>
      <c r="E93" s="1496"/>
      <c r="F93" s="1496"/>
      <c r="G93" s="1496"/>
      <c r="H93" s="1496"/>
      <c r="I93" s="1496"/>
      <c r="J93" s="1496"/>
      <c r="K93" s="1496"/>
      <c r="L93" s="1496"/>
      <c r="M93" s="1496"/>
      <c r="N93" s="1496"/>
      <c r="O93" s="1496"/>
      <c r="P93" s="1496"/>
      <c r="Q93" s="1496"/>
      <c r="R93" s="1496"/>
      <c r="S93" s="1496"/>
      <c r="T93" s="1496"/>
      <c r="U93" s="1496"/>
      <c r="V93" s="1496"/>
      <c r="W93" s="1496"/>
      <c r="X93" s="1496"/>
      <c r="Y93" s="1496"/>
      <c r="Z93" s="1496"/>
      <c r="AA93" s="1496"/>
      <c r="AB93" s="1496"/>
      <c r="AC93" s="1496"/>
      <c r="AD93" s="1496"/>
      <c r="AE93" s="1496"/>
      <c r="AF93" s="1496"/>
      <c r="AG93" s="1496"/>
      <c r="AH93" s="1496"/>
      <c r="AI93" s="1496"/>
      <c r="AJ93" s="1496"/>
      <c r="AK93" s="1496"/>
      <c r="AL93" s="1496"/>
      <c r="AM93" s="1496"/>
      <c r="AN93" s="1496"/>
      <c r="AO93" s="1496"/>
      <c r="AP93" s="1496"/>
      <c r="AQ93" s="1496"/>
      <c r="AR93" s="1496"/>
      <c r="AS93" s="1496"/>
      <c r="AT93" s="1496"/>
      <c r="AU93" s="15"/>
      <c r="AV93" s="15"/>
      <c r="AW93" s="15"/>
      <c r="AX93" s="15"/>
      <c r="AY93" s="15"/>
      <c r="AZ93" s="15"/>
      <c r="BD93" s="953" t="s">
        <v>770</v>
      </c>
      <c r="BE93" s="955" t="str">
        <f>Application!W234</f>
        <v>NY</v>
      </c>
    </row>
    <row r="94" spans="1:57" ht="12.9" customHeight="1">
      <c r="A94" s="1496"/>
      <c r="B94" s="1496"/>
      <c r="C94" s="1496"/>
      <c r="D94" s="1496"/>
      <c r="E94" s="1496"/>
      <c r="F94" s="1496"/>
      <c r="G94" s="1496"/>
      <c r="H94" s="1496"/>
      <c r="I94" s="1496"/>
      <c r="J94" s="1496"/>
      <c r="K94" s="1496"/>
      <c r="L94" s="1496"/>
      <c r="M94" s="1496"/>
      <c r="N94" s="1496"/>
      <c r="O94" s="1496"/>
      <c r="P94" s="1496"/>
      <c r="Q94" s="1496"/>
      <c r="R94" s="1496"/>
      <c r="S94" s="1496"/>
      <c r="T94" s="1496"/>
      <c r="U94" s="1496"/>
      <c r="V94" s="1496"/>
      <c r="W94" s="1496"/>
      <c r="X94" s="1496"/>
      <c r="Y94" s="1496"/>
      <c r="Z94" s="1496"/>
      <c r="AA94" s="1496"/>
      <c r="AB94" s="1496"/>
      <c r="AC94" s="1496"/>
      <c r="AD94" s="1496"/>
      <c r="AE94" s="1496"/>
      <c r="AF94" s="1496"/>
      <c r="AG94" s="1496"/>
      <c r="AH94" s="1496"/>
      <c r="AI94" s="1496"/>
      <c r="AJ94" s="1496"/>
      <c r="AK94" s="1496"/>
      <c r="AL94" s="1496"/>
      <c r="AM94" s="1496"/>
      <c r="AN94" s="1496"/>
      <c r="AO94" s="1496"/>
      <c r="AP94" s="1496"/>
      <c r="AQ94" s="1496"/>
      <c r="AR94" s="1496"/>
      <c r="AS94" s="1496"/>
      <c r="AT94" s="1496"/>
      <c r="AU94" s="15"/>
      <c r="AV94" s="15"/>
      <c r="AW94" s="15"/>
      <c r="AX94" s="15"/>
      <c r="AY94" s="15"/>
      <c r="AZ94" s="15"/>
      <c r="BD94" s="954" t="s">
        <v>771</v>
      </c>
      <c r="BE94" s="955">
        <f>Application!AC234</f>
        <v>10168</v>
      </c>
    </row>
    <row r="95" spans="1:57" ht="12.9" customHeight="1">
      <c r="A95" s="1496"/>
      <c r="B95" s="1496"/>
      <c r="C95" s="1496"/>
      <c r="D95" s="1496"/>
      <c r="E95" s="1496"/>
      <c r="F95" s="1496"/>
      <c r="G95" s="1496"/>
      <c r="H95" s="1496"/>
      <c r="I95" s="1496"/>
      <c r="J95" s="1496"/>
      <c r="K95" s="1496"/>
      <c r="L95" s="1496"/>
      <c r="M95" s="1496"/>
      <c r="N95" s="1496"/>
      <c r="O95" s="1496"/>
      <c r="P95" s="1496"/>
      <c r="Q95" s="1496"/>
      <c r="R95" s="1496"/>
      <c r="S95" s="1496"/>
      <c r="T95" s="1496"/>
      <c r="U95" s="1496"/>
      <c r="V95" s="1496"/>
      <c r="W95" s="1496"/>
      <c r="X95" s="1496"/>
      <c r="Y95" s="1496"/>
      <c r="Z95" s="1496"/>
      <c r="AA95" s="1496"/>
      <c r="AB95" s="1496"/>
      <c r="AC95" s="1496"/>
      <c r="AD95" s="1496"/>
      <c r="AE95" s="1496"/>
      <c r="AF95" s="1496"/>
      <c r="AG95" s="1496"/>
      <c r="AH95" s="1496"/>
      <c r="AI95" s="1496"/>
      <c r="AJ95" s="1496"/>
      <c r="AK95" s="1496"/>
      <c r="AL95" s="1496"/>
      <c r="AM95" s="1496"/>
      <c r="AN95" s="1496"/>
      <c r="AO95" s="1496"/>
      <c r="AP95" s="1496"/>
      <c r="AQ95" s="1496"/>
      <c r="AR95" s="1496"/>
      <c r="AS95" s="1496"/>
      <c r="AT95" s="1496"/>
      <c r="AU95" s="15"/>
      <c r="AV95" s="15"/>
      <c r="AW95" s="15"/>
      <c r="AX95" s="15"/>
      <c r="AY95" s="15"/>
      <c r="AZ95" s="15"/>
      <c r="BD95" s="953" t="s">
        <v>772</v>
      </c>
      <c r="BE95" s="955" t="str">
        <f>Application!M235</f>
        <v>Paul Salib</v>
      </c>
    </row>
    <row r="96" spans="1:57" ht="12.9" customHeight="1">
      <c r="A96" s="1496"/>
      <c r="B96" s="1496"/>
      <c r="C96" s="1496"/>
      <c r="D96" s="1496"/>
      <c r="E96" s="1496"/>
      <c r="F96" s="1496"/>
      <c r="G96" s="1496"/>
      <c r="H96" s="1496"/>
      <c r="I96" s="1496"/>
      <c r="J96" s="1496"/>
      <c r="K96" s="1496"/>
      <c r="L96" s="1496"/>
      <c r="M96" s="1496"/>
      <c r="N96" s="1496"/>
      <c r="O96" s="1496"/>
      <c r="P96" s="1496"/>
      <c r="Q96" s="1496"/>
      <c r="R96" s="1496"/>
      <c r="S96" s="1496"/>
      <c r="T96" s="1496"/>
      <c r="U96" s="1496"/>
      <c r="V96" s="1496"/>
      <c r="W96" s="1496"/>
      <c r="X96" s="1496"/>
      <c r="Y96" s="1496"/>
      <c r="Z96" s="1496"/>
      <c r="AA96" s="1496"/>
      <c r="AB96" s="1496"/>
      <c r="AC96" s="1496"/>
      <c r="AD96" s="1496"/>
      <c r="AE96" s="1496"/>
      <c r="AF96" s="1496"/>
      <c r="AG96" s="1496"/>
      <c r="AH96" s="1496"/>
      <c r="AI96" s="1496"/>
      <c r="AJ96" s="1496"/>
      <c r="AK96" s="1496"/>
      <c r="AL96" s="1496"/>
      <c r="AM96" s="1496"/>
      <c r="AN96" s="1496"/>
      <c r="AO96" s="1496"/>
      <c r="AP96" s="1496"/>
      <c r="AQ96" s="1496"/>
      <c r="AR96" s="1496"/>
      <c r="AS96" s="1496"/>
      <c r="AT96" s="1496"/>
      <c r="AU96" s="15"/>
      <c r="AV96" s="15"/>
      <c r="AW96" s="15"/>
      <c r="AX96" s="15"/>
      <c r="AY96" s="15"/>
      <c r="AZ96" s="15"/>
      <c r="BD96" s="954" t="s">
        <v>773</v>
      </c>
      <c r="BE96" s="955" t="str">
        <f>Application!M237</f>
        <v>psalib@crpaffordable.com</v>
      </c>
    </row>
    <row r="97" spans="1:57" ht="12.9" customHeight="1">
      <c r="A97" s="1496"/>
      <c r="B97" s="1496"/>
      <c r="C97" s="1496"/>
      <c r="D97" s="1496"/>
      <c r="E97" s="1496"/>
      <c r="F97" s="1496"/>
      <c r="G97" s="1496"/>
      <c r="H97" s="1496"/>
      <c r="I97" s="1496"/>
      <c r="J97" s="1496"/>
      <c r="K97" s="1496"/>
      <c r="L97" s="1496"/>
      <c r="M97" s="1496"/>
      <c r="N97" s="1496"/>
      <c r="O97" s="1496"/>
      <c r="P97" s="1496"/>
      <c r="Q97" s="1496"/>
      <c r="R97" s="1496"/>
      <c r="S97" s="1496"/>
      <c r="T97" s="1496"/>
      <c r="U97" s="1496"/>
      <c r="V97" s="1496"/>
      <c r="W97" s="1496"/>
      <c r="X97" s="1496"/>
      <c r="Y97" s="1496"/>
      <c r="Z97" s="1496"/>
      <c r="AA97" s="1496"/>
      <c r="AB97" s="1496"/>
      <c r="AC97" s="1496"/>
      <c r="AD97" s="1496"/>
      <c r="AE97" s="1496"/>
      <c r="AF97" s="1496"/>
      <c r="AG97" s="1496"/>
      <c r="AH97" s="1496"/>
      <c r="AI97" s="1496"/>
      <c r="AJ97" s="1496"/>
      <c r="AK97" s="1496"/>
      <c r="AL97" s="1496"/>
      <c r="AM97" s="1496"/>
      <c r="AN97" s="1496"/>
      <c r="AO97" s="1496"/>
      <c r="AP97" s="1496"/>
      <c r="AQ97" s="1496"/>
      <c r="AR97" s="1496"/>
      <c r="AS97" s="1496"/>
      <c r="AT97" s="1496"/>
      <c r="AU97" s="15"/>
      <c r="AV97" s="15"/>
      <c r="AW97" s="15"/>
      <c r="AX97" s="15"/>
      <c r="AY97" s="15"/>
      <c r="AZ97" s="15"/>
      <c r="BD97" s="953" t="s">
        <v>774</v>
      </c>
      <c r="BE97" s="955" t="str">
        <f>Application!M248</f>
        <v>psalib@crpaffordable.com</v>
      </c>
    </row>
    <row r="98" spans="1:57" ht="12.9" customHeight="1">
      <c r="A98" s="1496"/>
      <c r="B98" s="1496"/>
      <c r="C98" s="1496"/>
      <c r="D98" s="1496"/>
      <c r="E98" s="1496"/>
      <c r="F98" s="1496"/>
      <c r="G98" s="1496"/>
      <c r="H98" s="1496"/>
      <c r="I98" s="1496"/>
      <c r="J98" s="1496"/>
      <c r="K98" s="1496"/>
      <c r="L98" s="1496"/>
      <c r="M98" s="1496"/>
      <c r="N98" s="1496"/>
      <c r="O98" s="1496"/>
      <c r="P98" s="1496"/>
      <c r="Q98" s="1496"/>
      <c r="R98" s="1496"/>
      <c r="S98" s="1496"/>
      <c r="T98" s="1496"/>
      <c r="U98" s="1496"/>
      <c r="V98" s="1496"/>
      <c r="W98" s="1496"/>
      <c r="X98" s="1496"/>
      <c r="Y98" s="1496"/>
      <c r="Z98" s="1496"/>
      <c r="AA98" s="1496"/>
      <c r="AB98" s="1496"/>
      <c r="AC98" s="1496"/>
      <c r="AD98" s="1496"/>
      <c r="AE98" s="1496"/>
      <c r="AF98" s="1496"/>
      <c r="AG98" s="1496"/>
      <c r="AH98" s="1496"/>
      <c r="AI98" s="1496"/>
      <c r="AJ98" s="1496"/>
      <c r="AK98" s="1496"/>
      <c r="AL98" s="1496"/>
      <c r="AM98" s="1496"/>
      <c r="AN98" s="1496"/>
      <c r="AO98" s="1496"/>
      <c r="AP98" s="1496"/>
      <c r="AQ98" s="1496"/>
      <c r="AR98" s="1496"/>
      <c r="AS98" s="1496"/>
      <c r="AT98" s="1496"/>
      <c r="AU98" s="15"/>
      <c r="AV98" s="15"/>
      <c r="AW98" s="15"/>
      <c r="AX98" s="15"/>
      <c r="AY98" s="15"/>
      <c r="AZ98" s="15"/>
      <c r="BD98" s="954" t="s">
        <v>775</v>
      </c>
      <c r="BE98" s="955" t="str">
        <f>Application!M256</f>
        <v>chris@centralvalleycoalition.com</v>
      </c>
    </row>
    <row r="99" spans="1:57" ht="12.9" customHeight="1">
      <c r="C99" s="1126"/>
      <c r="D99" s="1126"/>
      <c r="E99" s="1126"/>
      <c r="F99" s="1126"/>
      <c r="G99" s="1126"/>
      <c r="H99" s="1126"/>
      <c r="I99" s="1126"/>
      <c r="J99" s="1126"/>
      <c r="K99" s="1126"/>
      <c r="L99" s="1126"/>
      <c r="M99" s="1126"/>
      <c r="N99" s="1126"/>
      <c r="O99" s="1126"/>
      <c r="P99" s="1126"/>
      <c r="Q99" s="1126"/>
      <c r="R99" s="1126"/>
      <c r="S99" s="1126"/>
      <c r="T99" s="1126"/>
      <c r="U99" s="1126"/>
      <c r="V99" s="1126"/>
      <c r="W99" s="1126"/>
      <c r="X99" s="1126"/>
      <c r="Y99" s="1126"/>
      <c r="Z99" s="1126"/>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D99" s="953" t="s">
        <v>776</v>
      </c>
      <c r="BE99" s="955">
        <f>Application!M264</f>
        <v>0</v>
      </c>
    </row>
    <row r="100" spans="1:57" ht="12.9" customHeight="1">
      <c r="A100" s="1505" t="s">
        <v>777</v>
      </c>
      <c r="B100" s="1505"/>
      <c r="C100" s="1505"/>
      <c r="D100" s="1505"/>
      <c r="E100" s="1505"/>
      <c r="F100" s="1505"/>
      <c r="G100" s="1505"/>
      <c r="H100" s="1505"/>
      <c r="I100" s="1505"/>
      <c r="J100" s="1505"/>
      <c r="K100" s="1505"/>
      <c r="L100" s="1505"/>
      <c r="M100" s="1505"/>
      <c r="N100" s="1505"/>
      <c r="O100" s="1505"/>
      <c r="P100" s="1505"/>
      <c r="Q100" s="1505"/>
      <c r="R100" s="1505"/>
      <c r="S100" s="1505"/>
      <c r="T100" s="1505"/>
      <c r="U100" s="1505"/>
      <c r="V100" s="1505"/>
      <c r="W100" s="1505"/>
      <c r="X100" s="1505"/>
      <c r="Y100" s="1505"/>
      <c r="Z100" s="1505"/>
      <c r="AA100" s="1505"/>
      <c r="AB100" s="1505"/>
      <c r="AC100" s="1505"/>
      <c r="AD100" s="1505"/>
      <c r="AE100" s="1505"/>
      <c r="AF100" s="1505"/>
      <c r="AG100" s="1505"/>
      <c r="AH100" s="1505"/>
      <c r="AI100" s="1505"/>
      <c r="AJ100" s="1505"/>
      <c r="AK100" s="1505"/>
      <c r="AL100" s="1505"/>
      <c r="AM100" s="1505"/>
      <c r="AN100" s="1505"/>
      <c r="AO100" s="1505"/>
      <c r="AP100" s="1505"/>
      <c r="AQ100" s="1505"/>
      <c r="AR100" s="1505"/>
      <c r="AS100" s="1505"/>
      <c r="AT100" s="1505"/>
      <c r="AU100" s="15"/>
      <c r="AV100" s="15"/>
      <c r="AW100" s="15"/>
      <c r="AX100" s="15"/>
      <c r="AY100" s="15"/>
      <c r="AZ100" s="15"/>
      <c r="BD100" s="954" t="s">
        <v>778</v>
      </c>
      <c r="BE100" s="955" t="str">
        <f>Application!L279</f>
        <v>ssterneck@crpaffordable.com</v>
      </c>
    </row>
    <row r="101" spans="1:57" ht="12.9" customHeight="1">
      <c r="A101" s="1505"/>
      <c r="B101" s="1505"/>
      <c r="C101" s="1505"/>
      <c r="D101" s="1505"/>
      <c r="E101" s="1505"/>
      <c r="F101" s="1505"/>
      <c r="G101" s="1505"/>
      <c r="H101" s="1505"/>
      <c r="I101" s="1505"/>
      <c r="J101" s="1505"/>
      <c r="K101" s="1505"/>
      <c r="L101" s="1505"/>
      <c r="M101" s="1505"/>
      <c r="N101" s="1505"/>
      <c r="O101" s="1505"/>
      <c r="P101" s="1505"/>
      <c r="Q101" s="1505"/>
      <c r="R101" s="1505"/>
      <c r="S101" s="1505"/>
      <c r="T101" s="1505"/>
      <c r="U101" s="1505"/>
      <c r="V101" s="1505"/>
      <c r="W101" s="1505"/>
      <c r="X101" s="1505"/>
      <c r="Y101" s="1505"/>
      <c r="Z101" s="1505"/>
      <c r="AA101" s="1505"/>
      <c r="AB101" s="1505"/>
      <c r="AC101" s="1505"/>
      <c r="AD101" s="1505"/>
      <c r="AE101" s="1505"/>
      <c r="AF101" s="1505"/>
      <c r="AG101" s="1505"/>
      <c r="AH101" s="1505"/>
      <c r="AI101" s="1505"/>
      <c r="AJ101" s="1505"/>
      <c r="AK101" s="1505"/>
      <c r="AL101" s="1505"/>
      <c r="AM101" s="1505"/>
      <c r="AN101" s="1505"/>
      <c r="AO101" s="1505"/>
      <c r="AP101" s="1505"/>
      <c r="AQ101" s="1505"/>
      <c r="AR101" s="1505"/>
      <c r="AS101" s="1505"/>
      <c r="AT101" s="1505"/>
      <c r="AU101" s="15"/>
      <c r="AV101" s="15"/>
      <c r="AW101" s="15"/>
      <c r="AX101" s="15"/>
      <c r="AY101" s="15"/>
      <c r="AZ101" s="15"/>
      <c r="BD101" s="2" t="s">
        <v>779</v>
      </c>
      <c r="BE101">
        <f>'Sources and Uses Budget'!C105</f>
        <v>88469408</v>
      </c>
    </row>
    <row r="102" spans="1:57" ht="12.9" customHeight="1">
      <c r="A102" s="1505"/>
      <c r="B102" s="1505"/>
      <c r="C102" s="1505"/>
      <c r="D102" s="1505"/>
      <c r="E102" s="1505"/>
      <c r="F102" s="1505"/>
      <c r="G102" s="1505"/>
      <c r="H102" s="1505"/>
      <c r="I102" s="1505"/>
      <c r="J102" s="1505"/>
      <c r="K102" s="1505"/>
      <c r="L102" s="1505"/>
      <c r="M102" s="1505"/>
      <c r="N102" s="1505"/>
      <c r="O102" s="1505"/>
      <c r="P102" s="1505"/>
      <c r="Q102" s="1505"/>
      <c r="R102" s="1505"/>
      <c r="S102" s="1505"/>
      <c r="T102" s="1505"/>
      <c r="U102" s="1505"/>
      <c r="V102" s="1505"/>
      <c r="W102" s="1505"/>
      <c r="X102" s="1505"/>
      <c r="Y102" s="1505"/>
      <c r="Z102" s="1505"/>
      <c r="AA102" s="1505"/>
      <c r="AB102" s="1505"/>
      <c r="AC102" s="1505"/>
      <c r="AD102" s="1505"/>
      <c r="AE102" s="1505"/>
      <c r="AF102" s="1505"/>
      <c r="AG102" s="1505"/>
      <c r="AH102" s="1505"/>
      <c r="AI102" s="1505"/>
      <c r="AJ102" s="1505"/>
      <c r="AK102" s="1505"/>
      <c r="AL102" s="1505"/>
      <c r="AM102" s="1505"/>
      <c r="AN102" s="1505"/>
      <c r="AO102" s="1505"/>
      <c r="AP102" s="1505"/>
      <c r="AQ102" s="1505"/>
      <c r="AR102" s="1505"/>
      <c r="AS102" s="1505"/>
      <c r="AT102" s="1505"/>
      <c r="AU102" s="15"/>
      <c r="AV102" s="15"/>
      <c r="AW102" s="15"/>
      <c r="AX102" s="15"/>
      <c r="AY102" s="15"/>
      <c r="AZ102" s="15"/>
      <c r="BD102" s="2" t="s">
        <v>780</v>
      </c>
      <c r="BE102" t="b">
        <f>T197="Yes"</f>
        <v>0</v>
      </c>
    </row>
    <row r="103" spans="1:57" ht="12.9" customHeight="1">
      <c r="A103" s="1505"/>
      <c r="B103" s="1505"/>
      <c r="C103" s="1505"/>
      <c r="D103" s="1505"/>
      <c r="E103" s="1505"/>
      <c r="F103" s="1505"/>
      <c r="G103" s="1505"/>
      <c r="H103" s="1505"/>
      <c r="I103" s="1505"/>
      <c r="J103" s="1505"/>
      <c r="K103" s="1505"/>
      <c r="L103" s="1505"/>
      <c r="M103" s="1505"/>
      <c r="N103" s="1505"/>
      <c r="O103" s="1505"/>
      <c r="P103" s="1505"/>
      <c r="Q103" s="1505"/>
      <c r="R103" s="1505"/>
      <c r="S103" s="1505"/>
      <c r="T103" s="1505"/>
      <c r="U103" s="1505"/>
      <c r="V103" s="1505"/>
      <c r="W103" s="1505"/>
      <c r="X103" s="1505"/>
      <c r="Y103" s="1505"/>
      <c r="Z103" s="1505"/>
      <c r="AA103" s="1505"/>
      <c r="AB103" s="1505"/>
      <c r="AC103" s="1505"/>
      <c r="AD103" s="1505"/>
      <c r="AE103" s="1505"/>
      <c r="AF103" s="1505"/>
      <c r="AG103" s="1505"/>
      <c r="AH103" s="1505"/>
      <c r="AI103" s="1505"/>
      <c r="AJ103" s="1505"/>
      <c r="AK103" s="1505"/>
      <c r="AL103" s="1505"/>
      <c r="AM103" s="1505"/>
      <c r="AN103" s="1505"/>
      <c r="AO103" s="1505"/>
      <c r="AP103" s="1505"/>
      <c r="AQ103" s="1505"/>
      <c r="AR103" s="1505"/>
      <c r="AS103" s="1505"/>
      <c r="AT103" s="1505"/>
      <c r="AU103" s="15"/>
      <c r="AV103" s="15"/>
      <c r="AW103" s="15"/>
      <c r="AX103" s="15"/>
      <c r="AY103" s="15"/>
      <c r="BD103" t="s">
        <v>781</v>
      </c>
      <c r="BE103" s="955" t="b">
        <f>T199="Yes"</f>
        <v>0</v>
      </c>
    </row>
    <row r="104" spans="1:57" ht="12.9" customHeight="1">
      <c r="C104" s="1126"/>
      <c r="D104" s="1126"/>
      <c r="E104" s="1126"/>
      <c r="F104" s="1126"/>
      <c r="G104" s="1126"/>
      <c r="H104" s="1126"/>
      <c r="I104" s="1126"/>
      <c r="J104" s="1126"/>
      <c r="K104" s="1126"/>
      <c r="L104" s="1126"/>
      <c r="M104" s="1126"/>
      <c r="N104" s="1126"/>
      <c r="O104" s="1126"/>
      <c r="P104" s="1126"/>
      <c r="Q104" s="1126"/>
      <c r="R104" s="1126"/>
      <c r="S104" s="1126"/>
      <c r="T104" s="1126"/>
      <c r="U104" s="1126"/>
      <c r="V104" s="1126"/>
      <c r="W104" s="1126"/>
      <c r="X104" s="1126"/>
      <c r="Y104" s="1126"/>
      <c r="Z104" s="1126"/>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7" ht="12.9" customHeight="1">
      <c r="A105" s="1505" t="s">
        <v>782</v>
      </c>
      <c r="B105" s="1505"/>
      <c r="C105" s="1505"/>
      <c r="D105" s="1505"/>
      <c r="E105" s="1505"/>
      <c r="F105" s="1505"/>
      <c r="G105" s="1505"/>
      <c r="H105" s="1505"/>
      <c r="I105" s="1505"/>
      <c r="J105" s="1505"/>
      <c r="K105" s="1505"/>
      <c r="L105" s="1505"/>
      <c r="M105" s="1505"/>
      <c r="N105" s="1505"/>
      <c r="O105" s="1505"/>
      <c r="P105" s="1505"/>
      <c r="Q105" s="1505"/>
      <c r="R105" s="1505"/>
      <c r="S105" s="1505"/>
      <c r="T105" s="1505"/>
      <c r="U105" s="1505"/>
      <c r="V105" s="1505"/>
      <c r="W105" s="1505"/>
      <c r="X105" s="1505"/>
      <c r="Y105" s="1505"/>
      <c r="Z105" s="1505"/>
      <c r="AA105" s="1505"/>
      <c r="AB105" s="1505"/>
      <c r="AC105" s="1505"/>
      <c r="AD105" s="1505"/>
      <c r="AE105" s="1505"/>
      <c r="AF105" s="1505"/>
      <c r="AG105" s="1505"/>
      <c r="AH105" s="1505"/>
      <c r="AI105" s="1505"/>
      <c r="AJ105" s="1505"/>
      <c r="AK105" s="1505"/>
      <c r="AL105" s="1505"/>
      <c r="AM105" s="1505"/>
      <c r="AN105" s="1505"/>
      <c r="AO105" s="1505"/>
      <c r="AP105" s="1505"/>
      <c r="AQ105" s="1505"/>
      <c r="AR105" s="1505"/>
      <c r="AS105" s="1505"/>
      <c r="AT105" s="1505"/>
      <c r="AU105" s="15"/>
      <c r="AV105" s="15"/>
      <c r="AW105" s="15"/>
      <c r="AX105" s="15"/>
      <c r="AY105" s="15"/>
    </row>
    <row r="106" spans="1:57" ht="12.9" customHeight="1">
      <c r="A106" s="1505"/>
      <c r="B106" s="1505"/>
      <c r="C106" s="1505"/>
      <c r="D106" s="1505"/>
      <c r="E106" s="1505"/>
      <c r="F106" s="1505"/>
      <c r="G106" s="1505"/>
      <c r="H106" s="1505"/>
      <c r="I106" s="1505"/>
      <c r="J106" s="1505"/>
      <c r="K106" s="1505"/>
      <c r="L106" s="1505"/>
      <c r="M106" s="1505"/>
      <c r="N106" s="1505"/>
      <c r="O106" s="1505"/>
      <c r="P106" s="1505"/>
      <c r="Q106" s="1505"/>
      <c r="R106" s="1505"/>
      <c r="S106" s="1505"/>
      <c r="T106" s="1505"/>
      <c r="U106" s="1505"/>
      <c r="V106" s="1505"/>
      <c r="W106" s="1505"/>
      <c r="X106" s="1505"/>
      <c r="Y106" s="1505"/>
      <c r="Z106" s="1505"/>
      <c r="AA106" s="1505"/>
      <c r="AB106" s="1505"/>
      <c r="AC106" s="1505"/>
      <c r="AD106" s="1505"/>
      <c r="AE106" s="1505"/>
      <c r="AF106" s="1505"/>
      <c r="AG106" s="1505"/>
      <c r="AH106" s="1505"/>
      <c r="AI106" s="1505"/>
      <c r="AJ106" s="1505"/>
      <c r="AK106" s="1505"/>
      <c r="AL106" s="1505"/>
      <c r="AM106" s="1505"/>
      <c r="AN106" s="1505"/>
      <c r="AO106" s="1505"/>
      <c r="AP106" s="1505"/>
      <c r="AQ106" s="1505"/>
      <c r="AR106" s="1505"/>
      <c r="AS106" s="1505"/>
      <c r="AT106" s="1505"/>
      <c r="AU106" s="15"/>
      <c r="AV106" s="15"/>
      <c r="AW106" s="15"/>
      <c r="AX106" s="15"/>
      <c r="AY106" s="15"/>
    </row>
    <row r="107" spans="1:57" ht="12.9" customHeight="1">
      <c r="A107" s="319"/>
      <c r="C107" s="1126"/>
      <c r="D107" s="1126"/>
      <c r="E107" s="1126"/>
      <c r="F107" s="1126"/>
      <c r="G107" s="1126"/>
      <c r="H107" s="1126"/>
      <c r="I107" s="1126"/>
      <c r="J107" s="1126"/>
      <c r="K107" s="1126"/>
      <c r="L107" s="1126"/>
      <c r="M107" s="1126"/>
      <c r="N107" s="1126"/>
      <c r="O107" s="1126"/>
      <c r="P107" s="1126"/>
      <c r="Q107" s="1126"/>
      <c r="R107" s="1126"/>
      <c r="S107" s="1126"/>
      <c r="T107" s="1126"/>
      <c r="U107" s="1126"/>
      <c r="V107" s="1126"/>
      <c r="W107" s="1126"/>
      <c r="X107" s="1126"/>
      <c r="Y107" s="1126"/>
      <c r="Z107" s="1126"/>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7" ht="12.9" customHeight="1">
      <c r="A108" s="319" t="s">
        <v>783</v>
      </c>
      <c r="C108" s="1126"/>
      <c r="D108" s="1126"/>
      <c r="E108" s="1126"/>
      <c r="F108" s="1126"/>
      <c r="G108" s="1126"/>
      <c r="H108" s="1126"/>
      <c r="I108" s="1126"/>
      <c r="J108" s="1126"/>
      <c r="K108" s="1126"/>
      <c r="L108" s="1126"/>
      <c r="M108" s="1126"/>
      <c r="N108" s="1126"/>
      <c r="O108" s="1126"/>
      <c r="P108" s="1126"/>
      <c r="Q108" s="1126"/>
      <c r="R108" s="1126"/>
      <c r="S108" s="1126"/>
      <c r="T108" s="1126"/>
      <c r="U108" s="1126"/>
      <c r="V108" s="1126"/>
      <c r="W108" s="1126"/>
      <c r="X108" s="1126"/>
      <c r="Y108" s="1126"/>
      <c r="Z108" s="1126"/>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7" ht="12.9" customHeight="1">
      <c r="C109" s="1126"/>
      <c r="D109" s="1126"/>
      <c r="E109" s="1126"/>
      <c r="F109" s="1126"/>
      <c r="G109" s="1126"/>
      <c r="H109" s="1126"/>
      <c r="I109" s="1126"/>
      <c r="J109" s="1126"/>
      <c r="K109" s="1126"/>
      <c r="L109" s="1126"/>
      <c r="M109" s="1126"/>
      <c r="N109" s="1126"/>
      <c r="O109" s="1126"/>
      <c r="P109" s="1126"/>
      <c r="Q109" s="1126"/>
      <c r="R109" s="1126"/>
      <c r="S109" s="1126"/>
      <c r="T109" s="1126"/>
      <c r="U109" s="1126"/>
      <c r="V109" s="1126"/>
      <c r="W109" s="1126"/>
      <c r="X109" s="1126"/>
      <c r="Y109" s="1126"/>
      <c r="Z109" s="1126"/>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7" ht="12.9" customHeight="1">
      <c r="A110" s="319"/>
      <c r="C110" s="1126"/>
      <c r="D110" s="1126"/>
      <c r="E110" s="1126"/>
      <c r="F110" s="1126"/>
      <c r="G110" s="1126"/>
      <c r="H110" s="1126"/>
      <c r="I110" s="1126"/>
      <c r="J110" s="1126"/>
      <c r="K110" s="1126"/>
      <c r="L110" s="1126"/>
      <c r="M110" s="1126"/>
      <c r="N110" s="1126"/>
      <c r="O110" s="1126"/>
      <c r="P110" s="1126"/>
      <c r="Q110" s="1126"/>
      <c r="R110" s="1126"/>
      <c r="S110" s="1126"/>
      <c r="T110" s="1126"/>
      <c r="U110" s="1126"/>
      <c r="V110" s="1126"/>
      <c r="W110" s="1126"/>
      <c r="X110" s="1126"/>
      <c r="Y110" s="1126"/>
      <c r="Z110" s="1126"/>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7" ht="12.9" customHeight="1">
      <c r="A111" s="319"/>
      <c r="C111" s="1126"/>
      <c r="D111" s="1126"/>
      <c r="E111" s="1126"/>
      <c r="F111" s="1126"/>
      <c r="G111" s="1126"/>
      <c r="H111" s="1126"/>
      <c r="I111" s="1126"/>
      <c r="J111" s="1126"/>
      <c r="K111" s="1126"/>
      <c r="L111" s="1126"/>
      <c r="M111" s="1126"/>
      <c r="N111" s="1126"/>
      <c r="O111" s="1126"/>
      <c r="P111" s="1126"/>
      <c r="Q111" s="1126"/>
      <c r="R111" s="1126"/>
      <c r="S111" s="1126"/>
      <c r="T111" s="1126"/>
      <c r="U111" s="1126"/>
      <c r="V111" s="1126"/>
      <c r="W111" s="1126"/>
      <c r="X111" s="1126"/>
      <c r="Y111" s="1126"/>
      <c r="Z111" s="1126"/>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7" ht="12.9" customHeight="1">
      <c r="A112" s="319"/>
      <c r="C112" s="1126"/>
      <c r="D112" s="1126"/>
      <c r="E112" s="1126"/>
      <c r="F112" s="1126"/>
      <c r="G112" s="1126"/>
      <c r="H112" s="1126"/>
      <c r="I112" s="1126"/>
      <c r="J112" s="1126"/>
      <c r="K112" s="1126"/>
      <c r="L112" s="1126"/>
      <c r="M112" s="1126"/>
      <c r="N112" s="1126"/>
      <c r="O112" s="1126"/>
      <c r="P112" s="1126"/>
      <c r="Q112" s="1126"/>
      <c r="R112" s="1126"/>
      <c r="S112" s="1126"/>
      <c r="T112" s="1126"/>
      <c r="U112" s="1126"/>
      <c r="V112" s="1126"/>
      <c r="W112" s="1126"/>
      <c r="X112" s="1126"/>
      <c r="Y112" s="1126"/>
      <c r="Z112" s="1126"/>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117" ht="12.9" customHeight="1">
      <c r="A113" s="153"/>
      <c r="C113" s="2" t="s">
        <v>784</v>
      </c>
      <c r="G113" s="1498"/>
      <c r="H113" s="1498"/>
      <c r="I113" s="2" t="s">
        <v>785</v>
      </c>
      <c r="L113" s="1498"/>
      <c r="M113" s="1498"/>
      <c r="N113" s="1498"/>
      <c r="O113" s="1498"/>
      <c r="P113" s="1512" t="s">
        <v>786</v>
      </c>
      <c r="Q113" s="1512"/>
      <c r="R113" s="1512"/>
      <c r="S113" s="1512"/>
      <c r="T113" s="1126"/>
      <c r="U113" s="1126"/>
      <c r="V113" s="1126"/>
      <c r="W113" s="1126"/>
      <c r="X113" s="1126"/>
      <c r="Y113" s="1126"/>
      <c r="Z113" s="1126"/>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117" ht="12.9" customHeight="1">
      <c r="M114" s="2"/>
      <c r="S114" s="2"/>
      <c r="T114" s="1126"/>
      <c r="U114" s="1126"/>
      <c r="V114" s="1126"/>
      <c r="W114" s="1126"/>
      <c r="X114" s="1126"/>
      <c r="Y114" s="1126"/>
      <c r="Z114" s="1126"/>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117" ht="12.9" customHeight="1">
      <c r="A115" s="1126"/>
      <c r="C115" s="1499"/>
      <c r="D115" s="1499"/>
      <c r="E115" s="1499"/>
      <c r="F115" s="1499"/>
      <c r="G115" s="1499"/>
      <c r="H115" s="1499"/>
      <c r="I115" s="1499"/>
      <c r="J115" s="1499"/>
      <c r="K115" s="1499"/>
      <c r="L115" s="105" t="s">
        <v>787</v>
      </c>
      <c r="S115" s="2"/>
      <c r="T115" s="1126"/>
      <c r="U115" s="1126"/>
      <c r="V115" s="1126"/>
      <c r="W115" s="1126"/>
      <c r="X115" s="1126"/>
      <c r="Y115" s="1126"/>
      <c r="Z115" s="1126"/>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1:117" ht="12.9" customHeight="1">
      <c r="A116" s="1126"/>
      <c r="C116" s="1126"/>
      <c r="D116" s="1126"/>
      <c r="E116" s="1126"/>
      <c r="F116" s="1126"/>
      <c r="G116" s="1126"/>
      <c r="H116" s="1126"/>
      <c r="I116" s="1126"/>
      <c r="J116" s="1126"/>
      <c r="K116" s="1126"/>
      <c r="L116" s="1126"/>
      <c r="M116" s="1126"/>
      <c r="N116" s="1126"/>
      <c r="O116" s="1126"/>
      <c r="P116" s="1126"/>
      <c r="Q116" s="1126"/>
      <c r="R116" s="1126"/>
      <c r="S116" s="1126"/>
      <c r="T116" s="1126"/>
      <c r="U116" s="1126"/>
      <c r="V116" s="1126"/>
      <c r="W116" s="1126"/>
      <c r="X116" s="1126"/>
      <c r="Y116" s="1126"/>
      <c r="Z116" s="1126"/>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117" ht="12.9" customHeight="1">
      <c r="A117" s="1126"/>
      <c r="B117" s="17"/>
      <c r="C117" s="17"/>
      <c r="X117" s="2" t="s">
        <v>788</v>
      </c>
      <c r="Y117" s="1498"/>
      <c r="Z117" s="1498"/>
      <c r="AA117" s="1498"/>
      <c r="AB117" s="1498"/>
      <c r="AC117" s="1498"/>
      <c r="AD117" s="1498"/>
      <c r="AE117" s="1498"/>
      <c r="AF117" s="1498"/>
      <c r="AG117" s="1498"/>
      <c r="AH117" s="1498"/>
      <c r="AI117" s="1498"/>
      <c r="AJ117" s="1498"/>
      <c r="AK117" s="1498"/>
    </row>
    <row r="118" spans="1:117" ht="12.9" customHeight="1">
      <c r="X118" s="2"/>
      <c r="Y118" s="2"/>
      <c r="Z118" s="2" t="s">
        <v>789</v>
      </c>
      <c r="AA118" s="2"/>
      <c r="AB118" s="2"/>
      <c r="AC118" s="2"/>
      <c r="AD118" s="2"/>
      <c r="AE118" s="2"/>
      <c r="AF118" s="2"/>
      <c r="AG118" s="2"/>
      <c r="AH118" s="2"/>
      <c r="AI118" s="2"/>
      <c r="AJ118" s="2"/>
      <c r="AK118" s="2"/>
    </row>
    <row r="119" spans="1:117" ht="12.9" customHeight="1">
      <c r="A119" s="1126"/>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117" ht="12.9" customHeight="1">
      <c r="A120" s="1126"/>
      <c r="B120" s="2"/>
      <c r="P120" s="2"/>
      <c r="Q120" s="2"/>
      <c r="R120" s="2"/>
      <c r="S120" s="2"/>
      <c r="T120" s="2"/>
      <c r="U120" s="2"/>
      <c r="V120" s="2"/>
      <c r="W120" s="2"/>
      <c r="X120" s="2"/>
      <c r="Y120" s="1498"/>
      <c r="Z120" s="1498"/>
      <c r="AA120" s="1498"/>
      <c r="AB120" s="1498"/>
      <c r="AC120" s="1498"/>
      <c r="AD120" s="1498"/>
      <c r="AE120" s="1498"/>
      <c r="AF120" s="1498"/>
      <c r="AG120" s="1498"/>
      <c r="AH120" s="1498"/>
      <c r="AI120" s="1498"/>
      <c r="AJ120" s="1498"/>
      <c r="AK120" s="1498"/>
      <c r="AL120" s="2"/>
      <c r="AM120" s="2"/>
      <c r="AN120" s="2"/>
      <c r="AO120" s="2"/>
      <c r="AP120" s="2"/>
      <c r="AQ120" s="2"/>
      <c r="AR120" s="2"/>
      <c r="AS120" s="2"/>
      <c r="AT120" s="2"/>
      <c r="AU120" s="2"/>
      <c r="AV120" s="2"/>
      <c r="AW120" s="2"/>
      <c r="AX120" s="2"/>
      <c r="AY120" s="2"/>
    </row>
    <row r="121" spans="1:117" ht="12.9" customHeight="1">
      <c r="A121" s="2"/>
      <c r="B121" s="2"/>
      <c r="P121" s="2"/>
      <c r="Q121" s="2"/>
      <c r="R121" s="2"/>
      <c r="S121" s="2"/>
      <c r="T121" s="2"/>
      <c r="U121" s="2"/>
      <c r="V121" s="2"/>
      <c r="W121" s="2"/>
      <c r="X121" s="2"/>
      <c r="Y121" s="2"/>
      <c r="Z121" s="2" t="s">
        <v>790</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117" ht="12.9" customHeight="1">
      <c r="A122" s="2"/>
      <c r="B122" s="2"/>
      <c r="T122" s="2"/>
      <c r="U122" s="2"/>
      <c r="V122" s="2"/>
      <c r="W122" s="2"/>
      <c r="AL122" s="2"/>
      <c r="AM122" s="2"/>
      <c r="AN122" s="2"/>
      <c r="AO122" s="2"/>
      <c r="AP122" s="2"/>
      <c r="AQ122" s="2"/>
      <c r="AR122" s="2"/>
      <c r="AS122" s="2"/>
      <c r="AT122" s="2"/>
      <c r="AU122" s="2"/>
      <c r="AV122" s="2"/>
      <c r="AW122" s="2"/>
      <c r="AX122" s="2"/>
      <c r="AY122" s="2"/>
      <c r="CQ122" s="11" t="s">
        <v>791</v>
      </c>
      <c r="CR122" s="11"/>
      <c r="CS122" s="11"/>
      <c r="CT122" s="11"/>
      <c r="CU122" s="1638" t="s">
        <v>792</v>
      </c>
      <c r="CV122" s="1639"/>
      <c r="CW122" s="11"/>
      <c r="CX122" s="11" t="s">
        <v>793</v>
      </c>
      <c r="CY122" s="11"/>
      <c r="CZ122" s="11"/>
      <c r="DA122" s="11"/>
      <c r="DB122" s="11"/>
      <c r="DC122" s="11"/>
      <c r="DD122" s="11"/>
      <c r="DE122" s="11"/>
      <c r="DF122" s="11"/>
      <c r="DG122" s="1635" t="str">
        <f>T189</f>
        <v>Los Angeles</v>
      </c>
      <c r="DH122" s="1636"/>
      <c r="DI122" s="1636"/>
      <c r="DJ122" s="1636"/>
      <c r="DK122" s="1636"/>
      <c r="DL122" s="1636"/>
      <c r="DM122" s="1637"/>
    </row>
    <row r="123" spans="1:117" ht="12.9" customHeight="1">
      <c r="A123" s="2"/>
      <c r="B123" s="2"/>
      <c r="T123" s="2"/>
      <c r="U123" s="2"/>
      <c r="V123" s="2"/>
      <c r="W123" s="2"/>
      <c r="X123" s="2"/>
      <c r="Y123" s="1498"/>
      <c r="Z123" s="1498"/>
      <c r="AA123" s="1498"/>
      <c r="AB123" s="1498"/>
      <c r="AC123" s="1498"/>
      <c r="AD123" s="1498"/>
      <c r="AE123" s="1498"/>
      <c r="AF123" s="1498"/>
      <c r="AG123" s="1498"/>
      <c r="AH123" s="1498"/>
      <c r="AI123" s="1498"/>
      <c r="AJ123" s="1498"/>
      <c r="AK123" s="1498"/>
      <c r="AL123" s="2"/>
      <c r="AM123" s="2"/>
      <c r="AN123" s="2"/>
      <c r="AO123" s="2"/>
      <c r="AP123" s="2"/>
      <c r="AQ123" s="2"/>
      <c r="AR123" s="2"/>
      <c r="AS123" s="2"/>
      <c r="AT123" s="2"/>
      <c r="AU123" s="2"/>
      <c r="AV123" s="2"/>
      <c r="AW123" s="2"/>
      <c r="AX123" s="2"/>
      <c r="AY123" s="2"/>
      <c r="DJ123" s="2"/>
      <c r="DK123" s="2"/>
      <c r="DL123" s="2"/>
      <c r="DM123" s="2"/>
    </row>
    <row r="124" spans="1:117" ht="12.9" customHeight="1">
      <c r="A124" s="2"/>
      <c r="B124" s="2"/>
      <c r="T124" s="2"/>
      <c r="U124" s="2"/>
      <c r="V124" s="2"/>
      <c r="W124" s="2"/>
      <c r="X124" s="2"/>
      <c r="Y124" s="2"/>
      <c r="Z124" s="2" t="s">
        <v>794</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CQ124" s="11"/>
      <c r="CR124" s="11"/>
      <c r="CS124" s="11"/>
      <c r="CT124" s="11"/>
      <c r="CU124" s="43" t="s">
        <v>792</v>
      </c>
      <c r="CV124" s="11"/>
      <c r="CW124" s="11"/>
      <c r="CX124" s="11"/>
      <c r="CY124" s="11"/>
      <c r="CZ124" s="11"/>
      <c r="DA124" s="11"/>
      <c r="DB124" s="11"/>
      <c r="DE124" s="25"/>
      <c r="DF124" s="25"/>
      <c r="DG124" s="25"/>
      <c r="DH124" s="25"/>
      <c r="DI124" s="25"/>
      <c r="DJ124" s="11"/>
      <c r="DK124" s="11"/>
      <c r="DL124" s="11"/>
      <c r="DM124" s="11"/>
    </row>
    <row r="125" spans="1:117" ht="12.9" customHeight="1">
      <c r="A125" s="2"/>
      <c r="B125" s="2"/>
      <c r="S125" s="2"/>
      <c r="T125" s="2"/>
      <c r="U125" s="2"/>
      <c r="V125" s="2"/>
      <c r="W125" s="2"/>
      <c r="AL125" s="2"/>
      <c r="AM125" s="2"/>
      <c r="AN125" s="2"/>
      <c r="AO125" s="2"/>
      <c r="AP125" s="2"/>
      <c r="AQ125" s="2"/>
      <c r="AR125" s="2"/>
      <c r="AS125" s="2"/>
      <c r="AT125" s="2"/>
      <c r="AU125" s="2"/>
      <c r="AV125" s="2"/>
      <c r="AW125" s="2"/>
      <c r="AX125" s="2"/>
      <c r="AY125" s="2"/>
      <c r="CQ125" s="11"/>
      <c r="CR125" s="11"/>
      <c r="CS125" s="11"/>
      <c r="CT125" s="11"/>
      <c r="CU125" s="43" t="s">
        <v>795</v>
      </c>
      <c r="CV125" s="2"/>
      <c r="CW125" s="11"/>
      <c r="CX125" s="11"/>
      <c r="CY125" s="11"/>
      <c r="CZ125" s="11"/>
      <c r="DA125" s="11"/>
      <c r="DB125" s="11"/>
      <c r="DE125" s="2"/>
      <c r="DF125" s="2"/>
      <c r="DG125" s="2"/>
      <c r="DH125" s="2"/>
      <c r="DI125" s="2"/>
      <c r="DJ125" s="2"/>
      <c r="DK125" s="2"/>
      <c r="DL125" s="2"/>
      <c r="DM125" s="2"/>
    </row>
    <row r="126" spans="1:117" ht="12.9" customHeight="1">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2.9" customHeight="1">
      <c r="A127" s="2"/>
      <c r="B127" s="2"/>
      <c r="R127" s="2"/>
      <c r="S127" s="2"/>
      <c r="T127" s="2"/>
      <c r="U127" s="2"/>
      <c r="V127" s="2"/>
      <c r="W127" s="2"/>
      <c r="AL127" s="2"/>
      <c r="AM127" s="2"/>
      <c r="AN127" s="2"/>
      <c r="AO127" s="2"/>
      <c r="AP127" s="2"/>
      <c r="AQ127" s="2"/>
      <c r="AR127" s="2"/>
      <c r="AS127" s="2"/>
      <c r="AT127" s="2"/>
      <c r="AU127" s="2"/>
      <c r="AV127" s="2"/>
      <c r="AW127" s="2"/>
      <c r="AX127" s="2"/>
      <c r="AY127" s="2"/>
      <c r="CQ127" s="11"/>
      <c r="CR127" s="11"/>
      <c r="CS127" s="11"/>
      <c r="CT127" s="11"/>
      <c r="CU127" s="11"/>
      <c r="CV127" s="11"/>
      <c r="CW127" s="11"/>
      <c r="CX127" s="11"/>
      <c r="CY127" s="11"/>
      <c r="CZ127" s="11"/>
      <c r="DA127" s="11"/>
      <c r="DB127" s="11"/>
      <c r="DC127" s="43" t="s">
        <v>792</v>
      </c>
      <c r="DD127" s="2"/>
      <c r="DE127" s="2"/>
      <c r="DF127" s="2"/>
      <c r="DG127" s="2"/>
      <c r="DH127" s="2"/>
      <c r="DI127" s="2"/>
      <c r="DJ127" s="2"/>
      <c r="DK127" s="2"/>
      <c r="DL127" s="2"/>
      <c r="DM127" s="2"/>
    </row>
    <row r="128" spans="1:117" ht="12.9" customHeight="1">
      <c r="A128" s="1152"/>
      <c r="AL128" s="1152"/>
      <c r="AM128" s="1152"/>
      <c r="AN128" s="1152"/>
      <c r="AO128" s="1152"/>
      <c r="AP128" s="1152"/>
      <c r="AQ128" s="1152"/>
      <c r="AR128" s="1152"/>
      <c r="AS128" s="1152"/>
      <c r="AT128" s="1152"/>
      <c r="AU128" s="1152"/>
      <c r="AV128" s="1152"/>
      <c r="AW128" s="1152"/>
      <c r="AX128" s="1152"/>
      <c r="AY128" s="1152"/>
    </row>
    <row r="129" spans="1:51" ht="12.9" customHeight="1">
      <c r="A129" s="1152"/>
      <c r="B129" s="2"/>
      <c r="R129" s="1152"/>
      <c r="S129" s="1152"/>
      <c r="T129" s="1152"/>
      <c r="U129" s="1152"/>
      <c r="V129" s="1152"/>
      <c r="W129" s="1152"/>
      <c r="AL129" s="1152"/>
      <c r="AM129" s="1152"/>
      <c r="AN129" s="1152"/>
      <c r="AO129" s="1152"/>
      <c r="AP129" s="1152"/>
      <c r="AQ129" s="1152"/>
      <c r="AR129" s="1152"/>
      <c r="AS129" s="1152"/>
      <c r="AT129" s="1152"/>
      <c r="AU129" s="1152"/>
      <c r="AV129" s="1152"/>
      <c r="AW129" s="1152"/>
      <c r="AX129" s="1152"/>
      <c r="AY129" s="1152"/>
    </row>
    <row r="130" spans="1:51" ht="12.9" customHeight="1">
      <c r="A130" s="2"/>
      <c r="B130" s="68"/>
      <c r="C130" s="1152"/>
      <c r="R130" s="1152"/>
      <c r="S130" s="1152"/>
      <c r="T130" s="1152"/>
      <c r="U130" s="1152"/>
      <c r="V130" s="1152"/>
      <c r="W130" s="1152"/>
      <c r="AL130" s="2"/>
      <c r="AM130" s="2"/>
      <c r="AN130" s="2"/>
      <c r="AO130" s="2"/>
      <c r="AP130" s="2"/>
      <c r="AQ130" s="2"/>
      <c r="AR130" s="2"/>
      <c r="AS130" s="2"/>
      <c r="AT130" s="2"/>
      <c r="AU130" s="2"/>
      <c r="AV130" s="2"/>
      <c r="AW130" s="2"/>
      <c r="AX130" s="2"/>
      <c r="AY130" s="2"/>
    </row>
    <row r="131" spans="1:51" ht="12.9" customHeight="1">
      <c r="A131" s="2"/>
      <c r="AL131" s="2"/>
      <c r="AM131" s="2"/>
      <c r="AN131" s="2"/>
      <c r="AO131" s="2"/>
      <c r="AP131" s="2"/>
      <c r="AQ131" s="2"/>
      <c r="AR131" s="2"/>
      <c r="AS131" s="2"/>
      <c r="AT131" s="2"/>
      <c r="AU131" s="2"/>
      <c r="AV131" s="2"/>
      <c r="AW131" s="2"/>
      <c r="AX131" s="2"/>
      <c r="AY131" s="2"/>
    </row>
    <row r="132" spans="1:51" ht="12.9" customHeight="1">
      <c r="A132" s="2"/>
      <c r="B132" s="2"/>
      <c r="C132" s="2"/>
      <c r="D132" s="2"/>
      <c r="F132" s="105"/>
      <c r="G132" s="105"/>
      <c r="H132" s="105"/>
      <c r="I132" s="105"/>
      <c r="J132" s="105"/>
      <c r="K132" s="105"/>
      <c r="L132" s="105"/>
      <c r="M132" s="105"/>
      <c r="N132" s="2"/>
      <c r="P132" s="2"/>
      <c r="Q132" s="2"/>
      <c r="U132" s="2"/>
      <c r="V132" s="2"/>
      <c r="W132" s="2"/>
      <c r="AL132" s="2"/>
      <c r="AM132" s="2"/>
      <c r="AN132" s="2"/>
      <c r="AO132" s="2"/>
      <c r="AP132" s="2"/>
      <c r="AQ132" s="2"/>
      <c r="AR132" s="2"/>
      <c r="AS132" s="2"/>
      <c r="AT132" s="2"/>
      <c r="AU132" s="2"/>
      <c r="AV132" s="2"/>
      <c r="AW132" s="2"/>
      <c r="AX132" s="2"/>
      <c r="AY132" s="2"/>
    </row>
    <row r="133" spans="1:51" ht="12.9" customHeight="1">
      <c r="A133" s="2"/>
      <c r="W133" s="2"/>
      <c r="AL133" s="2"/>
      <c r="AM133" s="2"/>
      <c r="AN133" s="2"/>
      <c r="AO133" s="2"/>
      <c r="AP133" s="2"/>
      <c r="AQ133" s="2"/>
      <c r="AR133" s="2"/>
      <c r="AS133" s="2"/>
      <c r="AT133" s="2"/>
      <c r="AU133" s="2"/>
      <c r="AV133" s="2"/>
      <c r="AW133" s="2"/>
      <c r="AX133" s="2"/>
      <c r="AY133" s="2"/>
    </row>
    <row r="134" spans="1:51" ht="12.9"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 customHeight="1">
      <c r="A135" s="2"/>
      <c r="M135" s="2"/>
      <c r="N135" s="2"/>
      <c r="O135" s="2"/>
      <c r="AK135" s="2"/>
      <c r="AL135" s="2"/>
      <c r="AM135" s="2"/>
      <c r="AN135" s="2"/>
      <c r="AO135" s="2"/>
      <c r="AP135" s="2"/>
      <c r="AQ135" s="2"/>
      <c r="AR135" s="2"/>
      <c r="AS135" s="2"/>
      <c r="AT135" s="2"/>
      <c r="AU135" s="2"/>
      <c r="AV135" s="2"/>
      <c r="AW135" s="2"/>
      <c r="AX135" s="2"/>
      <c r="AY135" s="2"/>
    </row>
    <row r="136" spans="1:51" ht="12.9"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 customHeight="1">
      <c r="A139" s="2"/>
      <c r="B139" s="2"/>
      <c r="C139" s="2"/>
      <c r="D139" s="2"/>
      <c r="E139" s="2"/>
      <c r="F139" s="2"/>
      <c r="G139" s="2"/>
      <c r="H139" s="2"/>
      <c r="I139" s="2"/>
      <c r="J139" s="2"/>
      <c r="K139" s="2"/>
      <c r="L139" s="2"/>
      <c r="M139" s="2"/>
      <c r="N139" s="2"/>
      <c r="O139" s="2"/>
      <c r="P139" s="2"/>
      <c r="Q139" s="2"/>
      <c r="R139" s="2"/>
      <c r="S139" s="68"/>
      <c r="T139" s="1127"/>
      <c r="U139" s="1127"/>
      <c r="V139" s="1127"/>
      <c r="W139" s="1127"/>
      <c r="X139" s="1127"/>
      <c r="Y139" s="1127"/>
      <c r="Z139" s="1127"/>
      <c r="AA139" s="1127"/>
      <c r="AB139" s="1127"/>
      <c r="AC139" s="1127"/>
      <c r="AD139" s="1127"/>
      <c r="AE139" s="1127"/>
      <c r="AF139" s="1127"/>
      <c r="AG139" s="1127"/>
      <c r="AH139" s="1127"/>
      <c r="AI139" s="1127"/>
      <c r="AJ139" s="1127"/>
      <c r="AK139" s="2"/>
      <c r="AL139" s="2"/>
      <c r="AM139" s="2"/>
      <c r="AN139" s="2"/>
      <c r="AO139" s="2"/>
      <c r="AP139" s="2"/>
      <c r="AQ139" s="2"/>
      <c r="AR139" s="2"/>
      <c r="AS139" s="2"/>
      <c r="AT139" s="2"/>
      <c r="AU139" s="2"/>
      <c r="AV139" s="2"/>
      <c r="AW139" s="2"/>
      <c r="AX139" s="2"/>
      <c r="AY139" s="2"/>
    </row>
    <row r="140" spans="1:51" ht="12.9" customHeight="1">
      <c r="A140" s="2"/>
      <c r="B140" s="69"/>
      <c r="C140" s="1127"/>
      <c r="D140" s="1127"/>
      <c r="E140" s="1127"/>
      <c r="F140" s="1127"/>
      <c r="G140" s="1127"/>
      <c r="H140" s="1127"/>
      <c r="I140" s="1127"/>
      <c r="J140" s="1127"/>
      <c r="K140" s="1127"/>
      <c r="L140" s="1127"/>
      <c r="M140" s="1127"/>
      <c r="N140" s="1127"/>
      <c r="O140" s="1127"/>
      <c r="P140" s="1127"/>
      <c r="Q140" s="1127"/>
      <c r="R140" s="1127"/>
      <c r="S140" s="1127"/>
      <c r="T140" s="1127"/>
      <c r="U140" s="1127"/>
      <c r="V140" s="1127"/>
      <c r="W140" s="1127"/>
      <c r="X140" s="1127"/>
      <c r="Y140" s="1127"/>
      <c r="Z140" s="1127"/>
      <c r="AA140" s="1127"/>
      <c r="AB140" s="1127"/>
      <c r="AC140" s="1127"/>
      <c r="AD140" s="1127"/>
      <c r="AE140" s="1127"/>
      <c r="AF140" s="1127"/>
      <c r="AG140" s="1127"/>
      <c r="AH140" s="1127"/>
      <c r="AI140" s="1127"/>
      <c r="AJ140" s="1127"/>
      <c r="AK140" s="2"/>
      <c r="AL140" s="2"/>
      <c r="AM140" s="2"/>
      <c r="AN140" s="2"/>
      <c r="AO140" s="2"/>
      <c r="AP140" s="2"/>
      <c r="AQ140" s="2"/>
      <c r="AR140" s="2"/>
      <c r="AS140" s="2"/>
      <c r="AT140" s="2"/>
      <c r="AU140" s="2"/>
      <c r="AV140" s="2"/>
      <c r="AW140" s="2"/>
      <c r="AX140" s="2"/>
      <c r="AY140" s="2"/>
    </row>
    <row r="141" spans="1:51" ht="12.9" customHeight="1">
      <c r="A141" s="2"/>
      <c r="B141" s="69"/>
      <c r="C141" s="1127"/>
      <c r="D141" s="1127"/>
      <c r="E141" s="1127"/>
      <c r="F141" s="1127"/>
      <c r="G141" s="1127"/>
      <c r="H141" s="1127"/>
      <c r="I141" s="1127"/>
      <c r="J141" s="1127"/>
      <c r="K141" s="1127"/>
      <c r="L141" s="1127"/>
      <c r="M141" s="1127"/>
      <c r="N141" s="1127"/>
      <c r="O141" s="1127"/>
      <c r="P141" s="1127"/>
      <c r="Q141" s="1127"/>
      <c r="R141" s="1127"/>
      <c r="S141" s="1127"/>
      <c r="T141" s="1127"/>
      <c r="U141" s="1127"/>
      <c r="V141" s="1127"/>
      <c r="W141" s="1127"/>
      <c r="X141" s="1127"/>
      <c r="Y141" s="1127"/>
      <c r="Z141" s="1127"/>
      <c r="AA141" s="1127"/>
      <c r="AB141" s="1127"/>
      <c r="AC141" s="1127"/>
      <c r="AD141" s="1127"/>
      <c r="AE141" s="1127"/>
      <c r="AF141" s="1127"/>
      <c r="AG141" s="1127"/>
      <c r="AH141" s="1127"/>
      <c r="AI141" s="1127"/>
      <c r="AJ141" s="1127"/>
      <c r="AK141" s="2"/>
      <c r="AL141" s="2"/>
      <c r="AM141" s="2"/>
      <c r="AN141" s="2"/>
      <c r="AO141" s="2"/>
      <c r="AP141" s="2"/>
      <c r="AQ141" s="2"/>
      <c r="AR141" s="2"/>
      <c r="AS141" s="2"/>
      <c r="AT141" s="2"/>
      <c r="AU141" s="2"/>
      <c r="AV141" s="2"/>
      <c r="AW141" s="2"/>
      <c r="AX141" s="2"/>
      <c r="AY141" s="2"/>
    </row>
    <row r="142" spans="1:51" ht="12.9" customHeight="1">
      <c r="A142" s="2"/>
      <c r="B142" s="69"/>
      <c r="C142" s="1113"/>
      <c r="D142" s="1113"/>
      <c r="E142" s="1113"/>
      <c r="F142" s="1113"/>
      <c r="G142" s="1113"/>
      <c r="H142" s="1113"/>
      <c r="I142" s="1113"/>
      <c r="J142" s="1113"/>
      <c r="K142" s="1113"/>
      <c r="L142" s="1113"/>
      <c r="M142" s="1113"/>
      <c r="N142" s="1113"/>
      <c r="O142" s="1113"/>
      <c r="P142" s="1113"/>
      <c r="Q142" s="1113"/>
      <c r="R142" s="1113"/>
      <c r="S142" s="1113"/>
      <c r="T142" s="1113"/>
      <c r="U142" s="1113"/>
      <c r="V142" s="1113"/>
      <c r="W142" s="1113"/>
      <c r="X142" s="1113"/>
      <c r="Y142" s="1113"/>
      <c r="Z142" s="1113"/>
      <c r="AA142" s="1113"/>
      <c r="AB142" s="1113"/>
      <c r="AC142" s="1113"/>
      <c r="AD142" s="1113"/>
      <c r="AE142" s="1113"/>
      <c r="AF142" s="1113"/>
      <c r="AG142" s="1113"/>
      <c r="AH142" s="1113"/>
      <c r="AI142" s="1113"/>
      <c r="AJ142" s="1113"/>
      <c r="AK142" s="2"/>
      <c r="AL142" s="2"/>
      <c r="AM142" s="2"/>
      <c r="AN142" s="2"/>
      <c r="AO142" s="2"/>
      <c r="AP142" s="2"/>
      <c r="AQ142" s="2"/>
      <c r="AR142" s="2"/>
      <c r="AS142" s="2"/>
      <c r="AT142" s="2"/>
      <c r="AU142" s="2"/>
      <c r="AV142" s="2"/>
      <c r="AW142" s="2"/>
      <c r="AX142" s="2"/>
      <c r="AY142" s="2"/>
    </row>
    <row r="143" spans="1:51" ht="12.9" customHeight="1">
      <c r="A143" s="2"/>
      <c r="D143" s="1113"/>
      <c r="E143" s="1113"/>
      <c r="F143" s="1113"/>
      <c r="G143" s="1113"/>
      <c r="H143" s="1113"/>
      <c r="I143" s="1113"/>
      <c r="J143" s="1113"/>
      <c r="K143" s="1113"/>
      <c r="L143" s="1113"/>
      <c r="M143" s="1113"/>
      <c r="N143" s="1113"/>
      <c r="O143" s="1113"/>
      <c r="P143" s="1113"/>
      <c r="Q143" s="1113"/>
      <c r="R143" s="1113"/>
      <c r="S143" s="1113"/>
      <c r="T143" s="1113"/>
      <c r="U143" s="1113"/>
      <c r="V143" s="1113"/>
      <c r="W143" s="1113"/>
      <c r="X143" s="1113"/>
      <c r="Y143" s="1113"/>
      <c r="Z143" s="1113"/>
      <c r="AA143" s="1113"/>
      <c r="AB143" s="1113"/>
      <c r="AC143" s="1113"/>
      <c r="AD143" s="1113"/>
      <c r="AE143" s="1113"/>
      <c r="AF143" s="1113"/>
      <c r="AG143" s="1113"/>
      <c r="AH143" s="1113"/>
      <c r="AI143" s="1113"/>
      <c r="AJ143" s="1113"/>
      <c r="AK143" s="2"/>
      <c r="AL143" s="2"/>
      <c r="AM143" s="2"/>
      <c r="AN143" s="2"/>
      <c r="AO143" s="2"/>
      <c r="AP143" s="2"/>
      <c r="AQ143" s="2"/>
      <c r="AR143" s="2"/>
      <c r="AS143" s="2"/>
      <c r="AT143" s="2"/>
      <c r="AU143" s="2"/>
      <c r="AV143" s="2"/>
      <c r="AW143" s="2"/>
      <c r="AX143" s="2"/>
      <c r="AY143" s="2"/>
    </row>
    <row r="144" spans="1:51" ht="12.9" customHeight="1">
      <c r="A144" s="2"/>
      <c r="B144" s="1126"/>
      <c r="C144" s="1113"/>
      <c r="D144" s="1113"/>
      <c r="E144" s="1113"/>
      <c r="F144" s="1113"/>
      <c r="G144" s="1113"/>
      <c r="H144" s="1113"/>
      <c r="I144" s="1113"/>
      <c r="J144" s="1113"/>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13"/>
      <c r="AJ144" s="1113"/>
      <c r="AK144" s="2"/>
      <c r="AL144" s="2"/>
      <c r="AM144" s="2"/>
      <c r="AN144" s="2"/>
      <c r="AO144" s="2"/>
      <c r="AP144" s="2"/>
      <c r="AQ144" s="2"/>
      <c r="AR144" s="2"/>
      <c r="AS144" s="2"/>
      <c r="AT144" s="2"/>
      <c r="AU144" s="2"/>
      <c r="AV144" s="2"/>
      <c r="AW144" s="2"/>
      <c r="AX144" s="2"/>
      <c r="AY144" s="2"/>
    </row>
    <row r="145" spans="1:108" ht="12.9" customHeight="1">
      <c r="A145" s="2"/>
      <c r="B145" s="2"/>
      <c r="C145" s="1113"/>
      <c r="D145" s="1113"/>
      <c r="E145" s="1113"/>
      <c r="F145" s="1113"/>
      <c r="G145" s="1113"/>
      <c r="H145" s="1113"/>
      <c r="I145" s="1113"/>
      <c r="J145" s="1113"/>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13"/>
      <c r="AJ145" s="1113"/>
      <c r="AK145" s="2"/>
      <c r="AL145" s="2"/>
      <c r="AM145" s="2"/>
      <c r="AN145" s="2"/>
      <c r="AO145" s="2"/>
      <c r="AP145" s="2"/>
      <c r="AQ145" s="2"/>
      <c r="AR145" s="2"/>
      <c r="AS145" s="2"/>
      <c r="AT145" s="2"/>
      <c r="AU145" s="2"/>
      <c r="AV145" s="2"/>
      <c r="AW145" s="2"/>
      <c r="AX145" s="2"/>
      <c r="AY145" s="2"/>
    </row>
    <row r="146" spans="1:108" ht="12.9" customHeight="1">
      <c r="A146" s="2"/>
      <c r="D146" s="1113"/>
      <c r="E146" s="1113"/>
      <c r="F146" s="1113"/>
      <c r="G146" s="1113"/>
      <c r="H146" s="1113"/>
      <c r="I146" s="1113"/>
      <c r="J146" s="1113"/>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13"/>
      <c r="AJ146" s="1113"/>
      <c r="AK146" s="2"/>
      <c r="AL146" s="2"/>
      <c r="AM146" s="2"/>
      <c r="AN146" s="2"/>
      <c r="AO146" s="2"/>
      <c r="AP146" s="2"/>
      <c r="AQ146" s="2"/>
      <c r="AR146" s="2"/>
      <c r="AS146" s="2"/>
      <c r="AT146" s="2"/>
      <c r="AU146" s="2"/>
      <c r="AV146" s="2"/>
      <c r="AW146" s="2"/>
      <c r="AX146" s="2"/>
      <c r="AY146" s="2"/>
    </row>
    <row r="147" spans="1:108" ht="12.9" customHeight="1">
      <c r="A147" s="2"/>
      <c r="B147" s="1126"/>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108" ht="12.9"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BN148" s="2" t="s">
        <v>547</v>
      </c>
    </row>
    <row r="149" spans="1:108" ht="12.9"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BM149">
        <v>1</v>
      </c>
      <c r="BN149" t="s">
        <v>796</v>
      </c>
    </row>
    <row r="150" spans="1:108" ht="12.9" customHeight="1">
      <c r="A150" s="2"/>
      <c r="B150" s="2"/>
      <c r="D150" s="2"/>
      <c r="E150" s="2"/>
      <c r="F150" s="1381"/>
      <c r="G150" s="1381"/>
      <c r="H150" s="1381"/>
      <c r="I150" s="1381"/>
      <c r="J150" s="1381"/>
      <c r="K150" s="1381"/>
      <c r="L150" s="1381"/>
      <c r="M150" s="1381"/>
      <c r="N150" s="1381"/>
      <c r="O150" s="1381"/>
      <c r="P150" s="1381"/>
      <c r="Q150" s="1381"/>
      <c r="R150" s="1381"/>
      <c r="S150" s="1381"/>
      <c r="T150" s="1381"/>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BM150">
        <v>2</v>
      </c>
      <c r="BN150" t="str">
        <f>IF(I189="Los Angeles",BN149,"Balance of Los Angeles County")</f>
        <v>Balance of Los Angeles County</v>
      </c>
    </row>
    <row r="151" spans="1:108" ht="12.9" customHeight="1">
      <c r="A151" s="2"/>
      <c r="B151" s="2"/>
      <c r="D151" s="2"/>
      <c r="E151" s="2"/>
      <c r="F151" s="1146"/>
      <c r="G151" s="1146"/>
      <c r="H151" s="1146"/>
      <c r="I151" s="1146"/>
      <c r="J151" s="1146"/>
      <c r="K151" s="1146"/>
      <c r="L151" s="1146"/>
      <c r="M151" s="1146"/>
      <c r="N151" s="1146"/>
      <c r="O151" s="1146"/>
      <c r="P151" s="1146"/>
      <c r="Q151" s="1146"/>
      <c r="R151" s="1146"/>
      <c r="S151" s="1146"/>
      <c r="T151" s="1146"/>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BM151">
        <v>3</v>
      </c>
      <c r="BN151" s="2" t="s">
        <v>797</v>
      </c>
    </row>
    <row r="152" spans="1:108" ht="12.9" customHeight="1">
      <c r="BM152">
        <v>4</v>
      </c>
      <c r="BN152" s="2" t="s">
        <v>798</v>
      </c>
    </row>
    <row r="153" spans="1:108" ht="12.9" customHeight="1">
      <c r="D153" t="s">
        <v>799</v>
      </c>
      <c r="O153" s="1473" t="s">
        <v>800</v>
      </c>
      <c r="P153" s="1473"/>
      <c r="Q153" s="1473"/>
      <c r="R153" s="1473"/>
      <c r="S153" s="1473"/>
      <c r="T153" s="1473"/>
      <c r="U153" s="1473"/>
      <c r="V153" s="1473"/>
      <c r="W153" s="1473"/>
      <c r="X153" s="1473"/>
      <c r="Y153" s="1473"/>
      <c r="Z153" s="1473"/>
      <c r="AA153" s="1473"/>
      <c r="AB153" s="1473"/>
      <c r="AC153" s="1473"/>
      <c r="AD153" s="1473"/>
      <c r="AE153" s="1473"/>
      <c r="AF153" s="1473"/>
      <c r="AG153" s="1473"/>
      <c r="AH153" s="1473"/>
      <c r="BM153">
        <v>5</v>
      </c>
      <c r="BN153" s="2" t="s">
        <v>801</v>
      </c>
      <c r="CR153" s="24" t="s">
        <v>802</v>
      </c>
      <c r="CS153" s="25"/>
      <c r="CT153" s="25"/>
      <c r="CU153" s="25"/>
      <c r="CV153" s="25"/>
      <c r="CW153" s="25"/>
      <c r="CX153" s="11"/>
      <c r="CY153" s="24" t="s">
        <v>803</v>
      </c>
      <c r="CZ153" s="11"/>
      <c r="DA153" s="11"/>
      <c r="DB153" s="11"/>
      <c r="DC153" s="11"/>
      <c r="DD153" s="11"/>
    </row>
    <row r="154" spans="1:108" ht="12.9" customHeight="1">
      <c r="D154" s="162" t="s">
        <v>804</v>
      </c>
      <c r="O154" s="1421" t="s">
        <v>805</v>
      </c>
      <c r="P154" s="1421"/>
      <c r="Q154" s="1421"/>
      <c r="R154" s="1421"/>
      <c r="S154" s="1421"/>
      <c r="T154" s="1421"/>
      <c r="U154" s="1421"/>
      <c r="V154" s="1421"/>
      <c r="W154" s="1421"/>
      <c r="X154" s="1421"/>
      <c r="Y154" s="1421"/>
      <c r="Z154" s="1421"/>
      <c r="AA154" s="1421"/>
      <c r="AB154" s="1421"/>
      <c r="AC154" s="1421"/>
      <c r="AD154" s="1421"/>
      <c r="AE154" s="1421"/>
      <c r="AF154" s="1421"/>
      <c r="AG154" s="1421"/>
      <c r="AH154" s="1421"/>
      <c r="BM154">
        <v>6</v>
      </c>
      <c r="BN154" s="2" t="s">
        <v>806</v>
      </c>
      <c r="CR154" s="24"/>
      <c r="CS154" s="25"/>
      <c r="CT154" s="25"/>
      <c r="CU154" s="25"/>
      <c r="CV154" s="25"/>
      <c r="CW154" s="25"/>
      <c r="CX154" s="11"/>
      <c r="CY154" s="24"/>
      <c r="CZ154" s="11"/>
      <c r="DA154" s="11"/>
      <c r="DB154" s="11"/>
      <c r="DC154" s="11"/>
      <c r="DD154" s="11"/>
    </row>
    <row r="155" spans="1:108" ht="12.9" customHeight="1">
      <c r="D155" s="6" t="s">
        <v>807</v>
      </c>
      <c r="F155" s="6"/>
      <c r="G155" s="6"/>
      <c r="H155" s="6"/>
      <c r="I155" s="6"/>
      <c r="J155" s="6"/>
      <c r="K155" s="6"/>
      <c r="L155" s="6"/>
      <c r="M155" s="6"/>
      <c r="N155" s="6"/>
      <c r="O155" s="1489" t="s">
        <v>808</v>
      </c>
      <c r="P155" s="1489"/>
      <c r="Q155" s="1489"/>
      <c r="R155" s="1489"/>
      <c r="S155" s="1489"/>
      <c r="T155" s="1489"/>
      <c r="U155" s="1489"/>
      <c r="V155" s="1489"/>
      <c r="W155" s="1489"/>
      <c r="X155" s="1489"/>
      <c r="Y155" s="1489"/>
      <c r="Z155" s="1489"/>
      <c r="AA155" s="1489"/>
      <c r="AB155" s="1489"/>
      <c r="AC155" s="1489"/>
      <c r="AD155" s="1489"/>
      <c r="AE155" s="1489"/>
      <c r="AF155" s="1489"/>
      <c r="AG155" s="1489"/>
      <c r="AH155" s="1489"/>
      <c r="BM155">
        <v>7</v>
      </c>
      <c r="BN155" s="2" t="s">
        <v>809</v>
      </c>
      <c r="CR155" s="24"/>
      <c r="CS155" s="25"/>
      <c r="CT155" s="25"/>
      <c r="CU155" s="25"/>
      <c r="CV155" s="25"/>
      <c r="CW155" s="25"/>
      <c r="CX155" s="11"/>
      <c r="CY155" s="24"/>
      <c r="CZ155" s="11"/>
      <c r="DA155" s="11"/>
      <c r="DB155" s="11"/>
      <c r="DC155" s="11"/>
      <c r="DD155" s="11"/>
    </row>
    <row r="156" spans="1:108" ht="12.9" customHeight="1">
      <c r="D156" t="s">
        <v>810</v>
      </c>
      <c r="O156" s="1383" t="s">
        <v>811</v>
      </c>
      <c r="P156" s="1383"/>
      <c r="Q156" s="1383"/>
      <c r="R156" s="1383"/>
      <c r="S156" s="1383"/>
      <c r="T156" s="1383"/>
      <c r="U156" s="1383"/>
      <c r="V156" s="1383"/>
      <c r="W156" s="1383"/>
      <c r="X156" s="1383"/>
      <c r="Y156" s="1383"/>
      <c r="Z156" s="1383"/>
      <c r="AA156" s="1383"/>
      <c r="AB156" s="1383"/>
      <c r="AC156" s="1383"/>
      <c r="AD156" s="1383"/>
      <c r="AE156" s="1383"/>
      <c r="AF156" s="1383"/>
      <c r="AG156" s="1383"/>
      <c r="AH156" s="1383"/>
      <c r="BT156" t="s">
        <v>547</v>
      </c>
      <c r="CB156" s="102" t="s">
        <v>812</v>
      </c>
      <c r="CC156" s="103"/>
      <c r="CD156" s="103"/>
      <c r="CE156" s="103"/>
      <c r="CF156" s="103"/>
      <c r="CG156" s="103"/>
      <c r="CH156" s="103"/>
      <c r="CI156" s="2"/>
      <c r="CJ156" s="102" t="s">
        <v>813</v>
      </c>
      <c r="CK156" s="2"/>
      <c r="CL156" s="2"/>
      <c r="CM156" s="2"/>
      <c r="CN156" s="2"/>
      <c r="CR156" s="24"/>
      <c r="CS156" s="25"/>
      <c r="CT156" s="25"/>
      <c r="CU156" s="25"/>
      <c r="CV156" s="25"/>
      <c r="CW156" s="25"/>
      <c r="CX156" s="11"/>
      <c r="CY156" s="24"/>
      <c r="CZ156" s="11"/>
      <c r="DA156" s="11"/>
      <c r="DB156" s="11"/>
      <c r="DC156" s="11"/>
      <c r="DD156" s="11"/>
    </row>
    <row r="157" spans="1:108" ht="12.9" customHeight="1">
      <c r="D157" t="s">
        <v>814</v>
      </c>
      <c r="O157" s="1473" t="s">
        <v>815</v>
      </c>
      <c r="P157" s="1473"/>
      <c r="Q157" s="1473"/>
      <c r="R157" s="1473"/>
      <c r="S157" s="1473"/>
      <c r="T157" s="1473"/>
      <c r="U157" s="1473"/>
      <c r="V157" s="1473"/>
      <c r="W157" s="1473"/>
      <c r="X157" s="1473"/>
      <c r="Y157" s="6"/>
      <c r="Z157" s="6"/>
      <c r="AA157" s="6"/>
      <c r="AB157" s="6"/>
      <c r="AC157" s="6"/>
      <c r="AD157" s="6"/>
      <c r="AE157" s="6"/>
      <c r="AF157" s="6"/>
      <c r="BN157" s="104" t="s">
        <v>816</v>
      </c>
      <c r="BS157">
        <v>2</v>
      </c>
      <c r="BT157" t="s">
        <v>817</v>
      </c>
      <c r="CB157" s="152" t="s">
        <v>818</v>
      </c>
      <c r="CC157" s="103"/>
      <c r="CD157" s="103"/>
      <c r="CE157" s="103"/>
      <c r="CF157" s="103"/>
      <c r="CG157" s="103"/>
      <c r="CH157" s="103"/>
      <c r="CI157" s="2"/>
      <c r="CJ157" s="152" t="s">
        <v>819</v>
      </c>
      <c r="CK157" s="2"/>
      <c r="CL157" s="2"/>
      <c r="CM157" s="2"/>
      <c r="CN157" s="2"/>
      <c r="CR157" s="11"/>
      <c r="CS157" s="25"/>
      <c r="CT157" s="25"/>
      <c r="CU157" s="25"/>
      <c r="CV157" s="25"/>
      <c r="CW157" s="25"/>
      <c r="CX157" s="11"/>
      <c r="CY157" s="11"/>
      <c r="CZ157" s="11"/>
      <c r="DA157" s="11"/>
      <c r="DB157" s="11"/>
      <c r="DC157" s="11"/>
      <c r="DD157" s="11"/>
    </row>
    <row r="158" spans="1:108" ht="12.9" customHeight="1">
      <c r="D158" t="s">
        <v>820</v>
      </c>
      <c r="O158" s="1508">
        <v>91355</v>
      </c>
      <c r="P158" s="1508"/>
      <c r="Q158" s="1508"/>
      <c r="R158" s="1508"/>
      <c r="S158" s="7"/>
      <c r="T158" s="7"/>
      <c r="U158" s="7"/>
      <c r="V158" s="7"/>
      <c r="W158" s="7"/>
      <c r="X158" s="7"/>
      <c r="Y158" s="7"/>
      <c r="Z158" s="7"/>
      <c r="AA158" s="7"/>
      <c r="AB158" s="7"/>
      <c r="AC158" s="7"/>
      <c r="AD158" s="7"/>
      <c r="AE158" s="7"/>
      <c r="AF158" s="7"/>
      <c r="BN158" s="104" t="s">
        <v>821</v>
      </c>
      <c r="BS158">
        <v>7</v>
      </c>
      <c r="BT158" t="s">
        <v>822</v>
      </c>
      <c r="CB158" s="974"/>
      <c r="CC158" s="975"/>
      <c r="CD158" s="976"/>
      <c r="CE158" s="976"/>
      <c r="CF158" s="976"/>
      <c r="CG158" s="976"/>
      <c r="CH158" s="976"/>
      <c r="CI158" s="2"/>
      <c r="CJ158" s="2"/>
      <c r="CK158" s="2"/>
      <c r="CL158" s="2"/>
      <c r="CM158" s="2"/>
      <c r="CN158" s="2"/>
      <c r="CR158" s="11"/>
      <c r="CS158" s="25"/>
      <c r="CT158" s="25"/>
      <c r="CU158" s="25"/>
      <c r="CV158" s="25"/>
      <c r="CW158" s="25"/>
      <c r="CX158" s="11"/>
      <c r="CY158" s="11"/>
      <c r="CZ158" s="11"/>
      <c r="DA158" s="11"/>
      <c r="DB158" s="11"/>
      <c r="DC158" s="11"/>
      <c r="DD158" s="11"/>
    </row>
    <row r="159" spans="1:108" ht="12.9" customHeight="1" thickBot="1">
      <c r="D159" t="s">
        <v>823</v>
      </c>
      <c r="O159" s="1495" t="s">
        <v>824</v>
      </c>
      <c r="P159" s="1495"/>
      <c r="Q159" s="1495"/>
      <c r="R159" s="1495"/>
      <c r="S159" s="1495"/>
      <c r="T159" s="1495"/>
      <c r="V159" s="56" t="s">
        <v>825</v>
      </c>
      <c r="W159" s="1509"/>
      <c r="X159" s="1509"/>
      <c r="Y159" s="8"/>
      <c r="Z159" s="8"/>
      <c r="AA159" s="8"/>
      <c r="AB159" s="8"/>
      <c r="AC159" s="8"/>
      <c r="AD159" s="8"/>
      <c r="AE159" s="8"/>
      <c r="AF159" s="8"/>
      <c r="BN159" s="104" t="s">
        <v>826</v>
      </c>
      <c r="BS159">
        <v>7</v>
      </c>
      <c r="BT159" t="s">
        <v>827</v>
      </c>
      <c r="CB159" s="977" t="s">
        <v>828</v>
      </c>
      <c r="CC159" s="978" t="s">
        <v>829</v>
      </c>
      <c r="CD159" s="978" t="s">
        <v>830</v>
      </c>
      <c r="CE159" s="978" t="s">
        <v>831</v>
      </c>
      <c r="CF159" s="978" t="s">
        <v>832</v>
      </c>
      <c r="CG159" s="978" t="s">
        <v>833</v>
      </c>
      <c r="CH159" s="978" t="s">
        <v>834</v>
      </c>
      <c r="CI159" s="2"/>
      <c r="CJ159" s="978" t="s">
        <v>829</v>
      </c>
      <c r="CK159" s="978" t="s">
        <v>830</v>
      </c>
      <c r="CL159" s="978" t="s">
        <v>831</v>
      </c>
      <c r="CM159" s="978" t="s">
        <v>832</v>
      </c>
      <c r="CN159" s="978" t="s">
        <v>833</v>
      </c>
      <c r="CR159" s="11"/>
      <c r="CS159" s="979" t="s">
        <v>835</v>
      </c>
      <c r="CT159" s="980" t="s">
        <v>830</v>
      </c>
      <c r="CU159" s="980" t="s">
        <v>831</v>
      </c>
      <c r="CV159" s="980" t="s">
        <v>832</v>
      </c>
      <c r="CW159" s="980" t="s">
        <v>836</v>
      </c>
      <c r="CX159" s="11"/>
      <c r="CY159" s="11"/>
      <c r="CZ159" s="979" t="s">
        <v>835</v>
      </c>
      <c r="DA159" s="980" t="s">
        <v>830</v>
      </c>
      <c r="DB159" s="980" t="s">
        <v>831</v>
      </c>
      <c r="DC159" s="980" t="s">
        <v>832</v>
      </c>
      <c r="DD159" s="980" t="s">
        <v>836</v>
      </c>
    </row>
    <row r="160" spans="1:108" ht="12.9" customHeight="1">
      <c r="D160" t="s">
        <v>837</v>
      </c>
      <c r="O160" s="1495" t="s">
        <v>838</v>
      </c>
      <c r="P160" s="1495"/>
      <c r="Q160" s="1495"/>
      <c r="R160" s="1495"/>
      <c r="S160" s="1495"/>
      <c r="T160" s="1495"/>
      <c r="U160" s="8"/>
      <c r="V160" s="8"/>
      <c r="W160" s="8"/>
      <c r="X160" s="8"/>
      <c r="Y160" s="8"/>
      <c r="Z160" s="8"/>
      <c r="AA160" s="8"/>
      <c r="AB160" s="8"/>
      <c r="AC160" s="8"/>
      <c r="AD160" s="8"/>
      <c r="AE160" s="8"/>
      <c r="AF160" s="8"/>
      <c r="BN160" s="104" t="s">
        <v>839</v>
      </c>
      <c r="BS160">
        <v>6</v>
      </c>
      <c r="BT160" t="s">
        <v>840</v>
      </c>
      <c r="CB160" s="981" t="s">
        <v>817</v>
      </c>
      <c r="CC160" s="267">
        <v>2796</v>
      </c>
      <c r="CD160" s="268">
        <v>2996</v>
      </c>
      <c r="CE160" s="269">
        <v>3596</v>
      </c>
      <c r="CF160" s="268">
        <v>4154</v>
      </c>
      <c r="CG160" s="269">
        <v>4634</v>
      </c>
      <c r="CH160" s="270">
        <v>5114</v>
      </c>
      <c r="CI160" s="2"/>
      <c r="CJ160" s="982">
        <v>1937</v>
      </c>
      <c r="CK160" s="982">
        <v>2201</v>
      </c>
      <c r="CL160" s="982">
        <v>2682</v>
      </c>
      <c r="CM160" s="982">
        <v>3432</v>
      </c>
      <c r="CN160" s="982">
        <v>4077</v>
      </c>
      <c r="CR160" s="104" t="s">
        <v>816</v>
      </c>
      <c r="CS160" s="983">
        <v>473390</v>
      </c>
      <c r="CT160" s="983">
        <v>545814</v>
      </c>
      <c r="CU160" s="983">
        <v>658400</v>
      </c>
      <c r="CV160" s="983">
        <v>842752</v>
      </c>
      <c r="CW160" s="983">
        <v>938878</v>
      </c>
      <c r="CX160" s="11"/>
      <c r="CY160" s="104" t="s">
        <v>816</v>
      </c>
      <c r="CZ160" s="983">
        <v>473390</v>
      </c>
      <c r="DA160" s="983">
        <v>545814</v>
      </c>
      <c r="DB160" s="983">
        <v>658400</v>
      </c>
      <c r="DC160" s="983">
        <v>842752</v>
      </c>
      <c r="DD160" s="983">
        <v>938878</v>
      </c>
    </row>
    <row r="161" spans="1:108" ht="12.9" customHeight="1">
      <c r="D161" t="s">
        <v>841</v>
      </c>
      <c r="O161" s="1488" t="s">
        <v>842</v>
      </c>
      <c r="P161" s="1488"/>
      <c r="Q161" s="1488"/>
      <c r="R161" s="1488"/>
      <c r="S161" s="1488"/>
      <c r="T161" s="1488"/>
      <c r="U161" s="1488"/>
      <c r="V161" s="1488"/>
      <c r="W161" s="1488"/>
      <c r="X161" s="1488"/>
      <c r="Y161" s="1488"/>
      <c r="Z161" s="1488"/>
      <c r="AA161" s="1488"/>
      <c r="AB161" s="1488"/>
      <c r="AC161" s="1488"/>
      <c r="AD161" s="1488"/>
      <c r="AE161" s="1488"/>
      <c r="AF161" s="1488"/>
      <c r="AG161" s="1488"/>
      <c r="AH161" s="1488"/>
      <c r="BJ161" t="s">
        <v>843</v>
      </c>
      <c r="BN161" s="104" t="s">
        <v>844</v>
      </c>
      <c r="BS161">
        <v>7</v>
      </c>
      <c r="BT161" t="s">
        <v>845</v>
      </c>
      <c r="CB161" s="984" t="s">
        <v>822</v>
      </c>
      <c r="CC161" s="271">
        <v>2020</v>
      </c>
      <c r="CD161" s="272">
        <v>2162</v>
      </c>
      <c r="CE161" s="271">
        <v>2594</v>
      </c>
      <c r="CF161" s="272">
        <v>3000</v>
      </c>
      <c r="CG161" s="272">
        <v>3346</v>
      </c>
      <c r="CH161" s="273">
        <v>3692</v>
      </c>
      <c r="CI161" s="2"/>
      <c r="CJ161" s="982">
        <v>1003</v>
      </c>
      <c r="CK161" s="982">
        <v>1101</v>
      </c>
      <c r="CL161" s="982">
        <v>1445</v>
      </c>
      <c r="CM161" s="982">
        <v>2025</v>
      </c>
      <c r="CN161" s="982">
        <v>2396</v>
      </c>
      <c r="CR161" s="104" t="s">
        <v>821</v>
      </c>
      <c r="CS161" s="985">
        <v>352022</v>
      </c>
      <c r="CT161" s="985">
        <v>405878</v>
      </c>
      <c r="CU161" s="985">
        <v>489600</v>
      </c>
      <c r="CV161" s="985">
        <v>626688</v>
      </c>
      <c r="CW161" s="985">
        <v>698170</v>
      </c>
      <c r="CX161" s="11"/>
      <c r="CY161" s="104" t="s">
        <v>821</v>
      </c>
      <c r="CZ161" s="985">
        <v>352022</v>
      </c>
      <c r="DA161" s="985">
        <v>405878</v>
      </c>
      <c r="DB161" s="985">
        <v>489600</v>
      </c>
      <c r="DC161" s="985">
        <v>626688</v>
      </c>
      <c r="DD161" s="985">
        <v>698170</v>
      </c>
    </row>
    <row r="162" spans="1:108" ht="12.9" customHeight="1">
      <c r="O162" s="89"/>
      <c r="P162" s="89"/>
      <c r="Q162" s="89"/>
      <c r="R162" s="89"/>
      <c r="S162" s="89"/>
      <c r="T162" s="89"/>
      <c r="U162" s="89"/>
      <c r="V162" s="89"/>
      <c r="W162" s="89"/>
      <c r="X162" s="89"/>
      <c r="Y162" s="89"/>
      <c r="Z162" s="89"/>
      <c r="AA162" s="89"/>
      <c r="AB162" s="89"/>
      <c r="AC162" s="89"/>
      <c r="AD162" s="89"/>
      <c r="AE162" s="89"/>
      <c r="AF162" s="89"/>
      <c r="AG162" s="89"/>
      <c r="AH162" s="89"/>
      <c r="BJ162" t="s">
        <v>694</v>
      </c>
      <c r="BN162" s="104" t="s">
        <v>846</v>
      </c>
      <c r="BS162">
        <v>7</v>
      </c>
      <c r="BT162" t="s">
        <v>847</v>
      </c>
      <c r="CB162" s="984" t="s">
        <v>827</v>
      </c>
      <c r="CC162" s="274">
        <v>1924</v>
      </c>
      <c r="CD162" s="275">
        <v>2062</v>
      </c>
      <c r="CE162" s="274">
        <v>2474</v>
      </c>
      <c r="CF162" s="275">
        <v>2856</v>
      </c>
      <c r="CG162" s="275">
        <v>3186</v>
      </c>
      <c r="CH162" s="276">
        <v>3516</v>
      </c>
      <c r="CI162" s="2"/>
      <c r="CJ162" s="982">
        <v>1253</v>
      </c>
      <c r="CK162" s="982">
        <v>1260</v>
      </c>
      <c r="CL162" s="982">
        <v>1493</v>
      </c>
      <c r="CM162" s="982">
        <v>2084</v>
      </c>
      <c r="CN162" s="982">
        <v>2507</v>
      </c>
      <c r="CR162" s="104" t="s">
        <v>826</v>
      </c>
      <c r="CS162" s="983">
        <v>352022</v>
      </c>
      <c r="CT162" s="983">
        <v>405878</v>
      </c>
      <c r="CU162" s="983">
        <v>489600</v>
      </c>
      <c r="CV162" s="983">
        <v>626688</v>
      </c>
      <c r="CW162" s="983">
        <v>698170</v>
      </c>
      <c r="CX162" s="11"/>
      <c r="CY162" s="104" t="s">
        <v>826</v>
      </c>
      <c r="CZ162" s="983">
        <v>352022</v>
      </c>
      <c r="DA162" s="983">
        <v>405878</v>
      </c>
      <c r="DB162" s="983">
        <v>489600</v>
      </c>
      <c r="DC162" s="983">
        <v>626688</v>
      </c>
      <c r="DD162" s="983">
        <v>698170</v>
      </c>
    </row>
    <row r="163" spans="1:108" ht="12.9" customHeight="1">
      <c r="C163" s="21" t="s">
        <v>848</v>
      </c>
      <c r="D163" s="2" t="s">
        <v>849</v>
      </c>
      <c r="O163" s="89"/>
      <c r="P163" s="89"/>
      <c r="Q163" s="89"/>
      <c r="R163" s="89"/>
      <c r="S163" s="89"/>
      <c r="T163" s="89"/>
      <c r="U163" s="89"/>
      <c r="V163" s="89"/>
      <c r="W163" s="89"/>
      <c r="X163" s="89"/>
      <c r="Y163" s="89"/>
      <c r="Z163" s="89"/>
      <c r="AA163" s="89"/>
      <c r="AB163" s="89"/>
      <c r="AC163" s="89"/>
      <c r="AD163" s="89"/>
      <c r="AE163" s="89"/>
      <c r="AF163" s="89"/>
      <c r="AG163" s="89"/>
      <c r="AH163" s="89"/>
      <c r="BN163" s="104" t="s">
        <v>850</v>
      </c>
      <c r="BS163">
        <v>2</v>
      </c>
      <c r="BT163" t="s">
        <v>851</v>
      </c>
      <c r="CB163" s="984" t="s">
        <v>840</v>
      </c>
      <c r="CC163" s="274">
        <v>1644</v>
      </c>
      <c r="CD163" s="275">
        <v>1762</v>
      </c>
      <c r="CE163" s="274">
        <v>2114</v>
      </c>
      <c r="CF163" s="275">
        <v>2442</v>
      </c>
      <c r="CG163" s="275">
        <v>2724</v>
      </c>
      <c r="CH163" s="276">
        <v>3006</v>
      </c>
      <c r="CI163" s="2"/>
      <c r="CJ163" s="982">
        <v>1069</v>
      </c>
      <c r="CK163" s="982">
        <v>1126</v>
      </c>
      <c r="CL163" s="982">
        <v>1466</v>
      </c>
      <c r="CM163" s="982">
        <v>2054</v>
      </c>
      <c r="CN163" s="982">
        <v>2462</v>
      </c>
      <c r="CR163" s="104" t="s">
        <v>839</v>
      </c>
      <c r="CS163" s="985">
        <v>319236</v>
      </c>
      <c r="CT163" s="985">
        <v>368076</v>
      </c>
      <c r="CU163" s="985">
        <v>444000</v>
      </c>
      <c r="CV163" s="985">
        <v>568320</v>
      </c>
      <c r="CW163" s="985">
        <v>633144</v>
      </c>
      <c r="CX163" s="11"/>
      <c r="CY163" s="104" t="s">
        <v>839</v>
      </c>
      <c r="CZ163" s="985">
        <v>319236</v>
      </c>
      <c r="DA163" s="985">
        <v>368076</v>
      </c>
      <c r="DB163" s="985">
        <v>444000</v>
      </c>
      <c r="DC163" s="985">
        <v>568320</v>
      </c>
      <c r="DD163" s="985">
        <v>633144</v>
      </c>
    </row>
    <row r="164" spans="1:108" ht="12.9" customHeight="1">
      <c r="C164" s="21"/>
      <c r="D164" s="1500" t="s">
        <v>852</v>
      </c>
      <c r="E164" s="1500"/>
      <c r="F164" s="1500"/>
      <c r="G164" s="1500"/>
      <c r="H164" s="1500"/>
      <c r="I164" s="1500"/>
      <c r="J164" s="1500"/>
      <c r="K164" s="1500"/>
      <c r="L164" s="1500"/>
      <c r="M164" s="1500"/>
      <c r="N164" s="1500"/>
      <c r="O164" s="1500"/>
      <c r="P164" s="1500"/>
      <c r="Q164" s="1500"/>
      <c r="R164" s="1500"/>
      <c r="S164" s="1500"/>
      <c r="T164" s="1500"/>
      <c r="U164" s="1500"/>
      <c r="V164" s="1500"/>
      <c r="W164" s="1500"/>
      <c r="X164" s="1500"/>
      <c r="Y164" s="1500"/>
      <c r="Z164" s="1500"/>
      <c r="AA164" s="1500"/>
      <c r="AB164" s="1500"/>
      <c r="AC164" s="1500"/>
      <c r="AD164" s="1500"/>
      <c r="AE164" s="1500"/>
      <c r="AF164" s="1500"/>
      <c r="AG164" s="1500"/>
      <c r="AH164" s="1500"/>
      <c r="BN164" s="104" t="s">
        <v>853</v>
      </c>
      <c r="BS164">
        <v>7</v>
      </c>
      <c r="BT164" t="s">
        <v>854</v>
      </c>
      <c r="CB164" s="984" t="s">
        <v>845</v>
      </c>
      <c r="CC164" s="274">
        <v>1776</v>
      </c>
      <c r="CD164" s="275">
        <v>1902</v>
      </c>
      <c r="CE164" s="274">
        <v>2284</v>
      </c>
      <c r="CF164" s="275">
        <v>2640</v>
      </c>
      <c r="CG164" s="275">
        <v>2944</v>
      </c>
      <c r="CH164" s="276">
        <v>3248</v>
      </c>
      <c r="CI164" s="2"/>
      <c r="CJ164" s="982">
        <v>989</v>
      </c>
      <c r="CK164" s="982">
        <v>1086</v>
      </c>
      <c r="CL164" s="982">
        <v>1425</v>
      </c>
      <c r="CM164" s="982">
        <v>1997</v>
      </c>
      <c r="CN164" s="982">
        <v>2195</v>
      </c>
      <c r="CR164" s="104" t="s">
        <v>844</v>
      </c>
      <c r="CS164" s="983">
        <v>352022</v>
      </c>
      <c r="CT164" s="983">
        <v>405878</v>
      </c>
      <c r="CU164" s="983">
        <v>489600</v>
      </c>
      <c r="CV164" s="983">
        <v>626688</v>
      </c>
      <c r="CW164" s="983">
        <v>698170</v>
      </c>
      <c r="CX164" s="11"/>
      <c r="CY164" s="104" t="s">
        <v>844</v>
      </c>
      <c r="CZ164" s="983">
        <v>352022</v>
      </c>
      <c r="DA164" s="983">
        <v>405878</v>
      </c>
      <c r="DB164" s="983">
        <v>489600</v>
      </c>
      <c r="DC164" s="983">
        <v>626688</v>
      </c>
      <c r="DD164" s="983">
        <v>698170</v>
      </c>
    </row>
    <row r="165" spans="1:108" ht="12.9" customHeight="1">
      <c r="C165" s="21"/>
      <c r="D165" s="57"/>
      <c r="E165" s="57"/>
      <c r="F165" s="57"/>
      <c r="G165" s="57"/>
      <c r="H165" s="57"/>
      <c r="I165" s="57"/>
      <c r="J165" s="57"/>
      <c r="K165" s="57"/>
      <c r="L165" s="57"/>
      <c r="M165" s="57"/>
      <c r="N165" s="57"/>
      <c r="O165" s="986"/>
      <c r="P165" s="986"/>
      <c r="Q165" s="986"/>
      <c r="R165" s="986"/>
      <c r="S165" s="986"/>
      <c r="T165" s="986"/>
      <c r="U165" s="986"/>
      <c r="V165" s="986"/>
      <c r="W165" s="986"/>
      <c r="X165" s="986"/>
      <c r="Y165" s="986"/>
      <c r="Z165" s="986"/>
      <c r="AA165" s="89"/>
      <c r="AB165" s="89"/>
      <c r="AC165" s="89"/>
      <c r="AD165" s="89"/>
      <c r="AE165" s="89"/>
      <c r="AF165" s="89"/>
      <c r="AG165" s="89"/>
      <c r="AH165" s="89"/>
      <c r="BN165" s="104" t="s">
        <v>855</v>
      </c>
      <c r="BS165">
        <v>6</v>
      </c>
      <c r="BT165" t="s">
        <v>856</v>
      </c>
      <c r="CB165" s="984" t="s">
        <v>847</v>
      </c>
      <c r="CC165" s="274">
        <v>1680</v>
      </c>
      <c r="CD165" s="275">
        <v>1800</v>
      </c>
      <c r="CE165" s="274">
        <v>2160</v>
      </c>
      <c r="CF165" s="275">
        <v>2496</v>
      </c>
      <c r="CG165" s="275">
        <v>2784</v>
      </c>
      <c r="CH165" s="276">
        <v>3072</v>
      </c>
      <c r="CI165" s="2"/>
      <c r="CJ165" s="982">
        <v>915</v>
      </c>
      <c r="CK165" s="982">
        <v>921</v>
      </c>
      <c r="CL165" s="982">
        <v>1208</v>
      </c>
      <c r="CM165" s="982">
        <v>1625</v>
      </c>
      <c r="CN165" s="982">
        <v>1631</v>
      </c>
      <c r="CR165" s="104" t="s">
        <v>846</v>
      </c>
      <c r="CS165" s="985">
        <v>352022</v>
      </c>
      <c r="CT165" s="985">
        <v>405878</v>
      </c>
      <c r="CU165" s="985">
        <v>489600</v>
      </c>
      <c r="CV165" s="985">
        <v>626688</v>
      </c>
      <c r="CW165" s="985">
        <v>698170</v>
      </c>
      <c r="CX165" s="11"/>
      <c r="CY165" s="104" t="s">
        <v>846</v>
      </c>
      <c r="CZ165" s="985">
        <v>352022</v>
      </c>
      <c r="DA165" s="985">
        <v>405878</v>
      </c>
      <c r="DB165" s="985">
        <v>489600</v>
      </c>
      <c r="DC165" s="985">
        <v>626688</v>
      </c>
      <c r="DD165" s="985">
        <v>698170</v>
      </c>
    </row>
    <row r="166" spans="1:108" ht="12.9" customHeight="1">
      <c r="B166" s="1"/>
      <c r="C166" s="21"/>
      <c r="D166" s="57"/>
      <c r="E166" s="57"/>
      <c r="F166" s="57"/>
      <c r="G166" s="57"/>
      <c r="H166" s="57"/>
      <c r="I166" s="57"/>
      <c r="J166" s="57"/>
      <c r="K166" s="57"/>
      <c r="L166" s="57"/>
      <c r="M166" s="57"/>
      <c r="N166" s="57"/>
      <c r="O166" s="986"/>
      <c r="P166" s="986"/>
      <c r="Q166" s="986"/>
      <c r="R166" s="986"/>
      <c r="S166" s="986"/>
      <c r="T166" s="986"/>
      <c r="U166" s="986"/>
      <c r="V166" s="986"/>
      <c r="W166" s="986"/>
      <c r="X166" s="986"/>
      <c r="Y166" s="986"/>
      <c r="Z166" s="986"/>
      <c r="AA166" s="89"/>
      <c r="AB166" s="89"/>
      <c r="AC166" s="89"/>
      <c r="AD166" s="89"/>
      <c r="AE166" s="89"/>
      <c r="AF166" s="89"/>
      <c r="AG166" s="89"/>
      <c r="AH166" s="89"/>
      <c r="BN166" s="104" t="s">
        <v>857</v>
      </c>
      <c r="BS166">
        <v>5</v>
      </c>
      <c r="BT166" t="s">
        <v>858</v>
      </c>
      <c r="CB166" s="984" t="s">
        <v>851</v>
      </c>
      <c r="CC166" s="274">
        <v>2796</v>
      </c>
      <c r="CD166" s="275">
        <v>2996</v>
      </c>
      <c r="CE166" s="274">
        <v>3596</v>
      </c>
      <c r="CF166" s="275">
        <v>4154</v>
      </c>
      <c r="CG166" s="275">
        <v>4634</v>
      </c>
      <c r="CH166" s="276">
        <v>5114</v>
      </c>
      <c r="CI166" s="2"/>
      <c r="CJ166" s="982">
        <v>1937</v>
      </c>
      <c r="CK166" s="982">
        <v>2201</v>
      </c>
      <c r="CL166" s="982">
        <v>2682</v>
      </c>
      <c r="CM166" s="982">
        <v>3432</v>
      </c>
      <c r="CN166" s="982">
        <v>4077</v>
      </c>
      <c r="CR166" s="104" t="s">
        <v>850</v>
      </c>
      <c r="CS166" s="983">
        <v>473390</v>
      </c>
      <c r="CT166" s="983">
        <v>545814</v>
      </c>
      <c r="CU166" s="983">
        <v>658400</v>
      </c>
      <c r="CV166" s="983">
        <v>842752</v>
      </c>
      <c r="CW166" s="983">
        <v>938878</v>
      </c>
      <c r="CX166" s="11"/>
      <c r="CY166" s="104" t="s">
        <v>850</v>
      </c>
      <c r="CZ166" s="983">
        <v>473390</v>
      </c>
      <c r="DA166" s="983">
        <v>545814</v>
      </c>
      <c r="DB166" s="983">
        <v>658400</v>
      </c>
      <c r="DC166" s="983">
        <v>842752</v>
      </c>
      <c r="DD166" s="983">
        <v>938878</v>
      </c>
    </row>
    <row r="167" spans="1:108" ht="12.9" customHeight="1">
      <c r="B167" s="1"/>
      <c r="C167" s="21"/>
      <c r="D167" s="57"/>
      <c r="E167" s="57"/>
      <c r="F167" s="57"/>
      <c r="G167" s="57"/>
      <c r="H167" s="57"/>
      <c r="I167" s="57"/>
      <c r="J167" s="57"/>
      <c r="K167" s="57"/>
      <c r="L167" s="57"/>
      <c r="M167" s="57"/>
      <c r="N167" s="57"/>
      <c r="O167" s="986"/>
      <c r="P167" s="986"/>
      <c r="Q167" s="986"/>
      <c r="R167" s="986"/>
      <c r="S167" s="986"/>
      <c r="T167" s="986"/>
      <c r="U167" s="986"/>
      <c r="V167" s="986"/>
      <c r="W167" s="986"/>
      <c r="X167" s="986"/>
      <c r="Y167" s="986"/>
      <c r="Z167" s="986"/>
      <c r="AA167" s="89"/>
      <c r="AB167" s="89"/>
      <c r="AC167" s="89"/>
      <c r="AD167" s="89"/>
      <c r="AE167" s="89"/>
      <c r="AF167" s="89"/>
      <c r="AG167" s="89"/>
      <c r="AH167" s="89"/>
      <c r="BN167" s="104" t="s">
        <v>859</v>
      </c>
      <c r="BS167">
        <v>7</v>
      </c>
      <c r="BT167" t="s">
        <v>860</v>
      </c>
      <c r="CB167" s="984" t="s">
        <v>854</v>
      </c>
      <c r="CC167" s="274">
        <v>1644</v>
      </c>
      <c r="CD167" s="275">
        <v>1762</v>
      </c>
      <c r="CE167" s="274">
        <v>2114</v>
      </c>
      <c r="CF167" s="275">
        <v>2442</v>
      </c>
      <c r="CG167" s="275">
        <v>2724</v>
      </c>
      <c r="CH167" s="276">
        <v>3006</v>
      </c>
      <c r="CI167" s="2"/>
      <c r="CJ167" s="982">
        <v>869</v>
      </c>
      <c r="CK167" s="982">
        <v>1086</v>
      </c>
      <c r="CL167" s="982">
        <v>1253</v>
      </c>
      <c r="CM167" s="982">
        <v>1756</v>
      </c>
      <c r="CN167" s="982">
        <v>2104</v>
      </c>
      <c r="CR167" s="104" t="s">
        <v>853</v>
      </c>
      <c r="CS167" s="985">
        <v>352022</v>
      </c>
      <c r="CT167" s="985">
        <v>405878</v>
      </c>
      <c r="CU167" s="985">
        <v>489600</v>
      </c>
      <c r="CV167" s="985">
        <v>626688</v>
      </c>
      <c r="CW167" s="985">
        <v>698170</v>
      </c>
      <c r="CX167" s="11"/>
      <c r="CY167" s="104" t="s">
        <v>853</v>
      </c>
      <c r="CZ167" s="985">
        <v>352022</v>
      </c>
      <c r="DA167" s="985">
        <v>405878</v>
      </c>
      <c r="DB167" s="985">
        <v>489600</v>
      </c>
      <c r="DC167" s="985">
        <v>626688</v>
      </c>
      <c r="DD167" s="985">
        <v>698170</v>
      </c>
    </row>
    <row r="168" spans="1:108" ht="12.9" customHeight="1">
      <c r="O168" s="89"/>
      <c r="P168" s="89"/>
      <c r="Q168" s="89"/>
      <c r="R168" s="89"/>
      <c r="S168" s="89"/>
      <c r="T168" s="89"/>
      <c r="U168" s="89"/>
      <c r="V168" s="89"/>
      <c r="W168" s="89"/>
      <c r="X168" s="89"/>
      <c r="Y168" s="89"/>
      <c r="Z168" s="89"/>
      <c r="AA168" s="89"/>
      <c r="AB168" s="89"/>
      <c r="AC168" s="89"/>
      <c r="AD168" s="89"/>
      <c r="AE168" s="89"/>
      <c r="AF168" s="89"/>
      <c r="AG168" s="89"/>
      <c r="AH168" s="89"/>
      <c r="BN168" s="104" t="s">
        <v>861</v>
      </c>
      <c r="BS168">
        <v>7</v>
      </c>
      <c r="BT168" t="s">
        <v>862</v>
      </c>
      <c r="CB168" s="984" t="s">
        <v>856</v>
      </c>
      <c r="CC168" s="274">
        <v>2252</v>
      </c>
      <c r="CD168" s="275">
        <v>2412</v>
      </c>
      <c r="CE168" s="274">
        <v>2894</v>
      </c>
      <c r="CF168" s="275">
        <v>3342</v>
      </c>
      <c r="CG168" s="275">
        <v>3730</v>
      </c>
      <c r="CH168" s="276">
        <v>4116</v>
      </c>
      <c r="CI168" s="2"/>
      <c r="CJ168" s="982">
        <v>1679</v>
      </c>
      <c r="CK168" s="982">
        <v>1777</v>
      </c>
      <c r="CL168" s="982">
        <v>2206</v>
      </c>
      <c r="CM168" s="982">
        <v>2992</v>
      </c>
      <c r="CN168" s="982">
        <v>3455</v>
      </c>
      <c r="CR168" s="104" t="s">
        <v>855</v>
      </c>
      <c r="CS168" s="983">
        <v>331890</v>
      </c>
      <c r="CT168" s="983">
        <v>382666</v>
      </c>
      <c r="CU168" s="983">
        <v>461600</v>
      </c>
      <c r="CV168" s="983">
        <v>590848</v>
      </c>
      <c r="CW168" s="983">
        <v>658242</v>
      </c>
      <c r="CX168" s="11"/>
      <c r="CY168" s="104" t="s">
        <v>855</v>
      </c>
      <c r="CZ168" s="983">
        <v>331890</v>
      </c>
      <c r="DA168" s="983">
        <v>382666</v>
      </c>
      <c r="DB168" s="983">
        <v>461600</v>
      </c>
      <c r="DC168" s="983">
        <v>590848</v>
      </c>
      <c r="DD168" s="983">
        <v>658242</v>
      </c>
    </row>
    <row r="169" spans="1:108" ht="12.9" customHeight="1">
      <c r="A169" s="1491" t="s">
        <v>863</v>
      </c>
      <c r="B169" s="1491"/>
      <c r="C169" s="1491"/>
      <c r="D169" s="1491"/>
      <c r="E169" s="1491"/>
      <c r="F169" s="1491"/>
      <c r="G169" s="1491"/>
      <c r="H169" s="1491"/>
      <c r="I169" s="1491"/>
      <c r="J169" s="1491"/>
      <c r="K169" s="1491"/>
      <c r="L169" s="1491"/>
      <c r="M169" s="1491"/>
      <c r="N169" s="1491"/>
      <c r="O169" s="1491"/>
      <c r="P169" s="1491"/>
      <c r="Q169" s="1491"/>
      <c r="R169" s="1491"/>
      <c r="S169" s="1491"/>
      <c r="T169" s="1491"/>
      <c r="U169" s="1491"/>
      <c r="V169" s="1491"/>
      <c r="W169" s="1491"/>
      <c r="X169" s="1491"/>
      <c r="Y169" s="1491"/>
      <c r="Z169" s="1491"/>
      <c r="AA169" s="1491"/>
      <c r="AB169" s="1491"/>
      <c r="AC169" s="1491"/>
      <c r="AD169" s="1491"/>
      <c r="AE169" s="1491"/>
      <c r="AF169" s="1491"/>
      <c r="AG169" s="1491"/>
      <c r="AH169" s="1491"/>
      <c r="AI169" s="1491"/>
      <c r="AJ169" s="1491"/>
      <c r="AK169" s="1491"/>
      <c r="AL169" s="1491"/>
      <c r="AM169" s="1491"/>
      <c r="AN169" s="1491"/>
      <c r="AO169" s="1491"/>
      <c r="AP169" s="1491"/>
      <c r="AQ169" s="1491"/>
      <c r="AR169" s="1491"/>
      <c r="AS169" s="1491"/>
      <c r="AT169" s="1491"/>
      <c r="AU169" s="54"/>
      <c r="AV169" s="54"/>
      <c r="AW169" s="54"/>
      <c r="AX169" s="54"/>
      <c r="AY169" s="54"/>
      <c r="BN169" s="104" t="s">
        <v>864</v>
      </c>
      <c r="BS169">
        <v>5</v>
      </c>
      <c r="BT169" t="s">
        <v>865</v>
      </c>
      <c r="CB169" s="984" t="s">
        <v>858</v>
      </c>
      <c r="CC169" s="274">
        <v>1644</v>
      </c>
      <c r="CD169" s="275">
        <v>1762</v>
      </c>
      <c r="CE169" s="274">
        <v>2114</v>
      </c>
      <c r="CF169" s="275">
        <v>2442</v>
      </c>
      <c r="CG169" s="275">
        <v>2724</v>
      </c>
      <c r="CH169" s="276">
        <v>3006</v>
      </c>
      <c r="CI169" s="2"/>
      <c r="CJ169" s="982">
        <v>1210</v>
      </c>
      <c r="CK169" s="982">
        <v>1217</v>
      </c>
      <c r="CL169" s="982">
        <v>1505</v>
      </c>
      <c r="CM169" s="982">
        <v>2109</v>
      </c>
      <c r="CN169" s="982">
        <v>2415</v>
      </c>
      <c r="CR169" s="104" t="s">
        <v>857</v>
      </c>
      <c r="CS169" s="985">
        <v>307732</v>
      </c>
      <c r="CT169" s="985">
        <v>354812</v>
      </c>
      <c r="CU169" s="985">
        <v>428000</v>
      </c>
      <c r="CV169" s="985">
        <v>547840</v>
      </c>
      <c r="CW169" s="985">
        <v>610328</v>
      </c>
      <c r="CX169" s="11"/>
      <c r="CY169" s="104" t="s">
        <v>857</v>
      </c>
      <c r="CZ169" s="985">
        <v>307732</v>
      </c>
      <c r="DA169" s="985">
        <v>354812</v>
      </c>
      <c r="DB169" s="985">
        <v>428000</v>
      </c>
      <c r="DC169" s="985">
        <v>547840</v>
      </c>
      <c r="DD169" s="985">
        <v>610328</v>
      </c>
    </row>
    <row r="170" spans="1:108" ht="12.9" customHeight="1">
      <c r="A170" s="1491"/>
      <c r="B170" s="1491"/>
      <c r="C170" s="1491"/>
      <c r="D170" s="1491"/>
      <c r="E170" s="1491"/>
      <c r="F170" s="1491"/>
      <c r="G170" s="1491"/>
      <c r="H170" s="1491"/>
      <c r="I170" s="1491"/>
      <c r="J170" s="1491"/>
      <c r="K170" s="1491"/>
      <c r="L170" s="1491"/>
      <c r="M170" s="1491"/>
      <c r="N170" s="1491"/>
      <c r="O170" s="1491"/>
      <c r="P170" s="1491"/>
      <c r="Q170" s="1491"/>
      <c r="R170" s="1491"/>
      <c r="S170" s="1491"/>
      <c r="T170" s="1491"/>
      <c r="U170" s="1491"/>
      <c r="V170" s="1491"/>
      <c r="W170" s="1491"/>
      <c r="X170" s="1491"/>
      <c r="Y170" s="1491"/>
      <c r="Z170" s="1491"/>
      <c r="AA170" s="1491"/>
      <c r="AB170" s="1491"/>
      <c r="AC170" s="1491"/>
      <c r="AD170" s="1491"/>
      <c r="AE170" s="1491"/>
      <c r="AF170" s="1491"/>
      <c r="AG170" s="1491"/>
      <c r="AH170" s="1491"/>
      <c r="AI170" s="1491"/>
      <c r="AJ170" s="1491"/>
      <c r="AK170" s="1491"/>
      <c r="AL170" s="1491"/>
      <c r="AM170" s="1491"/>
      <c r="AN170" s="1491"/>
      <c r="AO170" s="1491"/>
      <c r="AP170" s="1491"/>
      <c r="AQ170" s="1491"/>
      <c r="AR170" s="1491"/>
      <c r="AS170" s="1491"/>
      <c r="AT170" s="1491"/>
      <c r="AU170" s="54"/>
      <c r="AV170" s="54"/>
      <c r="AW170" s="54"/>
      <c r="AX170" s="54"/>
      <c r="AY170" s="54"/>
      <c r="BN170" s="104" t="s">
        <v>866</v>
      </c>
      <c r="BS170">
        <v>7</v>
      </c>
      <c r="BT170" t="s">
        <v>867</v>
      </c>
      <c r="CB170" s="984" t="s">
        <v>860</v>
      </c>
      <c r="CC170" s="274">
        <v>1644</v>
      </c>
      <c r="CD170" s="275">
        <v>1762</v>
      </c>
      <c r="CE170" s="274">
        <v>2114</v>
      </c>
      <c r="CF170" s="275">
        <v>2442</v>
      </c>
      <c r="CG170" s="275">
        <v>2724</v>
      </c>
      <c r="CH170" s="276">
        <v>3006</v>
      </c>
      <c r="CI170" s="2"/>
      <c r="CJ170" s="982">
        <v>841</v>
      </c>
      <c r="CK170" s="982">
        <v>935</v>
      </c>
      <c r="CL170" s="982">
        <v>1227</v>
      </c>
      <c r="CM170" s="982">
        <v>1631</v>
      </c>
      <c r="CN170" s="982">
        <v>2060</v>
      </c>
      <c r="CR170" s="104" t="s">
        <v>859</v>
      </c>
      <c r="CS170" s="983">
        <v>352022</v>
      </c>
      <c r="CT170" s="983">
        <v>405878</v>
      </c>
      <c r="CU170" s="983">
        <v>489600</v>
      </c>
      <c r="CV170" s="983">
        <v>626688</v>
      </c>
      <c r="CW170" s="983">
        <v>698170</v>
      </c>
      <c r="CX170" s="11"/>
      <c r="CY170" s="104" t="s">
        <v>859</v>
      </c>
      <c r="CZ170" s="983">
        <v>352022</v>
      </c>
      <c r="DA170" s="983">
        <v>405878</v>
      </c>
      <c r="DB170" s="983">
        <v>489600</v>
      </c>
      <c r="DC170" s="983">
        <v>626688</v>
      </c>
      <c r="DD170" s="983">
        <v>698170</v>
      </c>
    </row>
    <row r="171" spans="1:108" ht="12.9" customHeight="1">
      <c r="BN171" s="104" t="s">
        <v>868</v>
      </c>
      <c r="BS171">
        <v>5</v>
      </c>
      <c r="BT171" t="s">
        <v>869</v>
      </c>
      <c r="CB171" s="984" t="s">
        <v>862</v>
      </c>
      <c r="CC171" s="274">
        <v>1644</v>
      </c>
      <c r="CD171" s="275">
        <v>1762</v>
      </c>
      <c r="CE171" s="274">
        <v>2114</v>
      </c>
      <c r="CF171" s="275">
        <v>2442</v>
      </c>
      <c r="CG171" s="275">
        <v>2724</v>
      </c>
      <c r="CH171" s="276">
        <v>3006</v>
      </c>
      <c r="CI171" s="2"/>
      <c r="CJ171" s="982">
        <v>1065</v>
      </c>
      <c r="CK171" s="982">
        <v>1132</v>
      </c>
      <c r="CL171" s="982">
        <v>1478</v>
      </c>
      <c r="CM171" s="982">
        <v>2071</v>
      </c>
      <c r="CN171" s="982">
        <v>2482</v>
      </c>
      <c r="CR171" s="104" t="s">
        <v>861</v>
      </c>
      <c r="CS171" s="985">
        <v>352022</v>
      </c>
      <c r="CT171" s="985">
        <v>405878</v>
      </c>
      <c r="CU171" s="985">
        <v>489600</v>
      </c>
      <c r="CV171" s="985">
        <v>626688</v>
      </c>
      <c r="CW171" s="985">
        <v>698170</v>
      </c>
      <c r="CX171" s="11"/>
      <c r="CY171" s="104" t="s">
        <v>861</v>
      </c>
      <c r="CZ171" s="985">
        <v>352022</v>
      </c>
      <c r="DA171" s="985">
        <v>405878</v>
      </c>
      <c r="DB171" s="985">
        <v>489600</v>
      </c>
      <c r="DC171" s="985">
        <v>626688</v>
      </c>
      <c r="DD171" s="985">
        <v>698170</v>
      </c>
    </row>
    <row r="172" spans="1:108" ht="12.9" customHeight="1">
      <c r="A172" s="1" t="s">
        <v>870</v>
      </c>
      <c r="C172" s="1" t="s">
        <v>91</v>
      </c>
      <c r="BN172" s="104" t="s">
        <v>871</v>
      </c>
      <c r="BS172">
        <v>5</v>
      </c>
      <c r="BT172" t="s">
        <v>872</v>
      </c>
      <c r="CB172" s="984" t="s">
        <v>865</v>
      </c>
      <c r="CC172" s="274">
        <v>1644</v>
      </c>
      <c r="CD172" s="275">
        <v>1762</v>
      </c>
      <c r="CE172" s="274">
        <v>2114</v>
      </c>
      <c r="CF172" s="275">
        <v>2442</v>
      </c>
      <c r="CG172" s="275">
        <v>2724</v>
      </c>
      <c r="CH172" s="276">
        <v>3006</v>
      </c>
      <c r="CI172" s="2"/>
      <c r="CJ172" s="982">
        <v>940</v>
      </c>
      <c r="CK172" s="982">
        <v>1056</v>
      </c>
      <c r="CL172" s="982">
        <v>1371</v>
      </c>
      <c r="CM172" s="982">
        <v>1873</v>
      </c>
      <c r="CN172" s="982">
        <v>2287</v>
      </c>
      <c r="CR172" s="104" t="s">
        <v>864</v>
      </c>
      <c r="CS172" s="983">
        <v>324988</v>
      </c>
      <c r="CT172" s="983">
        <v>374708</v>
      </c>
      <c r="CU172" s="983">
        <v>452000</v>
      </c>
      <c r="CV172" s="983">
        <v>578560</v>
      </c>
      <c r="CW172" s="983">
        <v>644552</v>
      </c>
      <c r="CX172" s="11"/>
      <c r="CY172" s="104" t="s">
        <v>864</v>
      </c>
      <c r="CZ172" s="983">
        <v>324988</v>
      </c>
      <c r="DA172" s="983">
        <v>374708</v>
      </c>
      <c r="DB172" s="983">
        <v>452000</v>
      </c>
      <c r="DC172" s="983">
        <v>578560</v>
      </c>
      <c r="DD172" s="983">
        <v>644552</v>
      </c>
    </row>
    <row r="173" spans="1:108" ht="12.9" customHeight="1">
      <c r="C173" s="18"/>
      <c r="D173" t="s">
        <v>873</v>
      </c>
      <c r="J173" s="1486" t="s">
        <v>874</v>
      </c>
      <c r="K173" s="1486"/>
      <c r="L173" s="1486"/>
      <c r="M173" s="1486"/>
      <c r="N173" s="1486"/>
      <c r="O173" s="1486"/>
      <c r="P173" s="1486"/>
      <c r="Q173" s="1486"/>
      <c r="R173" s="1486"/>
      <c r="S173" s="1486"/>
      <c r="U173" s="19"/>
      <c r="X173" s="19"/>
      <c r="BB173" s="2" t="s">
        <v>547</v>
      </c>
      <c r="BN173" s="104" t="s">
        <v>875</v>
      </c>
      <c r="BS173">
        <v>7</v>
      </c>
      <c r="BT173" t="s">
        <v>876</v>
      </c>
      <c r="CB173" s="984" t="s">
        <v>867</v>
      </c>
      <c r="CC173" s="274">
        <v>1680</v>
      </c>
      <c r="CD173" s="275">
        <v>1800</v>
      </c>
      <c r="CE173" s="274">
        <v>2160</v>
      </c>
      <c r="CF173" s="275">
        <v>2496</v>
      </c>
      <c r="CG173" s="275">
        <v>2784</v>
      </c>
      <c r="CH173" s="276">
        <v>3072</v>
      </c>
      <c r="CI173" s="2"/>
      <c r="CJ173" s="982">
        <v>978</v>
      </c>
      <c r="CK173" s="982">
        <v>1254</v>
      </c>
      <c r="CL173" s="982">
        <v>1426</v>
      </c>
      <c r="CM173" s="982">
        <v>1734</v>
      </c>
      <c r="CN173" s="982">
        <v>2365</v>
      </c>
      <c r="CR173" s="104" t="s">
        <v>866</v>
      </c>
      <c r="CS173" s="985">
        <v>352022</v>
      </c>
      <c r="CT173" s="985">
        <v>405878</v>
      </c>
      <c r="CU173" s="985">
        <v>489600</v>
      </c>
      <c r="CV173" s="985">
        <v>626688</v>
      </c>
      <c r="CW173" s="985">
        <v>698170</v>
      </c>
      <c r="CX173" s="11"/>
      <c r="CY173" s="104" t="s">
        <v>866</v>
      </c>
      <c r="CZ173" s="985">
        <v>352022</v>
      </c>
      <c r="DA173" s="985">
        <v>405878</v>
      </c>
      <c r="DB173" s="985">
        <v>489600</v>
      </c>
      <c r="DC173" s="985">
        <v>626688</v>
      </c>
      <c r="DD173" s="985">
        <v>698170</v>
      </c>
    </row>
    <row r="174" spans="1:108" ht="12.9" customHeight="1">
      <c r="C174" s="18"/>
      <c r="D174" s="2" t="s">
        <v>877</v>
      </c>
      <c r="J174" s="1383" t="s">
        <v>878</v>
      </c>
      <c r="K174" s="1383"/>
      <c r="L174" s="1383"/>
      <c r="M174" s="1383"/>
      <c r="N174" s="1383"/>
      <c r="O174" s="1383"/>
      <c r="P174" s="1383"/>
      <c r="Q174" s="1383"/>
      <c r="R174" s="1383"/>
      <c r="S174" s="1383"/>
      <c r="T174" s="1383"/>
      <c r="U174" s="1383"/>
      <c r="V174" s="1383"/>
      <c r="W174" s="1383"/>
      <c r="X174" s="1383"/>
      <c r="Y174" s="1383"/>
      <c r="Z174" s="1383"/>
      <c r="AA174" s="1383"/>
      <c r="AB174" s="1383"/>
      <c r="BB174" t="s">
        <v>879</v>
      </c>
      <c r="BN174" s="104" t="s">
        <v>880</v>
      </c>
      <c r="BS174">
        <v>7</v>
      </c>
      <c r="BT174" t="s">
        <v>881</v>
      </c>
      <c r="CB174" s="984" t="s">
        <v>869</v>
      </c>
      <c r="CC174" s="274">
        <v>1644</v>
      </c>
      <c r="CD174" s="275">
        <v>1762</v>
      </c>
      <c r="CE174" s="274">
        <v>2114</v>
      </c>
      <c r="CF174" s="275">
        <v>2442</v>
      </c>
      <c r="CG174" s="275">
        <v>2724</v>
      </c>
      <c r="CH174" s="276">
        <v>3006</v>
      </c>
      <c r="CI174" s="2"/>
      <c r="CJ174" s="982">
        <v>1058</v>
      </c>
      <c r="CK174" s="982">
        <v>1064</v>
      </c>
      <c r="CL174" s="982">
        <v>1380</v>
      </c>
      <c r="CM174" s="982">
        <v>1934</v>
      </c>
      <c r="CN174" s="982">
        <v>2317</v>
      </c>
      <c r="CR174" s="104" t="s">
        <v>868</v>
      </c>
      <c r="CS174" s="983">
        <v>307732</v>
      </c>
      <c r="CT174" s="983">
        <v>354812</v>
      </c>
      <c r="CU174" s="983">
        <v>428000</v>
      </c>
      <c r="CV174" s="983">
        <v>547840</v>
      </c>
      <c r="CW174" s="983">
        <v>610328</v>
      </c>
      <c r="CX174" s="11"/>
      <c r="CY174" s="104" t="s">
        <v>868</v>
      </c>
      <c r="CZ174" s="983">
        <v>307732</v>
      </c>
      <c r="DA174" s="983">
        <v>354812</v>
      </c>
      <c r="DB174" s="983">
        <v>428000</v>
      </c>
      <c r="DC174" s="983">
        <v>547840</v>
      </c>
      <c r="DD174" s="983">
        <v>610328</v>
      </c>
    </row>
    <row r="175" spans="1:108" ht="12.9" customHeight="1">
      <c r="C175" s="6"/>
      <c r="D175" s="2" t="s">
        <v>882</v>
      </c>
      <c r="O175" s="21"/>
      <c r="U175" s="1440" t="s">
        <v>843</v>
      </c>
      <c r="V175" s="1440"/>
      <c r="BB175" t="s">
        <v>883</v>
      </c>
      <c r="BN175" s="104" t="s">
        <v>884</v>
      </c>
      <c r="BS175">
        <v>1</v>
      </c>
      <c r="BT175" t="s">
        <v>885</v>
      </c>
      <c r="CB175" s="984" t="s">
        <v>872</v>
      </c>
      <c r="CC175" s="274">
        <v>1644</v>
      </c>
      <c r="CD175" s="275">
        <v>1762</v>
      </c>
      <c r="CE175" s="274">
        <v>2114</v>
      </c>
      <c r="CF175" s="275">
        <v>2442</v>
      </c>
      <c r="CG175" s="275">
        <v>2724</v>
      </c>
      <c r="CH175" s="276">
        <v>3006</v>
      </c>
      <c r="CI175" s="2"/>
      <c r="CJ175" s="982">
        <v>1151</v>
      </c>
      <c r="CK175" s="982">
        <v>1158</v>
      </c>
      <c r="CL175" s="982">
        <v>1445</v>
      </c>
      <c r="CM175" s="982">
        <v>2025</v>
      </c>
      <c r="CN175" s="982">
        <v>2427</v>
      </c>
      <c r="CR175" s="104" t="s">
        <v>871</v>
      </c>
      <c r="CS175" s="985">
        <v>307732</v>
      </c>
      <c r="CT175" s="985">
        <v>354812</v>
      </c>
      <c r="CU175" s="985">
        <v>428000</v>
      </c>
      <c r="CV175" s="985">
        <v>547840</v>
      </c>
      <c r="CW175" s="985">
        <v>610328</v>
      </c>
      <c r="CX175" s="11"/>
      <c r="CY175" s="104" t="s">
        <v>871</v>
      </c>
      <c r="CZ175" s="985">
        <v>307732</v>
      </c>
      <c r="DA175" s="985">
        <v>354812</v>
      </c>
      <c r="DB175" s="985">
        <v>428000</v>
      </c>
      <c r="DC175" s="985">
        <v>547840</v>
      </c>
      <c r="DD175" s="985">
        <v>610328</v>
      </c>
    </row>
    <row r="176" spans="1:108" ht="12.9" customHeight="1">
      <c r="C176" s="6"/>
      <c r="D176" s="20"/>
      <c r="E176" t="s">
        <v>886</v>
      </c>
      <c r="O176" s="21"/>
      <c r="P176" t="s">
        <v>887</v>
      </c>
      <c r="T176" s="21" t="s">
        <v>888</v>
      </c>
      <c r="U176" s="1443"/>
      <c r="V176" s="1443"/>
      <c r="W176" s="1146" t="s">
        <v>889</v>
      </c>
      <c r="X176" s="1516"/>
      <c r="Y176" s="1516"/>
      <c r="BB176" t="s">
        <v>890</v>
      </c>
      <c r="BN176" s="104" t="s">
        <v>891</v>
      </c>
      <c r="BS176">
        <v>5</v>
      </c>
      <c r="BT176" t="s">
        <v>892</v>
      </c>
      <c r="CB176" s="984" t="s">
        <v>876</v>
      </c>
      <c r="CC176" s="274">
        <v>1644</v>
      </c>
      <c r="CD176" s="275">
        <v>1762</v>
      </c>
      <c r="CE176" s="274">
        <v>2114</v>
      </c>
      <c r="CF176" s="275">
        <v>2442</v>
      </c>
      <c r="CG176" s="275">
        <v>2724</v>
      </c>
      <c r="CH176" s="276">
        <v>3006</v>
      </c>
      <c r="CI176" s="2"/>
      <c r="CJ176" s="982">
        <v>1053</v>
      </c>
      <c r="CK176" s="982">
        <v>1060</v>
      </c>
      <c r="CL176" s="982">
        <v>1390</v>
      </c>
      <c r="CM176" s="982">
        <v>1948</v>
      </c>
      <c r="CN176" s="982">
        <v>2334</v>
      </c>
      <c r="CR176" s="104" t="s">
        <v>875</v>
      </c>
      <c r="CS176" s="983">
        <v>352022</v>
      </c>
      <c r="CT176" s="983">
        <v>405878</v>
      </c>
      <c r="CU176" s="983">
        <v>489600</v>
      </c>
      <c r="CV176" s="983">
        <v>626688</v>
      </c>
      <c r="CW176" s="983">
        <v>698170</v>
      </c>
      <c r="CX176" s="11"/>
      <c r="CY176" s="104" t="s">
        <v>875</v>
      </c>
      <c r="CZ176" s="983">
        <v>352022</v>
      </c>
      <c r="DA176" s="983">
        <v>405878</v>
      </c>
      <c r="DB176" s="983">
        <v>489600</v>
      </c>
      <c r="DC176" s="983">
        <v>626688</v>
      </c>
      <c r="DD176" s="983">
        <v>698170</v>
      </c>
    </row>
    <row r="177" spans="1:108" ht="12.9" customHeight="1">
      <c r="C177" s="18"/>
      <c r="D177" t="s">
        <v>893</v>
      </c>
      <c r="R177" s="1440" t="s">
        <v>843</v>
      </c>
      <c r="S177" s="1440"/>
      <c r="BB177" t="s">
        <v>894</v>
      </c>
      <c r="BN177" s="104" t="s">
        <v>895</v>
      </c>
      <c r="BS177">
        <v>2</v>
      </c>
      <c r="BT177" t="s">
        <v>896</v>
      </c>
      <c r="CB177" s="984" t="s">
        <v>881</v>
      </c>
      <c r="CC177" s="274">
        <v>1644</v>
      </c>
      <c r="CD177" s="275">
        <v>1762</v>
      </c>
      <c r="CE177" s="274">
        <v>2114</v>
      </c>
      <c r="CF177" s="275">
        <v>2442</v>
      </c>
      <c r="CG177" s="275">
        <v>2724</v>
      </c>
      <c r="CH177" s="276">
        <v>3006</v>
      </c>
      <c r="CI177" s="2"/>
      <c r="CJ177" s="982">
        <v>819</v>
      </c>
      <c r="CK177" s="982">
        <v>910</v>
      </c>
      <c r="CL177" s="982">
        <v>1194</v>
      </c>
      <c r="CM177" s="982">
        <v>1673</v>
      </c>
      <c r="CN177" s="982">
        <v>2005</v>
      </c>
      <c r="CR177" s="104" t="s">
        <v>880</v>
      </c>
      <c r="CS177" s="985">
        <v>352022</v>
      </c>
      <c r="CT177" s="985">
        <v>405878</v>
      </c>
      <c r="CU177" s="985">
        <v>489600</v>
      </c>
      <c r="CV177" s="985">
        <v>626688</v>
      </c>
      <c r="CW177" s="985">
        <v>698170</v>
      </c>
      <c r="CX177" s="11"/>
      <c r="CY177" s="104" t="s">
        <v>880</v>
      </c>
      <c r="CZ177" s="985">
        <v>352022</v>
      </c>
      <c r="DA177" s="985">
        <v>405878</v>
      </c>
      <c r="DB177" s="985">
        <v>489600</v>
      </c>
      <c r="DC177" s="985">
        <v>626688</v>
      </c>
      <c r="DD177" s="985">
        <v>698170</v>
      </c>
    </row>
    <row r="178" spans="1:108" ht="12.9" customHeight="1">
      <c r="C178" s="18"/>
      <c r="D178" s="2" t="s">
        <v>897</v>
      </c>
      <c r="AA178" t="s">
        <v>887</v>
      </c>
      <c r="AE178" s="21" t="s">
        <v>888</v>
      </c>
      <c r="AF178" s="1515"/>
      <c r="AG178" s="1515"/>
      <c r="AH178" s="1146" t="s">
        <v>889</v>
      </c>
      <c r="AI178" s="1467"/>
      <c r="AJ178" s="1467"/>
      <c r="AK178" s="1467"/>
      <c r="BB178" t="s">
        <v>898</v>
      </c>
      <c r="BN178" s="104" t="s">
        <v>899</v>
      </c>
      <c r="BS178">
        <v>7</v>
      </c>
      <c r="BT178" t="s">
        <v>900</v>
      </c>
      <c r="CB178" s="984" t="s">
        <v>885</v>
      </c>
      <c r="CC178" s="274">
        <v>2650</v>
      </c>
      <c r="CD178" s="275">
        <v>2840</v>
      </c>
      <c r="CE178" s="274">
        <v>3406</v>
      </c>
      <c r="CF178" s="275">
        <v>3938</v>
      </c>
      <c r="CG178" s="275">
        <v>4392</v>
      </c>
      <c r="CH178" s="276">
        <v>4846</v>
      </c>
      <c r="CI178" s="2"/>
      <c r="CJ178" s="982">
        <v>1856</v>
      </c>
      <c r="CK178" s="982">
        <v>2081</v>
      </c>
      <c r="CL178" s="982">
        <v>2625</v>
      </c>
      <c r="CM178" s="982">
        <v>3335</v>
      </c>
      <c r="CN178" s="982">
        <v>3698</v>
      </c>
      <c r="CR178" s="104" t="s">
        <v>884</v>
      </c>
      <c r="CS178" s="983">
        <v>437727</v>
      </c>
      <c r="CT178" s="983">
        <v>504695</v>
      </c>
      <c r="CU178" s="983">
        <v>608800</v>
      </c>
      <c r="CV178" s="983">
        <v>779264</v>
      </c>
      <c r="CW178" s="983">
        <v>868149</v>
      </c>
      <c r="CX178" s="11"/>
      <c r="CY178" s="104" t="s">
        <v>884</v>
      </c>
      <c r="CZ178" s="983">
        <v>437727</v>
      </c>
      <c r="DA178" s="983">
        <v>504695</v>
      </c>
      <c r="DB178" s="983">
        <v>608800</v>
      </c>
      <c r="DC178" s="983">
        <v>779264</v>
      </c>
      <c r="DD178" s="983">
        <v>868149</v>
      </c>
    </row>
    <row r="179" spans="1:108" ht="12.9" customHeight="1">
      <c r="C179" s="18"/>
      <c r="BN179" s="104" t="s">
        <v>901</v>
      </c>
      <c r="BS179">
        <v>7</v>
      </c>
      <c r="BT179" t="s">
        <v>902</v>
      </c>
      <c r="CB179" s="984" t="s">
        <v>892</v>
      </c>
      <c r="CC179" s="274">
        <v>1644</v>
      </c>
      <c r="CD179" s="275">
        <v>1762</v>
      </c>
      <c r="CE179" s="274">
        <v>2114</v>
      </c>
      <c r="CF179" s="275">
        <v>2442</v>
      </c>
      <c r="CG179" s="275">
        <v>2724</v>
      </c>
      <c r="CH179" s="276">
        <v>3006</v>
      </c>
      <c r="CI179" s="2"/>
      <c r="CJ179" s="982">
        <v>1099</v>
      </c>
      <c r="CK179" s="982">
        <v>1106</v>
      </c>
      <c r="CL179" s="982">
        <v>1433</v>
      </c>
      <c r="CM179" s="982">
        <v>2008</v>
      </c>
      <c r="CN179" s="982">
        <v>2293</v>
      </c>
      <c r="CR179" s="104" t="s">
        <v>891</v>
      </c>
      <c r="CS179" s="985">
        <v>307732</v>
      </c>
      <c r="CT179" s="985">
        <v>354812</v>
      </c>
      <c r="CU179" s="985">
        <v>428000</v>
      </c>
      <c r="CV179" s="985">
        <v>547840</v>
      </c>
      <c r="CW179" s="985">
        <v>610328</v>
      </c>
      <c r="CX179" s="11"/>
      <c r="CY179" s="104" t="s">
        <v>891</v>
      </c>
      <c r="CZ179" s="985">
        <v>307732</v>
      </c>
      <c r="DA179" s="985">
        <v>354812</v>
      </c>
      <c r="DB179" s="985">
        <v>428000</v>
      </c>
      <c r="DC179" s="985">
        <v>547840</v>
      </c>
      <c r="DD179" s="985">
        <v>610328</v>
      </c>
    </row>
    <row r="180" spans="1:108" ht="12.9" customHeight="1">
      <c r="C180" s="18"/>
      <c r="D180" t="s">
        <v>903</v>
      </c>
      <c r="X180" s="1440" t="s">
        <v>843</v>
      </c>
      <c r="Y180" s="1440"/>
      <c r="BN180" s="104" t="s">
        <v>904</v>
      </c>
      <c r="BS180">
        <v>5</v>
      </c>
      <c r="BT180" t="s">
        <v>905</v>
      </c>
      <c r="CB180" s="984" t="s">
        <v>896</v>
      </c>
      <c r="CC180" s="274">
        <v>3384</v>
      </c>
      <c r="CD180" s="275">
        <v>3626</v>
      </c>
      <c r="CE180" s="274">
        <v>4352</v>
      </c>
      <c r="CF180" s="275">
        <v>5028</v>
      </c>
      <c r="CG180" s="275">
        <v>5610</v>
      </c>
      <c r="CH180" s="276">
        <v>6190</v>
      </c>
      <c r="CI180" s="2"/>
      <c r="CJ180" s="982">
        <v>2275</v>
      </c>
      <c r="CK180" s="982">
        <v>2780</v>
      </c>
      <c r="CL180" s="982">
        <v>3318</v>
      </c>
      <c r="CM180" s="982">
        <v>4138</v>
      </c>
      <c r="CN180" s="982">
        <v>4399</v>
      </c>
      <c r="CR180" s="104" t="s">
        <v>895</v>
      </c>
      <c r="CS180" s="983">
        <v>384234</v>
      </c>
      <c r="CT180" s="983">
        <v>443018</v>
      </c>
      <c r="CU180" s="983">
        <v>534400</v>
      </c>
      <c r="CV180" s="983">
        <v>684032</v>
      </c>
      <c r="CW180" s="983">
        <v>762054</v>
      </c>
      <c r="CX180" s="11"/>
      <c r="CY180" s="104" t="s">
        <v>895</v>
      </c>
      <c r="CZ180" s="983">
        <v>384234</v>
      </c>
      <c r="DA180" s="983">
        <v>443018</v>
      </c>
      <c r="DB180" s="983">
        <v>534400</v>
      </c>
      <c r="DC180" s="983">
        <v>684032</v>
      </c>
      <c r="DD180" s="983">
        <v>762054</v>
      </c>
    </row>
    <row r="181" spans="1:108" ht="12.9" customHeight="1">
      <c r="C181" s="6"/>
      <c r="E181" s="2" t="s">
        <v>906</v>
      </c>
      <c r="BN181" s="104" t="s">
        <v>907</v>
      </c>
      <c r="BS181">
        <v>7</v>
      </c>
      <c r="BT181" t="s">
        <v>908</v>
      </c>
      <c r="CB181" s="984" t="s">
        <v>900</v>
      </c>
      <c r="CC181" s="274">
        <v>1644</v>
      </c>
      <c r="CD181" s="275">
        <v>1762</v>
      </c>
      <c r="CE181" s="274">
        <v>2114</v>
      </c>
      <c r="CF181" s="275">
        <v>2442</v>
      </c>
      <c r="CG181" s="275">
        <v>2724</v>
      </c>
      <c r="CH181" s="276">
        <v>3006</v>
      </c>
      <c r="CI181" s="2"/>
      <c r="CJ181" s="982">
        <v>928</v>
      </c>
      <c r="CK181" s="982">
        <v>1119</v>
      </c>
      <c r="CL181" s="982">
        <v>1338</v>
      </c>
      <c r="CM181" s="982">
        <v>1875</v>
      </c>
      <c r="CN181" s="982">
        <v>2247</v>
      </c>
      <c r="CR181" s="104" t="s">
        <v>899</v>
      </c>
      <c r="CS181" s="985">
        <v>352022</v>
      </c>
      <c r="CT181" s="985">
        <v>405878</v>
      </c>
      <c r="CU181" s="985">
        <v>489600</v>
      </c>
      <c r="CV181" s="985">
        <v>626688</v>
      </c>
      <c r="CW181" s="985">
        <v>698170</v>
      </c>
      <c r="CX181" s="11"/>
      <c r="CY181" s="104" t="s">
        <v>899</v>
      </c>
      <c r="CZ181" s="985">
        <v>352022</v>
      </c>
      <c r="DA181" s="985">
        <v>405878</v>
      </c>
      <c r="DB181" s="985">
        <v>489600</v>
      </c>
      <c r="DC181" s="985">
        <v>626688</v>
      </c>
      <c r="DD181" s="985">
        <v>698170</v>
      </c>
    </row>
    <row r="182" spans="1:108" ht="12.9" customHeight="1">
      <c r="C182" s="330"/>
      <c r="BN182" s="104" t="s">
        <v>909</v>
      </c>
      <c r="BS182">
        <v>7</v>
      </c>
      <c r="BT182" t="s">
        <v>910</v>
      </c>
      <c r="CB182" s="984" t="s">
        <v>902</v>
      </c>
      <c r="CC182" s="274">
        <v>1644</v>
      </c>
      <c r="CD182" s="275">
        <v>1762</v>
      </c>
      <c r="CE182" s="274">
        <v>2114</v>
      </c>
      <c r="CF182" s="275">
        <v>2442</v>
      </c>
      <c r="CG182" s="275">
        <v>2724</v>
      </c>
      <c r="CH182" s="276">
        <v>3006</v>
      </c>
      <c r="CI182" s="2"/>
      <c r="CJ182" s="982">
        <v>1173</v>
      </c>
      <c r="CK182" s="982">
        <v>1220</v>
      </c>
      <c r="CL182" s="982">
        <v>1601</v>
      </c>
      <c r="CM182" s="982">
        <v>2243</v>
      </c>
      <c r="CN182" s="982">
        <v>2688</v>
      </c>
      <c r="CR182" s="104" t="s">
        <v>901</v>
      </c>
      <c r="CS182" s="983">
        <v>352022</v>
      </c>
      <c r="CT182" s="983">
        <v>405878</v>
      </c>
      <c r="CU182" s="983">
        <v>489600</v>
      </c>
      <c r="CV182" s="983">
        <v>626688</v>
      </c>
      <c r="CW182" s="983">
        <v>698170</v>
      </c>
      <c r="CX182" s="11"/>
      <c r="CY182" s="104" t="s">
        <v>901</v>
      </c>
      <c r="CZ182" s="983">
        <v>352022</v>
      </c>
      <c r="DA182" s="983">
        <v>405878</v>
      </c>
      <c r="DB182" s="983">
        <v>489600</v>
      </c>
      <c r="DC182" s="983">
        <v>626688</v>
      </c>
      <c r="DD182" s="983">
        <v>698170</v>
      </c>
    </row>
    <row r="183" spans="1:108" ht="12.9" customHeight="1">
      <c r="A183" s="1" t="s">
        <v>911</v>
      </c>
      <c r="C183" s="1" t="s">
        <v>93</v>
      </c>
      <c r="BN183" s="104" t="s">
        <v>912</v>
      </c>
      <c r="BS183">
        <v>4</v>
      </c>
      <c r="BT183" t="s">
        <v>913</v>
      </c>
      <c r="CB183" s="984" t="s">
        <v>905</v>
      </c>
      <c r="CC183" s="274">
        <v>1644</v>
      </c>
      <c r="CD183" s="275">
        <v>1762</v>
      </c>
      <c r="CE183" s="274">
        <v>2114</v>
      </c>
      <c r="CF183" s="275">
        <v>2442</v>
      </c>
      <c r="CG183" s="275">
        <v>2724</v>
      </c>
      <c r="CH183" s="276">
        <v>3006</v>
      </c>
      <c r="CI183" s="2"/>
      <c r="CJ183" s="982">
        <v>1071</v>
      </c>
      <c r="CK183" s="982">
        <v>1227</v>
      </c>
      <c r="CL183" s="982">
        <v>1509</v>
      </c>
      <c r="CM183" s="982">
        <v>2081</v>
      </c>
      <c r="CN183" s="982">
        <v>2534</v>
      </c>
      <c r="CR183" s="104" t="s">
        <v>904</v>
      </c>
      <c r="CS183" s="985">
        <v>307732</v>
      </c>
      <c r="CT183" s="985">
        <v>354812</v>
      </c>
      <c r="CU183" s="985">
        <v>428000</v>
      </c>
      <c r="CV183" s="985">
        <v>547840</v>
      </c>
      <c r="CW183" s="985">
        <v>610328</v>
      </c>
      <c r="CX183" s="11"/>
      <c r="CY183" s="104" t="s">
        <v>904</v>
      </c>
      <c r="CZ183" s="985">
        <v>307732</v>
      </c>
      <c r="DA183" s="985">
        <v>354812</v>
      </c>
      <c r="DB183" s="985">
        <v>428000</v>
      </c>
      <c r="DC183" s="985">
        <v>547840</v>
      </c>
      <c r="DD183" s="985">
        <v>610328</v>
      </c>
    </row>
    <row r="184" spans="1:108" ht="12.9" customHeight="1">
      <c r="C184" s="16"/>
      <c r="D184" t="s">
        <v>914</v>
      </c>
      <c r="I184" s="1432" t="str">
        <f>H18</f>
        <v>Creekside Commons</v>
      </c>
      <c r="J184" s="1432"/>
      <c r="K184" s="1432"/>
      <c r="L184" s="1432"/>
      <c r="M184" s="1432"/>
      <c r="N184" s="1432"/>
      <c r="O184" s="1432"/>
      <c r="P184" s="1432"/>
      <c r="Q184" s="1432"/>
      <c r="R184" s="1432"/>
      <c r="S184" s="1432"/>
      <c r="T184" s="1432"/>
      <c r="U184" s="1432"/>
      <c r="V184" s="1432"/>
      <c r="W184" s="1432"/>
      <c r="X184" s="1432"/>
      <c r="Y184" s="1432"/>
      <c r="Z184" s="1432"/>
      <c r="AA184" s="1432"/>
      <c r="AB184" s="1432"/>
      <c r="AC184" s="1432"/>
      <c r="AD184" s="1432"/>
      <c r="AE184" s="1432"/>
      <c r="BC184" t="s">
        <v>915</v>
      </c>
      <c r="BN184" s="104" t="s">
        <v>916</v>
      </c>
      <c r="BS184">
        <v>4</v>
      </c>
      <c r="BT184" t="s">
        <v>917</v>
      </c>
      <c r="CB184" s="984" t="s">
        <v>908</v>
      </c>
      <c r="CC184" s="274">
        <v>1644</v>
      </c>
      <c r="CD184" s="275">
        <v>1762</v>
      </c>
      <c r="CE184" s="274">
        <v>2114</v>
      </c>
      <c r="CF184" s="275">
        <v>2442</v>
      </c>
      <c r="CG184" s="275">
        <v>2724</v>
      </c>
      <c r="CH184" s="276">
        <v>3006</v>
      </c>
      <c r="CI184" s="2"/>
      <c r="CJ184" s="982">
        <v>731</v>
      </c>
      <c r="CK184" s="982">
        <v>886</v>
      </c>
      <c r="CL184" s="982">
        <v>1054</v>
      </c>
      <c r="CM184" s="982">
        <v>1270</v>
      </c>
      <c r="CN184" s="982">
        <v>1748</v>
      </c>
      <c r="CR184" s="104" t="s">
        <v>907</v>
      </c>
      <c r="CS184" s="983">
        <v>352022</v>
      </c>
      <c r="CT184" s="983">
        <v>405878</v>
      </c>
      <c r="CU184" s="983">
        <v>489600</v>
      </c>
      <c r="CV184" s="983">
        <v>626688</v>
      </c>
      <c r="CW184" s="983">
        <v>698170</v>
      </c>
      <c r="CX184" s="11"/>
      <c r="CY184" s="104" t="s">
        <v>907</v>
      </c>
      <c r="CZ184" s="983">
        <v>352022</v>
      </c>
      <c r="DA184" s="983">
        <v>405878</v>
      </c>
      <c r="DB184" s="983">
        <v>489600</v>
      </c>
      <c r="DC184" s="983">
        <v>626688</v>
      </c>
      <c r="DD184" s="983">
        <v>698170</v>
      </c>
    </row>
    <row r="185" spans="1:108" ht="12.9" customHeight="1">
      <c r="C185" s="16"/>
      <c r="D185" t="s">
        <v>918</v>
      </c>
      <c r="I185" s="1503" t="s">
        <v>919</v>
      </c>
      <c r="J185" s="1328"/>
      <c r="K185" s="1328"/>
      <c r="L185" s="1328"/>
      <c r="M185" s="1328"/>
      <c r="N185" s="1328"/>
      <c r="O185" s="1328"/>
      <c r="P185" s="1328"/>
      <c r="Q185" s="1328"/>
      <c r="R185" s="1328"/>
      <c r="S185" s="1328"/>
      <c r="T185" s="1328"/>
      <c r="U185" s="1328"/>
      <c r="V185" s="1328"/>
      <c r="W185" s="1328"/>
      <c r="X185" s="1328"/>
      <c r="Y185" s="1328"/>
      <c r="Z185" s="1328"/>
      <c r="AA185" s="1328"/>
      <c r="AB185" s="1328"/>
      <c r="AC185" s="1328"/>
      <c r="AD185" s="1328"/>
      <c r="AE185" s="1328"/>
      <c r="BC185" t="s">
        <v>920</v>
      </c>
      <c r="BN185" s="104" t="s">
        <v>921</v>
      </c>
      <c r="BS185">
        <v>7</v>
      </c>
      <c r="BT185" t="s">
        <v>922</v>
      </c>
      <c r="CB185" s="984" t="s">
        <v>910</v>
      </c>
      <c r="CC185" s="274">
        <v>1784</v>
      </c>
      <c r="CD185" s="275">
        <v>1912</v>
      </c>
      <c r="CE185" s="274">
        <v>2294</v>
      </c>
      <c r="CF185" s="275">
        <v>2652</v>
      </c>
      <c r="CG185" s="275">
        <v>2960</v>
      </c>
      <c r="CH185" s="276">
        <v>3266</v>
      </c>
      <c r="CI185" s="2"/>
      <c r="CJ185" s="982">
        <v>1036</v>
      </c>
      <c r="CK185" s="982">
        <v>1348</v>
      </c>
      <c r="CL185" s="982">
        <v>1493</v>
      </c>
      <c r="CM185" s="982">
        <v>2092</v>
      </c>
      <c r="CN185" s="982">
        <v>2476</v>
      </c>
      <c r="CR185" s="104" t="s">
        <v>909</v>
      </c>
      <c r="CS185" s="985">
        <v>352022</v>
      </c>
      <c r="CT185" s="985">
        <v>405878</v>
      </c>
      <c r="CU185" s="985">
        <v>489600</v>
      </c>
      <c r="CV185" s="985">
        <v>626688</v>
      </c>
      <c r="CW185" s="985">
        <v>698170</v>
      </c>
      <c r="CX185" s="11"/>
      <c r="CY185" s="104" t="s">
        <v>909</v>
      </c>
      <c r="CZ185" s="985">
        <v>352022</v>
      </c>
      <c r="DA185" s="985">
        <v>405878</v>
      </c>
      <c r="DB185" s="985">
        <v>489600</v>
      </c>
      <c r="DC185" s="985">
        <v>626688</v>
      </c>
      <c r="DD185" s="985">
        <v>698170</v>
      </c>
    </row>
    <row r="186" spans="1:108" ht="12.9" customHeight="1">
      <c r="C186" s="16"/>
      <c r="E186" t="s">
        <v>923</v>
      </c>
      <c r="BN186" s="104" t="s">
        <v>924</v>
      </c>
      <c r="BS186">
        <v>4</v>
      </c>
      <c r="BT186" t="s">
        <v>925</v>
      </c>
      <c r="CB186" s="984" t="s">
        <v>913</v>
      </c>
      <c r="CC186" s="274">
        <v>2530</v>
      </c>
      <c r="CD186" s="275">
        <v>2710</v>
      </c>
      <c r="CE186" s="274">
        <v>3254</v>
      </c>
      <c r="CF186" s="275">
        <v>3760</v>
      </c>
      <c r="CG186" s="275">
        <v>4192</v>
      </c>
      <c r="CH186" s="276">
        <v>4626</v>
      </c>
      <c r="CI186" s="2"/>
      <c r="CJ186" s="982">
        <v>2414</v>
      </c>
      <c r="CK186" s="982">
        <v>2479</v>
      </c>
      <c r="CL186" s="982">
        <v>2982</v>
      </c>
      <c r="CM186" s="982">
        <v>4025</v>
      </c>
      <c r="CN186" s="982">
        <v>4383</v>
      </c>
      <c r="CR186" s="104" t="s">
        <v>912</v>
      </c>
      <c r="CS186" s="983">
        <v>404366</v>
      </c>
      <c r="CT186" s="983">
        <v>466230</v>
      </c>
      <c r="CU186" s="983">
        <v>562400</v>
      </c>
      <c r="CV186" s="983">
        <v>719872</v>
      </c>
      <c r="CW186" s="983">
        <v>801982</v>
      </c>
      <c r="CX186" s="11"/>
      <c r="CY186" s="104" t="s">
        <v>912</v>
      </c>
      <c r="CZ186" s="983">
        <v>404366</v>
      </c>
      <c r="DA186" s="983">
        <v>466230</v>
      </c>
      <c r="DB186" s="983">
        <v>562400</v>
      </c>
      <c r="DC186" s="983">
        <v>719872</v>
      </c>
      <c r="DD186" s="983">
        <v>801982</v>
      </c>
    </row>
    <row r="187" spans="1:108" ht="12.9" customHeight="1">
      <c r="C187" s="16"/>
      <c r="E187" s="1481"/>
      <c r="F187" s="1481"/>
      <c r="G187" s="1481"/>
      <c r="H187" s="1481"/>
      <c r="I187" s="1481"/>
      <c r="J187" s="1481"/>
      <c r="K187" s="1481"/>
      <c r="L187" s="1481"/>
      <c r="M187" s="1481"/>
      <c r="N187" s="1481"/>
      <c r="O187" s="1481"/>
      <c r="P187" s="1481"/>
      <c r="Q187" s="1481"/>
      <c r="R187" s="1481"/>
      <c r="S187" s="1481"/>
      <c r="T187" s="1481"/>
      <c r="U187" s="1481"/>
      <c r="V187" s="1481"/>
      <c r="W187" s="1481"/>
      <c r="X187" s="1481"/>
      <c r="Y187" s="1481"/>
      <c r="Z187" s="1481"/>
      <c r="AA187" s="1481"/>
      <c r="AB187" s="1481"/>
      <c r="AC187" s="1481"/>
      <c r="AD187" s="1481"/>
      <c r="AE187" s="1481"/>
      <c r="BN187" s="104" t="s">
        <v>926</v>
      </c>
      <c r="BS187">
        <v>6</v>
      </c>
      <c r="BT187" t="s">
        <v>927</v>
      </c>
      <c r="CB187" s="984" t="s">
        <v>917</v>
      </c>
      <c r="CC187" s="274">
        <v>2804</v>
      </c>
      <c r="CD187" s="275">
        <v>3004</v>
      </c>
      <c r="CE187" s="274">
        <v>3606</v>
      </c>
      <c r="CF187" s="275">
        <v>4168</v>
      </c>
      <c r="CG187" s="275">
        <v>4650</v>
      </c>
      <c r="CH187" s="276">
        <v>5130</v>
      </c>
      <c r="CI187" s="2"/>
      <c r="CJ187" s="982">
        <v>1915</v>
      </c>
      <c r="CK187" s="982">
        <v>2128</v>
      </c>
      <c r="CL187" s="982">
        <v>2792</v>
      </c>
      <c r="CM187" s="982">
        <v>3636</v>
      </c>
      <c r="CN187" s="982">
        <v>4144</v>
      </c>
      <c r="CR187" s="104" t="s">
        <v>916</v>
      </c>
      <c r="CS187" s="985">
        <v>384234</v>
      </c>
      <c r="CT187" s="985">
        <v>443018</v>
      </c>
      <c r="CU187" s="985">
        <v>534400</v>
      </c>
      <c r="CV187" s="985">
        <v>684032</v>
      </c>
      <c r="CW187" s="985">
        <v>762054</v>
      </c>
      <c r="CX187" s="11"/>
      <c r="CY187" s="104" t="s">
        <v>916</v>
      </c>
      <c r="CZ187" s="985">
        <v>384234</v>
      </c>
      <c r="DA187" s="985">
        <v>443018</v>
      </c>
      <c r="DB187" s="985">
        <v>534400</v>
      </c>
      <c r="DC187" s="985">
        <v>684032</v>
      </c>
      <c r="DD187" s="985">
        <v>762054</v>
      </c>
    </row>
    <row r="188" spans="1:108" ht="12.9" customHeight="1">
      <c r="C188" s="16"/>
      <c r="E188" s="1482"/>
      <c r="F188" s="1482"/>
      <c r="G188" s="1482"/>
      <c r="H188" s="1482"/>
      <c r="I188" s="1482"/>
      <c r="J188" s="1482"/>
      <c r="K188" s="1482"/>
      <c r="L188" s="1482"/>
      <c r="M188" s="1482"/>
      <c r="N188" s="1482"/>
      <c r="O188" s="1482"/>
      <c r="P188" s="1482"/>
      <c r="Q188" s="1482"/>
      <c r="R188" s="1482"/>
      <c r="S188" s="1482"/>
      <c r="T188" s="1482"/>
      <c r="U188" s="1482"/>
      <c r="V188" s="1482"/>
      <c r="W188" s="1482"/>
      <c r="X188" s="1482"/>
      <c r="Y188" s="1482"/>
      <c r="Z188" s="1482"/>
      <c r="AA188" s="1482"/>
      <c r="AB188" s="1482"/>
      <c r="AC188" s="1482"/>
      <c r="AD188" s="1482"/>
      <c r="AE188" s="1482"/>
      <c r="BN188" s="104" t="s">
        <v>928</v>
      </c>
      <c r="BS188">
        <v>7</v>
      </c>
      <c r="BT188" t="s">
        <v>929</v>
      </c>
      <c r="CB188" s="984" t="s">
        <v>922</v>
      </c>
      <c r="CC188" s="274">
        <v>1992</v>
      </c>
      <c r="CD188" s="275">
        <v>2132</v>
      </c>
      <c r="CE188" s="274">
        <v>2560</v>
      </c>
      <c r="CF188" s="275">
        <v>2958</v>
      </c>
      <c r="CG188" s="275">
        <v>3300</v>
      </c>
      <c r="CH188" s="276">
        <v>3642</v>
      </c>
      <c r="CI188" s="2"/>
      <c r="CJ188" s="982">
        <v>1352</v>
      </c>
      <c r="CK188" s="982">
        <v>1361</v>
      </c>
      <c r="CL188" s="982">
        <v>1785</v>
      </c>
      <c r="CM188" s="982">
        <v>2501</v>
      </c>
      <c r="CN188" s="982">
        <v>2997</v>
      </c>
      <c r="CR188" s="104" t="s">
        <v>921</v>
      </c>
      <c r="CS188" s="983">
        <v>352022</v>
      </c>
      <c r="CT188" s="983">
        <v>405878</v>
      </c>
      <c r="CU188" s="983">
        <v>489600</v>
      </c>
      <c r="CV188" s="983">
        <v>626688</v>
      </c>
      <c r="CW188" s="983">
        <v>698170</v>
      </c>
      <c r="CX188" s="11"/>
      <c r="CY188" s="104" t="s">
        <v>921</v>
      </c>
      <c r="CZ188" s="983">
        <v>352022</v>
      </c>
      <c r="DA188" s="983">
        <v>405878</v>
      </c>
      <c r="DB188" s="983">
        <v>489600</v>
      </c>
      <c r="DC188" s="983">
        <v>626688</v>
      </c>
      <c r="DD188" s="983">
        <v>698170</v>
      </c>
    </row>
    <row r="189" spans="1:108" ht="12.9" customHeight="1">
      <c r="C189" s="16"/>
      <c r="D189" t="s">
        <v>930</v>
      </c>
      <c r="I189" s="1473" t="s">
        <v>815</v>
      </c>
      <c r="J189" s="1383"/>
      <c r="K189" s="1383"/>
      <c r="L189" s="1383"/>
      <c r="M189" s="1383"/>
      <c r="N189" s="1383"/>
      <c r="O189" s="1383"/>
      <c r="P189" s="1383"/>
      <c r="Q189" t="s">
        <v>931</v>
      </c>
      <c r="T189" s="1383" t="s">
        <v>885</v>
      </c>
      <c r="U189" s="1383"/>
      <c r="V189" s="1383"/>
      <c r="W189" s="1383"/>
      <c r="X189" s="1383"/>
      <c r="Y189" s="1383"/>
      <c r="Z189" s="1383"/>
      <c r="AA189" s="1383"/>
      <c r="AB189" s="1383"/>
      <c r="AC189" s="1383"/>
      <c r="AD189" s="1383"/>
      <c r="AE189" s="1383"/>
      <c r="BC189" t="s">
        <v>547</v>
      </c>
      <c r="BH189" s="2" t="s">
        <v>809</v>
      </c>
      <c r="BN189" s="104" t="s">
        <v>932</v>
      </c>
      <c r="BS189">
        <v>5</v>
      </c>
      <c r="BT189" t="s">
        <v>933</v>
      </c>
      <c r="CB189" s="984" t="s">
        <v>925</v>
      </c>
      <c r="CC189" s="274">
        <v>2962</v>
      </c>
      <c r="CD189" s="275">
        <v>3172</v>
      </c>
      <c r="CE189" s="274">
        <v>3806</v>
      </c>
      <c r="CF189" s="275">
        <v>4400</v>
      </c>
      <c r="CG189" s="275">
        <v>4906</v>
      </c>
      <c r="CH189" s="276">
        <v>5416</v>
      </c>
      <c r="CI189" s="2"/>
      <c r="CJ189" s="982">
        <v>2352</v>
      </c>
      <c r="CK189" s="982">
        <v>2454</v>
      </c>
      <c r="CL189" s="982">
        <v>2903</v>
      </c>
      <c r="CM189" s="982">
        <v>3927</v>
      </c>
      <c r="CN189" s="982">
        <v>4693</v>
      </c>
      <c r="CR189" s="104" t="s">
        <v>924</v>
      </c>
      <c r="CS189" s="985">
        <v>396888</v>
      </c>
      <c r="CT189" s="985">
        <v>457608</v>
      </c>
      <c r="CU189" s="985">
        <v>552000</v>
      </c>
      <c r="CV189" s="985">
        <v>706560</v>
      </c>
      <c r="CW189" s="985">
        <v>787152</v>
      </c>
      <c r="CX189" s="11"/>
      <c r="CY189" s="104" t="s">
        <v>924</v>
      </c>
      <c r="CZ189" s="985">
        <v>396888</v>
      </c>
      <c r="DA189" s="985">
        <v>457608</v>
      </c>
      <c r="DB189" s="985">
        <v>552000</v>
      </c>
      <c r="DC189" s="985">
        <v>706560</v>
      </c>
      <c r="DD189" s="985">
        <v>787152</v>
      </c>
    </row>
    <row r="190" spans="1:108" ht="12.9" customHeight="1">
      <c r="C190" s="16"/>
      <c r="D190" t="s">
        <v>934</v>
      </c>
      <c r="I190" s="1328">
        <v>91351</v>
      </c>
      <c r="J190" s="1328"/>
      <c r="K190" s="1328"/>
      <c r="L190" s="1328"/>
      <c r="M190" s="1328"/>
      <c r="N190" s="1328"/>
      <c r="O190" t="s">
        <v>935</v>
      </c>
      <c r="T190" s="1506">
        <v>9200.42</v>
      </c>
      <c r="U190" s="1506"/>
      <c r="V190" s="1506"/>
      <c r="W190" s="1506"/>
      <c r="X190" s="1506"/>
      <c r="Y190" s="1506"/>
      <c r="Z190" s="1506"/>
      <c r="AA190" s="1506"/>
      <c r="AB190" s="1506"/>
      <c r="AC190" s="1506"/>
      <c r="AD190" s="1506"/>
      <c r="AE190" s="1506"/>
      <c r="BC190" t="s">
        <v>936</v>
      </c>
      <c r="BH190" t="s">
        <v>936</v>
      </c>
      <c r="BN190" s="104" t="s">
        <v>937</v>
      </c>
      <c r="BS190">
        <v>6</v>
      </c>
      <c r="BT190" t="s">
        <v>938</v>
      </c>
      <c r="CB190" s="984" t="s">
        <v>927</v>
      </c>
      <c r="CC190" s="274">
        <v>2252</v>
      </c>
      <c r="CD190" s="275">
        <v>2412</v>
      </c>
      <c r="CE190" s="274">
        <v>2894</v>
      </c>
      <c r="CF190" s="275">
        <v>3342</v>
      </c>
      <c r="CG190" s="275">
        <v>3730</v>
      </c>
      <c r="CH190" s="276">
        <v>4116</v>
      </c>
      <c r="CI190" s="2"/>
      <c r="CJ190" s="982">
        <v>1679</v>
      </c>
      <c r="CK190" s="982">
        <v>1777</v>
      </c>
      <c r="CL190" s="982">
        <v>2206</v>
      </c>
      <c r="CM190" s="982">
        <v>2992</v>
      </c>
      <c r="CN190" s="982">
        <v>3455</v>
      </c>
      <c r="CR190" s="104" t="s">
        <v>926</v>
      </c>
      <c r="CS190" s="983">
        <v>331890</v>
      </c>
      <c r="CT190" s="983">
        <v>382666</v>
      </c>
      <c r="CU190" s="983">
        <v>461600</v>
      </c>
      <c r="CV190" s="983">
        <v>590848</v>
      </c>
      <c r="CW190" s="983">
        <v>658242</v>
      </c>
      <c r="CX190" s="11"/>
      <c r="CY190" s="104" t="s">
        <v>926</v>
      </c>
      <c r="CZ190" s="983">
        <v>331890</v>
      </c>
      <c r="DA190" s="983">
        <v>382666</v>
      </c>
      <c r="DB190" s="983">
        <v>461600</v>
      </c>
      <c r="DC190" s="983">
        <v>590848</v>
      </c>
      <c r="DD190" s="983">
        <v>658242</v>
      </c>
    </row>
    <row r="191" spans="1:108" ht="12.9" customHeight="1">
      <c r="C191" s="16"/>
      <c r="D191" t="s">
        <v>939</v>
      </c>
      <c r="N191" s="1481" t="s">
        <v>940</v>
      </c>
      <c r="O191" s="1481"/>
      <c r="P191" s="1481"/>
      <c r="Q191" s="1481"/>
      <c r="R191" s="1481"/>
      <c r="S191" s="1481"/>
      <c r="T191" s="1481"/>
      <c r="U191" s="1481"/>
      <c r="V191" s="1481"/>
      <c r="W191" s="1481"/>
      <c r="X191" s="1481"/>
      <c r="Y191" s="1481"/>
      <c r="Z191" s="1481"/>
      <c r="AA191" s="1481"/>
      <c r="AB191" s="1481"/>
      <c r="AC191" s="1481"/>
      <c r="AD191" s="1481"/>
      <c r="AE191" s="1481"/>
      <c r="BC191" t="s">
        <v>941</v>
      </c>
      <c r="BH191" t="s">
        <v>941</v>
      </c>
      <c r="BN191" s="104" t="s">
        <v>942</v>
      </c>
      <c r="BS191">
        <v>4</v>
      </c>
      <c r="BT191" t="s">
        <v>943</v>
      </c>
      <c r="CB191" s="984" t="s">
        <v>929</v>
      </c>
      <c r="CC191" s="274">
        <v>1670</v>
      </c>
      <c r="CD191" s="275">
        <v>1788</v>
      </c>
      <c r="CE191" s="274">
        <v>2144</v>
      </c>
      <c r="CF191" s="275">
        <v>2478</v>
      </c>
      <c r="CG191" s="275">
        <v>2764</v>
      </c>
      <c r="CH191" s="276">
        <v>3050</v>
      </c>
      <c r="CI191" s="2"/>
      <c r="CJ191" s="982">
        <v>904</v>
      </c>
      <c r="CK191" s="982">
        <v>1005</v>
      </c>
      <c r="CL191" s="982">
        <v>1318</v>
      </c>
      <c r="CM191" s="982">
        <v>1847</v>
      </c>
      <c r="CN191" s="982">
        <v>1883</v>
      </c>
      <c r="CR191" s="104" t="s">
        <v>928</v>
      </c>
      <c r="CS191" s="985">
        <v>352022</v>
      </c>
      <c r="CT191" s="985">
        <v>405878</v>
      </c>
      <c r="CU191" s="985">
        <v>489600</v>
      </c>
      <c r="CV191" s="985">
        <v>626688</v>
      </c>
      <c r="CW191" s="985">
        <v>698170</v>
      </c>
      <c r="CX191" s="11"/>
      <c r="CY191" s="104" t="s">
        <v>928</v>
      </c>
      <c r="CZ191" s="985">
        <v>352022</v>
      </c>
      <c r="DA191" s="985">
        <v>405878</v>
      </c>
      <c r="DB191" s="985">
        <v>489600</v>
      </c>
      <c r="DC191" s="985">
        <v>626688</v>
      </c>
      <c r="DD191" s="985">
        <v>698170</v>
      </c>
    </row>
    <row r="192" spans="1:108" ht="12.9" customHeight="1">
      <c r="C192" s="16"/>
      <c r="M192" s="1180"/>
      <c r="N192" s="1482"/>
      <c r="O192" s="1482"/>
      <c r="P192" s="1482"/>
      <c r="Q192" s="1482"/>
      <c r="R192" s="1482"/>
      <c r="S192" s="1482"/>
      <c r="T192" s="1482"/>
      <c r="U192" s="1482"/>
      <c r="V192" s="1482"/>
      <c r="W192" s="1482"/>
      <c r="X192" s="1482"/>
      <c r="Y192" s="1482"/>
      <c r="Z192" s="1482"/>
      <c r="AA192" s="1482"/>
      <c r="AB192" s="1482"/>
      <c r="AC192" s="1482"/>
      <c r="AD192" s="1482"/>
      <c r="AE192" s="1482"/>
      <c r="BC192" t="s">
        <v>944</v>
      </c>
      <c r="BH192" s="2" t="s">
        <v>945</v>
      </c>
      <c r="BN192" s="104" t="s">
        <v>946</v>
      </c>
      <c r="BS192">
        <v>5</v>
      </c>
      <c r="BT192" t="s">
        <v>947</v>
      </c>
      <c r="CB192" s="984" t="s">
        <v>933</v>
      </c>
      <c r="CC192" s="274">
        <v>1960</v>
      </c>
      <c r="CD192" s="275">
        <v>2098</v>
      </c>
      <c r="CE192" s="274">
        <v>2516</v>
      </c>
      <c r="CF192" s="275">
        <v>2910</v>
      </c>
      <c r="CG192" s="275">
        <v>3244</v>
      </c>
      <c r="CH192" s="276">
        <v>3580</v>
      </c>
      <c r="CI192" s="2"/>
      <c r="CJ192" s="982">
        <v>1776</v>
      </c>
      <c r="CK192" s="982">
        <v>1852</v>
      </c>
      <c r="CL192" s="982">
        <v>2306</v>
      </c>
      <c r="CM192" s="982">
        <v>3079</v>
      </c>
      <c r="CN192" s="982">
        <v>3745</v>
      </c>
      <c r="CR192" s="104" t="s">
        <v>932</v>
      </c>
      <c r="CS192" s="983">
        <v>324988</v>
      </c>
      <c r="CT192" s="983">
        <v>374708</v>
      </c>
      <c r="CU192" s="983">
        <v>452000</v>
      </c>
      <c r="CV192" s="983">
        <v>578560</v>
      </c>
      <c r="CW192" s="983">
        <v>644552</v>
      </c>
      <c r="CX192" s="11"/>
      <c r="CY192" s="104" t="s">
        <v>932</v>
      </c>
      <c r="CZ192" s="983">
        <v>324988</v>
      </c>
      <c r="DA192" s="983">
        <v>374708</v>
      </c>
      <c r="DB192" s="983">
        <v>452000</v>
      </c>
      <c r="DC192" s="983">
        <v>578560</v>
      </c>
      <c r="DD192" s="983">
        <v>644552</v>
      </c>
    </row>
    <row r="193" spans="1:108" ht="12.9" customHeight="1">
      <c r="C193" s="16"/>
      <c r="D193" t="s">
        <v>948</v>
      </c>
      <c r="M193" s="1180"/>
      <c r="N193" s="656"/>
      <c r="O193" s="656"/>
      <c r="P193" s="656"/>
      <c r="Q193" s="656"/>
      <c r="R193" s="656"/>
      <c r="S193" s="656"/>
      <c r="T193" s="1510" t="s">
        <v>879</v>
      </c>
      <c r="U193" s="1510"/>
      <c r="V193" s="1510"/>
      <c r="W193" s="1510"/>
      <c r="X193" s="1510"/>
      <c r="Y193" s="1510"/>
      <c r="Z193" s="1510"/>
      <c r="AA193" s="1510"/>
      <c r="AB193" s="1510"/>
      <c r="AC193" s="1510"/>
      <c r="AD193" s="1510"/>
      <c r="AE193" s="1510"/>
      <c r="AF193" s="1510"/>
      <c r="AG193" s="1510"/>
      <c r="AH193" s="1510"/>
      <c r="AI193" s="1510"/>
      <c r="BC193" t="s">
        <v>949</v>
      </c>
      <c r="BH193" s="2" t="s">
        <v>950</v>
      </c>
      <c r="BN193" s="104" t="s">
        <v>951</v>
      </c>
      <c r="BS193">
        <v>4</v>
      </c>
      <c r="BT193" t="s">
        <v>952</v>
      </c>
      <c r="CB193" s="984" t="s">
        <v>938</v>
      </c>
      <c r="CC193" s="274">
        <v>2252</v>
      </c>
      <c r="CD193" s="275">
        <v>2412</v>
      </c>
      <c r="CE193" s="274">
        <v>2894</v>
      </c>
      <c r="CF193" s="275">
        <v>3342</v>
      </c>
      <c r="CG193" s="275">
        <v>3730</v>
      </c>
      <c r="CH193" s="276">
        <v>4116</v>
      </c>
      <c r="CI193" s="2"/>
      <c r="CJ193" s="982">
        <v>1679</v>
      </c>
      <c r="CK193" s="982">
        <v>1777</v>
      </c>
      <c r="CL193" s="982">
        <v>2206</v>
      </c>
      <c r="CM193" s="982">
        <v>2992</v>
      </c>
      <c r="CN193" s="982">
        <v>3455</v>
      </c>
      <c r="CR193" s="104" t="s">
        <v>937</v>
      </c>
      <c r="CS193" s="985">
        <v>331890</v>
      </c>
      <c r="CT193" s="985">
        <v>382666</v>
      </c>
      <c r="CU193" s="985">
        <v>461600</v>
      </c>
      <c r="CV193" s="985">
        <v>590848</v>
      </c>
      <c r="CW193" s="985">
        <v>658242</v>
      </c>
      <c r="CX193" s="11"/>
      <c r="CY193" s="104" t="s">
        <v>937</v>
      </c>
      <c r="CZ193" s="985">
        <v>331890</v>
      </c>
      <c r="DA193" s="985">
        <v>382666</v>
      </c>
      <c r="DB193" s="985">
        <v>461600</v>
      </c>
      <c r="DC193" s="985">
        <v>590848</v>
      </c>
      <c r="DD193" s="985">
        <v>658242</v>
      </c>
    </row>
    <row r="194" spans="1:108" ht="12.9" customHeight="1">
      <c r="C194" s="16"/>
      <c r="D194" s="2" t="s">
        <v>953</v>
      </c>
      <c r="M194" s="1180"/>
      <c r="N194" s="656"/>
      <c r="O194" s="656"/>
      <c r="P194" s="656"/>
      <c r="Q194" s="656"/>
      <c r="R194" s="656"/>
      <c r="S194" s="656"/>
      <c r="AH194" s="1440" t="s">
        <v>843</v>
      </c>
      <c r="AI194" s="1440"/>
      <c r="BC194" t="s">
        <v>945</v>
      </c>
      <c r="BN194" s="104" t="s">
        <v>954</v>
      </c>
      <c r="BS194">
        <v>2</v>
      </c>
      <c r="BT194" t="s">
        <v>955</v>
      </c>
      <c r="CB194" s="984" t="s">
        <v>943</v>
      </c>
      <c r="CC194" s="274">
        <v>2340</v>
      </c>
      <c r="CD194" s="275">
        <v>2506</v>
      </c>
      <c r="CE194" s="274">
        <v>3006</v>
      </c>
      <c r="CF194" s="275">
        <v>3472</v>
      </c>
      <c r="CG194" s="275">
        <v>3874</v>
      </c>
      <c r="CH194" s="276">
        <v>4276</v>
      </c>
      <c r="CI194" s="2"/>
      <c r="CJ194" s="982">
        <v>1799</v>
      </c>
      <c r="CK194" s="982">
        <v>1999</v>
      </c>
      <c r="CL194" s="982">
        <v>2623</v>
      </c>
      <c r="CM194" s="982">
        <v>3655</v>
      </c>
      <c r="CN194" s="982">
        <v>4046</v>
      </c>
      <c r="CR194" s="104" t="s">
        <v>942</v>
      </c>
      <c r="CS194" s="983">
        <v>352022</v>
      </c>
      <c r="CT194" s="983">
        <v>405878</v>
      </c>
      <c r="CU194" s="983">
        <v>489600</v>
      </c>
      <c r="CV194" s="983">
        <v>626688</v>
      </c>
      <c r="CW194" s="983">
        <v>698170</v>
      </c>
      <c r="CX194" s="11"/>
      <c r="CY194" s="104" t="s">
        <v>942</v>
      </c>
      <c r="CZ194" s="983">
        <v>352022</v>
      </c>
      <c r="DA194" s="983">
        <v>405878</v>
      </c>
      <c r="DB194" s="983">
        <v>489600</v>
      </c>
      <c r="DC194" s="983">
        <v>626688</v>
      </c>
      <c r="DD194" s="983">
        <v>698170</v>
      </c>
    </row>
    <row r="195" spans="1:108" ht="12.9" customHeight="1">
      <c r="C195" s="16"/>
      <c r="D195" t="s">
        <v>956</v>
      </c>
      <c r="T195" s="1440" t="s">
        <v>694</v>
      </c>
      <c r="U195" s="1440"/>
      <c r="W195" t="s">
        <v>957</v>
      </c>
      <c r="AH195" s="1440">
        <v>27</v>
      </c>
      <c r="AI195" s="1440"/>
      <c r="BC195" t="s">
        <v>958</v>
      </c>
      <c r="BN195" s="104" t="s">
        <v>959</v>
      </c>
      <c r="BS195">
        <v>6</v>
      </c>
      <c r="BT195" t="s">
        <v>960</v>
      </c>
      <c r="CB195" s="984" t="s">
        <v>947</v>
      </c>
      <c r="CC195" s="274">
        <v>1960</v>
      </c>
      <c r="CD195" s="275">
        <v>2098</v>
      </c>
      <c r="CE195" s="274">
        <v>2516</v>
      </c>
      <c r="CF195" s="275">
        <v>2910</v>
      </c>
      <c r="CG195" s="275">
        <v>3244</v>
      </c>
      <c r="CH195" s="276">
        <v>3580</v>
      </c>
      <c r="CI195" s="2"/>
      <c r="CJ195" s="982">
        <v>1776</v>
      </c>
      <c r="CK195" s="982">
        <v>1852</v>
      </c>
      <c r="CL195" s="982">
        <v>2306</v>
      </c>
      <c r="CM195" s="982">
        <v>3079</v>
      </c>
      <c r="CN195" s="982">
        <v>3745</v>
      </c>
      <c r="CR195" s="104" t="s">
        <v>946</v>
      </c>
      <c r="CS195" s="985">
        <v>324988</v>
      </c>
      <c r="CT195" s="985">
        <v>374708</v>
      </c>
      <c r="CU195" s="985">
        <v>452000</v>
      </c>
      <c r="CV195" s="985">
        <v>578560</v>
      </c>
      <c r="CW195" s="985">
        <v>644552</v>
      </c>
      <c r="CX195" s="11"/>
      <c r="CY195" s="104" t="s">
        <v>946</v>
      </c>
      <c r="CZ195" s="985">
        <v>324988</v>
      </c>
      <c r="DA195" s="985">
        <v>374708</v>
      </c>
      <c r="DB195" s="985">
        <v>452000</v>
      </c>
      <c r="DC195" s="985">
        <v>578560</v>
      </c>
      <c r="DD195" s="985">
        <v>644552</v>
      </c>
    </row>
    <row r="196" spans="1:108" ht="12.9" customHeight="1">
      <c r="C196" s="16"/>
      <c r="D196" t="s">
        <v>961</v>
      </c>
      <c r="T196" s="1372" t="s">
        <v>843</v>
      </c>
      <c r="U196" s="1372"/>
      <c r="W196" t="s">
        <v>962</v>
      </c>
      <c r="AH196" s="1440">
        <v>40</v>
      </c>
      <c r="AI196" s="1440"/>
      <c r="BN196" s="104" t="s">
        <v>963</v>
      </c>
      <c r="BS196">
        <v>4</v>
      </c>
      <c r="BT196" t="s">
        <v>964</v>
      </c>
      <c r="CB196" s="984" t="s">
        <v>952</v>
      </c>
      <c r="CC196" s="274">
        <v>2894</v>
      </c>
      <c r="CD196" s="275">
        <v>3100</v>
      </c>
      <c r="CE196" s="274">
        <v>3722</v>
      </c>
      <c r="CF196" s="275">
        <v>4300</v>
      </c>
      <c r="CG196" s="275">
        <v>4796</v>
      </c>
      <c r="CH196" s="276">
        <v>5292</v>
      </c>
      <c r="CI196" s="2"/>
      <c r="CJ196" s="982">
        <v>2145</v>
      </c>
      <c r="CK196" s="982">
        <v>2328</v>
      </c>
      <c r="CL196" s="982">
        <v>2881</v>
      </c>
      <c r="CM196" s="982">
        <v>3852</v>
      </c>
      <c r="CN196" s="982">
        <v>4690</v>
      </c>
      <c r="CR196" s="104" t="s">
        <v>951</v>
      </c>
      <c r="CS196" s="983">
        <v>353173</v>
      </c>
      <c r="CT196" s="983">
        <v>407205</v>
      </c>
      <c r="CU196" s="983">
        <v>491200</v>
      </c>
      <c r="CV196" s="983">
        <v>628736</v>
      </c>
      <c r="CW196" s="983">
        <v>700451</v>
      </c>
      <c r="CX196" s="11"/>
      <c r="CY196" s="104" t="s">
        <v>951</v>
      </c>
      <c r="CZ196" s="983">
        <v>353173</v>
      </c>
      <c r="DA196" s="983">
        <v>407205</v>
      </c>
      <c r="DB196" s="983">
        <v>491200</v>
      </c>
      <c r="DC196" s="983">
        <v>628736</v>
      </c>
      <c r="DD196" s="983">
        <v>700451</v>
      </c>
    </row>
    <row r="197" spans="1:108" ht="12.9" customHeight="1">
      <c r="C197" s="16"/>
      <c r="D197" s="2" t="s">
        <v>965</v>
      </c>
      <c r="T197" s="1372" t="s">
        <v>843</v>
      </c>
      <c r="U197" s="1372"/>
      <c r="W197" t="s">
        <v>966</v>
      </c>
      <c r="AH197" s="1440">
        <v>23</v>
      </c>
      <c r="AI197" s="1440"/>
      <c r="BC197" t="s">
        <v>547</v>
      </c>
      <c r="BN197" s="104" t="s">
        <v>967</v>
      </c>
      <c r="BS197">
        <v>2</v>
      </c>
      <c r="BT197" t="s">
        <v>968</v>
      </c>
      <c r="CB197" s="984" t="s">
        <v>955</v>
      </c>
      <c r="CC197" s="274">
        <v>3384</v>
      </c>
      <c r="CD197" s="275">
        <v>3626</v>
      </c>
      <c r="CE197" s="274">
        <v>4352</v>
      </c>
      <c r="CF197" s="275">
        <v>5028</v>
      </c>
      <c r="CG197" s="275">
        <v>5610</v>
      </c>
      <c r="CH197" s="276">
        <v>6190</v>
      </c>
      <c r="CI197" s="2"/>
      <c r="CJ197" s="982">
        <v>2275</v>
      </c>
      <c r="CK197" s="982">
        <v>2780</v>
      </c>
      <c r="CL197" s="982">
        <v>3318</v>
      </c>
      <c r="CM197" s="982">
        <v>4138</v>
      </c>
      <c r="CN197" s="982">
        <v>4399</v>
      </c>
      <c r="CR197" s="104" t="s">
        <v>954</v>
      </c>
      <c r="CS197" s="985">
        <v>689665</v>
      </c>
      <c r="CT197" s="985">
        <v>795177</v>
      </c>
      <c r="CU197" s="985">
        <v>959200</v>
      </c>
      <c r="CV197" s="985">
        <v>1227776</v>
      </c>
      <c r="CW197" s="985">
        <v>1367819</v>
      </c>
      <c r="CX197" s="11"/>
      <c r="CY197" s="104" t="s">
        <v>954</v>
      </c>
      <c r="CZ197" s="985">
        <v>689665</v>
      </c>
      <c r="DA197" s="985">
        <v>795177</v>
      </c>
      <c r="DB197" s="985">
        <v>959200</v>
      </c>
      <c r="DC197" s="985">
        <v>1227776</v>
      </c>
      <c r="DD197" s="985">
        <v>1367819</v>
      </c>
    </row>
    <row r="198" spans="1:108" s="11" customFormat="1" ht="12.9" customHeight="1">
      <c r="A198"/>
      <c r="B198"/>
      <c r="C198" s="16"/>
      <c r="D198" s="2" t="s">
        <v>969</v>
      </c>
      <c r="E198"/>
      <c r="F198"/>
      <c r="G198"/>
      <c r="H198"/>
      <c r="I198"/>
      <c r="J198"/>
      <c r="K198"/>
      <c r="L198"/>
      <c r="M198"/>
      <c r="N198"/>
      <c r="O198"/>
      <c r="P198"/>
      <c r="Q198"/>
      <c r="R198"/>
      <c r="S198"/>
      <c r="T198" s="1372">
        <v>0</v>
      </c>
      <c r="U198" s="1372"/>
      <c r="V198"/>
      <c r="X198" s="1492" t="s">
        <v>970</v>
      </c>
      <c r="Y198" s="1492"/>
      <c r="Z198" s="1492"/>
      <c r="AA198" s="1492"/>
      <c r="AB198" s="1492"/>
      <c r="AC198" s="1492"/>
      <c r="AD198" s="1492"/>
      <c r="AE198" s="1492"/>
      <c r="AF198" s="1492"/>
      <c r="AG198" s="1492"/>
      <c r="AH198" s="1492"/>
      <c r="AI198" s="1492"/>
      <c r="AJ198" s="1492"/>
      <c r="AK198" s="1492"/>
      <c r="AL198" s="1492"/>
      <c r="AM198" s="1492"/>
      <c r="AN198" s="1492"/>
      <c r="AO198" s="1492"/>
      <c r="AP198" s="1492"/>
      <c r="AQ198" s="1492"/>
      <c r="AR198" s="1492"/>
      <c r="AS198" s="1492"/>
      <c r="AT198" s="1492"/>
      <c r="AU198"/>
      <c r="AV198"/>
      <c r="AW198"/>
      <c r="AX198"/>
      <c r="AY198"/>
      <c r="AZ198" s="23"/>
      <c r="BA198" s="23"/>
      <c r="BC198" s="11" t="s">
        <v>809</v>
      </c>
      <c r="BD198"/>
      <c r="BN198" s="104" t="s">
        <v>971</v>
      </c>
      <c r="BO198"/>
      <c r="BP198"/>
      <c r="BQ198"/>
      <c r="BR198"/>
      <c r="BS198">
        <v>4</v>
      </c>
      <c r="BT198" t="s">
        <v>972</v>
      </c>
      <c r="BU198"/>
      <c r="BV198" s="24"/>
      <c r="CB198" s="984" t="s">
        <v>960</v>
      </c>
      <c r="CC198" s="274">
        <v>1832</v>
      </c>
      <c r="CD198" s="275">
        <v>1962</v>
      </c>
      <c r="CE198" s="274">
        <v>2354</v>
      </c>
      <c r="CF198" s="275">
        <v>2720</v>
      </c>
      <c r="CG198" s="275">
        <v>3034</v>
      </c>
      <c r="CH198" s="276">
        <v>3348</v>
      </c>
      <c r="CI198" s="2"/>
      <c r="CJ198" s="982">
        <v>1248</v>
      </c>
      <c r="CK198" s="982">
        <v>1363</v>
      </c>
      <c r="CL198" s="982">
        <v>1736</v>
      </c>
      <c r="CM198" s="982">
        <v>2433</v>
      </c>
      <c r="CN198" s="982">
        <v>2915</v>
      </c>
      <c r="CR198" s="104" t="s">
        <v>959</v>
      </c>
      <c r="CS198" s="983">
        <v>307732</v>
      </c>
      <c r="CT198" s="983">
        <v>354812</v>
      </c>
      <c r="CU198" s="983">
        <v>428000</v>
      </c>
      <c r="CV198" s="983">
        <v>547840</v>
      </c>
      <c r="CW198" s="983">
        <v>610328</v>
      </c>
      <c r="CY198" s="104" t="s">
        <v>959</v>
      </c>
      <c r="CZ198" s="983">
        <v>307732</v>
      </c>
      <c r="DA198" s="983">
        <v>354812</v>
      </c>
      <c r="DB198" s="983">
        <v>428000</v>
      </c>
      <c r="DC198" s="983">
        <v>547840</v>
      </c>
      <c r="DD198" s="983">
        <v>610328</v>
      </c>
    </row>
    <row r="199" spans="1:108" s="11" customFormat="1" ht="12.9" customHeight="1">
      <c r="A199"/>
      <c r="B199"/>
      <c r="C199" s="16"/>
      <c r="D199" s="68" t="s">
        <v>973</v>
      </c>
      <c r="E199"/>
      <c r="F199"/>
      <c r="G199"/>
      <c r="H199"/>
      <c r="I199"/>
      <c r="J199"/>
      <c r="K199"/>
      <c r="L199"/>
      <c r="M199"/>
      <c r="N199"/>
      <c r="O199"/>
      <c r="P199"/>
      <c r="Q199"/>
      <c r="R199"/>
      <c r="S199"/>
      <c r="T199" s="1440" t="s">
        <v>843</v>
      </c>
      <c r="U199" s="1440"/>
      <c r="V199"/>
      <c r="W199"/>
      <c r="X199" s="1492"/>
      <c r="Y199" s="1492"/>
      <c r="Z199" s="1492"/>
      <c r="AA199" s="1492"/>
      <c r="AB199" s="1492"/>
      <c r="AC199" s="1492"/>
      <c r="AD199" s="1492"/>
      <c r="AE199" s="1492"/>
      <c r="AF199" s="1492"/>
      <c r="AG199" s="1492"/>
      <c r="AH199" s="1492"/>
      <c r="AI199" s="1492"/>
      <c r="AJ199" s="1492"/>
      <c r="AK199" s="1492"/>
      <c r="AL199" s="1492"/>
      <c r="AM199" s="1492"/>
      <c r="AN199" s="1492"/>
      <c r="AO199" s="1492"/>
      <c r="AP199" s="1492"/>
      <c r="AQ199" s="1492"/>
      <c r="AR199" s="1492"/>
      <c r="AS199" s="1492"/>
      <c r="AT199" s="1492"/>
      <c r="AU199"/>
      <c r="AV199"/>
      <c r="AW199"/>
      <c r="AX199"/>
      <c r="AY199"/>
      <c r="AZ199" s="23"/>
      <c r="BA199" s="23"/>
      <c r="BC199" t="s">
        <v>796</v>
      </c>
      <c r="BD199"/>
      <c r="BN199" s="104" t="s">
        <v>974</v>
      </c>
      <c r="BO199"/>
      <c r="BP199"/>
      <c r="BQ199"/>
      <c r="BR199"/>
      <c r="BS199">
        <v>2</v>
      </c>
      <c r="BT199" s="25" t="s">
        <v>975</v>
      </c>
      <c r="BU199"/>
      <c r="BV199" s="24"/>
      <c r="CB199" s="984" t="s">
        <v>964</v>
      </c>
      <c r="CC199" s="274">
        <v>2432</v>
      </c>
      <c r="CD199" s="275">
        <v>2606</v>
      </c>
      <c r="CE199" s="274">
        <v>3126</v>
      </c>
      <c r="CF199" s="275">
        <v>3612</v>
      </c>
      <c r="CG199" s="275">
        <v>4032</v>
      </c>
      <c r="CH199" s="276">
        <v>4448</v>
      </c>
      <c r="CI199" s="2"/>
      <c r="CJ199" s="982">
        <v>1669</v>
      </c>
      <c r="CK199" s="982">
        <v>1855</v>
      </c>
      <c r="CL199" s="982">
        <v>2434</v>
      </c>
      <c r="CM199" s="982">
        <v>3250</v>
      </c>
      <c r="CN199" s="982">
        <v>3683</v>
      </c>
      <c r="CR199" s="104" t="s">
        <v>963</v>
      </c>
      <c r="CS199" s="985">
        <v>404366</v>
      </c>
      <c r="CT199" s="985">
        <v>466230</v>
      </c>
      <c r="CU199" s="985">
        <v>562400</v>
      </c>
      <c r="CV199" s="985">
        <v>719872</v>
      </c>
      <c r="CW199" s="985">
        <v>801982</v>
      </c>
      <c r="CY199" s="104" t="s">
        <v>963</v>
      </c>
      <c r="CZ199" s="985">
        <v>404366</v>
      </c>
      <c r="DA199" s="985">
        <v>466230</v>
      </c>
      <c r="DB199" s="985">
        <v>562400</v>
      </c>
      <c r="DC199" s="985">
        <v>719872</v>
      </c>
      <c r="DD199" s="985">
        <v>801982</v>
      </c>
    </row>
    <row r="200" spans="1:108" s="11" customFormat="1" ht="12.9" customHeight="1">
      <c r="A200"/>
      <c r="B200"/>
      <c r="C200" s="16"/>
      <c r="D200" s="11" t="s">
        <v>976</v>
      </c>
      <c r="T200" s="1440" t="s">
        <v>843</v>
      </c>
      <c r="U200" s="1440"/>
      <c r="V200"/>
      <c r="W200"/>
      <c r="X200"/>
      <c r="Y200"/>
      <c r="AA200"/>
      <c r="AB200" s="956" t="s">
        <v>977</v>
      </c>
      <c r="AC200"/>
      <c r="AF200"/>
      <c r="AG200"/>
      <c r="AH200" s="1146"/>
      <c r="AJ200"/>
      <c r="AK200"/>
      <c r="AL200"/>
      <c r="AM200"/>
      <c r="AN200"/>
      <c r="AO200"/>
      <c r="AP200"/>
      <c r="AQ200"/>
      <c r="AR200"/>
      <c r="AS200"/>
      <c r="AU200"/>
      <c r="AV200"/>
      <c r="AW200"/>
      <c r="AX200"/>
      <c r="AY200"/>
      <c r="AZ200" s="23"/>
      <c r="BA200" s="23"/>
      <c r="BC200" s="2" t="s">
        <v>978</v>
      </c>
      <c r="BD200" s="259"/>
      <c r="BN200" s="104" t="s">
        <v>979</v>
      </c>
      <c r="BO200"/>
      <c r="BP200"/>
      <c r="BQ200"/>
      <c r="BR200"/>
      <c r="BS200">
        <v>2</v>
      </c>
      <c r="BT200" s="25" t="s">
        <v>980</v>
      </c>
      <c r="BU200"/>
      <c r="CB200" s="984" t="s">
        <v>968</v>
      </c>
      <c r="CC200" s="274">
        <v>3384</v>
      </c>
      <c r="CD200" s="275">
        <v>3626</v>
      </c>
      <c r="CE200" s="274">
        <v>4352</v>
      </c>
      <c r="CF200" s="275">
        <v>5028</v>
      </c>
      <c r="CG200" s="275">
        <v>5610</v>
      </c>
      <c r="CH200" s="276">
        <v>6190</v>
      </c>
      <c r="CI200" s="2"/>
      <c r="CJ200" s="982">
        <v>2275</v>
      </c>
      <c r="CK200" s="982">
        <v>2780</v>
      </c>
      <c r="CL200" s="982">
        <v>3318</v>
      </c>
      <c r="CM200" s="982">
        <v>4138</v>
      </c>
      <c r="CN200" s="982">
        <v>4399</v>
      </c>
      <c r="CR200" s="104" t="s">
        <v>967</v>
      </c>
      <c r="CS200" s="987">
        <v>532060</v>
      </c>
      <c r="CT200" s="987">
        <v>613460</v>
      </c>
      <c r="CU200" s="983">
        <v>740000</v>
      </c>
      <c r="CV200" s="987">
        <v>947200</v>
      </c>
      <c r="CW200" s="987">
        <v>1055240</v>
      </c>
      <c r="CY200" s="104" t="s">
        <v>967</v>
      </c>
      <c r="CZ200" s="987">
        <v>532060</v>
      </c>
      <c r="DA200" s="987">
        <v>613460</v>
      </c>
      <c r="DB200" s="987">
        <v>740000</v>
      </c>
      <c r="DC200" s="987">
        <v>947200</v>
      </c>
      <c r="DD200" s="987">
        <v>1055240</v>
      </c>
    </row>
    <row r="201" spans="1:108" s="11" customFormat="1" ht="12.9" customHeight="1">
      <c r="A201"/>
      <c r="B201"/>
      <c r="C201" s="16"/>
      <c r="E201" s="2" t="s">
        <v>981</v>
      </c>
      <c r="V201"/>
      <c r="X201"/>
      <c r="Y201"/>
      <c r="Z201"/>
      <c r="AB201" s="956" t="s">
        <v>982</v>
      </c>
      <c r="AC201"/>
      <c r="AH201" s="1146"/>
      <c r="AJ201"/>
      <c r="AK201"/>
      <c r="AL201"/>
      <c r="AM201"/>
      <c r="AN201"/>
      <c r="AO201"/>
      <c r="AP201"/>
      <c r="AQ201"/>
      <c r="AR201"/>
      <c r="AS201"/>
      <c r="AU201"/>
      <c r="AV201"/>
      <c r="AW201"/>
      <c r="AX201"/>
      <c r="AY201"/>
      <c r="AZ201" s="23"/>
      <c r="BA201" s="23"/>
      <c r="BC201" s="2" t="s">
        <v>983</v>
      </c>
      <c r="BD201" s="259"/>
      <c r="BN201" s="104" t="s">
        <v>984</v>
      </c>
      <c r="BO201" s="24"/>
      <c r="BP201" s="25"/>
      <c r="BQ201" s="25"/>
      <c r="BR201" s="25"/>
      <c r="BS201">
        <v>6</v>
      </c>
      <c r="BT201" s="25" t="s">
        <v>985</v>
      </c>
      <c r="BU201"/>
      <c r="CB201" s="984" t="s">
        <v>972</v>
      </c>
      <c r="CC201" s="274">
        <v>3090</v>
      </c>
      <c r="CD201" s="275">
        <v>3310</v>
      </c>
      <c r="CE201" s="274">
        <v>3972</v>
      </c>
      <c r="CF201" s="275">
        <v>4590</v>
      </c>
      <c r="CG201" s="275">
        <v>5120</v>
      </c>
      <c r="CH201" s="276">
        <v>5648</v>
      </c>
      <c r="CI201" s="2"/>
      <c r="CJ201" s="982">
        <v>2381</v>
      </c>
      <c r="CK201" s="982">
        <v>2688</v>
      </c>
      <c r="CL201" s="982">
        <v>3028</v>
      </c>
      <c r="CM201" s="982">
        <v>4011</v>
      </c>
      <c r="CN201" s="982">
        <v>4468</v>
      </c>
      <c r="CR201" s="104" t="s">
        <v>971</v>
      </c>
      <c r="CS201" s="985">
        <v>404366</v>
      </c>
      <c r="CT201" s="985">
        <v>466230</v>
      </c>
      <c r="CU201" s="985">
        <v>562400</v>
      </c>
      <c r="CV201" s="985">
        <v>719872</v>
      </c>
      <c r="CW201" s="985">
        <v>801982</v>
      </c>
      <c r="CY201" s="104" t="s">
        <v>971</v>
      </c>
      <c r="CZ201" s="985">
        <v>404366</v>
      </c>
      <c r="DA201" s="985">
        <v>466230</v>
      </c>
      <c r="DB201" s="985">
        <v>562400</v>
      </c>
      <c r="DC201" s="985">
        <v>719872</v>
      </c>
      <c r="DD201" s="985">
        <v>801982</v>
      </c>
    </row>
    <row r="202" spans="1:108" ht="12.9" customHeight="1">
      <c r="C202" s="16"/>
      <c r="AE202" s="6"/>
      <c r="BC202" t="s">
        <v>986</v>
      </c>
      <c r="BD202" s="259"/>
      <c r="BN202" s="104" t="s">
        <v>987</v>
      </c>
      <c r="BO202" s="11"/>
      <c r="BP202" s="25"/>
      <c r="BQ202" s="25"/>
      <c r="BR202" s="25"/>
      <c r="BS202">
        <v>7</v>
      </c>
      <c r="BT202" s="25" t="s">
        <v>988</v>
      </c>
      <c r="CB202" s="984" t="s">
        <v>975</v>
      </c>
      <c r="CC202" s="274">
        <v>3516</v>
      </c>
      <c r="CD202" s="275">
        <v>3768</v>
      </c>
      <c r="CE202" s="274">
        <v>4522</v>
      </c>
      <c r="CF202" s="275">
        <v>5222</v>
      </c>
      <c r="CG202" s="275">
        <v>5826</v>
      </c>
      <c r="CH202" s="276">
        <v>6430</v>
      </c>
      <c r="CI202" s="2"/>
      <c r="CJ202" s="982">
        <v>2608</v>
      </c>
      <c r="CK202" s="982">
        <v>2975</v>
      </c>
      <c r="CL202" s="982">
        <v>3446</v>
      </c>
      <c r="CM202" s="982">
        <v>4477</v>
      </c>
      <c r="CN202" s="982">
        <v>4878</v>
      </c>
      <c r="CR202" s="104" t="s">
        <v>974</v>
      </c>
      <c r="CS202" s="987">
        <v>532060</v>
      </c>
      <c r="CT202" s="987">
        <v>613460</v>
      </c>
      <c r="CU202" s="987">
        <v>740000</v>
      </c>
      <c r="CV202" s="987">
        <v>947200</v>
      </c>
      <c r="CW202" s="987">
        <v>1055240</v>
      </c>
      <c r="CX202" s="11"/>
      <c r="CY202" s="104" t="s">
        <v>974</v>
      </c>
      <c r="CZ202" s="987">
        <v>532060</v>
      </c>
      <c r="DA202" s="987">
        <v>613460</v>
      </c>
      <c r="DB202" s="987">
        <v>740000</v>
      </c>
      <c r="DC202" s="987">
        <v>947200</v>
      </c>
      <c r="DD202" s="987">
        <v>1055240</v>
      </c>
    </row>
    <row r="203" spans="1:108" ht="12.9" customHeight="1">
      <c r="A203" s="1" t="s">
        <v>989</v>
      </c>
      <c r="C203" s="1" t="s">
        <v>990</v>
      </c>
      <c r="BC203" t="s">
        <v>991</v>
      </c>
      <c r="BN203" s="104" t="s">
        <v>992</v>
      </c>
      <c r="BO203" s="11"/>
      <c r="BP203" s="25"/>
      <c r="BQ203" s="25"/>
      <c r="BR203" s="25"/>
      <c r="BS203">
        <v>7</v>
      </c>
      <c r="BT203" s="25" t="s">
        <v>993</v>
      </c>
      <c r="CB203" s="984" t="s">
        <v>980</v>
      </c>
      <c r="CC203" s="274">
        <v>3462</v>
      </c>
      <c r="CD203" s="275">
        <v>3708</v>
      </c>
      <c r="CE203" s="274">
        <v>4450</v>
      </c>
      <c r="CF203" s="275">
        <v>5142</v>
      </c>
      <c r="CG203" s="275">
        <v>5734</v>
      </c>
      <c r="CH203" s="276">
        <v>6330</v>
      </c>
      <c r="CI203" s="2"/>
      <c r="CJ203" s="982">
        <v>3056</v>
      </c>
      <c r="CK203" s="982">
        <v>3221</v>
      </c>
      <c r="CL203" s="982">
        <v>4223</v>
      </c>
      <c r="CM203" s="982">
        <v>5256</v>
      </c>
      <c r="CN203" s="982">
        <v>5605</v>
      </c>
      <c r="CR203" s="104" t="s">
        <v>979</v>
      </c>
      <c r="CS203" s="985">
        <v>404366</v>
      </c>
      <c r="CT203" s="985">
        <v>466230</v>
      </c>
      <c r="CU203" s="985">
        <v>562400</v>
      </c>
      <c r="CV203" s="985">
        <v>719872</v>
      </c>
      <c r="CW203" s="985">
        <v>801982</v>
      </c>
      <c r="CX203" s="11"/>
      <c r="CY203" s="104" t="s">
        <v>979</v>
      </c>
      <c r="CZ203" s="985">
        <v>404366</v>
      </c>
      <c r="DA203" s="985">
        <v>466230</v>
      </c>
      <c r="DB203" s="985">
        <v>562400</v>
      </c>
      <c r="DC203" s="985">
        <v>719872</v>
      </c>
      <c r="DD203" s="985">
        <v>801982</v>
      </c>
    </row>
    <row r="204" spans="1:108" ht="12.9" customHeight="1">
      <c r="D204" s="1432" t="s">
        <v>994</v>
      </c>
      <c r="E204" s="1432"/>
      <c r="F204" s="1432"/>
      <c r="G204" s="1432"/>
      <c r="H204" s="1432"/>
      <c r="I204" s="1432"/>
      <c r="J204" s="1432"/>
      <c r="K204" s="1432"/>
      <c r="L204" s="1432"/>
      <c r="M204" s="1432"/>
      <c r="P204" s="1501">
        <f>M26</f>
        <v>4437739</v>
      </c>
      <c r="Q204" s="1502"/>
      <c r="R204" s="1502"/>
      <c r="S204" s="1502"/>
      <c r="T204" s="1502"/>
      <c r="U204" s="1502"/>
      <c r="BC204" t="s">
        <v>995</v>
      </c>
      <c r="BN204" s="104" t="s">
        <v>996</v>
      </c>
      <c r="BS204">
        <v>6</v>
      </c>
      <c r="BT204" s="25" t="s">
        <v>997</v>
      </c>
      <c r="BU204" s="11"/>
      <c r="CB204" s="984" t="s">
        <v>985</v>
      </c>
      <c r="CC204" s="274">
        <v>1702</v>
      </c>
      <c r="CD204" s="275">
        <v>1822</v>
      </c>
      <c r="CE204" s="274">
        <v>2190</v>
      </c>
      <c r="CF204" s="275">
        <v>2530</v>
      </c>
      <c r="CG204" s="275">
        <v>2822</v>
      </c>
      <c r="CH204" s="276">
        <v>3114</v>
      </c>
      <c r="CI204" s="2"/>
      <c r="CJ204" s="982">
        <v>1151</v>
      </c>
      <c r="CK204" s="982">
        <v>1229</v>
      </c>
      <c r="CL204" s="982">
        <v>1613</v>
      </c>
      <c r="CM204" s="982">
        <v>2260</v>
      </c>
      <c r="CN204" s="982">
        <v>2709</v>
      </c>
      <c r="CR204" s="104" t="s">
        <v>984</v>
      </c>
      <c r="CS204" s="983">
        <v>319236</v>
      </c>
      <c r="CT204" s="983">
        <v>368076</v>
      </c>
      <c r="CU204" s="983">
        <v>444000</v>
      </c>
      <c r="CV204" s="983">
        <v>568320</v>
      </c>
      <c r="CW204" s="983">
        <v>633144</v>
      </c>
      <c r="CX204" s="11"/>
      <c r="CY204" s="104" t="s">
        <v>984</v>
      </c>
      <c r="CZ204" s="983">
        <v>319236</v>
      </c>
      <c r="DA204" s="983">
        <v>368076</v>
      </c>
      <c r="DB204" s="983">
        <v>444000</v>
      </c>
      <c r="DC204" s="983">
        <v>568320</v>
      </c>
      <c r="DD204" s="983">
        <v>633144</v>
      </c>
    </row>
    <row r="205" spans="1:108" ht="12.9" customHeight="1">
      <c r="C205" s="16"/>
      <c r="D205" s="1493" t="s">
        <v>998</v>
      </c>
      <c r="E205" s="1432"/>
      <c r="F205" s="1432"/>
      <c r="G205" s="1432"/>
      <c r="H205" s="1432"/>
      <c r="I205" s="1432"/>
      <c r="J205" s="1432"/>
      <c r="K205" s="1432"/>
      <c r="L205" s="1432"/>
      <c r="M205" s="1432"/>
      <c r="P205" s="1502">
        <f>M27</f>
        <v>25600000</v>
      </c>
      <c r="Q205" s="1502"/>
      <c r="R205" s="1502"/>
      <c r="S205" s="1502"/>
      <c r="T205" s="1502"/>
      <c r="U205" s="1502"/>
      <c r="V205" s="17"/>
      <c r="W205" s="2" t="s">
        <v>999</v>
      </c>
      <c r="Z205" s="1490" t="s">
        <v>1000</v>
      </c>
      <c r="AA205" s="1490"/>
      <c r="AB205" s="1490"/>
      <c r="AC205" s="1490"/>
      <c r="AD205" s="1490"/>
      <c r="AE205" s="1490"/>
      <c r="AF205" s="1490"/>
      <c r="AG205" s="1490"/>
      <c r="AH205" s="1490"/>
      <c r="AI205" s="1490"/>
      <c r="AJ205" s="1490"/>
      <c r="AK205" s="1490"/>
      <c r="AL205" s="1490"/>
      <c r="AM205" s="1490"/>
      <c r="AN205" s="1490"/>
      <c r="AP205" s="1381"/>
      <c r="AQ205" s="1381"/>
      <c r="BC205" t="s">
        <v>1001</v>
      </c>
      <c r="BN205" s="104" t="s">
        <v>1002</v>
      </c>
      <c r="BS205">
        <v>4</v>
      </c>
      <c r="BT205" s="25" t="s">
        <v>1003</v>
      </c>
      <c r="BU205" s="11"/>
      <c r="CB205" s="984" t="s">
        <v>988</v>
      </c>
      <c r="CC205" s="274">
        <v>1644</v>
      </c>
      <c r="CD205" s="275">
        <v>1762</v>
      </c>
      <c r="CE205" s="274">
        <v>2114</v>
      </c>
      <c r="CF205" s="275">
        <v>2442</v>
      </c>
      <c r="CG205" s="275">
        <v>2724</v>
      </c>
      <c r="CH205" s="276">
        <v>3006</v>
      </c>
      <c r="CI205" s="2"/>
      <c r="CJ205" s="982">
        <v>1003</v>
      </c>
      <c r="CK205" s="982">
        <v>1101</v>
      </c>
      <c r="CL205" s="982">
        <v>1445</v>
      </c>
      <c r="CM205" s="982">
        <v>2025</v>
      </c>
      <c r="CN205" s="982">
        <v>2396</v>
      </c>
      <c r="CR205" s="104" t="s">
        <v>987</v>
      </c>
      <c r="CS205" s="985">
        <v>352022</v>
      </c>
      <c r="CT205" s="985">
        <v>405878</v>
      </c>
      <c r="CU205" s="985">
        <v>489600</v>
      </c>
      <c r="CV205" s="985">
        <v>626688</v>
      </c>
      <c r="CW205" s="985">
        <v>698170</v>
      </c>
      <c r="CX205" s="11"/>
      <c r="CY205" s="104" t="s">
        <v>987</v>
      </c>
      <c r="CZ205" s="985">
        <v>352022</v>
      </c>
      <c r="DA205" s="985">
        <v>405878</v>
      </c>
      <c r="DB205" s="985">
        <v>489600</v>
      </c>
      <c r="DC205" s="985">
        <v>626688</v>
      </c>
      <c r="DD205" s="985">
        <v>698170</v>
      </c>
    </row>
    <row r="206" spans="1:108" ht="12.9" customHeight="1">
      <c r="D206" s="22"/>
      <c r="E206" s="22"/>
      <c r="F206" s="22"/>
      <c r="G206" s="22"/>
      <c r="H206" s="22"/>
      <c r="I206" s="22"/>
      <c r="J206" s="22"/>
      <c r="K206" s="22"/>
      <c r="L206" s="22"/>
      <c r="M206" s="22"/>
      <c r="N206" s="22"/>
      <c r="O206" s="22"/>
      <c r="P206" s="22"/>
      <c r="BC206" t="s">
        <v>1004</v>
      </c>
      <c r="BN206" s="104" t="s">
        <v>1005</v>
      </c>
      <c r="BS206">
        <v>5</v>
      </c>
      <c r="BT206" s="25" t="s">
        <v>1006</v>
      </c>
      <c r="BU206" s="11"/>
      <c r="CB206" s="984" t="s">
        <v>993</v>
      </c>
      <c r="CC206" s="274">
        <v>1644</v>
      </c>
      <c r="CD206" s="275">
        <v>1762</v>
      </c>
      <c r="CE206" s="274">
        <v>2114</v>
      </c>
      <c r="CF206" s="275">
        <v>2442</v>
      </c>
      <c r="CG206" s="275">
        <v>2724</v>
      </c>
      <c r="CH206" s="276">
        <v>3006</v>
      </c>
      <c r="CI206" s="2"/>
      <c r="CJ206" s="982">
        <v>924</v>
      </c>
      <c r="CK206" s="982">
        <v>930</v>
      </c>
      <c r="CL206" s="982">
        <v>1201</v>
      </c>
      <c r="CM206" s="982">
        <v>1683</v>
      </c>
      <c r="CN206" s="982">
        <v>1834</v>
      </c>
      <c r="CR206" s="104" t="s">
        <v>992</v>
      </c>
      <c r="CS206" s="983">
        <v>352022</v>
      </c>
      <c r="CT206" s="983">
        <v>405878</v>
      </c>
      <c r="CU206" s="983">
        <v>489600</v>
      </c>
      <c r="CV206" s="983">
        <v>626688</v>
      </c>
      <c r="CW206" s="983">
        <v>698170</v>
      </c>
      <c r="CX206" s="11"/>
      <c r="CY206" s="104" t="s">
        <v>992</v>
      </c>
      <c r="CZ206" s="983">
        <v>352022</v>
      </c>
      <c r="DA206" s="983">
        <v>405878</v>
      </c>
      <c r="DB206" s="983">
        <v>489600</v>
      </c>
      <c r="DC206" s="983">
        <v>626688</v>
      </c>
      <c r="DD206" s="983">
        <v>698170</v>
      </c>
    </row>
    <row r="207" spans="1:108" ht="12.9" customHeight="1">
      <c r="A207" s="1" t="s">
        <v>1007</v>
      </c>
      <c r="C207" s="1" t="s">
        <v>1008</v>
      </c>
      <c r="BC207" s="260" t="s">
        <v>1009</v>
      </c>
      <c r="BN207" s="104" t="s">
        <v>1010</v>
      </c>
      <c r="BS207">
        <v>6</v>
      </c>
      <c r="BT207" s="25" t="s">
        <v>1011</v>
      </c>
      <c r="CB207" s="984" t="s">
        <v>997</v>
      </c>
      <c r="CC207" s="274">
        <v>2404</v>
      </c>
      <c r="CD207" s="275">
        <v>2576</v>
      </c>
      <c r="CE207" s="274">
        <v>3092</v>
      </c>
      <c r="CF207" s="275">
        <v>3572</v>
      </c>
      <c r="CG207" s="275">
        <v>3984</v>
      </c>
      <c r="CH207" s="276">
        <v>4396</v>
      </c>
      <c r="CI207" s="2"/>
      <c r="CJ207" s="982">
        <v>1724</v>
      </c>
      <c r="CK207" s="982">
        <v>1894</v>
      </c>
      <c r="CL207" s="982">
        <v>2420</v>
      </c>
      <c r="CM207" s="982">
        <v>3234</v>
      </c>
      <c r="CN207" s="982">
        <v>3663</v>
      </c>
      <c r="CR207" s="104" t="s">
        <v>996</v>
      </c>
      <c r="CS207" s="985">
        <v>384234</v>
      </c>
      <c r="CT207" s="985">
        <v>443018</v>
      </c>
      <c r="CU207" s="985">
        <v>534400</v>
      </c>
      <c r="CV207" s="985">
        <v>684032</v>
      </c>
      <c r="CW207" s="985">
        <v>762054</v>
      </c>
      <c r="CX207" s="11"/>
      <c r="CY207" s="104" t="s">
        <v>996</v>
      </c>
      <c r="CZ207" s="985">
        <v>384234</v>
      </c>
      <c r="DA207" s="985">
        <v>443018</v>
      </c>
      <c r="DB207" s="985">
        <v>534400</v>
      </c>
      <c r="DC207" s="985">
        <v>684032</v>
      </c>
      <c r="DD207" s="985">
        <v>762054</v>
      </c>
    </row>
    <row r="208" spans="1:108" ht="12.9" customHeight="1">
      <c r="C208" s="16"/>
      <c r="D208" s="1473" t="s">
        <v>1012</v>
      </c>
      <c r="E208" s="1473"/>
      <c r="F208" s="1473"/>
      <c r="G208" s="1473"/>
      <c r="H208" s="1473"/>
      <c r="I208" s="1473"/>
      <c r="J208" s="1473"/>
      <c r="K208" s="1473"/>
      <c r="L208" s="1473"/>
      <c r="M208" s="1473"/>
      <c r="BC208" s="2" t="s">
        <v>1013</v>
      </c>
      <c r="BN208" s="104" t="s">
        <v>1014</v>
      </c>
      <c r="BS208">
        <v>7</v>
      </c>
      <c r="BT208" s="25" t="s">
        <v>1015</v>
      </c>
      <c r="CB208" s="984" t="s">
        <v>1003</v>
      </c>
      <c r="CC208" s="274">
        <v>2642</v>
      </c>
      <c r="CD208" s="275">
        <v>2830</v>
      </c>
      <c r="CE208" s="274">
        <v>3396</v>
      </c>
      <c r="CF208" s="275">
        <v>3926</v>
      </c>
      <c r="CG208" s="275">
        <v>4380</v>
      </c>
      <c r="CH208" s="276">
        <v>4832</v>
      </c>
      <c r="CI208" s="2"/>
      <c r="CJ208" s="982">
        <v>1879</v>
      </c>
      <c r="CK208" s="982">
        <v>2089</v>
      </c>
      <c r="CL208" s="982">
        <v>2740</v>
      </c>
      <c r="CM208" s="982">
        <v>3743</v>
      </c>
      <c r="CN208" s="982">
        <v>3960</v>
      </c>
      <c r="CR208" s="104" t="s">
        <v>1002</v>
      </c>
      <c r="CS208" s="983">
        <v>384234</v>
      </c>
      <c r="CT208" s="983">
        <v>443018</v>
      </c>
      <c r="CU208" s="983">
        <v>534400</v>
      </c>
      <c r="CV208" s="983">
        <v>684032</v>
      </c>
      <c r="CW208" s="983">
        <v>762054</v>
      </c>
      <c r="CX208" s="11"/>
      <c r="CY208" s="104" t="s">
        <v>1002</v>
      </c>
      <c r="CZ208" s="983">
        <v>384234</v>
      </c>
      <c r="DA208" s="983">
        <v>443018</v>
      </c>
      <c r="DB208" s="983">
        <v>534400</v>
      </c>
      <c r="DC208" s="983">
        <v>684032</v>
      </c>
      <c r="DD208" s="983">
        <v>762054</v>
      </c>
    </row>
    <row r="209" spans="1:108" ht="12.9" customHeight="1">
      <c r="BC209" t="s">
        <v>1016</v>
      </c>
      <c r="BN209" s="104" t="s">
        <v>1017</v>
      </c>
      <c r="BS209">
        <v>7</v>
      </c>
      <c r="BT209" s="25" t="s">
        <v>1018</v>
      </c>
      <c r="CB209" s="984" t="s">
        <v>1006</v>
      </c>
      <c r="CC209" s="274">
        <v>1724</v>
      </c>
      <c r="CD209" s="275">
        <v>1846</v>
      </c>
      <c r="CE209" s="274">
        <v>2216</v>
      </c>
      <c r="CF209" s="275">
        <v>2560</v>
      </c>
      <c r="CG209" s="275">
        <v>2856</v>
      </c>
      <c r="CH209" s="276">
        <v>3152</v>
      </c>
      <c r="CI209" s="2"/>
      <c r="CJ209" s="982">
        <v>1130</v>
      </c>
      <c r="CK209" s="982">
        <v>1209</v>
      </c>
      <c r="CL209" s="982">
        <v>1566</v>
      </c>
      <c r="CM209" s="982">
        <v>2194</v>
      </c>
      <c r="CN209" s="982">
        <v>2549</v>
      </c>
      <c r="CR209" s="104" t="s">
        <v>1005</v>
      </c>
      <c r="CS209" s="985">
        <v>307732</v>
      </c>
      <c r="CT209" s="985">
        <v>354812</v>
      </c>
      <c r="CU209" s="985">
        <v>428000</v>
      </c>
      <c r="CV209" s="985">
        <v>547840</v>
      </c>
      <c r="CW209" s="985">
        <v>610328</v>
      </c>
      <c r="CX209" s="11"/>
      <c r="CY209" s="104" t="s">
        <v>1005</v>
      </c>
      <c r="CZ209" s="985">
        <v>307732</v>
      </c>
      <c r="DA209" s="985">
        <v>354812</v>
      </c>
      <c r="DB209" s="985">
        <v>428000</v>
      </c>
      <c r="DC209" s="985">
        <v>547840</v>
      </c>
      <c r="DD209" s="985">
        <v>610328</v>
      </c>
    </row>
    <row r="210" spans="1:108" ht="12.9" customHeight="1">
      <c r="A210" s="1" t="s">
        <v>1019</v>
      </c>
      <c r="C210" s="1" t="s">
        <v>1020</v>
      </c>
      <c r="BC210" t="s">
        <v>1021</v>
      </c>
      <c r="BN210" s="104" t="s">
        <v>1022</v>
      </c>
      <c r="BS210">
        <v>5</v>
      </c>
      <c r="BT210" s="25" t="s">
        <v>1023</v>
      </c>
      <c r="CB210" s="984" t="s">
        <v>1011</v>
      </c>
      <c r="CC210" s="274">
        <v>1680</v>
      </c>
      <c r="CD210" s="275">
        <v>1800</v>
      </c>
      <c r="CE210" s="274">
        <v>2160</v>
      </c>
      <c r="CF210" s="275">
        <v>2496</v>
      </c>
      <c r="CG210" s="275">
        <v>2784</v>
      </c>
      <c r="CH210" s="276">
        <v>3072</v>
      </c>
      <c r="CI210" s="2"/>
      <c r="CJ210" s="982">
        <v>1195</v>
      </c>
      <c r="CK210" s="982">
        <v>1197</v>
      </c>
      <c r="CL210" s="982">
        <v>1522</v>
      </c>
      <c r="CM210" s="982">
        <v>2133</v>
      </c>
      <c r="CN210" s="982">
        <v>2556</v>
      </c>
      <c r="CR210" s="104" t="s">
        <v>1010</v>
      </c>
      <c r="CS210" s="983">
        <v>331890</v>
      </c>
      <c r="CT210" s="983">
        <v>382666</v>
      </c>
      <c r="CU210" s="983">
        <v>461600</v>
      </c>
      <c r="CV210" s="983">
        <v>590848</v>
      </c>
      <c r="CW210" s="983">
        <v>658242</v>
      </c>
      <c r="CX210" s="11"/>
      <c r="CY210" s="104" t="s">
        <v>1010</v>
      </c>
      <c r="CZ210" s="983">
        <v>331890</v>
      </c>
      <c r="DA210" s="983">
        <v>382666</v>
      </c>
      <c r="DB210" s="983">
        <v>461600</v>
      </c>
      <c r="DC210" s="983">
        <v>590848</v>
      </c>
      <c r="DD210" s="983">
        <v>658242</v>
      </c>
    </row>
    <row r="211" spans="1:108" ht="12.9" customHeight="1">
      <c r="C211" s="16"/>
      <c r="D211" s="1473" t="s">
        <v>936</v>
      </c>
      <c r="E211" s="1473"/>
      <c r="F211" s="1473"/>
      <c r="G211" s="1473"/>
      <c r="H211" s="1473"/>
      <c r="I211" s="1473"/>
      <c r="J211" s="1473"/>
      <c r="K211" s="1473"/>
      <c r="L211" s="1473"/>
      <c r="M211" s="1473"/>
      <c r="BN211" s="104" t="s">
        <v>1024</v>
      </c>
      <c r="BS211">
        <v>7</v>
      </c>
      <c r="BT211" s="25" t="s">
        <v>1025</v>
      </c>
      <c r="CB211" s="984" t="s">
        <v>1015</v>
      </c>
      <c r="CC211" s="274">
        <v>1644</v>
      </c>
      <c r="CD211" s="275">
        <v>1762</v>
      </c>
      <c r="CE211" s="274">
        <v>2114</v>
      </c>
      <c r="CF211" s="275">
        <v>2442</v>
      </c>
      <c r="CG211" s="275">
        <v>2724</v>
      </c>
      <c r="CH211" s="276">
        <v>3006</v>
      </c>
      <c r="CI211" s="2"/>
      <c r="CJ211" s="982">
        <v>926</v>
      </c>
      <c r="CK211" s="982">
        <v>1030</v>
      </c>
      <c r="CL211" s="982">
        <v>1351</v>
      </c>
      <c r="CM211" s="982">
        <v>1778</v>
      </c>
      <c r="CN211" s="982">
        <v>2229</v>
      </c>
      <c r="CR211" s="104" t="s">
        <v>1014</v>
      </c>
      <c r="CS211" s="985">
        <v>352022</v>
      </c>
      <c r="CT211" s="985">
        <v>405878</v>
      </c>
      <c r="CU211" s="985">
        <v>489600</v>
      </c>
      <c r="CV211" s="985">
        <v>626688</v>
      </c>
      <c r="CW211" s="985">
        <v>698170</v>
      </c>
      <c r="CX211" s="11"/>
      <c r="CY211" s="104" t="s">
        <v>1014</v>
      </c>
      <c r="CZ211" s="985">
        <v>352022</v>
      </c>
      <c r="DA211" s="985">
        <v>405878</v>
      </c>
      <c r="DB211" s="985">
        <v>489600</v>
      </c>
      <c r="DC211" s="985">
        <v>626688</v>
      </c>
      <c r="DD211" s="985">
        <v>698170</v>
      </c>
    </row>
    <row r="212" spans="1:108" ht="12.9" customHeight="1">
      <c r="C212" s="16"/>
      <c r="D212" s="2" t="s">
        <v>1026</v>
      </c>
      <c r="Q212" s="1440">
        <v>0</v>
      </c>
      <c r="R212" s="1440"/>
      <c r="T212" s="1513">
        <f>IFERROR(Q212/AG440,0)</f>
        <v>0</v>
      </c>
      <c r="U212" s="1514"/>
      <c r="BC212" t="s">
        <v>547</v>
      </c>
      <c r="BI212" t="s">
        <v>1027</v>
      </c>
      <c r="BN212" s="104" t="s">
        <v>1028</v>
      </c>
      <c r="BS212">
        <v>4</v>
      </c>
      <c r="BT212" s="25" t="s">
        <v>1029</v>
      </c>
      <c r="CB212" s="984" t="s">
        <v>1018</v>
      </c>
      <c r="CC212" s="274">
        <v>1644</v>
      </c>
      <c r="CD212" s="275">
        <v>1762</v>
      </c>
      <c r="CE212" s="274">
        <v>2114</v>
      </c>
      <c r="CF212" s="275">
        <v>2442</v>
      </c>
      <c r="CG212" s="275">
        <v>2724</v>
      </c>
      <c r="CH212" s="276">
        <v>3006</v>
      </c>
      <c r="CI212" s="2"/>
      <c r="CJ212" s="982">
        <v>777</v>
      </c>
      <c r="CK212" s="982">
        <v>854</v>
      </c>
      <c r="CL212" s="982">
        <v>1120</v>
      </c>
      <c r="CM212" s="982">
        <v>1569</v>
      </c>
      <c r="CN212" s="982">
        <v>1708</v>
      </c>
      <c r="CR212" s="104" t="s">
        <v>1017</v>
      </c>
      <c r="CS212" s="983">
        <v>352022</v>
      </c>
      <c r="CT212" s="983">
        <v>405878</v>
      </c>
      <c r="CU212" s="983">
        <v>489600</v>
      </c>
      <c r="CV212" s="983">
        <v>626688</v>
      </c>
      <c r="CW212" s="983">
        <v>698170</v>
      </c>
      <c r="CX212" s="11"/>
      <c r="CY212" s="104" t="s">
        <v>1017</v>
      </c>
      <c r="CZ212" s="983">
        <v>352022</v>
      </c>
      <c r="DA212" s="983">
        <v>405878</v>
      </c>
      <c r="DB212" s="983">
        <v>489600</v>
      </c>
      <c r="DC212" s="983">
        <v>626688</v>
      </c>
      <c r="DD212" s="983">
        <v>698170</v>
      </c>
    </row>
    <row r="213" spans="1:108" ht="12.9" customHeight="1">
      <c r="D213" s="863" t="s">
        <v>1030</v>
      </c>
      <c r="BC213" t="s">
        <v>1031</v>
      </c>
      <c r="BI213" s="2" t="s">
        <v>1032</v>
      </c>
      <c r="BN213" s="104" t="s">
        <v>1033</v>
      </c>
      <c r="BS213">
        <v>6</v>
      </c>
      <c r="BT213" s="25" t="s">
        <v>1034</v>
      </c>
      <c r="CB213" s="984" t="s">
        <v>1023</v>
      </c>
      <c r="CC213" s="274">
        <v>1644</v>
      </c>
      <c r="CD213" s="275">
        <v>1762</v>
      </c>
      <c r="CE213" s="274">
        <v>2114</v>
      </c>
      <c r="CF213" s="275">
        <v>2442</v>
      </c>
      <c r="CG213" s="275">
        <v>2724</v>
      </c>
      <c r="CH213" s="276">
        <v>3006</v>
      </c>
      <c r="CI213" s="2"/>
      <c r="CJ213" s="982">
        <v>1082</v>
      </c>
      <c r="CK213" s="982">
        <v>1089</v>
      </c>
      <c r="CL213" s="982">
        <v>1429</v>
      </c>
      <c r="CM213" s="982">
        <v>1967</v>
      </c>
      <c r="CN213" s="982">
        <v>2272</v>
      </c>
      <c r="CR213" s="104" t="s">
        <v>1022</v>
      </c>
      <c r="CS213" s="985">
        <v>307732</v>
      </c>
      <c r="CT213" s="985">
        <v>354812</v>
      </c>
      <c r="CU213" s="985">
        <v>428000</v>
      </c>
      <c r="CV213" s="985">
        <v>547840</v>
      </c>
      <c r="CW213" s="985">
        <v>610328</v>
      </c>
      <c r="CX213" s="11"/>
      <c r="CY213" s="104" t="s">
        <v>1022</v>
      </c>
      <c r="CZ213" s="985">
        <v>307732</v>
      </c>
      <c r="DA213" s="985">
        <v>354812</v>
      </c>
      <c r="DB213" s="985">
        <v>428000</v>
      </c>
      <c r="DC213" s="985">
        <v>547840</v>
      </c>
      <c r="DD213" s="985">
        <v>610328</v>
      </c>
    </row>
    <row r="214" spans="1:108" ht="12.9" customHeight="1">
      <c r="D214" s="1497" t="s">
        <v>809</v>
      </c>
      <c r="E214" s="1497"/>
      <c r="F214" s="1497"/>
      <c r="G214" s="1497"/>
      <c r="H214" s="1497"/>
      <c r="I214" s="1497"/>
      <c r="J214" s="1497"/>
      <c r="K214" s="1497"/>
      <c r="L214" s="1497"/>
      <c r="M214" s="1497"/>
      <c r="N214" s="1497"/>
      <c r="O214" s="1497"/>
      <c r="P214" s="1497"/>
      <c r="Q214" s="1497"/>
      <c r="R214" s="1497"/>
      <c r="S214" s="1497"/>
      <c r="T214" s="1497"/>
      <c r="U214" s="1497"/>
      <c r="V214" s="1497"/>
      <c r="W214" s="1497"/>
      <c r="X214" s="1497"/>
      <c r="Y214" s="1497"/>
      <c r="Z214" s="1497"/>
      <c r="AU214" s="16"/>
      <c r="AV214" s="16"/>
      <c r="AW214" s="16"/>
      <c r="AX214" s="16"/>
      <c r="AY214" s="16"/>
      <c r="BC214" t="s">
        <v>1035</v>
      </c>
      <c r="BI214" s="2" t="s">
        <v>1036</v>
      </c>
      <c r="BN214" s="104" t="s">
        <v>1037</v>
      </c>
      <c r="BS214">
        <v>6</v>
      </c>
      <c r="BT214" s="25" t="s">
        <v>1038</v>
      </c>
      <c r="CB214" s="984" t="s">
        <v>1025</v>
      </c>
      <c r="CC214" s="274">
        <v>1780</v>
      </c>
      <c r="CD214" s="275">
        <v>1906</v>
      </c>
      <c r="CE214" s="274">
        <v>2286</v>
      </c>
      <c r="CF214" s="275">
        <v>2642</v>
      </c>
      <c r="CG214" s="275">
        <v>2946</v>
      </c>
      <c r="CH214" s="276">
        <v>3252</v>
      </c>
      <c r="CI214" s="2"/>
      <c r="CJ214" s="982">
        <v>987</v>
      </c>
      <c r="CK214" s="982">
        <v>1123</v>
      </c>
      <c r="CL214" s="982">
        <v>1439</v>
      </c>
      <c r="CM214" s="982">
        <v>1891</v>
      </c>
      <c r="CN214" s="982">
        <v>2416</v>
      </c>
      <c r="CR214" s="104" t="s">
        <v>1024</v>
      </c>
      <c r="CS214" s="983">
        <v>352022</v>
      </c>
      <c r="CT214" s="983">
        <v>405878</v>
      </c>
      <c r="CU214" s="983">
        <v>489600</v>
      </c>
      <c r="CV214" s="983">
        <v>626688</v>
      </c>
      <c r="CW214" s="983">
        <v>698170</v>
      </c>
      <c r="CX214" s="11"/>
      <c r="CY214" s="104" t="s">
        <v>1024</v>
      </c>
      <c r="CZ214" s="983">
        <v>352022</v>
      </c>
      <c r="DA214" s="983">
        <v>405878</v>
      </c>
      <c r="DB214" s="983">
        <v>489600</v>
      </c>
      <c r="DC214" s="983">
        <v>626688</v>
      </c>
      <c r="DD214" s="983">
        <v>698170</v>
      </c>
    </row>
    <row r="215" spans="1:108" ht="12.9" customHeight="1">
      <c r="D215" s="2" t="s">
        <v>1039</v>
      </c>
      <c r="Z215" s="1180"/>
      <c r="AB215" s="1470"/>
      <c r="AC215" s="1470"/>
      <c r="AD215" s="1470"/>
      <c r="AE215" s="1470"/>
      <c r="AF215" s="1470"/>
      <c r="AG215" s="1470"/>
      <c r="AH215" s="1470"/>
      <c r="AI215" s="1470"/>
      <c r="AJ215" s="1470"/>
      <c r="AK215" s="1470"/>
      <c r="AL215" s="1470"/>
      <c r="AM215" s="16"/>
      <c r="AN215" s="16"/>
      <c r="AO215" s="16"/>
      <c r="AP215" s="16"/>
      <c r="AQ215" s="16"/>
      <c r="AR215" s="16"/>
      <c r="AS215" s="16"/>
      <c r="AT215" s="16"/>
      <c r="AU215" s="16"/>
      <c r="AV215" s="16"/>
      <c r="AW215" s="16"/>
      <c r="AX215" s="16"/>
      <c r="AY215" s="16"/>
      <c r="BC215" t="s">
        <v>1040</v>
      </c>
      <c r="BI215" s="2" t="s">
        <v>1041</v>
      </c>
      <c r="CB215" s="984" t="s">
        <v>1029</v>
      </c>
      <c r="CC215" s="277">
        <v>2620</v>
      </c>
      <c r="CD215" s="278">
        <v>2806</v>
      </c>
      <c r="CE215" s="277">
        <v>3370</v>
      </c>
      <c r="CF215" s="278">
        <v>3892</v>
      </c>
      <c r="CG215" s="278">
        <v>4342</v>
      </c>
      <c r="CH215" s="279">
        <v>4792</v>
      </c>
      <c r="CI215" s="2"/>
      <c r="CJ215" s="982">
        <v>1871</v>
      </c>
      <c r="CK215" s="982">
        <v>2147</v>
      </c>
      <c r="CL215" s="982">
        <v>2569</v>
      </c>
      <c r="CM215" s="982">
        <v>3505</v>
      </c>
      <c r="CN215" s="982">
        <v>4080</v>
      </c>
      <c r="CR215" s="104" t="s">
        <v>1028</v>
      </c>
      <c r="CS215" s="985">
        <v>404366</v>
      </c>
      <c r="CT215" s="985">
        <v>466230</v>
      </c>
      <c r="CU215" s="985">
        <v>562400</v>
      </c>
      <c r="CV215" s="985">
        <v>719872</v>
      </c>
      <c r="CW215" s="985">
        <v>801982</v>
      </c>
      <c r="CX215" s="11"/>
      <c r="CY215" s="104" t="s">
        <v>1028</v>
      </c>
      <c r="CZ215" s="985">
        <v>404366</v>
      </c>
      <c r="DA215" s="985">
        <v>466230</v>
      </c>
      <c r="DB215" s="985">
        <v>562400</v>
      </c>
      <c r="DC215" s="985">
        <v>719872</v>
      </c>
      <c r="DD215" s="985">
        <v>801982</v>
      </c>
    </row>
    <row r="216" spans="1:108" ht="12.9" customHeight="1">
      <c r="D216" s="2" t="s">
        <v>1042</v>
      </c>
      <c r="Z216" s="1180"/>
      <c r="AB216" s="1470"/>
      <c r="AC216" s="1470"/>
      <c r="AD216" s="1470"/>
      <c r="AE216" s="1470"/>
      <c r="AF216" s="1470"/>
      <c r="AG216" s="1470"/>
      <c r="AH216" s="1470"/>
      <c r="AI216" s="1470"/>
      <c r="AJ216" s="1470"/>
      <c r="AK216" s="1470"/>
      <c r="AL216" s="1470"/>
      <c r="AM216" s="16"/>
      <c r="AN216" s="16"/>
      <c r="AO216" s="16"/>
      <c r="AP216" s="16"/>
      <c r="AQ216" s="16"/>
      <c r="AR216" s="16"/>
      <c r="AS216" s="16"/>
      <c r="AT216" s="16"/>
      <c r="AU216" s="16"/>
      <c r="AV216" s="16"/>
      <c r="AW216" s="16"/>
      <c r="AX216" s="16"/>
      <c r="AY216" s="16"/>
      <c r="BC216" t="s">
        <v>1043</v>
      </c>
      <c r="BI216" t="s">
        <v>1000</v>
      </c>
      <c r="CB216" s="984" t="s">
        <v>1034</v>
      </c>
      <c r="CC216" s="280">
        <v>2204</v>
      </c>
      <c r="CD216" s="281">
        <v>2362</v>
      </c>
      <c r="CE216" s="280">
        <v>2832</v>
      </c>
      <c r="CF216" s="281">
        <v>3272</v>
      </c>
      <c r="CG216" s="281">
        <v>3652</v>
      </c>
      <c r="CH216" s="282">
        <v>4030</v>
      </c>
      <c r="CI216" s="2"/>
      <c r="CJ216" s="982">
        <v>1602</v>
      </c>
      <c r="CK216" s="982">
        <v>1613</v>
      </c>
      <c r="CL216" s="982">
        <v>2116</v>
      </c>
      <c r="CM216" s="982">
        <v>2944</v>
      </c>
      <c r="CN216" s="982">
        <v>3299</v>
      </c>
      <c r="CR216" s="104" t="s">
        <v>1033</v>
      </c>
      <c r="CS216" s="983">
        <v>331890</v>
      </c>
      <c r="CT216" s="983">
        <v>382666</v>
      </c>
      <c r="CU216" s="983">
        <v>461600</v>
      </c>
      <c r="CV216" s="983">
        <v>590848</v>
      </c>
      <c r="CW216" s="983">
        <v>658242</v>
      </c>
      <c r="CX216" s="11"/>
      <c r="CY216" s="104" t="s">
        <v>1033</v>
      </c>
      <c r="CZ216" s="983">
        <v>331890</v>
      </c>
      <c r="DA216" s="983">
        <v>382666</v>
      </c>
      <c r="DB216" s="983">
        <v>461600</v>
      </c>
      <c r="DC216" s="983">
        <v>590848</v>
      </c>
      <c r="DD216" s="983">
        <v>658242</v>
      </c>
    </row>
    <row r="217" spans="1:108" ht="12.9" customHeight="1" thickBot="1">
      <c r="D217" s="2"/>
      <c r="Z217" s="1180"/>
      <c r="AB217" s="16"/>
      <c r="AC217" s="16"/>
      <c r="AD217" s="16"/>
      <c r="AE217" s="16"/>
      <c r="AF217" s="16"/>
      <c r="AG217" s="16"/>
      <c r="AH217" s="16"/>
      <c r="AI217" s="16"/>
      <c r="AJ217" s="16"/>
      <c r="AK217" s="16"/>
      <c r="AL217" s="16"/>
      <c r="AM217" s="16"/>
      <c r="AN217" s="16"/>
      <c r="AO217" s="16"/>
      <c r="AP217" s="16"/>
      <c r="AQ217" s="16"/>
      <c r="AR217" s="16"/>
      <c r="AS217" s="16"/>
      <c r="AT217" s="16"/>
      <c r="BC217" t="s">
        <v>1044</v>
      </c>
      <c r="BI217" t="s">
        <v>1045</v>
      </c>
      <c r="CB217" s="984" t="s">
        <v>1038</v>
      </c>
      <c r="CC217" s="283">
        <v>1680</v>
      </c>
      <c r="CD217" s="284">
        <v>1800</v>
      </c>
      <c r="CE217" s="283">
        <v>2160</v>
      </c>
      <c r="CF217" s="284">
        <v>2496</v>
      </c>
      <c r="CG217" s="284">
        <v>2784</v>
      </c>
      <c r="CH217" s="285">
        <v>3072</v>
      </c>
      <c r="CI217" s="2"/>
      <c r="CJ217" s="982">
        <v>1195</v>
      </c>
      <c r="CK217" s="982">
        <v>1197</v>
      </c>
      <c r="CL217" s="982">
        <v>1522</v>
      </c>
      <c r="CM217" s="982">
        <v>2133</v>
      </c>
      <c r="CN217" s="982">
        <v>2556</v>
      </c>
      <c r="CR217" s="104" t="s">
        <v>1037</v>
      </c>
      <c r="CS217" s="985">
        <v>331890</v>
      </c>
      <c r="CT217" s="985">
        <v>382666</v>
      </c>
      <c r="CU217" s="985">
        <v>461600</v>
      </c>
      <c r="CV217" s="985">
        <v>590848</v>
      </c>
      <c r="CW217" s="985">
        <v>658242</v>
      </c>
      <c r="CX217" s="11"/>
      <c r="CY217" s="104" t="s">
        <v>1037</v>
      </c>
      <c r="CZ217" s="985">
        <v>331890</v>
      </c>
      <c r="DA217" s="985">
        <v>382666</v>
      </c>
      <c r="DB217" s="985">
        <v>461600</v>
      </c>
      <c r="DC217" s="985">
        <v>590848</v>
      </c>
      <c r="DD217" s="985">
        <v>658242</v>
      </c>
    </row>
    <row r="218" spans="1:108" ht="12.9" customHeight="1">
      <c r="A218" s="1" t="s">
        <v>1046</v>
      </c>
      <c r="C218" s="1" t="s">
        <v>1047</v>
      </c>
      <c r="D218" s="17"/>
      <c r="AC218" s="1" t="s">
        <v>1048</v>
      </c>
      <c r="BC218" t="s">
        <v>1049</v>
      </c>
    </row>
    <row r="219" spans="1:108" ht="12.9" customHeight="1">
      <c r="A219" s="1"/>
      <c r="C219" s="1"/>
      <c r="D219" s="2" t="s">
        <v>1050</v>
      </c>
      <c r="AZ219" s="2"/>
      <c r="BA219" s="2"/>
      <c r="BC219" t="s">
        <v>1051</v>
      </c>
    </row>
    <row r="220" spans="1:108" ht="12.9" customHeight="1">
      <c r="A220" s="1"/>
      <c r="C220" s="1"/>
      <c r="D220" s="1473" t="s">
        <v>978</v>
      </c>
      <c r="E220" s="1473"/>
      <c r="F220" s="1473"/>
      <c r="G220" s="1473"/>
      <c r="H220" s="1473"/>
      <c r="I220" s="1473"/>
      <c r="J220" s="1473"/>
      <c r="K220" s="1473"/>
      <c r="L220" s="1473"/>
      <c r="M220" s="1473"/>
      <c r="N220" s="1473"/>
      <c r="O220" s="1473"/>
      <c r="P220" s="1473"/>
      <c r="Q220" s="1473"/>
      <c r="R220" s="1473"/>
      <c r="S220" s="1473"/>
      <c r="T220" s="1473"/>
      <c r="U220" s="1473"/>
      <c r="V220" s="1473"/>
      <c r="W220" s="1473"/>
      <c r="X220" s="1473"/>
      <c r="Y220" s="1473"/>
      <c r="Z220" s="1473"/>
      <c r="AC220" s="1409" t="s">
        <v>978</v>
      </c>
      <c r="AD220" s="1409"/>
      <c r="AE220" s="1409"/>
      <c r="AF220" s="1409"/>
      <c r="AG220" s="1409"/>
      <c r="AH220" s="1409"/>
      <c r="AI220" s="1409"/>
      <c r="AJ220" s="1409"/>
      <c r="AK220" s="1409"/>
      <c r="AL220" s="1409"/>
      <c r="AM220" s="1409"/>
      <c r="AN220" s="1409"/>
      <c r="AO220" s="1409"/>
      <c r="AP220" s="1409"/>
      <c r="AQ220" s="1409"/>
      <c r="BA220" s="2"/>
      <c r="BC220" t="s">
        <v>1052</v>
      </c>
    </row>
    <row r="221" spans="1:108" ht="12.9" customHeight="1">
      <c r="A221" s="1"/>
      <c r="B221" s="11"/>
      <c r="C221" s="1"/>
      <c r="BA221" s="2"/>
    </row>
    <row r="222" spans="1:108" ht="12.9" customHeight="1">
      <c r="A222" s="1491" t="s">
        <v>1053</v>
      </c>
      <c r="B222" s="1491"/>
      <c r="C222" s="1491"/>
      <c r="D222" s="1491"/>
      <c r="E222" s="1491"/>
      <c r="F222" s="1491"/>
      <c r="G222" s="1491"/>
      <c r="H222" s="1491"/>
      <c r="I222" s="1491"/>
      <c r="J222" s="1491"/>
      <c r="K222" s="1491"/>
      <c r="L222" s="1491"/>
      <c r="M222" s="1491"/>
      <c r="N222" s="1491"/>
      <c r="O222" s="1491"/>
      <c r="P222" s="1491"/>
      <c r="Q222" s="1491"/>
      <c r="R222" s="1491"/>
      <c r="S222" s="1491"/>
      <c r="T222" s="1491"/>
      <c r="U222" s="1491"/>
      <c r="V222" s="1491"/>
      <c r="W222" s="1491"/>
      <c r="X222" s="1491"/>
      <c r="Y222" s="1491"/>
      <c r="Z222" s="1491"/>
      <c r="AA222" s="1491"/>
      <c r="AB222" s="1491"/>
      <c r="AC222" s="1491"/>
      <c r="AD222" s="1491"/>
      <c r="AE222" s="1491"/>
      <c r="AF222" s="1491"/>
      <c r="AG222" s="1491"/>
      <c r="AH222" s="1491"/>
      <c r="AI222" s="1491"/>
      <c r="AJ222" s="1491"/>
      <c r="AK222" s="1491"/>
      <c r="AL222" s="1491"/>
      <c r="AM222" s="1491"/>
      <c r="AN222" s="1491"/>
      <c r="AO222" s="1491"/>
      <c r="AP222" s="1491"/>
      <c r="AQ222" s="1491"/>
      <c r="AR222" s="1491"/>
      <c r="AS222" s="1491"/>
      <c r="AT222" s="1491"/>
      <c r="AU222" s="54"/>
      <c r="AV222" s="54"/>
      <c r="AW222" s="54"/>
      <c r="AX222" s="54"/>
      <c r="AY222" s="54"/>
      <c r="AZ222" s="2"/>
      <c r="BA222" s="2"/>
      <c r="BP222" s="2"/>
    </row>
    <row r="223" spans="1:108" ht="12.9" customHeight="1">
      <c r="A223" s="1491"/>
      <c r="B223" s="1491"/>
      <c r="C223" s="1491"/>
      <c r="D223" s="1491"/>
      <c r="E223" s="1491"/>
      <c r="F223" s="1491"/>
      <c r="G223" s="1491"/>
      <c r="H223" s="1491"/>
      <c r="I223" s="1491"/>
      <c r="J223" s="1491"/>
      <c r="K223" s="1491"/>
      <c r="L223" s="1491"/>
      <c r="M223" s="1491"/>
      <c r="N223" s="1491"/>
      <c r="O223" s="1491"/>
      <c r="P223" s="1491"/>
      <c r="Q223" s="1491"/>
      <c r="R223" s="1491"/>
      <c r="S223" s="1491"/>
      <c r="T223" s="1491"/>
      <c r="U223" s="1491"/>
      <c r="V223" s="1491"/>
      <c r="W223" s="1491"/>
      <c r="X223" s="1491"/>
      <c r="Y223" s="1491"/>
      <c r="Z223" s="1491"/>
      <c r="AA223" s="1491"/>
      <c r="AB223" s="1491"/>
      <c r="AC223" s="1491"/>
      <c r="AD223" s="1491"/>
      <c r="AE223" s="1491"/>
      <c r="AF223" s="1491"/>
      <c r="AG223" s="1491"/>
      <c r="AH223" s="1491"/>
      <c r="AI223" s="1491"/>
      <c r="AJ223" s="1491"/>
      <c r="AK223" s="1491"/>
      <c r="AL223" s="1491"/>
      <c r="AM223" s="1491"/>
      <c r="AN223" s="1491"/>
      <c r="AO223" s="1491"/>
      <c r="AP223" s="1491"/>
      <c r="AQ223" s="1491"/>
      <c r="AR223" s="1491"/>
      <c r="AS223" s="1491"/>
      <c r="AT223" s="1491"/>
      <c r="BA223" s="2"/>
      <c r="BB223" s="2"/>
      <c r="BQ223" s="2"/>
    </row>
    <row r="224" spans="1:108" ht="12.9" customHeight="1">
      <c r="AZ224" s="2"/>
      <c r="BA224" s="2"/>
      <c r="BB224" s="2"/>
      <c r="BQ224" s="2"/>
    </row>
    <row r="225" spans="1:59" ht="12.9" customHeight="1">
      <c r="A225" s="1" t="s">
        <v>870</v>
      </c>
      <c r="B225" s="1"/>
      <c r="C225" s="1" t="s">
        <v>1054</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row>
    <row r="226" spans="1:59" ht="12.9" customHeight="1">
      <c r="B226" s="2"/>
      <c r="D226" s="2" t="s">
        <v>1055</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440" t="s">
        <v>694</v>
      </c>
      <c r="AJ226" s="1440"/>
      <c r="AL226" s="2"/>
      <c r="AM226" s="2"/>
      <c r="AN226" s="2"/>
      <c r="AO226" s="2"/>
      <c r="AP226" s="2"/>
      <c r="AQ226" s="2"/>
      <c r="AR226" s="2"/>
      <c r="AS226" s="2"/>
      <c r="AT226" s="2"/>
      <c r="AU226" s="2"/>
      <c r="AV226" s="2"/>
      <c r="AW226" s="2"/>
      <c r="AX226" s="2"/>
      <c r="AY226" s="2"/>
      <c r="AZ226" s="2"/>
      <c r="BB226" s="107" t="s">
        <v>1056</v>
      </c>
      <c r="BG226" s="137">
        <f>IF(AND(AND($M$249="for profit",$M$257="for profit",$M$265="nonprofit")),2,0)</f>
        <v>0</v>
      </c>
    </row>
    <row r="227" spans="1:59" ht="12.9" customHeight="1">
      <c r="B227" s="2"/>
      <c r="D227" s="2" t="s">
        <v>1057</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440" t="s">
        <v>809</v>
      </c>
      <c r="AJ227" s="1440"/>
      <c r="AL227" s="2"/>
      <c r="AM227" s="2"/>
      <c r="AN227" s="2"/>
      <c r="AO227" s="2"/>
      <c r="AP227" s="2"/>
      <c r="AQ227" s="2"/>
      <c r="AR227" s="2"/>
      <c r="AS227" s="2"/>
      <c r="AT227" s="2"/>
      <c r="AU227" s="2"/>
      <c r="AV227" s="2"/>
      <c r="AW227" s="2"/>
      <c r="AX227" s="2"/>
      <c r="AY227" s="2"/>
      <c r="BA227" s="2"/>
      <c r="BB227" s="107" t="s">
        <v>1056</v>
      </c>
      <c r="BG227" s="137">
        <f>IF(AND(AND($M$249="for profit",$M$257="nonprofit",$M$265="for profit")),2,0)</f>
        <v>0</v>
      </c>
    </row>
    <row r="228" spans="1:59" ht="12.9" customHeight="1">
      <c r="B228" s="2"/>
      <c r="D228" s="2" t="s">
        <v>1058</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440" t="s">
        <v>809</v>
      </c>
      <c r="AJ228" s="1440"/>
      <c r="AL228" s="2"/>
      <c r="AM228" s="2"/>
      <c r="AN228" s="2"/>
      <c r="AO228" s="2"/>
      <c r="AP228" s="2"/>
      <c r="AQ228" s="2"/>
      <c r="AR228" s="2"/>
      <c r="AS228" s="2"/>
      <c r="AT228" s="2"/>
      <c r="AU228" s="2"/>
      <c r="AV228" s="2"/>
      <c r="AW228" s="2"/>
      <c r="AX228" s="2"/>
      <c r="AY228" s="2"/>
      <c r="AZ228" s="2"/>
      <c r="BA228" s="2"/>
      <c r="BB228" s="107" t="s">
        <v>1056</v>
      </c>
      <c r="BG228" s="137">
        <f>IF(AND(AND($M$249="nonprofit",$M$257="for profit",$M$265="for profit")),2,0)</f>
        <v>0</v>
      </c>
    </row>
    <row r="229" spans="1:59" ht="12.9" customHeight="1">
      <c r="B229" s="2"/>
      <c r="D229" s="2" t="s">
        <v>1059</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440" t="s">
        <v>809</v>
      </c>
      <c r="AJ229" s="1440"/>
      <c r="AL229" s="2"/>
      <c r="AM229" s="2"/>
      <c r="AN229" s="2"/>
      <c r="AO229" s="2"/>
      <c r="AP229" s="2"/>
      <c r="AQ229" s="2"/>
      <c r="AR229" s="2"/>
      <c r="AS229" s="2"/>
      <c r="AT229" s="2"/>
      <c r="AU229" s="2"/>
      <c r="AV229" s="2"/>
      <c r="AW229" s="2"/>
      <c r="AX229" s="2"/>
      <c r="AY229" s="2"/>
      <c r="BA229" s="2"/>
      <c r="BB229" s="107" t="s">
        <v>1056</v>
      </c>
      <c r="BG229" s="137">
        <f>IF(AND(AND($M$249="for profit",$M$257="nonprofit",$M$265="(select one)")),2,0)</f>
        <v>2</v>
      </c>
    </row>
    <row r="230" spans="1:59" ht="12.9"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07" t="s">
        <v>1056</v>
      </c>
      <c r="BG230" s="136">
        <f>IF(AND(AND($M$249="nonprofit",$M$257="for profit",$M$265="(select one)")),2,0)</f>
        <v>0</v>
      </c>
    </row>
    <row r="231" spans="1:59" ht="12.9" customHeight="1">
      <c r="A231" s="1" t="s">
        <v>911</v>
      </c>
      <c r="B231" s="2"/>
      <c r="C231" s="1" t="s">
        <v>1060</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07"/>
      <c r="BG231" s="107"/>
    </row>
    <row r="232" spans="1:59" ht="12.9" customHeight="1">
      <c r="D232" s="2" t="s">
        <v>1061</v>
      </c>
      <c r="E232" s="2"/>
      <c r="F232" s="2"/>
      <c r="G232" s="2"/>
      <c r="H232" s="2"/>
      <c r="I232" s="2"/>
      <c r="J232" s="2"/>
      <c r="K232" s="2"/>
      <c r="M232" s="1507" t="str">
        <f>H16</f>
        <v>Creekside Commons LP</v>
      </c>
      <c r="N232" s="1507"/>
      <c r="O232" s="1507"/>
      <c r="P232" s="1507"/>
      <c r="Q232" s="1507"/>
      <c r="R232" s="1507"/>
      <c r="S232" s="1507"/>
      <c r="T232" s="1507"/>
      <c r="U232" s="1507"/>
      <c r="V232" s="1507"/>
      <c r="W232" s="1507"/>
      <c r="X232" s="1507"/>
      <c r="Y232" s="1507"/>
      <c r="Z232" s="1507"/>
      <c r="AA232" s="1507"/>
      <c r="AB232" s="1507"/>
      <c r="AC232" s="1507"/>
      <c r="AD232" s="1507"/>
      <c r="AE232" s="1507"/>
      <c r="AF232" s="1507"/>
      <c r="AG232" s="1507"/>
      <c r="AH232" s="1507"/>
      <c r="AI232" s="1507"/>
      <c r="AJ232" s="1507"/>
      <c r="AK232" s="1507"/>
      <c r="AZ232" s="2"/>
      <c r="BA232" s="2"/>
      <c r="BB232" s="108" t="s">
        <v>1056</v>
      </c>
      <c r="BG232" s="137">
        <f>IF(AND(AND($M$249="nonprofit",$M$257="nonprofit",$M$265="for profit")),2,0)</f>
        <v>0</v>
      </c>
    </row>
    <row r="233" spans="1:59" ht="12.9" customHeight="1">
      <c r="D233" s="2" t="s">
        <v>1062</v>
      </c>
      <c r="E233" s="2"/>
      <c r="F233" s="2"/>
      <c r="G233" s="2"/>
      <c r="H233" s="2"/>
      <c r="I233" s="2"/>
      <c r="J233" s="2"/>
      <c r="K233" s="2"/>
      <c r="M233" s="1473" t="s">
        <v>1063</v>
      </c>
      <c r="N233" s="1473"/>
      <c r="O233" s="1473"/>
      <c r="P233" s="1473"/>
      <c r="Q233" s="1473"/>
      <c r="R233" s="1473"/>
      <c r="S233" s="1473"/>
      <c r="T233" s="1473"/>
      <c r="U233" s="1473"/>
      <c r="V233" s="1473"/>
      <c r="W233" s="1473"/>
      <c r="X233" s="1473"/>
      <c r="Y233" s="1473"/>
      <c r="Z233" s="1473"/>
      <c r="AA233" s="1473"/>
      <c r="AB233" s="1473"/>
      <c r="AC233" s="1473"/>
      <c r="AD233" s="1473"/>
      <c r="AE233" s="1473"/>
      <c r="BB233" s="108" t="s">
        <v>1056</v>
      </c>
      <c r="BG233" s="137">
        <f>IF(AND(AND($M$249="nonprofit",$M$257="for profit",$M$265="nonprofit")),2,0)</f>
        <v>0</v>
      </c>
    </row>
    <row r="234" spans="1:59" ht="12.9" customHeight="1">
      <c r="D234" s="2" t="s">
        <v>930</v>
      </c>
      <c r="E234" s="2"/>
      <c r="M234" s="1473" t="s">
        <v>1064</v>
      </c>
      <c r="N234" s="1473"/>
      <c r="O234" s="1473"/>
      <c r="P234" s="1473"/>
      <c r="Q234" s="1473"/>
      <c r="R234" s="1473"/>
      <c r="S234" s="1473"/>
      <c r="T234" s="1473"/>
      <c r="V234" s="763" t="s">
        <v>1065</v>
      </c>
      <c r="W234" s="1421" t="s">
        <v>1066</v>
      </c>
      <c r="X234" s="1421"/>
      <c r="Y234" s="2" t="s">
        <v>934</v>
      </c>
      <c r="AC234" s="1473">
        <v>10168</v>
      </c>
      <c r="AD234" s="1473"/>
      <c r="AE234" s="1473"/>
      <c r="AU234" s="2"/>
      <c r="AV234" s="2"/>
      <c r="AW234" s="2"/>
      <c r="AX234" s="2"/>
      <c r="AY234" s="2"/>
      <c r="AZ234" s="2"/>
      <c r="BB234" s="108" t="s">
        <v>1056</v>
      </c>
      <c r="BG234" s="136">
        <f>IF(AND(AND($M$249="for profit",$M$257="nonprofit",$M$265="nonprofit")),2,0)</f>
        <v>0</v>
      </c>
    </row>
    <row r="235" spans="1:59" ht="12.9" customHeight="1">
      <c r="D235" s="2" t="s">
        <v>1067</v>
      </c>
      <c r="E235" s="2"/>
      <c r="F235" s="2"/>
      <c r="G235" s="2"/>
      <c r="H235" s="2"/>
      <c r="I235" s="2"/>
      <c r="J235" s="2"/>
      <c r="K235" s="988"/>
      <c r="M235" s="1473" t="s">
        <v>1068</v>
      </c>
      <c r="N235" s="1473"/>
      <c r="O235" s="1473"/>
      <c r="P235" s="1473"/>
      <c r="Q235" s="1473"/>
      <c r="R235" s="1473"/>
      <c r="S235" s="1473"/>
      <c r="T235" s="1473"/>
      <c r="U235" s="1473"/>
      <c r="V235" s="1473"/>
      <c r="W235" s="1473"/>
      <c r="X235" s="1473"/>
      <c r="Y235" s="1473"/>
      <c r="Z235" s="1473"/>
      <c r="AA235" s="1473"/>
      <c r="AB235" s="1473"/>
      <c r="AC235" s="1473"/>
      <c r="AD235" s="1473"/>
      <c r="AE235" s="1473"/>
      <c r="AI235" s="2"/>
      <c r="AJ235" s="2"/>
      <c r="AK235" s="2"/>
      <c r="AL235" s="2"/>
      <c r="AM235" s="2"/>
      <c r="AN235" s="2"/>
      <c r="AO235" s="2"/>
      <c r="AP235" s="2"/>
      <c r="AQ235" s="2"/>
      <c r="AR235" s="2"/>
      <c r="AS235" s="2"/>
      <c r="AT235" s="2"/>
      <c r="BB235" s="108"/>
      <c r="BG235" s="107"/>
    </row>
    <row r="236" spans="1:59" ht="12.9" customHeight="1">
      <c r="D236" s="2" t="s">
        <v>1069</v>
      </c>
      <c r="E236" s="2"/>
      <c r="F236" s="2"/>
      <c r="M236" s="1445" t="s">
        <v>1070</v>
      </c>
      <c r="N236" s="1445"/>
      <c r="O236" s="1445"/>
      <c r="P236" s="1445"/>
      <c r="Q236" s="1445"/>
      <c r="R236" s="1445"/>
      <c r="S236" s="2" t="s">
        <v>1071</v>
      </c>
      <c r="T236" s="2"/>
      <c r="U236" s="1421"/>
      <c r="V236" s="1421"/>
      <c r="W236" s="1421"/>
      <c r="X236" s="2" t="s">
        <v>1072</v>
      </c>
      <c r="Z236" s="1445"/>
      <c r="AA236" s="1445"/>
      <c r="AB236" s="1445"/>
      <c r="AC236" s="1445"/>
      <c r="AD236" s="1445"/>
      <c r="AE236" s="1445"/>
      <c r="AU236" s="2"/>
      <c r="AV236" s="2"/>
      <c r="AW236" s="2"/>
      <c r="AX236" s="2"/>
      <c r="AY236" s="2"/>
      <c r="AZ236" s="2"/>
      <c r="BB236" s="107" t="s">
        <v>1073</v>
      </c>
      <c r="BG236" s="137">
        <f>IF(AND(AND($M$249="nonprofit",$M$257="nonprofit",$M$265="(select one)")),1,0)</f>
        <v>0</v>
      </c>
    </row>
    <row r="237" spans="1:59" ht="12.9" customHeight="1">
      <c r="D237" s="2" t="s">
        <v>1074</v>
      </c>
      <c r="E237" s="2"/>
      <c r="F237" s="2"/>
      <c r="M237" s="1488" t="s">
        <v>1075</v>
      </c>
      <c r="N237" s="1488"/>
      <c r="O237" s="1488"/>
      <c r="P237" s="1488"/>
      <c r="Q237" s="1488"/>
      <c r="R237" s="1488"/>
      <c r="S237" s="1488"/>
      <c r="T237" s="1488"/>
      <c r="U237" s="1488"/>
      <c r="V237" s="1488"/>
      <c r="W237" s="1488"/>
      <c r="X237" s="1488"/>
      <c r="Y237" s="1488"/>
      <c r="Z237" s="1488"/>
      <c r="AA237" s="1488"/>
      <c r="AB237" s="1488"/>
      <c r="AC237" s="1488"/>
      <c r="AD237" s="1488"/>
      <c r="AE237" s="1488"/>
      <c r="AF237" s="2"/>
      <c r="AG237" s="2"/>
      <c r="AH237" s="2"/>
      <c r="AI237" s="2"/>
      <c r="AJ237" s="2"/>
      <c r="AK237" s="2"/>
      <c r="AL237" s="2"/>
      <c r="AM237" s="2"/>
      <c r="AN237" s="2"/>
      <c r="AO237" s="2"/>
      <c r="AP237" s="2"/>
      <c r="AQ237" s="2"/>
      <c r="AR237" s="2"/>
      <c r="AS237" s="2"/>
      <c r="AT237" s="2"/>
      <c r="AU237" s="2"/>
      <c r="AV237" s="2"/>
      <c r="AW237" s="2"/>
      <c r="AX237" s="2"/>
      <c r="AY237" s="2"/>
      <c r="BB237" s="107" t="s">
        <v>1073</v>
      </c>
      <c r="BG237" s="137">
        <f>IF(AND(AND($M$249="nonprofit",$M$257="nonprofit",$M$265="nonprofit")),1,0)</f>
        <v>0</v>
      </c>
    </row>
    <row r="238" spans="1:59" ht="12.9" customHeight="1">
      <c r="A238" s="1" t="s">
        <v>989</v>
      </c>
      <c r="C238" s="1" t="s">
        <v>1076</v>
      </c>
      <c r="M238" s="1328" t="s">
        <v>1044</v>
      </c>
      <c r="N238" s="1328"/>
      <c r="O238" s="1328"/>
      <c r="P238" s="1328"/>
      <c r="Q238" s="1328"/>
      <c r="R238" s="1328"/>
      <c r="S238" s="1328"/>
      <c r="T238" s="1328"/>
      <c r="U238" s="107" t="s">
        <v>1077</v>
      </c>
      <c r="V238" s="107"/>
      <c r="W238" s="107"/>
      <c r="X238" s="107"/>
      <c r="Y238" s="107"/>
      <c r="Z238" s="107"/>
      <c r="AA238" s="1511"/>
      <c r="AB238" s="1511"/>
      <c r="AC238" s="1511"/>
      <c r="AD238" s="1511"/>
      <c r="AE238" s="1511"/>
      <c r="AF238" s="1511"/>
      <c r="AG238" s="1511"/>
      <c r="AH238" s="1511"/>
      <c r="AI238" s="1511"/>
      <c r="AJ238" s="1511"/>
      <c r="AK238" s="1511"/>
      <c r="AL238" s="2"/>
      <c r="AM238" s="2"/>
      <c r="AN238" s="2"/>
      <c r="AO238" s="2"/>
      <c r="AP238" s="2"/>
      <c r="AQ238" s="2"/>
      <c r="AR238" s="2"/>
      <c r="AS238" s="2"/>
      <c r="AT238" s="2"/>
      <c r="AU238" s="2"/>
      <c r="AV238" s="2"/>
      <c r="AW238" s="2"/>
      <c r="AX238" s="2"/>
      <c r="AY238" s="2"/>
      <c r="BB238" s="107" t="s">
        <v>1073</v>
      </c>
      <c r="BG238" s="137">
        <f>IF(AND(AND($M$249="nonprofit",$M$257="(select one)",$M$265="(select one)")),1,0)</f>
        <v>0</v>
      </c>
    </row>
    <row r="239" spans="1:59" ht="12.9" customHeight="1">
      <c r="D239" t="s">
        <v>1078</v>
      </c>
      <c r="M239" s="1383"/>
      <c r="N239" s="1383"/>
      <c r="O239" s="1383"/>
      <c r="P239" s="1383"/>
      <c r="Q239" s="1383"/>
      <c r="R239" s="1383"/>
      <c r="S239" s="1383"/>
      <c r="T239" s="1383"/>
      <c r="U239" s="1383"/>
      <c r="V239" s="1383"/>
      <c r="W239" s="1383"/>
      <c r="X239" s="1383"/>
      <c r="Y239" s="1383"/>
      <c r="Z239" s="1383"/>
      <c r="AA239" s="1383"/>
      <c r="AB239" s="1383"/>
      <c r="AC239" s="1383"/>
      <c r="AD239" s="1383"/>
      <c r="AE239" s="1383"/>
      <c r="AF239" s="2"/>
      <c r="AG239" s="2"/>
      <c r="AH239" s="2"/>
      <c r="AI239" s="2"/>
      <c r="AJ239" s="2"/>
      <c r="AK239" s="2"/>
      <c r="AL239" s="2"/>
      <c r="AM239" s="2"/>
      <c r="AN239" s="2"/>
      <c r="AO239" s="2"/>
      <c r="AP239" s="2"/>
      <c r="AQ239" s="2"/>
      <c r="AR239" s="2"/>
      <c r="AS239" s="2"/>
      <c r="AT239" s="2"/>
      <c r="BB239" s="107" t="s">
        <v>1079</v>
      </c>
      <c r="BG239" s="137">
        <f>IF(AND(AND($M$249="for profit",$M$257="for profit",$M$265="(select one)")),3,0)</f>
        <v>0</v>
      </c>
    </row>
    <row r="240" spans="1:59" ht="12.9" customHeight="1">
      <c r="D240" s="2"/>
      <c r="BB240" s="107" t="s">
        <v>1079</v>
      </c>
      <c r="BG240" s="137">
        <f>IF(AND(AND($M$249="for profit",$M$257="for profit",$M$265="for profit")),3,0)</f>
        <v>0</v>
      </c>
    </row>
    <row r="241" spans="1:67" ht="12.9" customHeight="1">
      <c r="A241" s="1" t="s">
        <v>1007</v>
      </c>
      <c r="C241" s="1" t="s">
        <v>1080</v>
      </c>
      <c r="D241" s="2"/>
      <c r="L241" s="6"/>
      <c r="M241" s="6"/>
      <c r="N241" s="6"/>
      <c r="AU241" s="2"/>
      <c r="AV241" s="2"/>
      <c r="AW241" s="2"/>
      <c r="AX241" s="2"/>
      <c r="AY241" s="2"/>
      <c r="BB241" s="107" t="s">
        <v>1079</v>
      </c>
      <c r="BG241" s="137">
        <f>IF(AND(AND($M$249="for profit",$M$257="(select one)",$M$265="(select one)")),3,0)</f>
        <v>0</v>
      </c>
    </row>
    <row r="242" spans="1:67" ht="12.9" customHeight="1">
      <c r="D242" s="2"/>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BO242" s="2"/>
    </row>
    <row r="243" spans="1:67" ht="12.9" customHeight="1">
      <c r="A243" s="988"/>
      <c r="B243" s="2"/>
      <c r="C243" s="37" t="s">
        <v>1081</v>
      </c>
      <c r="D243" s="2" t="s">
        <v>1082</v>
      </c>
      <c r="E243" s="2"/>
      <c r="F243" s="2"/>
      <c r="G243" s="2"/>
      <c r="H243" s="2"/>
      <c r="I243" s="2"/>
      <c r="J243" s="2"/>
      <c r="K243" s="2"/>
      <c r="L243" s="2"/>
      <c r="M243" s="1494" t="s">
        <v>1083</v>
      </c>
      <c r="N243" s="1494"/>
      <c r="O243" s="1494"/>
      <c r="P243" s="1494"/>
      <c r="Q243" s="1494"/>
      <c r="R243" s="1494"/>
      <c r="S243" s="1494"/>
      <c r="T243" s="1494"/>
      <c r="U243" s="1494"/>
      <c r="V243" s="1494"/>
      <c r="W243" s="1494"/>
      <c r="X243" s="1494"/>
      <c r="Y243" s="1494"/>
      <c r="Z243" s="1494"/>
      <c r="AA243" s="1494"/>
      <c r="AB243" s="1494"/>
      <c r="AC243" s="1494"/>
      <c r="AD243" s="1494"/>
      <c r="AE243" s="1494"/>
      <c r="AF243" s="1494" t="s">
        <v>1084</v>
      </c>
      <c r="AG243" s="1494"/>
      <c r="AH243" s="1494"/>
      <c r="AI243" s="1494"/>
      <c r="AJ243" s="1494"/>
      <c r="AK243" s="1494"/>
      <c r="AU243" s="2"/>
      <c r="AV243" s="2"/>
      <c r="AW243" s="2"/>
      <c r="AX243" s="2"/>
      <c r="AY243" s="2"/>
      <c r="BG243">
        <f>SUM(BG226:BG241)</f>
        <v>2</v>
      </c>
    </row>
    <row r="244" spans="1:67" ht="12.9" customHeight="1">
      <c r="A244" s="988"/>
      <c r="B244" s="2"/>
      <c r="C244" s="2"/>
      <c r="D244" s="2" t="s">
        <v>1062</v>
      </c>
      <c r="E244" s="2"/>
      <c r="F244" s="2"/>
      <c r="G244" s="2"/>
      <c r="H244" s="2"/>
      <c r="I244" s="2"/>
      <c r="J244" s="2"/>
      <c r="K244" s="2"/>
      <c r="L244" s="2"/>
      <c r="M244" s="1473" t="s">
        <v>1063</v>
      </c>
      <c r="N244" s="1473"/>
      <c r="O244" s="1473"/>
      <c r="P244" s="1473"/>
      <c r="Q244" s="1473"/>
      <c r="R244" s="1473"/>
      <c r="S244" s="1473"/>
      <c r="T244" s="1473"/>
      <c r="U244" s="1473"/>
      <c r="V244" s="1473"/>
      <c r="W244" s="1473"/>
      <c r="X244" s="1473"/>
      <c r="Y244" s="1473"/>
      <c r="Z244" s="1473"/>
      <c r="AA244" s="1473"/>
      <c r="AB244" s="1473"/>
      <c r="AC244" s="1473"/>
      <c r="AD244" s="1473"/>
      <c r="AE244" s="1473"/>
      <c r="AF244" s="2" t="s">
        <v>1085</v>
      </c>
      <c r="AL244" s="2"/>
      <c r="AM244" s="2"/>
      <c r="AN244" s="2"/>
      <c r="AO244" s="2"/>
      <c r="AP244" s="2"/>
      <c r="AQ244" s="2"/>
      <c r="AR244" s="2"/>
      <c r="AS244" s="2"/>
      <c r="AT244" s="2"/>
      <c r="BB244" t="s">
        <v>547</v>
      </c>
      <c r="BG244">
        <v>1</v>
      </c>
      <c r="BH244" t="s">
        <v>1086</v>
      </c>
    </row>
    <row r="245" spans="1:67" ht="12.9" customHeight="1">
      <c r="A245" s="988"/>
      <c r="B245" s="2"/>
      <c r="C245" s="2"/>
      <c r="D245" s="2" t="s">
        <v>930</v>
      </c>
      <c r="E245" s="2"/>
      <c r="M245" s="1473" t="s">
        <v>1064</v>
      </c>
      <c r="N245" s="1473"/>
      <c r="O245" s="1473"/>
      <c r="P245" s="1473"/>
      <c r="Q245" s="1473"/>
      <c r="R245" s="1473"/>
      <c r="S245" s="1473"/>
      <c r="T245" s="1473"/>
      <c r="V245" s="763" t="s">
        <v>1065</v>
      </c>
      <c r="W245" s="1421" t="s">
        <v>1066</v>
      </c>
      <c r="X245" s="1421"/>
      <c r="Y245" s="2" t="s">
        <v>934</v>
      </c>
      <c r="AC245" s="1473">
        <v>10168</v>
      </c>
      <c r="AD245" s="1473"/>
      <c r="AE245" s="1473"/>
      <c r="AF245" s="2" t="s">
        <v>1087</v>
      </c>
      <c r="AU245" s="2"/>
      <c r="AV245" s="2"/>
      <c r="AW245" s="2"/>
      <c r="AX245" s="2"/>
      <c r="AY245" s="2"/>
      <c r="BB245" s="2" t="s">
        <v>1088</v>
      </c>
      <c r="BG245">
        <v>2</v>
      </c>
      <c r="BH245" t="s">
        <v>1043</v>
      </c>
      <c r="BO245" s="989" t="str">
        <f>VLOOKUP(BG243,BG244:BH247,2,FALSE)</f>
        <v>Joint Venture</v>
      </c>
    </row>
    <row r="246" spans="1:67" ht="12.9" customHeight="1">
      <c r="A246" s="988"/>
      <c r="B246" s="2"/>
      <c r="C246" s="2"/>
      <c r="D246" s="2" t="s">
        <v>1067</v>
      </c>
      <c r="E246" s="2"/>
      <c r="F246" s="2"/>
      <c r="G246" s="2"/>
      <c r="H246" s="2"/>
      <c r="I246" s="2"/>
      <c r="J246" s="2"/>
      <c r="K246" s="2"/>
      <c r="L246" s="988"/>
      <c r="M246" s="1473" t="s">
        <v>1068</v>
      </c>
      <c r="N246" s="1473"/>
      <c r="O246" s="1473"/>
      <c r="P246" s="1473"/>
      <c r="Q246" s="1473"/>
      <c r="R246" s="1473"/>
      <c r="S246" s="1473"/>
      <c r="T246" s="1473"/>
      <c r="U246" s="1473"/>
      <c r="V246" s="1473"/>
      <c r="W246" s="1473"/>
      <c r="X246" s="1473"/>
      <c r="Y246" s="1473"/>
      <c r="Z246" s="1473"/>
      <c r="AA246" s="1473"/>
      <c r="AB246" s="1473"/>
      <c r="AC246" s="1473"/>
      <c r="AD246" s="1473"/>
      <c r="AE246" s="1473"/>
      <c r="AH246" s="1487">
        <v>4.8999999999999998E-4</v>
      </c>
      <c r="AI246" s="1487"/>
      <c r="AJ246" s="1487"/>
      <c r="AK246" s="1487"/>
      <c r="AL246" s="2"/>
      <c r="AM246" s="2"/>
      <c r="AN246" s="2"/>
      <c r="AO246" s="2"/>
      <c r="AP246" s="2"/>
      <c r="AQ246" s="2"/>
      <c r="AR246" s="2"/>
      <c r="AS246" s="2"/>
      <c r="AT246" s="2"/>
      <c r="BB246" s="2" t="s">
        <v>1089</v>
      </c>
      <c r="BG246">
        <v>3</v>
      </c>
      <c r="BH246" t="s">
        <v>1090</v>
      </c>
      <c r="BN246" s="2"/>
    </row>
    <row r="247" spans="1:67" ht="12.9" customHeight="1">
      <c r="A247" s="988"/>
      <c r="B247" s="2"/>
      <c r="C247" s="2"/>
      <c r="D247" s="2" t="s">
        <v>1069</v>
      </c>
      <c r="E247" s="2"/>
      <c r="F247" s="2"/>
      <c r="M247" s="1445" t="s">
        <v>1070</v>
      </c>
      <c r="N247" s="1445"/>
      <c r="O247" s="1445"/>
      <c r="P247" s="1445"/>
      <c r="Q247" s="1445"/>
      <c r="R247" s="1445"/>
      <c r="S247" s="2" t="s">
        <v>1071</v>
      </c>
      <c r="T247" s="2"/>
      <c r="U247" s="1421"/>
      <c r="V247" s="1421"/>
      <c r="W247" s="1421"/>
      <c r="X247" s="2" t="s">
        <v>1072</v>
      </c>
      <c r="Z247" s="1445"/>
      <c r="AA247" s="1445"/>
      <c r="AB247" s="1445"/>
      <c r="AC247" s="1445"/>
      <c r="AD247" s="1445"/>
      <c r="AE247" s="1445"/>
      <c r="AU247" s="2"/>
      <c r="AV247" s="2"/>
      <c r="AW247" s="2"/>
      <c r="AX247" s="2"/>
      <c r="AY247" s="2"/>
      <c r="BG247">
        <v>0</v>
      </c>
      <c r="BH247" s="2" t="str">
        <f>""</f>
        <v/>
      </c>
      <c r="BN247" s="2"/>
    </row>
    <row r="248" spans="1:67" ht="12.9" customHeight="1">
      <c r="A248" s="988"/>
      <c r="B248" s="2"/>
      <c r="C248" s="2"/>
      <c r="D248" s="2" t="s">
        <v>1074</v>
      </c>
      <c r="E248" s="2"/>
      <c r="F248" s="2"/>
      <c r="M248" s="1488" t="s">
        <v>1075</v>
      </c>
      <c r="N248" s="1488"/>
      <c r="O248" s="1488"/>
      <c r="P248" s="1488"/>
      <c r="Q248" s="1488"/>
      <c r="R248" s="1488"/>
      <c r="S248" s="1488"/>
      <c r="T248" s="1488"/>
      <c r="U248" s="1488"/>
      <c r="V248" s="1488"/>
      <c r="W248" s="1488"/>
      <c r="X248" s="1488"/>
      <c r="Y248" s="1488"/>
      <c r="Z248" s="1488"/>
      <c r="AA248" s="1488"/>
      <c r="AB248" s="1488"/>
      <c r="AC248" s="1488"/>
      <c r="AD248" s="1488"/>
      <c r="AE248" s="1488"/>
      <c r="AG248" s="2"/>
      <c r="AH248" s="2"/>
      <c r="AI248" s="2"/>
      <c r="AJ248" s="2"/>
      <c r="AK248" s="2"/>
      <c r="AL248" s="2"/>
      <c r="AM248" s="2"/>
      <c r="AN248" s="2"/>
      <c r="AO248" s="2"/>
      <c r="AP248" s="2"/>
      <c r="AQ248" s="2"/>
      <c r="AR248" s="2"/>
      <c r="AS248" s="2"/>
      <c r="AT248" s="2"/>
      <c r="BN248" s="2"/>
    </row>
    <row r="249" spans="1:67" ht="12.9" customHeight="1">
      <c r="A249" s="1150"/>
      <c r="B249" s="2"/>
      <c r="C249" s="37"/>
      <c r="D249" s="2" t="s">
        <v>1091</v>
      </c>
      <c r="E249" s="2"/>
      <c r="F249" s="2"/>
      <c r="G249" s="2"/>
      <c r="H249" s="2"/>
      <c r="I249" s="2"/>
      <c r="J249" s="2"/>
      <c r="K249" s="2"/>
      <c r="L249" s="2"/>
      <c r="M249" s="1328" t="s">
        <v>1090</v>
      </c>
      <c r="N249" s="1328"/>
      <c r="O249" s="1328"/>
      <c r="P249" s="1328"/>
      <c r="Q249" s="1328"/>
      <c r="R249" s="1328"/>
      <c r="S249" s="1328"/>
      <c r="T249" s="1328"/>
      <c r="U249" s="107" t="s">
        <v>1077</v>
      </c>
      <c r="V249" s="107"/>
      <c r="W249" s="107"/>
      <c r="X249" s="107"/>
      <c r="Y249" s="107"/>
      <c r="Z249" s="107"/>
      <c r="AA249" s="1511"/>
      <c r="AB249" s="1511"/>
      <c r="AC249" s="1511"/>
      <c r="AD249" s="1511"/>
      <c r="AE249" s="1511"/>
      <c r="AF249" s="1511"/>
      <c r="AG249" s="1511"/>
      <c r="AH249" s="1511"/>
      <c r="AI249" s="1511"/>
      <c r="AJ249" s="1511"/>
      <c r="AK249" s="1511"/>
      <c r="BN249" s="2"/>
    </row>
    <row r="250" spans="1:67" ht="12.9" customHeight="1">
      <c r="A250" s="988"/>
      <c r="B250" s="2"/>
      <c r="C250" s="2"/>
      <c r="D250" s="2"/>
      <c r="E250" s="2"/>
      <c r="F250" s="2"/>
      <c r="G250" s="2"/>
      <c r="H250" s="2"/>
      <c r="I250" s="2"/>
      <c r="J250" s="2"/>
      <c r="K250" s="2"/>
      <c r="L250" s="2"/>
      <c r="AG250" s="2"/>
      <c r="AH250" s="2"/>
      <c r="AI250" s="2"/>
      <c r="AJ250" s="2"/>
      <c r="BN250" s="2"/>
    </row>
    <row r="251" spans="1:67" ht="12.9" customHeight="1">
      <c r="A251" s="1"/>
      <c r="B251" s="2"/>
      <c r="C251" s="37" t="s">
        <v>1092</v>
      </c>
      <c r="D251" s="2" t="s">
        <v>1093</v>
      </c>
      <c r="E251" s="2"/>
      <c r="F251" s="2"/>
      <c r="G251" s="2"/>
      <c r="H251" s="2"/>
      <c r="I251" s="2"/>
      <c r="J251" s="2"/>
      <c r="K251" s="2"/>
      <c r="L251" s="2"/>
      <c r="M251" s="1494" t="s">
        <v>1094</v>
      </c>
      <c r="N251" s="1494"/>
      <c r="O251" s="1494"/>
      <c r="P251" s="1494"/>
      <c r="Q251" s="1494"/>
      <c r="R251" s="1494"/>
      <c r="S251" s="1494"/>
      <c r="T251" s="1494"/>
      <c r="U251" s="1494"/>
      <c r="V251" s="1494"/>
      <c r="W251" s="1494"/>
      <c r="X251" s="1494"/>
      <c r="Y251" s="1494"/>
      <c r="Z251" s="1494"/>
      <c r="AA251" s="1494"/>
      <c r="AB251" s="1494"/>
      <c r="AC251" s="1494"/>
      <c r="AD251" s="1494"/>
      <c r="AE251" s="1494"/>
      <c r="AF251" s="1494" t="s">
        <v>1095</v>
      </c>
      <c r="AG251" s="1494"/>
      <c r="AH251" s="1494"/>
      <c r="AI251" s="1494"/>
      <c r="AJ251" s="1494"/>
      <c r="AK251" s="1494"/>
      <c r="AU251" s="2"/>
      <c r="AV251" s="2"/>
      <c r="AW251" s="2"/>
      <c r="AX251" s="2"/>
      <c r="AY251" s="2"/>
      <c r="BN251" s="2"/>
    </row>
    <row r="252" spans="1:67" ht="12.9" customHeight="1">
      <c r="A252" s="988"/>
      <c r="B252" s="2"/>
      <c r="C252" s="2"/>
      <c r="D252" s="2" t="s">
        <v>1062</v>
      </c>
      <c r="E252" s="2"/>
      <c r="F252" s="2"/>
      <c r="G252" s="2"/>
      <c r="H252" s="2"/>
      <c r="I252" s="2"/>
      <c r="J252" s="2"/>
      <c r="K252" s="2"/>
      <c r="L252" s="2"/>
      <c r="M252" s="1473" t="s">
        <v>1096</v>
      </c>
      <c r="N252" s="1473"/>
      <c r="O252" s="1473"/>
      <c r="P252" s="1473"/>
      <c r="Q252" s="1473"/>
      <c r="R252" s="1473"/>
      <c r="S252" s="1473"/>
      <c r="T252" s="1473"/>
      <c r="U252" s="1473"/>
      <c r="V252" s="1473"/>
      <c r="W252" s="1473"/>
      <c r="X252" s="1473"/>
      <c r="Y252" s="1473"/>
      <c r="Z252" s="1473"/>
      <c r="AA252" s="1473"/>
      <c r="AB252" s="1473"/>
      <c r="AC252" s="1473"/>
      <c r="AD252" s="1473"/>
      <c r="AE252" s="1473"/>
      <c r="AF252" s="2" t="s">
        <v>1085</v>
      </c>
      <c r="AL252" s="2"/>
      <c r="AM252" s="2"/>
      <c r="AN252" s="2"/>
      <c r="AO252" s="2"/>
      <c r="AP252" s="2"/>
      <c r="AQ252" s="2"/>
      <c r="AR252" s="2"/>
      <c r="AS252" s="2"/>
      <c r="AT252" s="2"/>
      <c r="BN252" s="2"/>
    </row>
    <row r="253" spans="1:67" ht="12.9" customHeight="1">
      <c r="A253" s="988"/>
      <c r="B253" s="2"/>
      <c r="C253" s="2"/>
      <c r="D253" s="2" t="s">
        <v>930</v>
      </c>
      <c r="E253" s="2"/>
      <c r="M253" s="1473" t="s">
        <v>905</v>
      </c>
      <c r="N253" s="1473"/>
      <c r="O253" s="1473"/>
      <c r="P253" s="1473"/>
      <c r="Q253" s="1473"/>
      <c r="R253" s="1473"/>
      <c r="S253" s="1473"/>
      <c r="T253" s="1473"/>
      <c r="V253" s="763" t="s">
        <v>1065</v>
      </c>
      <c r="W253" s="1421" t="s">
        <v>1097</v>
      </c>
      <c r="X253" s="1421"/>
      <c r="Y253" s="2" t="s">
        <v>934</v>
      </c>
      <c r="AC253" s="1473">
        <v>95348</v>
      </c>
      <c r="AD253" s="1473"/>
      <c r="AE253" s="1473"/>
      <c r="AF253" s="2" t="s">
        <v>1087</v>
      </c>
      <c r="AU253" s="2"/>
      <c r="AV253" s="2"/>
      <c r="AW253" s="2"/>
      <c r="AX253" s="2"/>
      <c r="AY253" s="2"/>
      <c r="BN253" s="2"/>
    </row>
    <row r="254" spans="1:67" ht="12.9" customHeight="1">
      <c r="A254" s="988"/>
      <c r="B254" s="2"/>
      <c r="C254" s="2"/>
      <c r="D254" s="2" t="s">
        <v>1067</v>
      </c>
      <c r="E254" s="2"/>
      <c r="F254" s="2"/>
      <c r="G254" s="2"/>
      <c r="H254" s="2"/>
      <c r="I254" s="2"/>
      <c r="J254" s="2"/>
      <c r="K254" s="2"/>
      <c r="L254" s="988"/>
      <c r="M254" s="1473" t="s">
        <v>1098</v>
      </c>
      <c r="N254" s="1473"/>
      <c r="O254" s="1473"/>
      <c r="P254" s="1473"/>
      <c r="Q254" s="1473"/>
      <c r="R254" s="1473"/>
      <c r="S254" s="1473"/>
      <c r="T254" s="1473"/>
      <c r="U254" s="1473"/>
      <c r="V254" s="1473"/>
      <c r="W254" s="1473"/>
      <c r="X254" s="1473"/>
      <c r="Y254" s="1473"/>
      <c r="Z254" s="1473"/>
      <c r="AA254" s="1473"/>
      <c r="AB254" s="1473"/>
      <c r="AC254" s="1473"/>
      <c r="AD254" s="1473"/>
      <c r="AE254" s="1473"/>
      <c r="AH254" s="1487">
        <v>5.1000000000000004E-4</v>
      </c>
      <c r="AI254" s="1487"/>
      <c r="AJ254" s="1487"/>
      <c r="AK254" s="1487"/>
      <c r="AL254" s="2"/>
      <c r="AM254" s="2"/>
      <c r="AN254" s="2"/>
      <c r="AO254" s="2"/>
      <c r="AP254" s="2"/>
      <c r="AQ254" s="2"/>
      <c r="AR254" s="2"/>
      <c r="AS254" s="2"/>
      <c r="AT254" s="2"/>
    </row>
    <row r="255" spans="1:67" ht="12.9" customHeight="1">
      <c r="A255" s="988"/>
      <c r="B255" s="2"/>
      <c r="C255" s="2"/>
      <c r="D255" s="2" t="s">
        <v>1069</v>
      </c>
      <c r="E255" s="2"/>
      <c r="F255" s="2"/>
      <c r="M255" s="1445" t="s">
        <v>1099</v>
      </c>
      <c r="N255" s="1445"/>
      <c r="O255" s="1445"/>
      <c r="P255" s="1445"/>
      <c r="Q255" s="1445"/>
      <c r="R255" s="1445"/>
      <c r="S255" s="2" t="s">
        <v>1071</v>
      </c>
      <c r="T255" s="2"/>
      <c r="U255" s="1421"/>
      <c r="V255" s="1421"/>
      <c r="W255" s="1421"/>
      <c r="X255" s="2" t="s">
        <v>1072</v>
      </c>
      <c r="Z255" s="1445"/>
      <c r="AA255" s="1445"/>
      <c r="AB255" s="1445"/>
      <c r="AC255" s="1445"/>
      <c r="AD255" s="1445"/>
      <c r="AE255" s="1445"/>
      <c r="AU255" s="2"/>
      <c r="AV255" s="2"/>
      <c r="AW255" s="2"/>
      <c r="AX255" s="2"/>
      <c r="AY255" s="2"/>
      <c r="BN255" s="2"/>
    </row>
    <row r="256" spans="1:67" ht="12.9" customHeight="1">
      <c r="A256" s="988"/>
      <c r="B256" s="2"/>
      <c r="C256" s="2"/>
      <c r="D256" s="2" t="s">
        <v>1074</v>
      </c>
      <c r="E256" s="2"/>
      <c r="F256" s="2"/>
      <c r="M256" s="1488" t="s">
        <v>1100</v>
      </c>
      <c r="N256" s="1488"/>
      <c r="O256" s="1488"/>
      <c r="P256" s="1488"/>
      <c r="Q256" s="1488"/>
      <c r="R256" s="1488"/>
      <c r="S256" s="1488"/>
      <c r="T256" s="1488"/>
      <c r="U256" s="1488"/>
      <c r="V256" s="1488"/>
      <c r="W256" s="1488"/>
      <c r="X256" s="1488"/>
      <c r="Y256" s="1488"/>
      <c r="Z256" s="1488"/>
      <c r="AA256" s="1488"/>
      <c r="AB256" s="1488"/>
      <c r="AC256" s="1488"/>
      <c r="AD256" s="1488"/>
      <c r="AE256" s="1488"/>
      <c r="AG256" s="2"/>
      <c r="AH256" s="2"/>
      <c r="AI256" s="2"/>
      <c r="AJ256" s="2"/>
      <c r="AK256" s="2"/>
      <c r="AL256" s="2"/>
      <c r="AM256" s="2"/>
      <c r="AN256" s="2"/>
      <c r="AO256" s="2"/>
      <c r="AP256" s="2"/>
      <c r="AQ256" s="2"/>
      <c r="AR256" s="2"/>
      <c r="AS256" s="2"/>
      <c r="AT256" s="2"/>
      <c r="AU256" s="2"/>
      <c r="AV256" s="2"/>
      <c r="AW256" s="2"/>
      <c r="AX256" s="2"/>
      <c r="AY256" s="2"/>
      <c r="BN256" s="2"/>
    </row>
    <row r="257" spans="1:51" ht="12.9" customHeight="1">
      <c r="A257" s="1150"/>
      <c r="B257" s="2"/>
      <c r="C257" s="37"/>
      <c r="D257" s="2" t="s">
        <v>1091</v>
      </c>
      <c r="E257" s="2"/>
      <c r="F257" s="2"/>
      <c r="G257" s="2"/>
      <c r="H257" s="2"/>
      <c r="I257" s="2"/>
      <c r="J257" s="2"/>
      <c r="K257" s="2"/>
      <c r="L257" s="2"/>
      <c r="M257" s="1328" t="s">
        <v>1086</v>
      </c>
      <c r="N257" s="1328"/>
      <c r="O257" s="1328"/>
      <c r="P257" s="1328"/>
      <c r="Q257" s="1328"/>
      <c r="R257" s="1328"/>
      <c r="S257" s="1328"/>
      <c r="T257" s="1328"/>
      <c r="U257" s="107" t="s">
        <v>1077</v>
      </c>
      <c r="V257" s="107"/>
      <c r="W257" s="107"/>
      <c r="X257" s="107"/>
      <c r="Y257" s="107"/>
      <c r="Z257" s="107"/>
      <c r="AA257" s="1511"/>
      <c r="AB257" s="1511"/>
      <c r="AC257" s="1511"/>
      <c r="AD257" s="1511"/>
      <c r="AE257" s="1511"/>
      <c r="AF257" s="1511"/>
      <c r="AG257" s="1511"/>
      <c r="AH257" s="1511"/>
      <c r="AI257" s="1511"/>
      <c r="AJ257" s="1511"/>
      <c r="AK257" s="1511"/>
      <c r="AL257" s="2"/>
      <c r="AM257" s="2"/>
      <c r="AN257" s="2"/>
      <c r="AO257" s="2"/>
      <c r="AP257" s="2"/>
      <c r="AQ257" s="2"/>
      <c r="AR257" s="2"/>
      <c r="AS257" s="2"/>
      <c r="AT257" s="2"/>
      <c r="AU257" s="2"/>
      <c r="AV257" s="2"/>
      <c r="AW257" s="2"/>
      <c r="AX257" s="2"/>
      <c r="AY257" s="2"/>
    </row>
    <row r="258" spans="1:51" ht="12.9" customHeight="1">
      <c r="A258" s="1150"/>
      <c r="B258" s="2"/>
      <c r="C258" s="37"/>
      <c r="D258" s="2"/>
      <c r="E258" s="2"/>
      <c r="F258" s="2"/>
      <c r="G258" s="2"/>
      <c r="H258" s="2"/>
      <c r="I258" s="2"/>
      <c r="J258" s="2"/>
      <c r="K258" s="2"/>
      <c r="L258" s="2"/>
      <c r="M258" s="6"/>
      <c r="N258" s="6"/>
      <c r="O258" s="6"/>
      <c r="P258" s="6"/>
      <c r="Q258" s="6"/>
      <c r="R258" s="6"/>
      <c r="S258" s="6"/>
      <c r="T258" s="6"/>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row>
    <row r="259" spans="1:51" ht="12.9" customHeight="1">
      <c r="A259" s="1150"/>
      <c r="B259" s="2"/>
      <c r="C259" s="37" t="s">
        <v>1101</v>
      </c>
      <c r="D259" s="2" t="s">
        <v>1082</v>
      </c>
      <c r="E259" s="2"/>
      <c r="F259" s="2"/>
      <c r="G259" s="2"/>
      <c r="H259" s="2"/>
      <c r="I259" s="2"/>
      <c r="J259" s="2"/>
      <c r="K259" s="2"/>
      <c r="L259" s="2"/>
      <c r="M259" s="1494"/>
      <c r="N259" s="1494"/>
      <c r="O259" s="1494"/>
      <c r="P259" s="1494"/>
      <c r="Q259" s="1494"/>
      <c r="R259" s="1494"/>
      <c r="S259" s="1494"/>
      <c r="T259" s="1494"/>
      <c r="U259" s="1494"/>
      <c r="V259" s="1494"/>
      <c r="W259" s="1494"/>
      <c r="X259" s="1494"/>
      <c r="Y259" s="1494"/>
      <c r="Z259" s="1494"/>
      <c r="AA259" s="1494"/>
      <c r="AB259" s="1494"/>
      <c r="AC259" s="1494"/>
      <c r="AD259" s="1494"/>
      <c r="AE259" s="1494"/>
      <c r="AF259" s="1494" t="s">
        <v>547</v>
      </c>
      <c r="AG259" s="1494"/>
      <c r="AH259" s="1494"/>
      <c r="AI259" s="1494"/>
      <c r="AJ259" s="1494"/>
      <c r="AK259" s="1494"/>
      <c r="AL259" s="2"/>
      <c r="AM259" s="2"/>
      <c r="AN259" s="2"/>
      <c r="AO259" s="2"/>
      <c r="AP259" s="2"/>
      <c r="AQ259" s="2"/>
      <c r="AR259" s="2"/>
      <c r="AS259" s="2"/>
      <c r="AT259" s="2"/>
      <c r="AU259" s="2"/>
      <c r="AV259" s="2"/>
      <c r="AW259" s="2"/>
      <c r="AX259" s="2"/>
      <c r="AY259" s="2"/>
    </row>
    <row r="260" spans="1:51" ht="12.9" customHeight="1">
      <c r="A260" s="1150"/>
      <c r="B260" s="2"/>
      <c r="C260" s="2"/>
      <c r="D260" s="2" t="s">
        <v>1062</v>
      </c>
      <c r="E260" s="2"/>
      <c r="F260" s="2"/>
      <c r="G260" s="2"/>
      <c r="H260" s="2"/>
      <c r="I260" s="2"/>
      <c r="J260" s="2"/>
      <c r="K260" s="2"/>
      <c r="L260" s="2"/>
      <c r="M260" s="1473"/>
      <c r="N260" s="1473"/>
      <c r="O260" s="1473"/>
      <c r="P260" s="1473"/>
      <c r="Q260" s="1473"/>
      <c r="R260" s="1473"/>
      <c r="S260" s="1473"/>
      <c r="T260" s="1473"/>
      <c r="U260" s="1473"/>
      <c r="V260" s="1473"/>
      <c r="W260" s="1473"/>
      <c r="X260" s="1473"/>
      <c r="Y260" s="1473"/>
      <c r="Z260" s="1473"/>
      <c r="AA260" s="1473"/>
      <c r="AB260" s="1473"/>
      <c r="AC260" s="1473"/>
      <c r="AD260" s="1473"/>
      <c r="AE260" s="1473"/>
      <c r="AF260" s="2" t="s">
        <v>1085</v>
      </c>
      <c r="AL260" s="2"/>
      <c r="AM260" s="2"/>
      <c r="AN260" s="2"/>
      <c r="AO260" s="2"/>
      <c r="AP260" s="2"/>
      <c r="AQ260" s="2"/>
      <c r="AR260" s="2"/>
      <c r="AS260" s="2"/>
      <c r="AT260" s="2"/>
      <c r="AU260" s="2"/>
      <c r="AV260" s="2"/>
      <c r="AW260" s="2"/>
      <c r="AX260" s="2"/>
      <c r="AY260" s="2"/>
    </row>
    <row r="261" spans="1:51" ht="12.9" customHeight="1">
      <c r="A261" s="1150"/>
      <c r="B261" s="2"/>
      <c r="C261" s="2"/>
      <c r="D261" s="2" t="s">
        <v>930</v>
      </c>
      <c r="E261" s="2"/>
      <c r="M261" s="1473"/>
      <c r="N261" s="1473"/>
      <c r="O261" s="1473"/>
      <c r="P261" s="1473"/>
      <c r="Q261" s="1473"/>
      <c r="R261" s="1473"/>
      <c r="S261" s="1473"/>
      <c r="T261" s="1473"/>
      <c r="V261" s="763" t="s">
        <v>1065</v>
      </c>
      <c r="W261" s="1421"/>
      <c r="X261" s="1421"/>
      <c r="Y261" s="2" t="s">
        <v>934</v>
      </c>
      <c r="AC261" s="1473"/>
      <c r="AD261" s="1473"/>
      <c r="AE261" s="1473"/>
      <c r="AF261" s="2" t="s">
        <v>1087</v>
      </c>
      <c r="AL261" s="2"/>
      <c r="AM261" s="2"/>
      <c r="AN261" s="2"/>
      <c r="AO261" s="2"/>
      <c r="AP261" s="2"/>
      <c r="AQ261" s="2"/>
      <c r="AR261" s="2"/>
      <c r="AS261" s="2"/>
      <c r="AT261" s="2"/>
      <c r="AU261" s="2"/>
      <c r="AV261" s="2"/>
      <c r="AW261" s="2"/>
      <c r="AX261" s="2"/>
      <c r="AY261" s="2"/>
    </row>
    <row r="262" spans="1:51" ht="12.9" customHeight="1">
      <c r="A262" s="1150"/>
      <c r="B262" s="2"/>
      <c r="C262" s="2"/>
      <c r="D262" s="2" t="s">
        <v>1067</v>
      </c>
      <c r="E262" s="2"/>
      <c r="F262" s="2"/>
      <c r="G262" s="2"/>
      <c r="H262" s="2"/>
      <c r="I262" s="2"/>
      <c r="J262" s="2"/>
      <c r="K262" s="2"/>
      <c r="L262" s="988"/>
      <c r="M262" s="1473"/>
      <c r="N262" s="1473"/>
      <c r="O262" s="1473"/>
      <c r="P262" s="1473"/>
      <c r="Q262" s="1473"/>
      <c r="R262" s="1473"/>
      <c r="S262" s="1473"/>
      <c r="T262" s="1473"/>
      <c r="U262" s="1473"/>
      <c r="V262" s="1473"/>
      <c r="W262" s="1473"/>
      <c r="X262" s="1473"/>
      <c r="Y262" s="1473"/>
      <c r="Z262" s="1473"/>
      <c r="AA262" s="1473"/>
      <c r="AB262" s="1473"/>
      <c r="AC262" s="1473"/>
      <c r="AD262" s="1473"/>
      <c r="AE262" s="1473"/>
      <c r="AH262" s="1487"/>
      <c r="AI262" s="1487"/>
      <c r="AJ262" s="1487"/>
      <c r="AK262" s="1487"/>
      <c r="AL262" s="2"/>
      <c r="AM262" s="2"/>
      <c r="AN262" s="2"/>
      <c r="AO262" s="2"/>
      <c r="AP262" s="2"/>
      <c r="AQ262" s="2"/>
      <c r="AR262" s="2"/>
      <c r="AS262" s="2"/>
      <c r="AT262" s="2"/>
      <c r="AU262" s="2"/>
      <c r="AV262" s="2"/>
      <c r="AW262" s="2"/>
      <c r="AX262" s="2"/>
      <c r="AY262" s="2"/>
    </row>
    <row r="263" spans="1:51" ht="12.9" customHeight="1">
      <c r="A263" s="1150"/>
      <c r="B263" s="2"/>
      <c r="C263" s="2"/>
      <c r="D263" s="2" t="s">
        <v>1069</v>
      </c>
      <c r="E263" s="2"/>
      <c r="F263" s="2"/>
      <c r="M263" s="1445"/>
      <c r="N263" s="1445"/>
      <c r="O263" s="1445"/>
      <c r="P263" s="1445"/>
      <c r="Q263" s="1445"/>
      <c r="R263" s="1445"/>
      <c r="S263" s="2" t="s">
        <v>1071</v>
      </c>
      <c r="T263" s="2"/>
      <c r="U263" s="1421"/>
      <c r="V263" s="1421"/>
      <c r="W263" s="1421"/>
      <c r="X263" s="2" t="s">
        <v>1072</v>
      </c>
      <c r="Z263" s="1445"/>
      <c r="AA263" s="1445"/>
      <c r="AB263" s="1445"/>
      <c r="AC263" s="1445"/>
      <c r="AD263" s="1445"/>
      <c r="AE263" s="1445"/>
      <c r="AL263" s="2"/>
      <c r="AM263" s="2"/>
      <c r="AN263" s="2"/>
      <c r="AO263" s="2"/>
      <c r="AP263" s="2"/>
      <c r="AQ263" s="2"/>
      <c r="AR263" s="2"/>
      <c r="AS263" s="2"/>
      <c r="AT263" s="2"/>
      <c r="AU263" s="2"/>
      <c r="AV263" s="2"/>
      <c r="AW263" s="2"/>
      <c r="AX263" s="2"/>
      <c r="AY263" s="2"/>
    </row>
    <row r="264" spans="1:51" ht="12.9" customHeight="1">
      <c r="A264" s="1150"/>
      <c r="B264" s="2"/>
      <c r="C264" s="2"/>
      <c r="D264" s="2" t="s">
        <v>1074</v>
      </c>
      <c r="E264" s="2"/>
      <c r="F264" s="2"/>
      <c r="M264" s="1488"/>
      <c r="N264" s="1488"/>
      <c r="O264" s="1488"/>
      <c r="P264" s="1488"/>
      <c r="Q264" s="1488"/>
      <c r="R264" s="1488"/>
      <c r="S264" s="1488"/>
      <c r="T264" s="1488"/>
      <c r="U264" s="1488"/>
      <c r="V264" s="1488"/>
      <c r="W264" s="1488"/>
      <c r="X264" s="1488"/>
      <c r="Y264" s="1488"/>
      <c r="Z264" s="1488"/>
      <c r="AA264" s="1518"/>
      <c r="AB264" s="1518"/>
      <c r="AC264" s="1518"/>
      <c r="AD264" s="1518"/>
      <c r="AE264" s="1518"/>
      <c r="AG264" s="2"/>
      <c r="AH264" s="2"/>
      <c r="AI264" s="2"/>
      <c r="AJ264" s="2"/>
      <c r="AK264" s="2"/>
      <c r="AL264" s="2"/>
      <c r="AM264" s="2"/>
      <c r="AN264" s="2"/>
      <c r="AO264" s="2"/>
      <c r="AP264" s="2"/>
      <c r="AQ264" s="2"/>
      <c r="AR264" s="2"/>
      <c r="AS264" s="2"/>
      <c r="AT264" s="2"/>
      <c r="AU264" s="2"/>
      <c r="AV264" s="2"/>
      <c r="AW264" s="2"/>
      <c r="AX264" s="2"/>
      <c r="AY264" s="2"/>
    </row>
    <row r="265" spans="1:51" ht="12.9" customHeight="1">
      <c r="A265" s="1150"/>
      <c r="B265" s="2"/>
      <c r="C265" s="37"/>
      <c r="D265" s="2" t="s">
        <v>1091</v>
      </c>
      <c r="E265" s="2"/>
      <c r="F265" s="2"/>
      <c r="G265" s="2"/>
      <c r="H265" s="2"/>
      <c r="I265" s="2"/>
      <c r="J265" s="2"/>
      <c r="K265" s="2"/>
      <c r="L265" s="2"/>
      <c r="M265" s="1328" t="s">
        <v>547</v>
      </c>
      <c r="N265" s="1328"/>
      <c r="O265" s="1328"/>
      <c r="P265" s="1328"/>
      <c r="Q265" s="1328"/>
      <c r="R265" s="1328"/>
      <c r="S265" s="1328"/>
      <c r="T265" s="1328"/>
      <c r="U265" s="107" t="s">
        <v>1077</v>
      </c>
      <c r="V265" s="107"/>
      <c r="W265" s="107"/>
      <c r="X265" s="107"/>
      <c r="Y265" s="107"/>
      <c r="Z265" s="107"/>
      <c r="AA265" s="1517"/>
      <c r="AB265" s="1517"/>
      <c r="AC265" s="1517"/>
      <c r="AD265" s="1517"/>
      <c r="AE265" s="1517"/>
      <c r="AF265" s="1517"/>
      <c r="AG265" s="1517"/>
      <c r="AH265" s="1517"/>
      <c r="AI265" s="1517"/>
      <c r="AJ265" s="1517"/>
      <c r="AK265" s="1517"/>
      <c r="AL265" s="2"/>
      <c r="AM265" s="2"/>
      <c r="AN265" s="2"/>
      <c r="AO265" s="2"/>
      <c r="AP265" s="2"/>
      <c r="AQ265" s="2"/>
      <c r="AR265" s="2"/>
      <c r="AS265" s="2"/>
      <c r="AT265" s="2"/>
    </row>
    <row r="266" spans="1:51" ht="12.9" customHeight="1">
      <c r="A266" s="988"/>
      <c r="B266" s="2"/>
      <c r="C266" s="2"/>
      <c r="D266" s="2"/>
      <c r="E266" s="2"/>
      <c r="F266" s="2"/>
      <c r="J266" s="89"/>
      <c r="K266" s="68"/>
      <c r="L266" s="68"/>
      <c r="M266" s="68"/>
      <c r="N266" s="68"/>
      <c r="O266" s="68"/>
      <c r="P266" s="68"/>
      <c r="Q266" s="68"/>
      <c r="R266" s="68"/>
      <c r="S266" s="68"/>
      <c r="T266" s="68"/>
      <c r="U266" s="68"/>
      <c r="V266" s="68"/>
      <c r="W266" s="68"/>
      <c r="X266" s="68"/>
      <c r="Y266" s="68"/>
      <c r="AD266" s="32"/>
      <c r="AE266" s="32"/>
    </row>
    <row r="267" spans="1:51" ht="12.9" customHeight="1">
      <c r="A267" s="38" t="s">
        <v>1019</v>
      </c>
      <c r="B267" s="2"/>
      <c r="C267" s="1" t="s">
        <v>1102</v>
      </c>
      <c r="D267" s="2"/>
      <c r="E267" s="2"/>
      <c r="F267" s="2"/>
      <c r="G267" s="2"/>
      <c r="H267" s="2"/>
      <c r="I267" s="2"/>
      <c r="J267" s="2"/>
      <c r="K267" s="2"/>
      <c r="L267" s="2"/>
      <c r="M267" s="68"/>
      <c r="N267" s="68"/>
      <c r="O267" s="68"/>
      <c r="P267" s="68"/>
      <c r="Q267" s="68"/>
      <c r="T267" s="1493" t="str">
        <f>IFERROR(BO245,"")</f>
        <v>Joint Venture</v>
      </c>
      <c r="U267" s="1493"/>
      <c r="V267" s="1493"/>
      <c r="W267" s="1493"/>
      <c r="X267" s="1493"/>
      <c r="Z267" s="166" t="s">
        <v>1103</v>
      </c>
      <c r="AA267" s="167"/>
      <c r="AB267" s="167"/>
      <c r="AC267" s="167"/>
      <c r="AD267" s="168"/>
      <c r="AE267" s="168"/>
      <c r="AF267" s="168"/>
      <c r="AG267" s="168"/>
      <c r="AH267" s="168"/>
      <c r="AI267" s="168"/>
      <c r="AJ267" s="168"/>
      <c r="AK267" s="168"/>
      <c r="AL267" s="39"/>
    </row>
    <row r="268" spans="1:51" ht="12.9" customHeight="1">
      <c r="A268" s="1"/>
      <c r="B268" s="2"/>
      <c r="C268" s="1"/>
      <c r="I268" s="2"/>
      <c r="J268" s="2"/>
      <c r="K268" s="2"/>
      <c r="L268" s="2"/>
      <c r="M268" s="68"/>
      <c r="N268" s="68"/>
      <c r="O268" s="68"/>
      <c r="P268" s="68"/>
      <c r="Q268" s="68"/>
      <c r="T268" s="2"/>
      <c r="U268" s="2"/>
      <c r="V268" s="2"/>
      <c r="W268" s="68"/>
      <c r="Z268" s="169" t="s">
        <v>1104</v>
      </c>
      <c r="AF268" s="2"/>
      <c r="AG268" s="2"/>
      <c r="AH268" s="2"/>
      <c r="AI268" s="2"/>
      <c r="AJ268" s="2"/>
      <c r="AL268" s="42"/>
    </row>
    <row r="269" spans="1:51" ht="12.9" customHeight="1">
      <c r="A269" s="1" t="s">
        <v>1046</v>
      </c>
      <c r="B269" s="2"/>
      <c r="C269" s="1" t="s">
        <v>124</v>
      </c>
      <c r="D269" s="2"/>
      <c r="E269" s="2"/>
      <c r="F269" s="2"/>
      <c r="G269" s="2"/>
      <c r="H269" s="2"/>
      <c r="I269" s="2"/>
      <c r="J269" s="2"/>
      <c r="K269" s="2"/>
      <c r="L269" s="2"/>
      <c r="M269" s="2"/>
      <c r="N269" s="2"/>
      <c r="O269" s="2"/>
      <c r="P269" s="2"/>
      <c r="Q269" s="2"/>
      <c r="R269" s="2"/>
      <c r="S269" s="2"/>
      <c r="T269" s="2"/>
      <c r="U269" s="2"/>
      <c r="V269" s="2"/>
      <c r="W269" s="2"/>
      <c r="Z269" s="170" t="s">
        <v>1105</v>
      </c>
      <c r="AA269" s="32"/>
      <c r="AB269" s="32"/>
      <c r="AC269" s="32"/>
      <c r="AD269" s="32"/>
      <c r="AE269" s="32"/>
      <c r="AF269" s="658"/>
      <c r="AG269" s="658"/>
      <c r="AH269" s="658"/>
      <c r="AI269" s="658"/>
      <c r="AJ269" s="658"/>
      <c r="AK269" s="32"/>
      <c r="AL269" s="33"/>
    </row>
    <row r="270" spans="1:51" ht="12.9" customHeight="1">
      <c r="A270" s="2"/>
      <c r="B270" s="26">
        <v>0</v>
      </c>
      <c r="D270" s="1473" t="s">
        <v>1088</v>
      </c>
      <c r="E270" s="1473"/>
      <c r="F270" s="1473"/>
      <c r="G270" s="1473"/>
      <c r="H270" s="1473"/>
      <c r="J270" t="s">
        <v>1106</v>
      </c>
      <c r="X270" s="1448"/>
      <c r="Y270" s="1448"/>
      <c r="Z270" s="1448"/>
      <c r="AA270" s="1448"/>
      <c r="AB270" s="1448"/>
      <c r="AC270" s="1448"/>
      <c r="AU270" s="2"/>
      <c r="AV270" s="2"/>
      <c r="AW270" s="2"/>
      <c r="AX270" s="2"/>
      <c r="AY270" s="2"/>
    </row>
    <row r="271" spans="1:51" ht="12.9" customHeight="1">
      <c r="A271" s="2"/>
      <c r="B271" s="988"/>
      <c r="D271" s="27" t="s">
        <v>1107</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row>
    <row r="272" spans="1:51" ht="12.9"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6"/>
      <c r="X272" s="2"/>
      <c r="Y272" s="2"/>
      <c r="Z272" s="1152"/>
      <c r="AA272" s="1152"/>
      <c r="AB272" s="1152"/>
      <c r="AC272" s="1152"/>
      <c r="AD272" s="1152"/>
      <c r="AE272" s="2"/>
      <c r="AK272" s="2"/>
      <c r="AL272" s="2"/>
      <c r="AM272" s="2"/>
      <c r="AN272" s="2"/>
      <c r="AO272" s="2"/>
      <c r="AP272" s="2"/>
      <c r="AQ272" s="2"/>
      <c r="AR272" s="2"/>
      <c r="AS272" s="2"/>
      <c r="AT272" s="2"/>
    </row>
    <row r="273" spans="1:51" ht="12.9" customHeight="1">
      <c r="A273" s="1" t="s">
        <v>1108</v>
      </c>
      <c r="B273" s="1"/>
      <c r="C273" s="1" t="s">
        <v>128</v>
      </c>
      <c r="D273" s="2"/>
      <c r="E273" s="2"/>
      <c r="F273" s="2"/>
      <c r="G273" s="2"/>
      <c r="H273" s="2"/>
      <c r="I273" s="2"/>
      <c r="J273" s="2"/>
      <c r="K273" s="2"/>
      <c r="L273" s="2"/>
      <c r="M273" s="2"/>
      <c r="N273" s="2"/>
      <c r="O273" s="2"/>
      <c r="P273" s="2"/>
      <c r="Q273" s="2"/>
      <c r="R273" s="2"/>
      <c r="S273" s="2"/>
      <c r="T273" s="2"/>
      <c r="AU273" s="2"/>
      <c r="AV273" s="2"/>
      <c r="AW273" s="2"/>
      <c r="AX273" s="2"/>
      <c r="AY273" s="2"/>
    </row>
    <row r="274" spans="1:51" ht="12.9" customHeight="1">
      <c r="D274" s="2" t="s">
        <v>1109</v>
      </c>
      <c r="E274" s="2"/>
      <c r="F274" s="2"/>
      <c r="G274" s="2"/>
      <c r="H274" s="2"/>
      <c r="I274" s="2"/>
      <c r="J274" s="2"/>
      <c r="K274" s="2"/>
      <c r="L274" s="1494" t="s">
        <v>1110</v>
      </c>
      <c r="M274" s="1494"/>
      <c r="N274" s="1494"/>
      <c r="O274" s="1494"/>
      <c r="P274" s="1494"/>
      <c r="Q274" s="1494"/>
      <c r="R274" s="1494"/>
      <c r="S274" s="1494"/>
      <c r="T274" s="1494"/>
      <c r="U274" s="1494"/>
      <c r="V274" s="1494"/>
      <c r="W274" s="1494"/>
      <c r="X274" s="1494"/>
      <c r="Y274" s="1494"/>
      <c r="Z274" s="1494"/>
      <c r="AA274" s="1494"/>
      <c r="AB274" s="1494"/>
      <c r="AC274" s="1494"/>
      <c r="AD274" s="1494"/>
      <c r="AE274" s="1494"/>
      <c r="AF274" s="1494"/>
      <c r="AG274" s="1494"/>
      <c r="AH274" s="1494"/>
      <c r="AI274" s="1494"/>
      <c r="AJ274" s="1494"/>
      <c r="AK274" s="2"/>
      <c r="AL274" s="2"/>
      <c r="AM274" s="2"/>
      <c r="AN274" s="2"/>
      <c r="AO274" s="2"/>
      <c r="AP274" s="2"/>
      <c r="AQ274" s="2"/>
      <c r="AR274" s="2"/>
      <c r="AS274" s="2"/>
      <c r="AT274" s="2"/>
      <c r="AU274" s="2"/>
      <c r="AV274" s="2"/>
      <c r="AW274" s="2"/>
      <c r="AX274" s="2"/>
      <c r="AY274" s="2"/>
    </row>
    <row r="275" spans="1:51" ht="12.9" customHeight="1">
      <c r="D275" s="2" t="s">
        <v>1062</v>
      </c>
      <c r="E275" s="2"/>
      <c r="F275" s="2"/>
      <c r="G275" s="2"/>
      <c r="H275" s="2"/>
      <c r="I275" s="2"/>
      <c r="J275" s="2"/>
      <c r="K275" s="2"/>
      <c r="L275" s="1473" t="s">
        <v>1063</v>
      </c>
      <c r="M275" s="1473"/>
      <c r="N275" s="1473"/>
      <c r="O275" s="1473"/>
      <c r="P275" s="1473"/>
      <c r="Q275" s="1473"/>
      <c r="R275" s="1473"/>
      <c r="S275" s="1473"/>
      <c r="T275" s="1473"/>
      <c r="U275" s="1473"/>
      <c r="V275" s="1473"/>
      <c r="W275" s="1473"/>
      <c r="X275" s="1473"/>
      <c r="Y275" s="1473"/>
      <c r="Z275" s="1473"/>
      <c r="AA275" s="1473"/>
      <c r="AB275" s="1473"/>
      <c r="AC275" s="1473"/>
      <c r="AD275" s="1473"/>
      <c r="AK275" s="2"/>
      <c r="AL275" s="2"/>
      <c r="AM275" s="2"/>
      <c r="AN275" s="2"/>
      <c r="AO275" s="2"/>
      <c r="AP275" s="2"/>
      <c r="AQ275" s="2"/>
      <c r="AR275" s="2"/>
      <c r="AS275" s="2"/>
      <c r="AT275" s="2"/>
      <c r="AU275" s="2"/>
      <c r="AV275" s="2"/>
      <c r="AW275" s="2"/>
      <c r="AX275" s="2"/>
      <c r="AY275" s="2"/>
    </row>
    <row r="276" spans="1:51" ht="12.9" customHeight="1">
      <c r="D276" s="2" t="s">
        <v>930</v>
      </c>
      <c r="E276" s="2"/>
      <c r="L276" s="1473" t="s">
        <v>1064</v>
      </c>
      <c r="M276" s="1473"/>
      <c r="N276" s="1473"/>
      <c r="O276" s="1473"/>
      <c r="P276" s="1473"/>
      <c r="Q276" s="1473"/>
      <c r="R276" s="1473"/>
      <c r="S276" s="1473"/>
      <c r="U276" s="763" t="s">
        <v>1065</v>
      </c>
      <c r="V276" s="1421" t="s">
        <v>1066</v>
      </c>
      <c r="W276" s="1421"/>
      <c r="X276" s="2" t="s">
        <v>934</v>
      </c>
      <c r="AB276" s="1473">
        <v>10168</v>
      </c>
      <c r="AC276" s="1473"/>
      <c r="AD276" s="1473"/>
      <c r="AK276" s="2"/>
      <c r="AL276" s="2"/>
      <c r="AM276" s="2"/>
      <c r="AN276" s="2"/>
      <c r="AO276" s="2"/>
      <c r="AP276" s="2"/>
      <c r="AQ276" s="2"/>
      <c r="AR276" s="2"/>
      <c r="AS276" s="2"/>
      <c r="AT276" s="2"/>
      <c r="AU276" s="2"/>
      <c r="AV276" s="2"/>
      <c r="AW276" s="2"/>
      <c r="AX276" s="2"/>
      <c r="AY276" s="2"/>
    </row>
    <row r="277" spans="1:51" ht="12.9" customHeight="1">
      <c r="D277" s="2" t="s">
        <v>1067</v>
      </c>
      <c r="E277" s="2"/>
      <c r="F277" s="2"/>
      <c r="G277" s="2"/>
      <c r="H277" s="2"/>
      <c r="I277" s="2"/>
      <c r="J277" s="2"/>
      <c r="K277" s="988"/>
      <c r="L277" s="1473" t="s">
        <v>1111</v>
      </c>
      <c r="M277" s="1473"/>
      <c r="N277" s="1473"/>
      <c r="O277" s="1473"/>
      <c r="P277" s="1473"/>
      <c r="Q277" s="1473"/>
      <c r="R277" s="1473"/>
      <c r="S277" s="1473"/>
      <c r="T277" s="1473"/>
      <c r="U277" s="1473"/>
      <c r="V277" s="1473"/>
      <c r="W277" s="1473"/>
      <c r="X277" s="1473"/>
      <c r="Y277" s="1473"/>
      <c r="Z277" s="1473"/>
      <c r="AA277" s="1473"/>
      <c r="AB277" s="1473"/>
      <c r="AC277" s="1473"/>
      <c r="AD277" s="1473"/>
      <c r="AI277" s="2"/>
      <c r="AJ277" s="2"/>
      <c r="AK277" s="2"/>
      <c r="AL277" s="2"/>
      <c r="AM277" s="2"/>
      <c r="AN277" s="2"/>
      <c r="AO277" s="2"/>
      <c r="AP277" s="2"/>
      <c r="AQ277" s="2"/>
      <c r="AR277" s="2"/>
      <c r="AS277" s="2"/>
      <c r="AT277" s="2"/>
    </row>
    <row r="278" spans="1:51" ht="12.9" customHeight="1">
      <c r="D278" s="2" t="s">
        <v>1069</v>
      </c>
      <c r="E278" s="2"/>
      <c r="F278" s="2"/>
      <c r="L278" s="1445" t="s">
        <v>1112</v>
      </c>
      <c r="M278" s="1445"/>
      <c r="N278" s="1445"/>
      <c r="O278" s="1445"/>
      <c r="P278" s="1445"/>
      <c r="Q278" s="1445"/>
      <c r="R278" s="2" t="s">
        <v>1071</v>
      </c>
      <c r="S278" s="2"/>
      <c r="T278" s="1421"/>
      <c r="U278" s="1421"/>
      <c r="V278" s="1421"/>
      <c r="W278" s="2" t="s">
        <v>1072</v>
      </c>
      <c r="Y278" s="1445"/>
      <c r="Z278" s="1445"/>
      <c r="AA278" s="1445"/>
      <c r="AB278" s="1445"/>
      <c r="AC278" s="1445"/>
      <c r="AD278" s="1445"/>
    </row>
    <row r="279" spans="1:51" ht="12.9" customHeight="1">
      <c r="D279" s="2" t="s">
        <v>1074</v>
      </c>
      <c r="E279" s="2"/>
      <c r="F279" s="2"/>
      <c r="L279" s="1488" t="s">
        <v>1113</v>
      </c>
      <c r="M279" s="1488"/>
      <c r="N279" s="1488"/>
      <c r="O279" s="1488"/>
      <c r="P279" s="1488"/>
      <c r="Q279" s="1488"/>
      <c r="R279" s="1488"/>
      <c r="S279" s="1488"/>
      <c r="T279" s="1488"/>
      <c r="U279" s="1488"/>
      <c r="V279" s="1488"/>
      <c r="W279" s="1488"/>
      <c r="X279" s="1488"/>
      <c r="Y279" s="1488"/>
      <c r="Z279" s="1488"/>
      <c r="AA279" s="1488"/>
      <c r="AB279" s="1488"/>
      <c r="AC279" s="1488"/>
      <c r="AD279" s="1488"/>
      <c r="AF279" s="2"/>
      <c r="AG279" s="2"/>
      <c r="AH279" s="2"/>
      <c r="AI279" s="2"/>
      <c r="AJ279" s="2"/>
      <c r="AU279" s="2"/>
      <c r="AV279" s="2"/>
      <c r="AW279" s="2"/>
      <c r="AX279" s="2"/>
      <c r="AY279" s="2"/>
    </row>
    <row r="280" spans="1:51" ht="12.9" customHeight="1">
      <c r="D280" s="2" t="s">
        <v>1114</v>
      </c>
      <c r="E280" s="2"/>
      <c r="F280" s="2"/>
      <c r="G280" s="2"/>
      <c r="H280" s="2"/>
      <c r="I280" s="2"/>
      <c r="L280" s="1421" t="s">
        <v>1115</v>
      </c>
      <c r="M280" s="1421"/>
      <c r="N280" s="1421"/>
      <c r="O280" s="1421"/>
      <c r="P280" s="1421"/>
      <c r="Q280" s="1421"/>
      <c r="R280" s="1421"/>
      <c r="S280" s="1421"/>
      <c r="T280" s="1421"/>
      <c r="U280" s="1421"/>
      <c r="V280" s="1421"/>
      <c r="W280" s="1421"/>
      <c r="X280" s="1421"/>
      <c r="Y280" s="1421"/>
      <c r="Z280" s="1421"/>
      <c r="AA280" s="1421"/>
      <c r="AB280" s="1421"/>
      <c r="AC280" s="1421"/>
      <c r="AD280" s="1421"/>
      <c r="AK280" s="2"/>
      <c r="AL280" s="2"/>
      <c r="AM280" s="2"/>
      <c r="AN280" s="2"/>
      <c r="AO280" s="2"/>
      <c r="AP280" s="2"/>
      <c r="AQ280" s="2"/>
      <c r="AR280" s="2"/>
      <c r="AS280" s="2"/>
      <c r="AT280" s="2"/>
    </row>
    <row r="281" spans="1:51" ht="12.9" customHeight="1">
      <c r="L281" s="17" t="s">
        <v>1116</v>
      </c>
      <c r="AU281" s="54"/>
      <c r="AV281" s="54"/>
      <c r="AW281" s="54"/>
      <c r="AX281" s="54"/>
      <c r="AY281" s="54"/>
    </row>
    <row r="282" spans="1:51" ht="12.9" customHeight="1">
      <c r="A282" s="1491" t="s">
        <v>1117</v>
      </c>
      <c r="B282" s="1491"/>
      <c r="C282" s="1491"/>
      <c r="D282" s="1491"/>
      <c r="E282" s="1491"/>
      <c r="F282" s="1491"/>
      <c r="G282" s="1491"/>
      <c r="H282" s="1491"/>
      <c r="I282" s="1491"/>
      <c r="J282" s="1491"/>
      <c r="K282" s="1491"/>
      <c r="L282" s="1491"/>
      <c r="M282" s="1491"/>
      <c r="N282" s="1491"/>
      <c r="O282" s="1491"/>
      <c r="P282" s="1491"/>
      <c r="Q282" s="1491"/>
      <c r="R282" s="1491"/>
      <c r="S282" s="1491"/>
      <c r="T282" s="1491"/>
      <c r="U282" s="1491"/>
      <c r="V282" s="1491"/>
      <c r="W282" s="1491"/>
      <c r="X282" s="1491"/>
      <c r="Y282" s="1491"/>
      <c r="Z282" s="1491"/>
      <c r="AA282" s="1491"/>
      <c r="AB282" s="1491"/>
      <c r="AC282" s="1491"/>
      <c r="AD282" s="1491"/>
      <c r="AE282" s="1491"/>
      <c r="AF282" s="1491"/>
      <c r="AG282" s="1491"/>
      <c r="AH282" s="1491"/>
      <c r="AI282" s="1491"/>
      <c r="AJ282" s="1491"/>
      <c r="AK282" s="1491"/>
      <c r="AL282" s="1491"/>
      <c r="AM282" s="1491"/>
      <c r="AN282" s="1491"/>
      <c r="AO282" s="1491"/>
      <c r="AP282" s="1491"/>
      <c r="AQ282" s="1491"/>
      <c r="AR282" s="1491"/>
      <c r="AS282" s="1491"/>
      <c r="AT282" s="1491"/>
      <c r="AU282" s="54"/>
      <c r="AV282" s="54"/>
      <c r="AW282" s="54"/>
      <c r="AX282" s="54"/>
      <c r="AY282" s="54"/>
    </row>
    <row r="283" spans="1:51" ht="12.9" customHeight="1">
      <c r="A283" s="1491"/>
      <c r="B283" s="1491"/>
      <c r="C283" s="1491"/>
      <c r="D283" s="1491"/>
      <c r="E283" s="1491"/>
      <c r="F283" s="1491"/>
      <c r="G283" s="1491"/>
      <c r="H283" s="1491"/>
      <c r="I283" s="1491"/>
      <c r="J283" s="1491"/>
      <c r="K283" s="1491"/>
      <c r="L283" s="1491"/>
      <c r="M283" s="1491"/>
      <c r="N283" s="1491"/>
      <c r="O283" s="1491"/>
      <c r="P283" s="1491"/>
      <c r="Q283" s="1491"/>
      <c r="R283" s="1491"/>
      <c r="S283" s="1491"/>
      <c r="T283" s="1491"/>
      <c r="U283" s="1491"/>
      <c r="V283" s="1491"/>
      <c r="W283" s="1491"/>
      <c r="X283" s="1491"/>
      <c r="Y283" s="1491"/>
      <c r="Z283" s="1491"/>
      <c r="AA283" s="1491"/>
      <c r="AB283" s="1491"/>
      <c r="AC283" s="1491"/>
      <c r="AD283" s="1491"/>
      <c r="AE283" s="1491"/>
      <c r="AF283" s="1491"/>
      <c r="AG283" s="1491"/>
      <c r="AH283" s="1491"/>
      <c r="AI283" s="1491"/>
      <c r="AJ283" s="1491"/>
      <c r="AK283" s="1491"/>
      <c r="AL283" s="1491"/>
      <c r="AM283" s="1491"/>
      <c r="AN283" s="1491"/>
      <c r="AO283" s="1491"/>
      <c r="AP283" s="1491"/>
      <c r="AQ283" s="1491"/>
      <c r="AR283" s="1491"/>
      <c r="AS283" s="1491"/>
      <c r="AT283" s="1491"/>
      <c r="AU283" s="19"/>
      <c r="AV283" s="19"/>
      <c r="AW283" s="19"/>
      <c r="AX283" s="19"/>
      <c r="AY283" s="19"/>
    </row>
    <row r="284" spans="1:51" ht="12.9" customHeight="1">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row>
    <row r="285" spans="1:51" ht="12.9" customHeight="1">
      <c r="A285" s="1" t="s">
        <v>870</v>
      </c>
      <c r="C285" s="1" t="s">
        <v>1118</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51" ht="12.9"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51" ht="12.9" customHeight="1">
      <c r="B287" s="2" t="s">
        <v>1119</v>
      </c>
      <c r="C287" s="2"/>
      <c r="D287" s="2"/>
      <c r="E287" s="2"/>
      <c r="F287" s="2"/>
      <c r="H287" s="1383" t="s">
        <v>1120</v>
      </c>
      <c r="I287" s="1383"/>
      <c r="J287" s="1383"/>
      <c r="K287" s="1383"/>
      <c r="L287" s="1383"/>
      <c r="M287" s="1383"/>
      <c r="N287" s="1383"/>
      <c r="O287" s="1383"/>
      <c r="P287" s="1383"/>
      <c r="Q287" s="1383"/>
      <c r="R287" s="1383"/>
      <c r="T287" s="2" t="s">
        <v>1121</v>
      </c>
      <c r="V287" s="2"/>
      <c r="W287" s="2"/>
      <c r="X287" s="2"/>
      <c r="Y287" s="2"/>
      <c r="AA287" s="1383" t="s">
        <v>1122</v>
      </c>
      <c r="AB287" s="1383"/>
      <c r="AC287" s="1383"/>
      <c r="AD287" s="1383"/>
      <c r="AE287" s="1383"/>
      <c r="AF287" s="1383"/>
      <c r="AG287" s="1383"/>
      <c r="AH287" s="1383"/>
      <c r="AI287" s="1383"/>
      <c r="AJ287" s="1383"/>
      <c r="AK287" s="1383"/>
    </row>
    <row r="288" spans="1:51" ht="12.9" customHeight="1">
      <c r="B288" s="2" t="s">
        <v>1123</v>
      </c>
      <c r="C288" s="2"/>
      <c r="D288" s="2"/>
      <c r="E288" s="2"/>
      <c r="F288" s="2"/>
      <c r="H288" s="1328" t="s">
        <v>1124</v>
      </c>
      <c r="I288" s="1328"/>
      <c r="J288" s="1328"/>
      <c r="K288" s="1328"/>
      <c r="L288" s="1328"/>
      <c r="M288" s="1328"/>
      <c r="N288" s="1328"/>
      <c r="O288" s="1328"/>
      <c r="P288" s="1328"/>
      <c r="Q288" s="1328"/>
      <c r="R288" s="1328"/>
      <c r="T288" s="2" t="s">
        <v>1123</v>
      </c>
      <c r="V288" s="2"/>
      <c r="W288" s="2"/>
      <c r="X288" s="2"/>
      <c r="Y288" s="2"/>
      <c r="AA288" s="1328" t="s">
        <v>1125</v>
      </c>
      <c r="AB288" s="1328"/>
      <c r="AC288" s="1328"/>
      <c r="AD288" s="1328"/>
      <c r="AE288" s="1328"/>
      <c r="AF288" s="1328"/>
      <c r="AG288" s="1328"/>
      <c r="AH288" s="1328"/>
      <c r="AI288" s="1328"/>
      <c r="AJ288" s="1328"/>
      <c r="AK288" s="1328"/>
    </row>
    <row r="289" spans="2:37" ht="12.9" customHeight="1">
      <c r="B289" s="2" t="s">
        <v>1126</v>
      </c>
      <c r="C289" s="2"/>
      <c r="D289" s="2"/>
      <c r="E289" s="2"/>
      <c r="F289" s="2"/>
      <c r="H289" s="1328" t="s">
        <v>1127</v>
      </c>
      <c r="I289" s="1328"/>
      <c r="J289" s="1328"/>
      <c r="K289" s="1328"/>
      <c r="L289" s="1328"/>
      <c r="M289" s="1328"/>
      <c r="N289" s="1328"/>
      <c r="O289" s="1328"/>
      <c r="P289" s="1328"/>
      <c r="Q289" s="1328"/>
      <c r="R289" s="1328"/>
      <c r="T289" s="2" t="s">
        <v>1128</v>
      </c>
      <c r="V289" s="2"/>
      <c r="W289" s="2"/>
      <c r="X289" s="2"/>
      <c r="Y289" s="2"/>
      <c r="AA289" s="1328" t="s">
        <v>1129</v>
      </c>
      <c r="AB289" s="1328"/>
      <c r="AC289" s="1328"/>
      <c r="AD289" s="1328"/>
      <c r="AE289" s="1328"/>
      <c r="AF289" s="1328"/>
      <c r="AG289" s="1328"/>
      <c r="AH289" s="1328"/>
      <c r="AI289" s="1328"/>
      <c r="AJ289" s="1328"/>
      <c r="AK289" s="1328"/>
    </row>
    <row r="290" spans="2:37" ht="12.9" customHeight="1">
      <c r="B290" s="2" t="s">
        <v>1067</v>
      </c>
      <c r="C290" s="2"/>
      <c r="D290" s="2"/>
      <c r="E290" s="2"/>
      <c r="F290" s="2"/>
      <c r="H290" s="1328" t="s">
        <v>1068</v>
      </c>
      <c r="I290" s="1328"/>
      <c r="J290" s="1328"/>
      <c r="K290" s="1328"/>
      <c r="L290" s="1328"/>
      <c r="M290" s="1328"/>
      <c r="N290" s="1328"/>
      <c r="O290" s="1328"/>
      <c r="P290" s="1328"/>
      <c r="Q290" s="1328"/>
      <c r="R290" s="1328"/>
      <c r="T290" s="2" t="s">
        <v>1067</v>
      </c>
      <c r="V290" s="2"/>
      <c r="W290" s="2"/>
      <c r="X290" s="2"/>
      <c r="Y290" s="2"/>
      <c r="AA290" s="1328" t="s">
        <v>1130</v>
      </c>
      <c r="AB290" s="1328"/>
      <c r="AC290" s="1328"/>
      <c r="AD290" s="1328"/>
      <c r="AE290" s="1328"/>
      <c r="AF290" s="1328"/>
      <c r="AG290" s="1328"/>
      <c r="AH290" s="1328"/>
      <c r="AI290" s="1328"/>
      <c r="AJ290" s="1328"/>
      <c r="AK290" s="1328"/>
    </row>
    <row r="291" spans="2:37" ht="12.9" customHeight="1">
      <c r="B291" s="2" t="s">
        <v>1069</v>
      </c>
      <c r="C291" s="2"/>
      <c r="D291" s="2"/>
      <c r="E291" s="2"/>
      <c r="F291" s="2"/>
      <c r="G291" s="2"/>
      <c r="H291" s="1483" t="s">
        <v>1070</v>
      </c>
      <c r="I291" s="1483"/>
      <c r="J291" s="1483"/>
      <c r="K291" s="1483"/>
      <c r="L291" s="1483"/>
      <c r="M291" s="1483"/>
      <c r="N291" s="2" t="s">
        <v>1071</v>
      </c>
      <c r="O291" s="2"/>
      <c r="P291" s="1473"/>
      <c r="Q291" s="1473"/>
      <c r="R291" s="1473"/>
      <c r="S291" s="2"/>
      <c r="T291" s="2" t="s">
        <v>1069</v>
      </c>
      <c r="V291" s="2"/>
      <c r="W291" s="2"/>
      <c r="X291" s="2"/>
      <c r="Y291" s="2"/>
      <c r="AA291" s="1483" t="s">
        <v>1131</v>
      </c>
      <c r="AB291" s="1483"/>
      <c r="AC291" s="1483"/>
      <c r="AD291" s="1483"/>
      <c r="AE291" s="1483"/>
      <c r="AF291" s="1483"/>
      <c r="AG291" s="2" t="s">
        <v>1071</v>
      </c>
      <c r="AH291" s="2"/>
      <c r="AI291" s="1473"/>
      <c r="AJ291" s="1473"/>
      <c r="AK291" s="1473"/>
    </row>
    <row r="292" spans="2:37" ht="12.9" customHeight="1">
      <c r="B292" s="2" t="s">
        <v>1072</v>
      </c>
      <c r="C292" s="2"/>
      <c r="D292" s="2"/>
      <c r="E292" s="2"/>
      <c r="F292" s="2"/>
      <c r="G292" s="2"/>
      <c r="H292" s="1445"/>
      <c r="I292" s="1445"/>
      <c r="J292" s="1445"/>
      <c r="K292" s="1445"/>
      <c r="L292" s="1445"/>
      <c r="M292" s="1445"/>
      <c r="N292" s="2"/>
      <c r="O292" s="2"/>
      <c r="P292" s="68"/>
      <c r="Q292" s="68"/>
      <c r="R292" s="68"/>
      <c r="S292" s="2"/>
      <c r="T292" s="2" t="s">
        <v>1072</v>
      </c>
      <c r="V292" s="2"/>
      <c r="W292" s="2"/>
      <c r="X292" s="2"/>
      <c r="Y292" s="2"/>
      <c r="AA292" s="1445"/>
      <c r="AB292" s="1445"/>
      <c r="AC292" s="1445"/>
      <c r="AD292" s="1445"/>
      <c r="AE292" s="1445"/>
      <c r="AF292" s="1445"/>
      <c r="AG292" s="2"/>
      <c r="AH292" s="2"/>
      <c r="AI292" s="68"/>
      <c r="AJ292" s="68"/>
      <c r="AK292" s="68"/>
    </row>
    <row r="293" spans="2:37" ht="12.9" customHeight="1">
      <c r="B293" s="2" t="s">
        <v>1132</v>
      </c>
      <c r="C293" s="2"/>
      <c r="D293" s="2"/>
      <c r="E293" s="2"/>
      <c r="F293" s="2"/>
      <c r="G293" s="2"/>
      <c r="H293" s="1328" t="s">
        <v>1075</v>
      </c>
      <c r="I293" s="1328"/>
      <c r="J293" s="1328"/>
      <c r="K293" s="1328"/>
      <c r="L293" s="1328"/>
      <c r="M293" s="1328"/>
      <c r="N293" s="1383"/>
      <c r="O293" s="1383"/>
      <c r="P293" s="1383"/>
      <c r="Q293" s="1383"/>
      <c r="R293" s="1383"/>
      <c r="S293" s="2"/>
      <c r="T293" s="2" t="s">
        <v>1132</v>
      </c>
      <c r="V293" s="2"/>
      <c r="W293" s="2"/>
      <c r="X293" s="2"/>
      <c r="Y293" s="2"/>
      <c r="AA293" s="1328" t="s">
        <v>1133</v>
      </c>
      <c r="AB293" s="1328"/>
      <c r="AC293" s="1328"/>
      <c r="AD293" s="1328"/>
      <c r="AE293" s="1328"/>
      <c r="AF293" s="1328"/>
      <c r="AG293" s="1383"/>
      <c r="AH293" s="1383"/>
      <c r="AI293" s="1383"/>
      <c r="AJ293" s="1383"/>
      <c r="AK293" s="1383"/>
    </row>
    <row r="294" spans="2:37" ht="12.9"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row>
    <row r="295" spans="2:37" ht="12.9" customHeight="1">
      <c r="B295" s="2" t="s">
        <v>1134</v>
      </c>
      <c r="C295" s="2"/>
      <c r="D295" s="2"/>
      <c r="E295" s="2"/>
      <c r="F295" s="2"/>
      <c r="H295" s="1383" t="s">
        <v>1135</v>
      </c>
      <c r="I295" s="1383"/>
      <c r="J295" s="1383"/>
      <c r="K295" s="1383"/>
      <c r="L295" s="1383"/>
      <c r="M295" s="1383"/>
      <c r="N295" s="1383"/>
      <c r="O295" s="1383"/>
      <c r="P295" s="1383"/>
      <c r="Q295" s="1383"/>
      <c r="R295" s="1383"/>
      <c r="T295" s="2" t="s">
        <v>1136</v>
      </c>
      <c r="V295" s="2"/>
      <c r="W295" s="2"/>
      <c r="X295" s="2"/>
      <c r="Y295" s="2"/>
      <c r="AA295" s="1383" t="s">
        <v>1137</v>
      </c>
      <c r="AB295" s="1383"/>
      <c r="AC295" s="1383"/>
      <c r="AD295" s="1383"/>
      <c r="AE295" s="1383"/>
      <c r="AF295" s="1383"/>
      <c r="AG295" s="1383"/>
      <c r="AH295" s="1383"/>
      <c r="AI295" s="1383"/>
      <c r="AJ295" s="1383"/>
      <c r="AK295" s="1383"/>
    </row>
    <row r="296" spans="2:37" ht="12.9" customHeight="1">
      <c r="B296" s="2" t="s">
        <v>1123</v>
      </c>
      <c r="C296" s="2"/>
      <c r="D296" s="2"/>
      <c r="E296" s="2"/>
      <c r="F296" s="2"/>
      <c r="H296" s="1328" t="s">
        <v>1138</v>
      </c>
      <c r="I296" s="1328"/>
      <c r="J296" s="1328"/>
      <c r="K296" s="1328"/>
      <c r="L296" s="1328"/>
      <c r="M296" s="1328"/>
      <c r="N296" s="1328"/>
      <c r="O296" s="1328"/>
      <c r="P296" s="1328"/>
      <c r="Q296" s="1328"/>
      <c r="R296" s="1328"/>
      <c r="T296" s="2" t="s">
        <v>1123</v>
      </c>
      <c r="V296" s="2"/>
      <c r="W296" s="2"/>
      <c r="X296" s="2"/>
      <c r="Y296" s="2"/>
      <c r="AA296" s="1328" t="s">
        <v>1139</v>
      </c>
      <c r="AB296" s="1328"/>
      <c r="AC296" s="1328"/>
      <c r="AD296" s="1328"/>
      <c r="AE296" s="1328"/>
      <c r="AF296" s="1328"/>
      <c r="AG296" s="1328"/>
      <c r="AH296" s="1328"/>
      <c r="AI296" s="1328"/>
      <c r="AJ296" s="1328"/>
      <c r="AK296" s="1328"/>
    </row>
    <row r="297" spans="2:37" ht="12.9" customHeight="1">
      <c r="B297" s="2" t="s">
        <v>1126</v>
      </c>
      <c r="C297" s="2"/>
      <c r="D297" s="2"/>
      <c r="E297" s="2"/>
      <c r="F297" s="2"/>
      <c r="H297" s="1328" t="s">
        <v>1140</v>
      </c>
      <c r="I297" s="1328"/>
      <c r="J297" s="1328"/>
      <c r="K297" s="1328"/>
      <c r="L297" s="1328"/>
      <c r="M297" s="1328"/>
      <c r="N297" s="1328"/>
      <c r="O297" s="1328"/>
      <c r="P297" s="1328"/>
      <c r="Q297" s="1328"/>
      <c r="R297" s="1328"/>
      <c r="T297" s="2" t="s">
        <v>1128</v>
      </c>
      <c r="V297" s="2"/>
      <c r="W297" s="2"/>
      <c r="X297" s="2"/>
      <c r="Y297" s="2"/>
      <c r="AA297" s="1328" t="s">
        <v>1141</v>
      </c>
      <c r="AB297" s="1328"/>
      <c r="AC297" s="1328"/>
      <c r="AD297" s="1328"/>
      <c r="AE297" s="1328"/>
      <c r="AF297" s="1328"/>
      <c r="AG297" s="1328"/>
      <c r="AH297" s="1328"/>
      <c r="AI297" s="1328"/>
      <c r="AJ297" s="1328"/>
      <c r="AK297" s="1328"/>
    </row>
    <row r="298" spans="2:37" ht="12.9" customHeight="1">
      <c r="B298" s="2" t="s">
        <v>1067</v>
      </c>
      <c r="C298" s="2"/>
      <c r="D298" s="2"/>
      <c r="E298" s="2"/>
      <c r="F298" s="2"/>
      <c r="H298" s="1328" t="s">
        <v>1142</v>
      </c>
      <c r="I298" s="1328"/>
      <c r="J298" s="1328"/>
      <c r="K298" s="1328"/>
      <c r="L298" s="1328"/>
      <c r="M298" s="1328"/>
      <c r="N298" s="1328"/>
      <c r="O298" s="1328"/>
      <c r="P298" s="1328"/>
      <c r="Q298" s="1328"/>
      <c r="R298" s="1328"/>
      <c r="T298" s="2" t="s">
        <v>1067</v>
      </c>
      <c r="V298" s="2"/>
      <c r="W298" s="2"/>
      <c r="X298" s="2"/>
      <c r="Y298" s="2"/>
      <c r="AA298" s="1328" t="s">
        <v>1143</v>
      </c>
      <c r="AB298" s="1328"/>
      <c r="AC298" s="1328"/>
      <c r="AD298" s="1328"/>
      <c r="AE298" s="1328"/>
      <c r="AF298" s="1328"/>
      <c r="AG298" s="1328"/>
      <c r="AH298" s="1328"/>
      <c r="AI298" s="1328"/>
      <c r="AJ298" s="1328"/>
      <c r="AK298" s="1328"/>
    </row>
    <row r="299" spans="2:37" ht="12.9" customHeight="1">
      <c r="B299" s="2" t="s">
        <v>1069</v>
      </c>
      <c r="C299" s="2"/>
      <c r="D299" s="2"/>
      <c r="E299" s="2"/>
      <c r="F299" s="2"/>
      <c r="G299" s="2"/>
      <c r="H299" s="1483" t="s">
        <v>1144</v>
      </c>
      <c r="I299" s="1483"/>
      <c r="J299" s="1483"/>
      <c r="K299" s="1483"/>
      <c r="L299" s="1483"/>
      <c r="M299" s="1483"/>
      <c r="N299" s="2" t="s">
        <v>1071</v>
      </c>
      <c r="O299" s="2"/>
      <c r="P299" s="1473"/>
      <c r="Q299" s="1473"/>
      <c r="R299" s="1473"/>
      <c r="S299" s="2"/>
      <c r="T299" s="2" t="s">
        <v>1069</v>
      </c>
      <c r="V299" s="2"/>
      <c r="W299" s="2"/>
      <c r="X299" s="2"/>
      <c r="Y299" s="2"/>
      <c r="AA299" s="1483" t="s">
        <v>1145</v>
      </c>
      <c r="AB299" s="1483"/>
      <c r="AC299" s="1483"/>
      <c r="AD299" s="1483"/>
      <c r="AE299" s="1483"/>
      <c r="AF299" s="1483"/>
      <c r="AG299" s="2" t="s">
        <v>1071</v>
      </c>
      <c r="AH299" s="2"/>
      <c r="AI299" s="1473"/>
      <c r="AJ299" s="1473"/>
      <c r="AK299" s="1473"/>
    </row>
    <row r="300" spans="2:37" ht="12.9" customHeight="1">
      <c r="B300" s="2" t="s">
        <v>1072</v>
      </c>
      <c r="C300" s="2"/>
      <c r="D300" s="2"/>
      <c r="E300" s="2"/>
      <c r="F300" s="2"/>
      <c r="G300" s="2"/>
      <c r="H300" s="1445"/>
      <c r="I300" s="1445"/>
      <c r="J300" s="1445"/>
      <c r="K300" s="1445"/>
      <c r="L300" s="1445"/>
      <c r="M300" s="1445"/>
      <c r="N300" s="2"/>
      <c r="O300" s="2"/>
      <c r="P300" s="68"/>
      <c r="Q300" s="68"/>
      <c r="R300" s="68"/>
      <c r="S300" s="2"/>
      <c r="T300" s="2" t="s">
        <v>1072</v>
      </c>
      <c r="V300" s="2"/>
      <c r="W300" s="2"/>
      <c r="X300" s="2"/>
      <c r="Y300" s="2"/>
      <c r="AA300" s="1445"/>
      <c r="AB300" s="1445"/>
      <c r="AC300" s="1445"/>
      <c r="AD300" s="1445"/>
      <c r="AE300" s="1445"/>
      <c r="AF300" s="1445"/>
      <c r="AG300" s="2"/>
      <c r="AH300" s="2"/>
      <c r="AI300" s="68"/>
      <c r="AJ300" s="68"/>
      <c r="AK300" s="68"/>
    </row>
    <row r="301" spans="2:37" ht="12.9" customHeight="1">
      <c r="B301" s="2" t="s">
        <v>1132</v>
      </c>
      <c r="C301" s="2"/>
      <c r="D301" s="2"/>
      <c r="E301" s="2"/>
      <c r="F301" s="2"/>
      <c r="G301" s="2"/>
      <c r="H301" s="1328" t="s">
        <v>1146</v>
      </c>
      <c r="I301" s="1328"/>
      <c r="J301" s="1328"/>
      <c r="K301" s="1328"/>
      <c r="L301" s="1328"/>
      <c r="M301" s="1328"/>
      <c r="N301" s="1383"/>
      <c r="O301" s="1383"/>
      <c r="P301" s="1383"/>
      <c r="Q301" s="1383"/>
      <c r="R301" s="1383"/>
      <c r="S301" s="2"/>
      <c r="T301" s="2" t="s">
        <v>1132</v>
      </c>
      <c r="V301" s="2"/>
      <c r="W301" s="2"/>
      <c r="X301" s="2"/>
      <c r="Y301" s="2"/>
      <c r="AA301" s="1328" t="s">
        <v>1147</v>
      </c>
      <c r="AB301" s="1328"/>
      <c r="AC301" s="1328"/>
      <c r="AD301" s="1328"/>
      <c r="AE301" s="1328"/>
      <c r="AF301" s="1328"/>
      <c r="AG301" s="1383"/>
      <c r="AH301" s="1383"/>
      <c r="AI301" s="1383"/>
      <c r="AJ301" s="1383"/>
      <c r="AK301" s="1383"/>
    </row>
    <row r="302" spans="2:37" ht="12.9" customHeight="1"/>
    <row r="303" spans="2:37" ht="12.9" customHeight="1">
      <c r="B303" s="2" t="s">
        <v>1148</v>
      </c>
      <c r="C303" s="2"/>
      <c r="D303" s="2"/>
      <c r="E303" s="2"/>
      <c r="F303" s="2"/>
      <c r="H303" s="1383" t="s">
        <v>1149</v>
      </c>
      <c r="I303" s="1383"/>
      <c r="J303" s="1383"/>
      <c r="K303" s="1383"/>
      <c r="L303" s="1383"/>
      <c r="M303" s="1383"/>
      <c r="N303" s="1383"/>
      <c r="O303" s="1383"/>
      <c r="P303" s="1383"/>
      <c r="Q303" s="1383"/>
      <c r="R303" s="1383"/>
      <c r="T303" s="2" t="s">
        <v>1150</v>
      </c>
      <c r="V303" s="2"/>
      <c r="W303" s="2"/>
      <c r="X303" s="2"/>
      <c r="Y303" s="2"/>
      <c r="AA303" s="1383" t="s">
        <v>1151</v>
      </c>
      <c r="AB303" s="1383"/>
      <c r="AC303" s="1383"/>
      <c r="AD303" s="1383"/>
      <c r="AE303" s="1383"/>
      <c r="AF303" s="1383"/>
      <c r="AG303" s="1383"/>
      <c r="AH303" s="1383"/>
      <c r="AI303" s="1383"/>
      <c r="AJ303" s="1383"/>
      <c r="AK303" s="1383"/>
    </row>
    <row r="304" spans="2:37" ht="12.9" customHeight="1">
      <c r="B304" s="2" t="s">
        <v>1123</v>
      </c>
      <c r="C304" s="2"/>
      <c r="D304" s="2"/>
      <c r="E304" s="2"/>
      <c r="F304" s="2"/>
      <c r="H304" s="1328" t="s">
        <v>1152</v>
      </c>
      <c r="I304" s="1328"/>
      <c r="J304" s="1328"/>
      <c r="K304" s="1328"/>
      <c r="L304" s="1328"/>
      <c r="M304" s="1328"/>
      <c r="N304" s="1328"/>
      <c r="O304" s="1328"/>
      <c r="P304" s="1328"/>
      <c r="Q304" s="1328"/>
      <c r="R304" s="1328"/>
      <c r="T304" s="2" t="s">
        <v>1123</v>
      </c>
      <c r="V304" s="2"/>
      <c r="W304" s="2"/>
      <c r="X304" s="2"/>
      <c r="Y304" s="2"/>
      <c r="AA304" s="1328" t="s">
        <v>1153</v>
      </c>
      <c r="AB304" s="1328"/>
      <c r="AC304" s="1328"/>
      <c r="AD304" s="1328"/>
      <c r="AE304" s="1328"/>
      <c r="AF304" s="1328"/>
      <c r="AG304" s="1328"/>
      <c r="AH304" s="1328"/>
      <c r="AI304" s="1328"/>
      <c r="AJ304" s="1328"/>
      <c r="AK304" s="1328"/>
    </row>
    <row r="305" spans="2:37" ht="12.9" customHeight="1">
      <c r="B305" s="2" t="s">
        <v>1126</v>
      </c>
      <c r="C305" s="2"/>
      <c r="D305" s="2"/>
      <c r="E305" s="2"/>
      <c r="F305" s="2"/>
      <c r="H305" s="1328" t="s">
        <v>1154</v>
      </c>
      <c r="I305" s="1328"/>
      <c r="J305" s="1328"/>
      <c r="K305" s="1328"/>
      <c r="L305" s="1328"/>
      <c r="M305" s="1328"/>
      <c r="N305" s="1328"/>
      <c r="O305" s="1328"/>
      <c r="P305" s="1328"/>
      <c r="Q305" s="1328"/>
      <c r="R305" s="1328"/>
      <c r="T305" s="2" t="s">
        <v>1128</v>
      </c>
      <c r="V305" s="2"/>
      <c r="W305" s="2"/>
      <c r="X305" s="2"/>
      <c r="Y305" s="2"/>
      <c r="AA305" s="1328" t="s">
        <v>1129</v>
      </c>
      <c r="AB305" s="1328"/>
      <c r="AC305" s="1328"/>
      <c r="AD305" s="1328"/>
      <c r="AE305" s="1328"/>
      <c r="AF305" s="1328"/>
      <c r="AG305" s="1328"/>
      <c r="AH305" s="1328"/>
      <c r="AI305" s="1328"/>
      <c r="AJ305" s="1328"/>
      <c r="AK305" s="1328"/>
    </row>
    <row r="306" spans="2:37" ht="12.9" customHeight="1">
      <c r="B306" s="2" t="s">
        <v>1067</v>
      </c>
      <c r="C306" s="2"/>
      <c r="D306" s="2"/>
      <c r="E306" s="2"/>
      <c r="F306" s="2"/>
      <c r="H306" s="1328" t="s">
        <v>1155</v>
      </c>
      <c r="I306" s="1328"/>
      <c r="J306" s="1328"/>
      <c r="K306" s="1328"/>
      <c r="L306" s="1328"/>
      <c r="M306" s="1328"/>
      <c r="N306" s="1328"/>
      <c r="O306" s="1328"/>
      <c r="P306" s="1328"/>
      <c r="Q306" s="1328"/>
      <c r="R306" s="1328"/>
      <c r="T306" s="2" t="s">
        <v>1067</v>
      </c>
      <c r="V306" s="2"/>
      <c r="W306" s="2"/>
      <c r="X306" s="2"/>
      <c r="Y306" s="2"/>
      <c r="AA306" s="1328" t="s">
        <v>1156</v>
      </c>
      <c r="AB306" s="1328"/>
      <c r="AC306" s="1328"/>
      <c r="AD306" s="1328"/>
      <c r="AE306" s="1328"/>
      <c r="AF306" s="1328"/>
      <c r="AG306" s="1328"/>
      <c r="AH306" s="1328"/>
      <c r="AI306" s="1328"/>
      <c r="AJ306" s="1328"/>
      <c r="AK306" s="1328"/>
    </row>
    <row r="307" spans="2:37" ht="12.9" customHeight="1">
      <c r="B307" s="2" t="s">
        <v>1069</v>
      </c>
      <c r="C307" s="2"/>
      <c r="D307" s="2"/>
      <c r="E307" s="2"/>
      <c r="F307" s="2"/>
      <c r="G307" s="2"/>
      <c r="H307" s="1483" t="s">
        <v>1157</v>
      </c>
      <c r="I307" s="1483"/>
      <c r="J307" s="1483"/>
      <c r="K307" s="1483"/>
      <c r="L307" s="1483"/>
      <c r="M307" s="1483"/>
      <c r="N307" s="2" t="s">
        <v>1071</v>
      </c>
      <c r="O307" s="2"/>
      <c r="P307" s="1473"/>
      <c r="Q307" s="1473"/>
      <c r="R307" s="1473"/>
      <c r="S307" s="2"/>
      <c r="T307" s="2" t="s">
        <v>1069</v>
      </c>
      <c r="V307" s="2"/>
      <c r="W307" s="2"/>
      <c r="X307" s="2"/>
      <c r="Y307" s="2"/>
      <c r="AA307" s="1483" t="s">
        <v>1158</v>
      </c>
      <c r="AB307" s="1483"/>
      <c r="AC307" s="1483"/>
      <c r="AD307" s="1483"/>
      <c r="AE307" s="1483"/>
      <c r="AF307" s="1483"/>
      <c r="AG307" s="2" t="s">
        <v>1071</v>
      </c>
      <c r="AH307" s="2"/>
      <c r="AI307" s="1473"/>
      <c r="AJ307" s="1473"/>
      <c r="AK307" s="1473"/>
    </row>
    <row r="308" spans="2:37" ht="12.9" customHeight="1">
      <c r="B308" s="2" t="s">
        <v>1072</v>
      </c>
      <c r="C308" s="2"/>
      <c r="D308" s="2"/>
      <c r="E308" s="2"/>
      <c r="F308" s="2"/>
      <c r="G308" s="2"/>
      <c r="H308" s="1445"/>
      <c r="I308" s="1445"/>
      <c r="J308" s="1445"/>
      <c r="K308" s="1445"/>
      <c r="L308" s="1445"/>
      <c r="M308" s="1445"/>
      <c r="N308" s="2"/>
      <c r="O308" s="2"/>
      <c r="P308" s="68"/>
      <c r="Q308" s="68"/>
      <c r="R308" s="68"/>
      <c r="S308" s="2"/>
      <c r="T308" s="2" t="s">
        <v>1072</v>
      </c>
      <c r="V308" s="2"/>
      <c r="W308" s="2"/>
      <c r="X308" s="2"/>
      <c r="Y308" s="2"/>
      <c r="AA308" s="1445"/>
      <c r="AB308" s="1445"/>
      <c r="AC308" s="1445"/>
      <c r="AD308" s="1445"/>
      <c r="AE308" s="1445"/>
      <c r="AF308" s="1445"/>
      <c r="AG308" s="2"/>
      <c r="AH308" s="2"/>
      <c r="AI308" s="68"/>
      <c r="AJ308" s="68"/>
      <c r="AK308" s="68"/>
    </row>
    <row r="309" spans="2:37" ht="12.9" customHeight="1">
      <c r="B309" s="2" t="s">
        <v>1132</v>
      </c>
      <c r="C309" s="2"/>
      <c r="D309" s="2"/>
      <c r="E309" s="2"/>
      <c r="F309" s="2"/>
      <c r="G309" s="2"/>
      <c r="H309" s="1328" t="s">
        <v>1159</v>
      </c>
      <c r="I309" s="1328"/>
      <c r="J309" s="1328"/>
      <c r="K309" s="1328"/>
      <c r="L309" s="1328"/>
      <c r="M309" s="1328"/>
      <c r="N309" s="1383"/>
      <c r="O309" s="1383"/>
      <c r="P309" s="1383"/>
      <c r="Q309" s="1383"/>
      <c r="R309" s="1383"/>
      <c r="S309" s="2"/>
      <c r="T309" s="2" t="s">
        <v>1132</v>
      </c>
      <c r="V309" s="2"/>
      <c r="W309" s="2"/>
      <c r="X309" s="2"/>
      <c r="Y309" s="2"/>
      <c r="AA309" s="1328" t="s">
        <v>1160</v>
      </c>
      <c r="AB309" s="1328"/>
      <c r="AC309" s="1328"/>
      <c r="AD309" s="1328"/>
      <c r="AE309" s="1328"/>
      <c r="AF309" s="1328"/>
      <c r="AG309" s="1383"/>
      <c r="AH309" s="1383"/>
      <c r="AI309" s="1383"/>
      <c r="AJ309" s="1383"/>
      <c r="AK309" s="1383"/>
    </row>
    <row r="310" spans="2:37" ht="12.9" customHeight="1">
      <c r="B310" s="2"/>
      <c r="C310" s="2"/>
      <c r="D310" s="2"/>
      <c r="E310" s="2"/>
      <c r="F310" s="2"/>
      <c r="G310" s="2"/>
      <c r="H310" s="6"/>
      <c r="I310" s="6"/>
      <c r="J310" s="6"/>
      <c r="K310" s="6"/>
      <c r="L310" s="6"/>
      <c r="M310" s="6"/>
      <c r="N310" s="6"/>
      <c r="O310" s="6"/>
      <c r="P310" s="6"/>
      <c r="Q310" s="6"/>
      <c r="R310" s="6"/>
      <c r="S310" s="2"/>
      <c r="T310" s="2"/>
      <c r="V310" s="2"/>
      <c r="W310" s="2"/>
      <c r="X310" s="2"/>
      <c r="Y310" s="2"/>
      <c r="AA310" s="6"/>
      <c r="AB310" s="6"/>
      <c r="AC310" s="6"/>
      <c r="AD310" s="6"/>
      <c r="AE310" s="6"/>
      <c r="AF310" s="6"/>
      <c r="AG310" s="6"/>
      <c r="AH310" s="6"/>
      <c r="AI310" s="6"/>
      <c r="AJ310" s="6"/>
      <c r="AK310" s="6"/>
    </row>
    <row r="311" spans="2:37" ht="12.9" customHeight="1">
      <c r="B311" s="2" t="s">
        <v>1161</v>
      </c>
      <c r="C311" s="2"/>
      <c r="D311" s="2"/>
      <c r="E311" s="2"/>
      <c r="F311" s="2"/>
      <c r="H311" s="1383" t="s">
        <v>1149</v>
      </c>
      <c r="I311" s="1383"/>
      <c r="J311" s="1383"/>
      <c r="K311" s="1383"/>
      <c r="L311" s="1383"/>
      <c r="M311" s="1383"/>
      <c r="N311" s="1383"/>
      <c r="O311" s="1383"/>
      <c r="P311" s="1383"/>
      <c r="Q311" s="1383"/>
      <c r="R311" s="1383"/>
      <c r="S311" s="2"/>
      <c r="T311" s="2" t="s">
        <v>1162</v>
      </c>
      <c r="V311" s="2"/>
      <c r="W311" s="2"/>
      <c r="X311" s="2"/>
      <c r="Y311" s="2"/>
      <c r="AA311" s="1473" t="s">
        <v>1163</v>
      </c>
      <c r="AB311" s="1383"/>
      <c r="AC311" s="1383"/>
      <c r="AD311" s="1383"/>
      <c r="AE311" s="1383"/>
      <c r="AF311" s="1383"/>
      <c r="AG311" s="1383"/>
      <c r="AH311" s="1383"/>
      <c r="AI311" s="1383"/>
      <c r="AJ311" s="1383"/>
      <c r="AK311" s="1383"/>
    </row>
    <row r="312" spans="2:37" ht="12.9" customHeight="1">
      <c r="B312" s="2" t="s">
        <v>1123</v>
      </c>
      <c r="C312" s="2"/>
      <c r="D312" s="2"/>
      <c r="E312" s="2"/>
      <c r="F312" s="2"/>
      <c r="H312" s="1328" t="s">
        <v>1152</v>
      </c>
      <c r="I312" s="1328"/>
      <c r="J312" s="1328"/>
      <c r="K312" s="1328"/>
      <c r="L312" s="1328"/>
      <c r="M312" s="1328"/>
      <c r="N312" s="1328"/>
      <c r="O312" s="1328"/>
      <c r="P312" s="1328"/>
      <c r="Q312" s="1328"/>
      <c r="R312" s="1328"/>
      <c r="S312" s="2"/>
      <c r="T312" s="2" t="s">
        <v>1123</v>
      </c>
      <c r="V312" s="2"/>
      <c r="W312" s="2"/>
      <c r="X312" s="2"/>
      <c r="Y312" s="2"/>
      <c r="AA312" s="1421" t="s">
        <v>1164</v>
      </c>
      <c r="AB312" s="1328"/>
      <c r="AC312" s="1328"/>
      <c r="AD312" s="1328"/>
      <c r="AE312" s="1328"/>
      <c r="AF312" s="1328"/>
      <c r="AG312" s="1328"/>
      <c r="AH312" s="1328"/>
      <c r="AI312" s="1328"/>
      <c r="AJ312" s="1328"/>
      <c r="AK312" s="1328"/>
    </row>
    <row r="313" spans="2:37" ht="12.9" customHeight="1">
      <c r="B313" s="2" t="s">
        <v>1126</v>
      </c>
      <c r="C313" s="2"/>
      <c r="D313" s="2"/>
      <c r="E313" s="2"/>
      <c r="F313" s="2"/>
      <c r="H313" s="1328" t="s">
        <v>1154</v>
      </c>
      <c r="I313" s="1328"/>
      <c r="J313" s="1328"/>
      <c r="K313" s="1328"/>
      <c r="L313" s="1328"/>
      <c r="M313" s="1328"/>
      <c r="N313" s="1328"/>
      <c r="O313" s="1328"/>
      <c r="P313" s="1328"/>
      <c r="Q313" s="1328"/>
      <c r="R313" s="1328"/>
      <c r="S313" s="2"/>
      <c r="T313" s="2" t="s">
        <v>1128</v>
      </c>
      <c r="V313" s="2"/>
      <c r="W313" s="2"/>
      <c r="X313" s="2"/>
      <c r="Y313" s="2"/>
      <c r="AA313" s="1421" t="s">
        <v>1165</v>
      </c>
      <c r="AB313" s="1328"/>
      <c r="AC313" s="1328"/>
      <c r="AD313" s="1328"/>
      <c r="AE313" s="1328"/>
      <c r="AF313" s="1328"/>
      <c r="AG313" s="1328"/>
      <c r="AH313" s="1328"/>
      <c r="AI313" s="1328"/>
      <c r="AJ313" s="1328"/>
      <c r="AK313" s="1328"/>
    </row>
    <row r="314" spans="2:37" ht="12.9" customHeight="1">
      <c r="B314" s="2" t="s">
        <v>1067</v>
      </c>
      <c r="C314" s="2"/>
      <c r="D314" s="2"/>
      <c r="E314" s="2"/>
      <c r="F314" s="2"/>
      <c r="H314" s="1328" t="s">
        <v>1155</v>
      </c>
      <c r="I314" s="1328"/>
      <c r="J314" s="1328"/>
      <c r="K314" s="1328"/>
      <c r="L314" s="1328"/>
      <c r="M314" s="1328"/>
      <c r="N314" s="1328"/>
      <c r="O314" s="1328"/>
      <c r="P314" s="1328"/>
      <c r="Q314" s="1328"/>
      <c r="R314" s="1328"/>
      <c r="S314" s="2"/>
      <c r="T314" s="2" t="s">
        <v>1067</v>
      </c>
      <c r="V314" s="2"/>
      <c r="W314" s="2"/>
      <c r="X314" s="2"/>
      <c r="Y314" s="2"/>
      <c r="AA314" s="1421" t="s">
        <v>1166</v>
      </c>
      <c r="AB314" s="1328"/>
      <c r="AC314" s="1328"/>
      <c r="AD314" s="1328"/>
      <c r="AE314" s="1328"/>
      <c r="AF314" s="1328"/>
      <c r="AG314" s="1328"/>
      <c r="AH314" s="1328"/>
      <c r="AI314" s="1328"/>
      <c r="AJ314" s="1328"/>
      <c r="AK314" s="1328"/>
    </row>
    <row r="315" spans="2:37" ht="12.9" customHeight="1">
      <c r="B315" s="2" t="s">
        <v>1069</v>
      </c>
      <c r="C315" s="2"/>
      <c r="D315" s="2"/>
      <c r="E315" s="2"/>
      <c r="F315" s="2"/>
      <c r="G315" s="2"/>
      <c r="H315" s="1483" t="s">
        <v>1157</v>
      </c>
      <c r="I315" s="1483"/>
      <c r="J315" s="1483"/>
      <c r="K315" s="1483"/>
      <c r="L315" s="1483"/>
      <c r="M315" s="1483"/>
      <c r="N315" s="2" t="s">
        <v>1071</v>
      </c>
      <c r="O315" s="2"/>
      <c r="P315" s="1473"/>
      <c r="Q315" s="1473"/>
      <c r="R315" s="1473"/>
      <c r="S315" s="2"/>
      <c r="T315" s="2" t="s">
        <v>1069</v>
      </c>
      <c r="V315" s="2"/>
      <c r="W315" s="2"/>
      <c r="X315" s="2"/>
      <c r="Y315" s="2"/>
      <c r="AA315" s="1483" t="s">
        <v>1167</v>
      </c>
      <c r="AB315" s="1483"/>
      <c r="AC315" s="1483"/>
      <c r="AD315" s="1483"/>
      <c r="AE315" s="1483"/>
      <c r="AF315" s="1483"/>
      <c r="AG315" s="2" t="s">
        <v>1071</v>
      </c>
      <c r="AH315" s="2"/>
      <c r="AI315" s="1473"/>
      <c r="AJ315" s="1473"/>
      <c r="AK315" s="1473"/>
    </row>
    <row r="316" spans="2:37" ht="12.9" customHeight="1">
      <c r="B316" s="2" t="s">
        <v>1072</v>
      </c>
      <c r="C316" s="2"/>
      <c r="D316" s="2"/>
      <c r="E316" s="2"/>
      <c r="F316" s="2"/>
      <c r="G316" s="2"/>
      <c r="H316" s="1445"/>
      <c r="I316" s="1445"/>
      <c r="J316" s="1445"/>
      <c r="K316" s="1445"/>
      <c r="L316" s="1445"/>
      <c r="M316" s="1445"/>
      <c r="N316" s="2"/>
      <c r="O316" s="2"/>
      <c r="P316" s="68"/>
      <c r="Q316" s="68"/>
      <c r="R316" s="68"/>
      <c r="S316" s="2"/>
      <c r="T316" s="2" t="s">
        <v>1072</v>
      </c>
      <c r="V316" s="2"/>
      <c r="W316" s="2"/>
      <c r="X316" s="2"/>
      <c r="Y316" s="2"/>
      <c r="AA316" s="1445"/>
      <c r="AB316" s="1445"/>
      <c r="AC316" s="1445"/>
      <c r="AD316" s="1445"/>
      <c r="AE316" s="1445"/>
      <c r="AF316" s="1445"/>
      <c r="AG316" s="2"/>
      <c r="AH316" s="2"/>
      <c r="AI316" s="68"/>
      <c r="AJ316" s="68"/>
      <c r="AK316" s="68"/>
    </row>
    <row r="317" spans="2:37" ht="12.9" customHeight="1">
      <c r="B317" s="2" t="s">
        <v>1132</v>
      </c>
      <c r="C317" s="2"/>
      <c r="D317" s="2"/>
      <c r="E317" s="2"/>
      <c r="F317" s="2"/>
      <c r="G317" s="2"/>
      <c r="H317" s="1328" t="s">
        <v>1159</v>
      </c>
      <c r="I317" s="1328"/>
      <c r="J317" s="1328"/>
      <c r="K317" s="1328"/>
      <c r="L317" s="1328"/>
      <c r="M317" s="1328"/>
      <c r="N317" s="1383"/>
      <c r="O317" s="1383"/>
      <c r="P317" s="1383"/>
      <c r="Q317" s="1383"/>
      <c r="R317" s="1383"/>
      <c r="S317" s="2"/>
      <c r="T317" s="2" t="s">
        <v>1132</v>
      </c>
      <c r="V317" s="2"/>
      <c r="W317" s="2"/>
      <c r="X317" s="2"/>
      <c r="Y317" s="2"/>
      <c r="AA317" s="1328" t="s">
        <v>1168</v>
      </c>
      <c r="AB317" s="1328"/>
      <c r="AC317" s="1328"/>
      <c r="AD317" s="1328"/>
      <c r="AE317" s="1328"/>
      <c r="AF317" s="1328"/>
      <c r="AG317" s="1383"/>
      <c r="AH317" s="1383"/>
      <c r="AI317" s="1383"/>
      <c r="AJ317" s="1383"/>
      <c r="AK317" s="1383"/>
    </row>
    <row r="318" spans="2:37" ht="12.9" customHeight="1"/>
    <row r="319" spans="2:37" ht="12.9" customHeight="1">
      <c r="B319" s="2" t="s">
        <v>1169</v>
      </c>
      <c r="C319" s="2"/>
      <c r="D319" s="2"/>
      <c r="E319" s="2"/>
      <c r="F319" s="2"/>
      <c r="H319" s="1383"/>
      <c r="I319" s="1383"/>
      <c r="J319" s="1383"/>
      <c r="K319" s="1383"/>
      <c r="L319" s="1383"/>
      <c r="M319" s="1383"/>
      <c r="N319" s="1383"/>
      <c r="O319" s="1383"/>
      <c r="P319" s="1383"/>
      <c r="Q319" s="1383"/>
      <c r="R319" s="1383"/>
      <c r="T319" s="2" t="s">
        <v>1170</v>
      </c>
      <c r="V319" s="2"/>
      <c r="W319" s="2"/>
      <c r="X319" s="2"/>
      <c r="Y319" s="2"/>
      <c r="AA319" s="1383" t="s">
        <v>1171</v>
      </c>
      <c r="AB319" s="1383"/>
      <c r="AC319" s="1383"/>
      <c r="AD319" s="1383"/>
      <c r="AE319" s="1383"/>
      <c r="AF319" s="1383"/>
      <c r="AG319" s="1383"/>
      <c r="AH319" s="1383"/>
      <c r="AI319" s="1383"/>
      <c r="AJ319" s="1383"/>
      <c r="AK319" s="1383"/>
    </row>
    <row r="320" spans="2:37" ht="12.9" customHeight="1">
      <c r="B320" s="2" t="s">
        <v>1123</v>
      </c>
      <c r="C320" s="2"/>
      <c r="D320" s="2"/>
      <c r="E320" s="2"/>
      <c r="F320" s="2"/>
      <c r="H320" s="1328"/>
      <c r="I320" s="1328"/>
      <c r="J320" s="1328"/>
      <c r="K320" s="1328"/>
      <c r="L320" s="1328"/>
      <c r="M320" s="1328"/>
      <c r="N320" s="1328"/>
      <c r="O320" s="1328"/>
      <c r="P320" s="1328"/>
      <c r="Q320" s="1328"/>
      <c r="R320" s="1328"/>
      <c r="T320" s="2" t="s">
        <v>1123</v>
      </c>
      <c r="V320" s="2"/>
      <c r="W320" s="2"/>
      <c r="X320" s="2"/>
      <c r="Y320" s="2"/>
      <c r="AA320" s="1328" t="s">
        <v>1152</v>
      </c>
      <c r="AB320" s="1328"/>
      <c r="AC320" s="1328"/>
      <c r="AD320" s="1328"/>
      <c r="AE320" s="1328"/>
      <c r="AF320" s="1328"/>
      <c r="AG320" s="1328"/>
      <c r="AH320" s="1328"/>
      <c r="AI320" s="1328"/>
      <c r="AJ320" s="1328"/>
      <c r="AK320" s="1328"/>
    </row>
    <row r="321" spans="2:37" ht="12.9" customHeight="1">
      <c r="B321" s="2" t="s">
        <v>1126</v>
      </c>
      <c r="C321" s="2"/>
      <c r="D321" s="2"/>
      <c r="E321" s="2"/>
      <c r="F321" s="2"/>
      <c r="H321" s="1328"/>
      <c r="I321" s="1328"/>
      <c r="J321" s="1328"/>
      <c r="K321" s="1328"/>
      <c r="L321" s="1328"/>
      <c r="M321" s="1328"/>
      <c r="N321" s="1328"/>
      <c r="O321" s="1328"/>
      <c r="P321" s="1328"/>
      <c r="Q321" s="1328"/>
      <c r="R321" s="1328"/>
      <c r="T321" s="2" t="s">
        <v>1128</v>
      </c>
      <c r="V321" s="2"/>
      <c r="W321" s="2"/>
      <c r="X321" s="2"/>
      <c r="Y321" s="2"/>
      <c r="AA321" s="1328" t="s">
        <v>1154</v>
      </c>
      <c r="AB321" s="1328"/>
      <c r="AC321" s="1328"/>
      <c r="AD321" s="1328"/>
      <c r="AE321" s="1328"/>
      <c r="AF321" s="1328"/>
      <c r="AG321" s="1328"/>
      <c r="AH321" s="1328"/>
      <c r="AI321" s="1328"/>
      <c r="AJ321" s="1328"/>
      <c r="AK321" s="1328"/>
    </row>
    <row r="322" spans="2:37" ht="12.9" customHeight="1">
      <c r="B322" s="2" t="s">
        <v>1067</v>
      </c>
      <c r="C322" s="2"/>
      <c r="D322" s="2"/>
      <c r="E322" s="2"/>
      <c r="F322" s="2"/>
      <c r="H322" s="1328"/>
      <c r="I322" s="1328"/>
      <c r="J322" s="1328"/>
      <c r="K322" s="1328"/>
      <c r="L322" s="1328"/>
      <c r="M322" s="1328"/>
      <c r="N322" s="1328"/>
      <c r="O322" s="1328"/>
      <c r="P322" s="1328"/>
      <c r="Q322" s="1328"/>
      <c r="R322" s="1328"/>
      <c r="T322" s="2" t="s">
        <v>1067</v>
      </c>
      <c r="V322" s="2"/>
      <c r="W322" s="2"/>
      <c r="X322" s="2"/>
      <c r="Y322" s="2"/>
      <c r="AA322" s="1328" t="s">
        <v>1172</v>
      </c>
      <c r="AB322" s="1328"/>
      <c r="AC322" s="1328"/>
      <c r="AD322" s="1328"/>
      <c r="AE322" s="1328"/>
      <c r="AF322" s="1328"/>
      <c r="AG322" s="1328"/>
      <c r="AH322" s="1328"/>
      <c r="AI322" s="1328"/>
      <c r="AJ322" s="1328"/>
      <c r="AK322" s="1328"/>
    </row>
    <row r="323" spans="2:37" ht="12.9" customHeight="1">
      <c r="B323" s="2" t="s">
        <v>1069</v>
      </c>
      <c r="C323" s="2"/>
      <c r="D323" s="2"/>
      <c r="E323" s="2"/>
      <c r="F323" s="2"/>
      <c r="G323" s="2"/>
      <c r="H323" s="1483"/>
      <c r="I323" s="1483"/>
      <c r="J323" s="1483"/>
      <c r="K323" s="1483"/>
      <c r="L323" s="1483"/>
      <c r="M323" s="1483"/>
      <c r="N323" s="2" t="s">
        <v>1071</v>
      </c>
      <c r="O323" s="2"/>
      <c r="P323" s="1473"/>
      <c r="Q323" s="1473"/>
      <c r="R323" s="1473"/>
      <c r="S323" s="2"/>
      <c r="T323" s="2" t="s">
        <v>1069</v>
      </c>
      <c r="V323" s="2"/>
      <c r="W323" s="2"/>
      <c r="X323" s="2"/>
      <c r="Y323" s="2"/>
      <c r="AA323" s="1483" t="s">
        <v>1173</v>
      </c>
      <c r="AB323" s="1483"/>
      <c r="AC323" s="1483"/>
      <c r="AD323" s="1483"/>
      <c r="AE323" s="1483"/>
      <c r="AF323" s="1483"/>
      <c r="AG323" s="2" t="s">
        <v>1071</v>
      </c>
      <c r="AH323" s="2"/>
      <c r="AI323" s="1473"/>
      <c r="AJ323" s="1473"/>
      <c r="AK323" s="1473"/>
    </row>
    <row r="324" spans="2:37" ht="12.9" customHeight="1">
      <c r="B324" s="2" t="s">
        <v>1072</v>
      </c>
      <c r="C324" s="2"/>
      <c r="D324" s="2"/>
      <c r="E324" s="2"/>
      <c r="F324" s="2"/>
      <c r="G324" s="2"/>
      <c r="H324" s="1445"/>
      <c r="I324" s="1445"/>
      <c r="J324" s="1445"/>
      <c r="K324" s="1445"/>
      <c r="L324" s="1445"/>
      <c r="M324" s="1445"/>
      <c r="N324" s="2"/>
      <c r="O324" s="2"/>
      <c r="P324" s="68"/>
      <c r="Q324" s="68"/>
      <c r="R324" s="68"/>
      <c r="S324" s="2"/>
      <c r="T324" s="2" t="s">
        <v>1072</v>
      </c>
      <c r="V324" s="2"/>
      <c r="W324" s="2"/>
      <c r="X324" s="2"/>
      <c r="Y324" s="2"/>
      <c r="AA324" s="1445"/>
      <c r="AB324" s="1445"/>
      <c r="AC324" s="1445"/>
      <c r="AD324" s="1445"/>
      <c r="AE324" s="1445"/>
      <c r="AF324" s="1445"/>
      <c r="AG324" s="2"/>
      <c r="AH324" s="2"/>
      <c r="AI324" s="68"/>
      <c r="AJ324" s="68"/>
      <c r="AK324" s="68"/>
    </row>
    <row r="325" spans="2:37" ht="12.9" customHeight="1">
      <c r="B325" s="2" t="s">
        <v>1132</v>
      </c>
      <c r="C325" s="2"/>
      <c r="D325" s="2"/>
      <c r="E325" s="2"/>
      <c r="F325" s="2"/>
      <c r="G325" s="2"/>
      <c r="H325" s="1328"/>
      <c r="I325" s="1328"/>
      <c r="J325" s="1328"/>
      <c r="K325" s="1328"/>
      <c r="L325" s="1328"/>
      <c r="M325" s="1328"/>
      <c r="N325" s="1383"/>
      <c r="O325" s="1383"/>
      <c r="P325" s="1383"/>
      <c r="Q325" s="1383"/>
      <c r="R325" s="1383"/>
      <c r="S325" s="2"/>
      <c r="T325" s="2" t="s">
        <v>1132</v>
      </c>
      <c r="V325" s="2"/>
      <c r="W325" s="2"/>
      <c r="X325" s="2"/>
      <c r="Y325" s="2"/>
      <c r="AA325" s="1328" t="s">
        <v>1174</v>
      </c>
      <c r="AB325" s="1328"/>
      <c r="AC325" s="1328"/>
      <c r="AD325" s="1328"/>
      <c r="AE325" s="1328"/>
      <c r="AF325" s="1328"/>
      <c r="AG325" s="1383"/>
      <c r="AH325" s="1383"/>
      <c r="AI325" s="1383"/>
      <c r="AJ325" s="1383"/>
      <c r="AK325" s="1383"/>
    </row>
    <row r="326" spans="2:37" ht="12.9" customHeight="1">
      <c r="B326" s="2"/>
      <c r="C326" s="2"/>
      <c r="D326" s="2"/>
      <c r="E326" s="2"/>
      <c r="F326" s="2"/>
      <c r="G326" s="2"/>
      <c r="P326" s="990"/>
      <c r="Q326" s="990"/>
      <c r="R326" s="990"/>
      <c r="S326" s="990"/>
      <c r="T326" s="990"/>
      <c r="U326" s="990"/>
      <c r="V326" s="2"/>
      <c r="W326" s="2"/>
      <c r="X326" s="68"/>
      <c r="Y326" s="68"/>
      <c r="Z326" s="68"/>
    </row>
    <row r="327" spans="2:37" ht="12.9" customHeight="1">
      <c r="B327" s="2" t="s">
        <v>1175</v>
      </c>
      <c r="C327" s="2"/>
      <c r="D327" s="2"/>
      <c r="E327" s="2"/>
      <c r="F327" s="2"/>
      <c r="H327" s="1383" t="s">
        <v>1176</v>
      </c>
      <c r="I327" s="1383"/>
      <c r="J327" s="1383"/>
      <c r="K327" s="1383"/>
      <c r="L327" s="1383"/>
      <c r="M327" s="1383"/>
      <c r="N327" s="1383"/>
      <c r="O327" s="1383"/>
      <c r="P327" s="1383"/>
      <c r="Q327" s="1383"/>
      <c r="R327" s="1383"/>
      <c r="T327" s="2" t="s">
        <v>1177</v>
      </c>
      <c r="V327" s="2"/>
      <c r="W327" s="2"/>
      <c r="X327" s="2"/>
      <c r="Y327" s="2"/>
      <c r="AA327" s="1383"/>
      <c r="AB327" s="1383"/>
      <c r="AC327" s="1383"/>
      <c r="AD327" s="1383"/>
      <c r="AE327" s="1383"/>
      <c r="AF327" s="1383"/>
      <c r="AG327" s="1383"/>
      <c r="AH327" s="1383"/>
      <c r="AI327" s="1383"/>
      <c r="AJ327" s="1383"/>
      <c r="AK327" s="1383"/>
    </row>
    <row r="328" spans="2:37" ht="12.9" customHeight="1">
      <c r="B328" s="2" t="s">
        <v>1123</v>
      </c>
      <c r="C328" s="2"/>
      <c r="D328" s="2"/>
      <c r="E328" s="2"/>
      <c r="F328" s="2"/>
      <c r="H328" s="1328" t="s">
        <v>1178</v>
      </c>
      <c r="I328" s="1328"/>
      <c r="J328" s="1328"/>
      <c r="K328" s="1328"/>
      <c r="L328" s="1328"/>
      <c r="M328" s="1328"/>
      <c r="N328" s="1328"/>
      <c r="O328" s="1328"/>
      <c r="P328" s="1328"/>
      <c r="Q328" s="1328"/>
      <c r="R328" s="1328"/>
      <c r="T328" s="2" t="s">
        <v>1123</v>
      </c>
      <c r="V328" s="2"/>
      <c r="W328" s="2"/>
      <c r="X328" s="2"/>
      <c r="Y328" s="2"/>
      <c r="AA328" s="1328"/>
      <c r="AB328" s="1328"/>
      <c r="AC328" s="1328"/>
      <c r="AD328" s="1328"/>
      <c r="AE328" s="1328"/>
      <c r="AF328" s="1328"/>
      <c r="AG328" s="1328"/>
      <c r="AH328" s="1328"/>
      <c r="AI328" s="1328"/>
      <c r="AJ328" s="1328"/>
      <c r="AK328" s="1328"/>
    </row>
    <row r="329" spans="2:37" ht="12.9" customHeight="1">
      <c r="B329" s="2" t="s">
        <v>1126</v>
      </c>
      <c r="C329" s="2"/>
      <c r="D329" s="2"/>
      <c r="E329" s="2"/>
      <c r="F329" s="2"/>
      <c r="H329" s="1328" t="s">
        <v>1179</v>
      </c>
      <c r="I329" s="1328"/>
      <c r="J329" s="1328"/>
      <c r="K329" s="1328"/>
      <c r="L329" s="1328"/>
      <c r="M329" s="1328"/>
      <c r="N329" s="1328"/>
      <c r="O329" s="1328"/>
      <c r="P329" s="1328"/>
      <c r="Q329" s="1328"/>
      <c r="R329" s="1328"/>
      <c r="T329" s="2" t="s">
        <v>1128</v>
      </c>
      <c r="V329" s="2"/>
      <c r="W329" s="2"/>
      <c r="X329" s="2"/>
      <c r="Y329" s="2"/>
      <c r="AA329" s="1328"/>
      <c r="AB329" s="1328"/>
      <c r="AC329" s="1328"/>
      <c r="AD329" s="1328"/>
      <c r="AE329" s="1328"/>
      <c r="AF329" s="1328"/>
      <c r="AG329" s="1328"/>
      <c r="AH329" s="1328"/>
      <c r="AI329" s="1328"/>
      <c r="AJ329" s="1328"/>
      <c r="AK329" s="1328"/>
    </row>
    <row r="330" spans="2:37" ht="12.9" customHeight="1">
      <c r="B330" s="2" t="s">
        <v>1067</v>
      </c>
      <c r="C330" s="2"/>
      <c r="D330" s="2"/>
      <c r="E330" s="2"/>
      <c r="F330" s="2"/>
      <c r="H330" s="1328" t="s">
        <v>1172</v>
      </c>
      <c r="I330" s="1328"/>
      <c r="J330" s="1328"/>
      <c r="K330" s="1328"/>
      <c r="L330" s="1328"/>
      <c r="M330" s="1328"/>
      <c r="N330" s="1328"/>
      <c r="O330" s="1328"/>
      <c r="P330" s="1328"/>
      <c r="Q330" s="1328"/>
      <c r="R330" s="1328"/>
      <c r="T330" s="2" t="s">
        <v>1067</v>
      </c>
      <c r="V330" s="2"/>
      <c r="W330" s="2"/>
      <c r="X330" s="2"/>
      <c r="Y330" s="2"/>
      <c r="AA330" s="1328"/>
      <c r="AB330" s="1328"/>
      <c r="AC330" s="1328"/>
      <c r="AD330" s="1328"/>
      <c r="AE330" s="1328"/>
      <c r="AF330" s="1328"/>
      <c r="AG330" s="1328"/>
      <c r="AH330" s="1328"/>
      <c r="AI330" s="1328"/>
      <c r="AJ330" s="1328"/>
      <c r="AK330" s="1328"/>
    </row>
    <row r="331" spans="2:37" ht="12.9" customHeight="1">
      <c r="B331" s="2" t="s">
        <v>1069</v>
      </c>
      <c r="C331" s="2"/>
      <c r="D331" s="2"/>
      <c r="E331" s="2"/>
      <c r="F331" s="2"/>
      <c r="G331" s="2"/>
      <c r="H331" s="1483" t="s">
        <v>1173</v>
      </c>
      <c r="I331" s="1483"/>
      <c r="J331" s="1483"/>
      <c r="K331" s="1483"/>
      <c r="L331" s="1483"/>
      <c r="M331" s="1483"/>
      <c r="N331" s="2" t="s">
        <v>1071</v>
      </c>
      <c r="O331" s="2"/>
      <c r="P331" s="1473"/>
      <c r="Q331" s="1473"/>
      <c r="R331" s="1473"/>
      <c r="S331" s="2"/>
      <c r="T331" s="2" t="s">
        <v>1069</v>
      </c>
      <c r="V331" s="2"/>
      <c r="W331" s="2"/>
      <c r="X331" s="2"/>
      <c r="Y331" s="2"/>
      <c r="AA331" s="1483"/>
      <c r="AB331" s="1483"/>
      <c r="AC331" s="1483"/>
      <c r="AD331" s="1483"/>
      <c r="AE331" s="1483"/>
      <c r="AF331" s="1483"/>
      <c r="AG331" s="2" t="s">
        <v>1071</v>
      </c>
      <c r="AH331" s="2"/>
      <c r="AI331" s="1473"/>
      <c r="AJ331" s="1473"/>
      <c r="AK331" s="1473"/>
    </row>
    <row r="332" spans="2:37" ht="12.9" customHeight="1">
      <c r="B332" s="2" t="s">
        <v>1072</v>
      </c>
      <c r="C332" s="2"/>
      <c r="D332" s="2"/>
      <c r="E332" s="2"/>
      <c r="F332" s="2"/>
      <c r="G332" s="2"/>
      <c r="H332" s="1445"/>
      <c r="I332" s="1445"/>
      <c r="J332" s="1445"/>
      <c r="K332" s="1445"/>
      <c r="L332" s="1445"/>
      <c r="M332" s="1445"/>
      <c r="N332" s="2"/>
      <c r="O332" s="2"/>
      <c r="P332" s="68"/>
      <c r="Q332" s="68"/>
      <c r="R332" s="68"/>
      <c r="S332" s="2"/>
      <c r="T332" s="2" t="s">
        <v>1072</v>
      </c>
      <c r="V332" s="2"/>
      <c r="W332" s="2"/>
      <c r="X332" s="2"/>
      <c r="Y332" s="2"/>
      <c r="AA332" s="1445"/>
      <c r="AB332" s="1445"/>
      <c r="AC332" s="1445"/>
      <c r="AD332" s="1445"/>
      <c r="AE332" s="1445"/>
      <c r="AF332" s="1445"/>
      <c r="AG332" s="2"/>
      <c r="AH332" s="2"/>
      <c r="AI332" s="68"/>
      <c r="AJ332" s="68"/>
      <c r="AK332" s="68"/>
    </row>
    <row r="333" spans="2:37" ht="12.9" customHeight="1">
      <c r="B333" s="2" t="s">
        <v>1132</v>
      </c>
      <c r="C333" s="2"/>
      <c r="D333" s="2"/>
      <c r="E333" s="2"/>
      <c r="F333" s="2"/>
      <c r="G333" s="2"/>
      <c r="H333" s="1328" t="s">
        <v>1174</v>
      </c>
      <c r="I333" s="1328"/>
      <c r="J333" s="1328"/>
      <c r="K333" s="1328"/>
      <c r="L333" s="1328"/>
      <c r="M333" s="1328"/>
      <c r="N333" s="1383"/>
      <c r="O333" s="1383"/>
      <c r="P333" s="1383"/>
      <c r="Q333" s="1383"/>
      <c r="R333" s="1383"/>
      <c r="S333" s="2"/>
      <c r="T333" s="2" t="s">
        <v>1132</v>
      </c>
      <c r="V333" s="2"/>
      <c r="W333" s="2"/>
      <c r="X333" s="2"/>
      <c r="Y333" s="2"/>
      <c r="AA333" s="1328"/>
      <c r="AB333" s="1328"/>
      <c r="AC333" s="1328"/>
      <c r="AD333" s="1328"/>
      <c r="AE333" s="1328"/>
      <c r="AF333" s="1328"/>
      <c r="AG333" s="1383"/>
      <c r="AH333" s="1383"/>
      <c r="AI333" s="1383"/>
      <c r="AJ333" s="1383"/>
      <c r="AK333" s="1383"/>
    </row>
    <row r="334" spans="2:37" ht="12.9" customHeight="1">
      <c r="B334" s="2"/>
      <c r="C334" s="2"/>
      <c r="D334" s="2"/>
      <c r="E334" s="2"/>
      <c r="F334" s="2"/>
      <c r="G334" s="2"/>
      <c r="P334" s="990"/>
      <c r="Q334" s="990"/>
      <c r="R334" s="990"/>
      <c r="S334" s="990"/>
      <c r="T334" s="990"/>
      <c r="U334" s="990"/>
      <c r="V334" s="2"/>
      <c r="W334" s="2"/>
      <c r="X334" s="68"/>
      <c r="Y334" s="68"/>
      <c r="Z334" s="68"/>
    </row>
    <row r="335" spans="2:37" ht="12.9" customHeight="1">
      <c r="B335" s="2" t="s">
        <v>1180</v>
      </c>
      <c r="C335" s="2"/>
      <c r="D335" s="2"/>
      <c r="E335" s="2"/>
      <c r="F335" s="2"/>
      <c r="H335" s="1383" t="s">
        <v>1181</v>
      </c>
      <c r="I335" s="1383"/>
      <c r="J335" s="1383"/>
      <c r="K335" s="1383"/>
      <c r="L335" s="1383"/>
      <c r="M335" s="1383"/>
      <c r="N335" s="1383"/>
      <c r="O335" s="1383"/>
      <c r="P335" s="1383"/>
      <c r="Q335" s="1383"/>
      <c r="R335" s="1383"/>
      <c r="T335" s="107" t="s">
        <v>1182</v>
      </c>
      <c r="V335" s="2"/>
      <c r="W335" s="2"/>
      <c r="X335" s="2"/>
      <c r="Y335" s="2"/>
      <c r="AA335" s="1383" t="s">
        <v>1183</v>
      </c>
      <c r="AB335" s="1383"/>
      <c r="AC335" s="1383"/>
      <c r="AD335" s="1383"/>
      <c r="AE335" s="1383"/>
      <c r="AF335" s="1383"/>
      <c r="AG335" s="1383"/>
      <c r="AH335" s="1383"/>
      <c r="AI335" s="1383"/>
      <c r="AJ335" s="1383"/>
      <c r="AK335" s="1383"/>
    </row>
    <row r="336" spans="2:37" ht="12.9" customHeight="1">
      <c r="B336" s="2" t="s">
        <v>1123</v>
      </c>
      <c r="C336" s="2"/>
      <c r="D336" s="2"/>
      <c r="E336" s="2"/>
      <c r="F336" s="2"/>
      <c r="H336" s="1328" t="s">
        <v>1184</v>
      </c>
      <c r="I336" s="1328"/>
      <c r="J336" s="1328"/>
      <c r="K336" s="1328"/>
      <c r="L336" s="1328"/>
      <c r="M336" s="1328"/>
      <c r="N336" s="1328"/>
      <c r="O336" s="1328"/>
      <c r="P336" s="1328"/>
      <c r="Q336" s="1328"/>
      <c r="R336" s="1328"/>
      <c r="T336" s="2" t="s">
        <v>1123</v>
      </c>
      <c r="V336" s="2"/>
      <c r="W336" s="2"/>
      <c r="X336" s="2"/>
      <c r="Y336" s="2"/>
      <c r="AA336" s="1328" t="s">
        <v>1185</v>
      </c>
      <c r="AB336" s="1328"/>
      <c r="AC336" s="1328"/>
      <c r="AD336" s="1328"/>
      <c r="AE336" s="1328"/>
      <c r="AF336" s="1328"/>
      <c r="AG336" s="1328"/>
      <c r="AH336" s="1328"/>
      <c r="AI336" s="1328"/>
      <c r="AJ336" s="1328"/>
      <c r="AK336" s="1328"/>
    </row>
    <row r="337" spans="1:66" ht="12.9" customHeight="1">
      <c r="B337" s="2" t="s">
        <v>1128</v>
      </c>
      <c r="C337" s="2"/>
      <c r="D337" s="2"/>
      <c r="E337" s="2"/>
      <c r="F337" s="2"/>
      <c r="H337" s="1328" t="s">
        <v>1186</v>
      </c>
      <c r="I337" s="1328"/>
      <c r="J337" s="1328"/>
      <c r="K337" s="1328"/>
      <c r="L337" s="1328"/>
      <c r="M337" s="1328"/>
      <c r="N337" s="1328"/>
      <c r="O337" s="1328"/>
      <c r="P337" s="1328"/>
      <c r="Q337" s="1328"/>
      <c r="R337" s="1328"/>
      <c r="T337" s="2" t="s">
        <v>1128</v>
      </c>
      <c r="V337" s="2"/>
      <c r="W337" s="2"/>
      <c r="X337" s="2"/>
      <c r="Y337" s="2"/>
      <c r="AA337" s="1328" t="s">
        <v>1187</v>
      </c>
      <c r="AB337" s="1328"/>
      <c r="AC337" s="1328"/>
      <c r="AD337" s="1328"/>
      <c r="AE337" s="1328"/>
      <c r="AF337" s="1328"/>
      <c r="AG337" s="1328"/>
      <c r="AH337" s="1328"/>
      <c r="AI337" s="1328"/>
      <c r="AJ337" s="1328"/>
      <c r="AK337" s="1328"/>
    </row>
    <row r="338" spans="1:66" ht="12.9" customHeight="1">
      <c r="B338" s="2" t="s">
        <v>1067</v>
      </c>
      <c r="C338" s="2"/>
      <c r="D338" s="2"/>
      <c r="E338" s="2"/>
      <c r="F338" s="2"/>
      <c r="G338" s="2"/>
      <c r="H338" s="1328" t="s">
        <v>1188</v>
      </c>
      <c r="I338" s="1328"/>
      <c r="J338" s="1328"/>
      <c r="K338" s="1328"/>
      <c r="L338" s="1328"/>
      <c r="M338" s="1328"/>
      <c r="N338" s="1328"/>
      <c r="O338" s="1328"/>
      <c r="P338" s="1328"/>
      <c r="Q338" s="1328"/>
      <c r="R338" s="1328"/>
      <c r="T338" s="2" t="s">
        <v>1067</v>
      </c>
      <c r="V338" s="2"/>
      <c r="W338" s="2"/>
      <c r="X338" s="2"/>
      <c r="Y338" s="2"/>
      <c r="AA338" s="1328" t="s">
        <v>1189</v>
      </c>
      <c r="AB338" s="1328"/>
      <c r="AC338" s="1328"/>
      <c r="AD338" s="1328"/>
      <c r="AE338" s="1328"/>
      <c r="AF338" s="1328"/>
      <c r="AG338" s="1328"/>
      <c r="AH338" s="1328"/>
      <c r="AI338" s="1328"/>
      <c r="AJ338" s="1328"/>
      <c r="AK338" s="1328"/>
    </row>
    <row r="339" spans="1:66" ht="12.9" customHeight="1">
      <c r="B339" s="2" t="s">
        <v>1069</v>
      </c>
      <c r="C339" s="2"/>
      <c r="D339" s="2"/>
      <c r="E339" s="2"/>
      <c r="F339" s="2"/>
      <c r="G339" s="2"/>
      <c r="H339" s="1483" t="s">
        <v>1190</v>
      </c>
      <c r="I339" s="1483"/>
      <c r="J339" s="1483"/>
      <c r="K339" s="1483"/>
      <c r="L339" s="1483"/>
      <c r="M339" s="1483"/>
      <c r="N339" s="2" t="s">
        <v>1071</v>
      </c>
      <c r="O339" s="2"/>
      <c r="P339" s="1473"/>
      <c r="Q339" s="1473"/>
      <c r="R339" s="1473"/>
      <c r="S339" s="2"/>
      <c r="T339" s="2" t="s">
        <v>1069</v>
      </c>
      <c r="V339" s="2"/>
      <c r="W339" s="2"/>
      <c r="X339" s="2"/>
      <c r="Y339" s="2"/>
      <c r="AA339" s="1483" t="s">
        <v>1191</v>
      </c>
      <c r="AB339" s="1483"/>
      <c r="AC339" s="1483"/>
      <c r="AD339" s="1483"/>
      <c r="AE339" s="1483"/>
      <c r="AF339" s="1483"/>
      <c r="AG339" s="2" t="s">
        <v>1071</v>
      </c>
      <c r="AH339" s="2"/>
      <c r="AI339" s="1473"/>
      <c r="AJ339" s="1473"/>
      <c r="AK339" s="1473"/>
    </row>
    <row r="340" spans="1:66" ht="12.9" customHeight="1">
      <c r="B340" s="2" t="s">
        <v>1072</v>
      </c>
      <c r="C340" s="2"/>
      <c r="D340" s="2"/>
      <c r="E340" s="2"/>
      <c r="F340" s="2"/>
      <c r="G340" s="2"/>
      <c r="H340" s="1445"/>
      <c r="I340" s="1445"/>
      <c r="J340" s="1445"/>
      <c r="K340" s="1445"/>
      <c r="L340" s="1445"/>
      <c r="M340" s="1445"/>
      <c r="N340" s="2"/>
      <c r="O340" s="2"/>
      <c r="P340" s="68"/>
      <c r="Q340" s="68"/>
      <c r="R340" s="68"/>
      <c r="S340" s="2"/>
      <c r="T340" s="2" t="s">
        <v>1072</v>
      </c>
      <c r="V340" s="2"/>
      <c r="W340" s="2"/>
      <c r="X340" s="2"/>
      <c r="Y340" s="2"/>
      <c r="AA340" s="1445"/>
      <c r="AB340" s="1445"/>
      <c r="AC340" s="1445"/>
      <c r="AD340" s="1445"/>
      <c r="AE340" s="1445"/>
      <c r="AF340" s="1445"/>
      <c r="AG340" s="2"/>
      <c r="AH340" s="2"/>
      <c r="AI340" s="68"/>
      <c r="AJ340" s="68"/>
      <c r="AK340" s="68"/>
    </row>
    <row r="341" spans="1:66" ht="12.9" customHeight="1">
      <c r="B341" s="2" t="s">
        <v>1132</v>
      </c>
      <c r="C341" s="2"/>
      <c r="D341" s="2"/>
      <c r="E341" s="2"/>
      <c r="F341" s="2"/>
      <c r="G341" s="2"/>
      <c r="H341" s="1328" t="s">
        <v>1192</v>
      </c>
      <c r="I341" s="1328"/>
      <c r="J341" s="1328"/>
      <c r="K341" s="1328"/>
      <c r="L341" s="1328"/>
      <c r="M341" s="1328"/>
      <c r="N341" s="1383"/>
      <c r="O341" s="1383"/>
      <c r="P341" s="1383"/>
      <c r="Q341" s="1383"/>
      <c r="R341" s="1383"/>
      <c r="S341" s="2"/>
      <c r="T341" s="2" t="s">
        <v>1132</v>
      </c>
      <c r="V341" s="2"/>
      <c r="W341" s="2"/>
      <c r="X341" s="2"/>
      <c r="Y341" s="2"/>
      <c r="AA341" s="1328" t="s">
        <v>1193</v>
      </c>
      <c r="AB341" s="1328"/>
      <c r="AC341" s="1328"/>
      <c r="AD341" s="1328"/>
      <c r="AE341" s="1328"/>
      <c r="AF341" s="1328"/>
      <c r="AG341" s="1383"/>
      <c r="AH341" s="1383"/>
      <c r="AI341" s="1383"/>
      <c r="AJ341" s="1383"/>
      <c r="AK341" s="1383"/>
    </row>
    <row r="342" spans="1:66" ht="12.9" customHeight="1">
      <c r="B342" s="2"/>
      <c r="C342" s="2"/>
      <c r="D342" s="2"/>
      <c r="E342" s="2"/>
      <c r="F342" s="2"/>
      <c r="G342" s="2"/>
      <c r="H342" s="6"/>
      <c r="I342" s="6"/>
      <c r="J342" s="6"/>
      <c r="K342" s="6"/>
      <c r="L342" s="6"/>
      <c r="M342" s="6"/>
      <c r="N342" s="6"/>
      <c r="O342" s="6"/>
      <c r="P342" s="6"/>
      <c r="Q342" s="6"/>
      <c r="R342" s="6"/>
      <c r="S342" s="2"/>
      <c r="T342" s="2"/>
      <c r="V342" s="2"/>
      <c r="W342" s="2"/>
      <c r="X342" s="2"/>
      <c r="Y342" s="2"/>
      <c r="AA342" s="6"/>
      <c r="AB342" s="6"/>
      <c r="AC342" s="6"/>
      <c r="AD342" s="6"/>
      <c r="AE342" s="6"/>
      <c r="AF342" s="6"/>
      <c r="AG342" s="6"/>
      <c r="AH342" s="6"/>
      <c r="AI342" s="6"/>
      <c r="AJ342" s="6"/>
      <c r="AK342" s="6"/>
      <c r="BN342" t="s">
        <v>809</v>
      </c>
    </row>
    <row r="343" spans="1:66" ht="12.9" customHeight="1">
      <c r="B343" s="2"/>
      <c r="C343" s="2"/>
      <c r="D343" s="2"/>
      <c r="E343" s="2"/>
      <c r="F343" s="2"/>
      <c r="I343" s="107" t="s">
        <v>1194</v>
      </c>
      <c r="P343" s="1383"/>
      <c r="Q343" s="1383"/>
      <c r="R343" s="1383"/>
      <c r="S343" s="1383"/>
      <c r="T343" s="1383"/>
      <c r="U343" s="1383"/>
      <c r="V343" s="1383"/>
      <c r="W343" s="1383"/>
      <c r="X343" s="1383"/>
      <c r="Y343" s="1383"/>
      <c r="Z343" s="1383"/>
      <c r="AA343" s="1383"/>
      <c r="AB343" s="1383"/>
      <c r="AC343" s="1383"/>
      <c r="AD343" s="1383"/>
      <c r="AE343" s="1383"/>
      <c r="BN343" t="s">
        <v>843</v>
      </c>
    </row>
    <row r="344" spans="1:66" ht="12.9" customHeight="1">
      <c r="B344" s="2"/>
      <c r="C344" s="2"/>
      <c r="D344" s="2"/>
      <c r="E344" s="2"/>
      <c r="F344" s="2"/>
      <c r="I344" s="2" t="s">
        <v>1123</v>
      </c>
      <c r="P344" s="1328"/>
      <c r="Q344" s="1328"/>
      <c r="R344" s="1328"/>
      <c r="S344" s="1328"/>
      <c r="T344" s="1328"/>
      <c r="U344" s="1328"/>
      <c r="V344" s="1328"/>
      <c r="W344" s="1328"/>
      <c r="X344" s="1328"/>
      <c r="Y344" s="1328"/>
      <c r="Z344" s="1328"/>
      <c r="AA344" s="1328"/>
      <c r="AB344" s="1328"/>
      <c r="AC344" s="1328"/>
      <c r="AD344" s="1328"/>
      <c r="AE344" s="1328"/>
      <c r="BN344" t="s">
        <v>694</v>
      </c>
    </row>
    <row r="345" spans="1:66" ht="12.9" customHeight="1">
      <c r="B345" s="2"/>
      <c r="C345" s="2"/>
      <c r="D345" s="2"/>
      <c r="E345" s="2"/>
      <c r="F345" s="2"/>
      <c r="I345" s="2" t="s">
        <v>1128</v>
      </c>
      <c r="P345" s="1328"/>
      <c r="Q345" s="1328"/>
      <c r="R345" s="1328"/>
      <c r="S345" s="1328"/>
      <c r="T345" s="1328"/>
      <c r="U345" s="1328"/>
      <c r="V345" s="1328"/>
      <c r="W345" s="1328"/>
      <c r="X345" s="1328"/>
      <c r="Y345" s="1328"/>
      <c r="Z345" s="1328"/>
      <c r="AA345" s="1328"/>
      <c r="AB345" s="1328"/>
      <c r="AC345" s="1328"/>
      <c r="AD345" s="1328"/>
      <c r="AE345" s="1328"/>
    </row>
    <row r="346" spans="1:66" ht="12.9" customHeight="1">
      <c r="B346" s="2"/>
      <c r="C346" s="2"/>
      <c r="D346" s="2"/>
      <c r="E346" s="2"/>
      <c r="F346" s="2"/>
      <c r="G346" s="2"/>
      <c r="I346" s="2" t="s">
        <v>1067</v>
      </c>
      <c r="P346" s="1328"/>
      <c r="Q346" s="1328"/>
      <c r="R346" s="1328"/>
      <c r="S346" s="1328"/>
      <c r="T346" s="1328"/>
      <c r="U346" s="1328"/>
      <c r="V346" s="1328"/>
      <c r="W346" s="1328"/>
      <c r="X346" s="1328"/>
      <c r="Y346" s="1328"/>
      <c r="Z346" s="1328"/>
      <c r="AA346" s="1328"/>
      <c r="AB346" s="1328"/>
      <c r="AC346" s="1328"/>
      <c r="AD346" s="1328"/>
      <c r="AE346" s="1328"/>
    </row>
    <row r="347" spans="1:66" ht="12.9" customHeight="1">
      <c r="B347" s="2"/>
      <c r="C347" s="2"/>
      <c r="D347" s="2"/>
      <c r="E347" s="2"/>
      <c r="F347" s="2"/>
      <c r="G347" s="2"/>
      <c r="H347" s="991"/>
      <c r="I347" s="2" t="s">
        <v>1069</v>
      </c>
      <c r="P347" s="1445"/>
      <c r="Q347" s="1445"/>
      <c r="R347" s="1445"/>
      <c r="S347" s="1445"/>
      <c r="T347" s="1445"/>
      <c r="U347" s="1445"/>
      <c r="V347" s="1445"/>
      <c r="W347" s="1445"/>
      <c r="X347" s="1445"/>
      <c r="Y347" s="1445"/>
      <c r="Z347" s="1445"/>
      <c r="AA347" s="2" t="s">
        <v>1071</v>
      </c>
      <c r="AB347" s="2"/>
      <c r="AC347" s="1421"/>
      <c r="AD347" s="1421"/>
      <c r="AE347" s="1421"/>
      <c r="AF347" s="991"/>
      <c r="AG347" s="2"/>
      <c r="AH347" s="2"/>
      <c r="AI347" s="2"/>
      <c r="AJ347" s="2"/>
      <c r="AK347" s="2"/>
    </row>
    <row r="348" spans="1:66" ht="12.9" customHeight="1">
      <c r="B348" s="2"/>
      <c r="C348" s="2"/>
      <c r="D348" s="2"/>
      <c r="E348" s="2"/>
      <c r="F348" s="2"/>
      <c r="G348" s="2"/>
      <c r="H348" s="991"/>
      <c r="I348" s="2" t="s">
        <v>1072</v>
      </c>
      <c r="P348" s="1445"/>
      <c r="Q348" s="1445"/>
      <c r="R348" s="1445"/>
      <c r="S348" s="1445"/>
      <c r="T348" s="1445"/>
      <c r="U348" s="1445"/>
      <c r="V348" s="1445"/>
      <c r="W348" s="1445"/>
      <c r="X348" s="1445"/>
      <c r="Y348" s="1445"/>
      <c r="Z348" s="1445"/>
      <c r="AF348" s="991"/>
      <c r="AG348" s="2"/>
      <c r="AH348" s="2"/>
      <c r="AI348" s="68"/>
      <c r="AJ348" s="68"/>
      <c r="AK348" s="68"/>
    </row>
    <row r="349" spans="1:66" ht="12.9" customHeight="1">
      <c r="B349" s="2"/>
      <c r="C349" s="2"/>
      <c r="D349" s="2"/>
      <c r="E349" s="2"/>
      <c r="F349" s="2"/>
      <c r="G349" s="2"/>
      <c r="I349" s="2" t="s">
        <v>1132</v>
      </c>
      <c r="P349" s="1383"/>
      <c r="Q349" s="1383"/>
      <c r="R349" s="1383"/>
      <c r="S349" s="1383"/>
      <c r="T349" s="1383"/>
      <c r="U349" s="1383"/>
      <c r="V349" s="1383"/>
      <c r="W349" s="1383"/>
      <c r="X349" s="1383"/>
      <c r="Y349" s="1383"/>
      <c r="Z349" s="1383"/>
      <c r="AA349" s="1383"/>
      <c r="AB349" s="1383"/>
      <c r="AC349" s="1383"/>
      <c r="AD349" s="1383"/>
      <c r="AE349" s="1383"/>
    </row>
    <row r="350" spans="1:66" ht="12.9" customHeight="1">
      <c r="T350" s="6"/>
      <c r="U350" s="6"/>
      <c r="V350" s="6"/>
      <c r="W350" s="6"/>
      <c r="X350" s="6"/>
      <c r="Y350" s="6"/>
      <c r="Z350" s="6"/>
      <c r="AU350" s="54"/>
      <c r="AV350" s="54"/>
      <c r="AW350" s="54"/>
      <c r="AX350" s="54"/>
      <c r="AY350" s="54"/>
    </row>
    <row r="351" spans="1:66" ht="12.9" customHeight="1">
      <c r="A351" s="1491" t="s">
        <v>1195</v>
      </c>
      <c r="B351" s="1491"/>
      <c r="C351" s="1491"/>
      <c r="D351" s="1491"/>
      <c r="E351" s="1491"/>
      <c r="F351" s="1491"/>
      <c r="G351" s="1491"/>
      <c r="H351" s="1491"/>
      <c r="I351" s="1491"/>
      <c r="J351" s="1491"/>
      <c r="K351" s="1491"/>
      <c r="L351" s="1491"/>
      <c r="M351" s="1491"/>
      <c r="N351" s="1491"/>
      <c r="O351" s="1491"/>
      <c r="P351" s="1491"/>
      <c r="Q351" s="1491"/>
      <c r="R351" s="1491"/>
      <c r="S351" s="1491"/>
      <c r="T351" s="1491"/>
      <c r="U351" s="1491"/>
      <c r="V351" s="1491"/>
      <c r="W351" s="1491"/>
      <c r="X351" s="1491"/>
      <c r="Y351" s="1491"/>
      <c r="Z351" s="1491"/>
      <c r="AA351" s="1491"/>
      <c r="AB351" s="1491"/>
      <c r="AC351" s="1491"/>
      <c r="AD351" s="1491"/>
      <c r="AE351" s="1491"/>
      <c r="AF351" s="1491"/>
      <c r="AG351" s="1491"/>
      <c r="AH351" s="1491"/>
      <c r="AI351" s="1491"/>
      <c r="AJ351" s="1491"/>
      <c r="AK351" s="1491"/>
      <c r="AL351" s="1491"/>
      <c r="AM351" s="1491"/>
      <c r="AN351" s="1491"/>
      <c r="AO351" s="1491"/>
      <c r="AP351" s="1491"/>
      <c r="AQ351" s="1491"/>
      <c r="AR351" s="1491"/>
      <c r="AS351" s="1491"/>
      <c r="AT351" s="1491"/>
      <c r="AU351" s="54"/>
      <c r="AV351" s="54"/>
      <c r="AW351" s="54"/>
      <c r="AX351" s="54"/>
      <c r="AY351" s="54"/>
    </row>
    <row r="352" spans="1:66" ht="12.9" customHeight="1">
      <c r="A352" s="1491"/>
      <c r="B352" s="1491"/>
      <c r="C352" s="1491"/>
      <c r="D352" s="1491"/>
      <c r="E352" s="1491"/>
      <c r="F352" s="1491"/>
      <c r="G352" s="1491"/>
      <c r="H352" s="1491"/>
      <c r="I352" s="1491"/>
      <c r="J352" s="1491"/>
      <c r="K352" s="1491"/>
      <c r="L352" s="1491"/>
      <c r="M352" s="1491"/>
      <c r="N352" s="1491"/>
      <c r="O352" s="1491"/>
      <c r="P352" s="1491"/>
      <c r="Q352" s="1491"/>
      <c r="R352" s="1491"/>
      <c r="S352" s="1491"/>
      <c r="T352" s="1491"/>
      <c r="U352" s="1491"/>
      <c r="V352" s="1491"/>
      <c r="W352" s="1491"/>
      <c r="X352" s="1491"/>
      <c r="Y352" s="1491"/>
      <c r="Z352" s="1491"/>
      <c r="AA352" s="1491"/>
      <c r="AB352" s="1491"/>
      <c r="AC352" s="1491"/>
      <c r="AD352" s="1491"/>
      <c r="AE352" s="1491"/>
      <c r="AF352" s="1491"/>
      <c r="AG352" s="1491"/>
      <c r="AH352" s="1491"/>
      <c r="AI352" s="1491"/>
      <c r="AJ352" s="1491"/>
      <c r="AK352" s="1491"/>
      <c r="AL352" s="1491"/>
      <c r="AM352" s="1491"/>
      <c r="AN352" s="1491"/>
      <c r="AO352" s="1491"/>
      <c r="AP352" s="1491"/>
      <c r="AQ352" s="1491"/>
      <c r="AR352" s="1491"/>
      <c r="AS352" s="1491"/>
      <c r="AT352" s="1491"/>
      <c r="AU352" s="19"/>
      <c r="AV352" s="19"/>
      <c r="AW352" s="19"/>
      <c r="AX352" s="19"/>
      <c r="AY352" s="19"/>
    </row>
    <row r="353" spans="1:46" ht="12.9" customHeight="1">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2.9" customHeight="1">
      <c r="A354" s="1" t="s">
        <v>870</v>
      </c>
      <c r="B354" s="1"/>
      <c r="C354" s="1" t="s">
        <v>1196</v>
      </c>
    </row>
    <row r="355" spans="1:46" ht="12.9" customHeight="1">
      <c r="D355" s="2" t="s">
        <v>686</v>
      </c>
      <c r="M355" s="1440" t="s">
        <v>694</v>
      </c>
      <c r="N355" s="1440"/>
      <c r="P355" t="s">
        <v>1197</v>
      </c>
      <c r="AJ355" s="1440" t="s">
        <v>809</v>
      </c>
      <c r="AK355" s="1440"/>
    </row>
    <row r="356" spans="1:46" ht="12.9" customHeight="1">
      <c r="D356" s="2" t="s">
        <v>684</v>
      </c>
      <c r="M356" s="1440" t="s">
        <v>809</v>
      </c>
      <c r="N356" s="1440"/>
      <c r="P356" s="2" t="s">
        <v>1198</v>
      </c>
      <c r="AJ356" s="1339"/>
      <c r="AK356" s="1339"/>
    </row>
    <row r="357" spans="1:46" ht="12.9" customHeight="1">
      <c r="D357" s="2" t="s">
        <v>1199</v>
      </c>
      <c r="M357" s="1440" t="s">
        <v>809</v>
      </c>
      <c r="N357" s="1440"/>
      <c r="P357" t="s">
        <v>1200</v>
      </c>
      <c r="AJ357" s="1440" t="s">
        <v>809</v>
      </c>
      <c r="AK357" s="1440"/>
    </row>
    <row r="358" spans="1:46" ht="12.9" customHeight="1">
      <c r="D358" s="2" t="s">
        <v>1201</v>
      </c>
      <c r="M358" s="1440" t="s">
        <v>809</v>
      </c>
      <c r="N358" s="1440"/>
      <c r="Q358" s="2"/>
    </row>
    <row r="359" spans="1:46" ht="12.9" customHeight="1">
      <c r="Q359" s="2"/>
    </row>
    <row r="360" spans="1:46" ht="12.9" customHeight="1">
      <c r="Q360" s="2"/>
    </row>
    <row r="361" spans="1:46" ht="12.9" customHeight="1">
      <c r="A361" s="1" t="s">
        <v>911</v>
      </c>
      <c r="B361" s="1"/>
      <c r="C361" s="1" t="s">
        <v>1202</v>
      </c>
      <c r="D361" s="1"/>
    </row>
    <row r="362" spans="1:46" ht="12.9" customHeight="1">
      <c r="D362" s="28" t="s">
        <v>1203</v>
      </c>
      <c r="E362" s="1180"/>
      <c r="F362" s="1180"/>
      <c r="G362" s="1180"/>
      <c r="H362" s="1180"/>
      <c r="I362" s="1180"/>
      <c r="J362" s="1180"/>
      <c r="K362" s="1180"/>
      <c r="L362" s="1180"/>
      <c r="M362" s="1180"/>
      <c r="N362" s="1180"/>
      <c r="O362" s="1180"/>
      <c r="P362" s="1180"/>
      <c r="Q362" s="1180"/>
      <c r="R362" s="1180"/>
      <c r="S362" s="1180"/>
      <c r="T362" s="1180"/>
      <c r="U362" s="1180"/>
      <c r="V362" s="1180"/>
      <c r="W362" s="1180"/>
      <c r="X362" s="1180"/>
      <c r="Y362" s="1180"/>
      <c r="Z362" s="1180"/>
      <c r="AA362" s="1180"/>
      <c r="AB362" s="1180"/>
      <c r="AC362" s="1180"/>
      <c r="AD362" s="1180"/>
      <c r="AE362" s="1180"/>
    </row>
    <row r="363" spans="1:46" ht="12.9" customHeight="1">
      <c r="D363" s="28" t="s">
        <v>1204</v>
      </c>
      <c r="E363" s="1180"/>
      <c r="F363" s="1180"/>
      <c r="G363" s="1180"/>
      <c r="H363" s="1180"/>
      <c r="I363" s="1180"/>
      <c r="J363" s="1180"/>
      <c r="K363" s="1180"/>
      <c r="L363" s="1180"/>
      <c r="M363" s="1180"/>
      <c r="N363" s="1440" t="s">
        <v>809</v>
      </c>
      <c r="O363" s="1440"/>
      <c r="P363" s="1180"/>
      <c r="Q363" s="1180"/>
      <c r="R363" s="1180"/>
      <c r="S363" s="1180"/>
      <c r="T363" s="1180"/>
      <c r="U363" s="1180"/>
      <c r="V363" s="1180"/>
      <c r="W363" s="1180"/>
      <c r="X363" s="1180"/>
      <c r="Y363" s="1180"/>
      <c r="Z363" s="1180"/>
      <c r="AC363" s="1180"/>
      <c r="AD363" s="1180"/>
      <c r="AE363" s="1180"/>
    </row>
    <row r="364" spans="1:46" ht="12.9" customHeight="1">
      <c r="E364" t="s">
        <v>1205</v>
      </c>
      <c r="Y364" s="1440" t="s">
        <v>809</v>
      </c>
      <c r="Z364" s="1440"/>
    </row>
    <row r="365" spans="1:46" ht="12.9" customHeight="1">
      <c r="D365" s="2" t="s">
        <v>1206</v>
      </c>
      <c r="Q365" s="1383"/>
      <c r="R365" s="1383"/>
      <c r="S365" s="1383"/>
      <c r="T365" s="1383"/>
      <c r="U365" s="1383"/>
      <c r="V365" s="1383"/>
      <c r="W365" s="1383"/>
      <c r="X365" s="1383"/>
      <c r="Y365" s="1383"/>
      <c r="Z365" s="1383"/>
      <c r="AA365" s="1383"/>
      <c r="AB365" s="1383"/>
      <c r="AC365" s="1383"/>
      <c r="AD365" s="1383"/>
      <c r="AE365" s="1383"/>
      <c r="AF365" s="1383"/>
      <c r="AG365" s="1383"/>
    </row>
    <row r="366" spans="1:46" ht="12.9" customHeight="1">
      <c r="D366" t="s">
        <v>1207</v>
      </c>
      <c r="E366" s="1180"/>
      <c r="F366" s="1180"/>
      <c r="G366" s="1180"/>
      <c r="H366" s="1180"/>
      <c r="I366" s="1180"/>
      <c r="J366" s="1180"/>
      <c r="K366" s="1180"/>
      <c r="L366" s="1180"/>
      <c r="M366" s="1180"/>
      <c r="N366" s="1180"/>
      <c r="O366" s="1180"/>
      <c r="P366" s="1180"/>
      <c r="Q366" s="1180"/>
      <c r="R366" s="1180"/>
      <c r="S366" s="1180"/>
      <c r="T366" s="1180"/>
      <c r="U366" s="1180"/>
      <c r="V366" s="1180"/>
      <c r="W366" s="1180"/>
      <c r="X366" s="1180"/>
      <c r="Y366" s="1180"/>
      <c r="Z366" s="1180"/>
      <c r="AA366" s="1180"/>
      <c r="AB366" s="1180"/>
      <c r="AC366" s="1180"/>
      <c r="AD366" s="1180"/>
      <c r="AE366" s="1180"/>
    </row>
    <row r="367" spans="1:46" ht="12.9" customHeight="1">
      <c r="D367" t="s">
        <v>1208</v>
      </c>
      <c r="E367" s="1180"/>
      <c r="F367" s="1180"/>
      <c r="G367" s="1180"/>
      <c r="H367" s="1180"/>
      <c r="I367" s="1180"/>
      <c r="J367" s="1440" t="s">
        <v>809</v>
      </c>
      <c r="K367" s="1440"/>
      <c r="L367" s="1180"/>
      <c r="M367" s="1180"/>
      <c r="N367" s="1180"/>
      <c r="O367" s="1180"/>
      <c r="P367" s="1180"/>
      <c r="Q367" s="1180"/>
      <c r="R367" s="1180"/>
      <c r="S367" s="1180"/>
      <c r="T367" s="1180"/>
      <c r="U367" s="1180"/>
      <c r="V367" s="1180"/>
      <c r="W367" s="1180"/>
      <c r="X367" s="1180"/>
      <c r="Y367" s="1180"/>
      <c r="Z367" s="1180"/>
      <c r="AC367" s="1180"/>
      <c r="AD367" s="1180"/>
      <c r="AE367" s="1180"/>
    </row>
    <row r="368" spans="1:46" ht="12.9" customHeight="1">
      <c r="E368" s="1223" t="s">
        <v>1209</v>
      </c>
      <c r="F368" s="1223"/>
      <c r="G368" s="1223"/>
      <c r="H368" s="1223"/>
      <c r="I368" s="1223"/>
      <c r="J368" s="1223"/>
      <c r="K368" s="1223"/>
      <c r="L368" s="1223"/>
      <c r="M368" s="1223"/>
      <c r="N368" s="1223"/>
      <c r="O368" s="1223"/>
      <c r="P368" s="1223"/>
      <c r="Q368" s="1223"/>
      <c r="R368" s="1223"/>
      <c r="S368" s="1223"/>
      <c r="T368" s="1223"/>
      <c r="U368" s="1223"/>
      <c r="V368" s="1223"/>
      <c r="W368" s="1223"/>
      <c r="X368" s="1223"/>
      <c r="Y368" s="1223"/>
      <c r="Z368" s="1223"/>
      <c r="AA368" s="1223"/>
      <c r="AB368" s="1223"/>
      <c r="AC368" s="1223"/>
      <c r="AD368" s="1223"/>
      <c r="AE368" s="1223"/>
      <c r="AF368" s="1223"/>
      <c r="AG368" s="1223"/>
      <c r="AH368" s="1223"/>
    </row>
    <row r="369" spans="1:34" ht="12.9" customHeight="1">
      <c r="E369" s="1223"/>
      <c r="F369" s="1223"/>
      <c r="G369" s="1223"/>
      <c r="H369" s="1223"/>
      <c r="I369" s="1223"/>
      <c r="J369" s="1223"/>
      <c r="K369" s="1223"/>
      <c r="L369" s="1223"/>
      <c r="M369" s="1223"/>
      <c r="N369" s="1223"/>
      <c r="O369" s="1223"/>
      <c r="P369" s="1223"/>
      <c r="Q369" s="1223"/>
      <c r="R369" s="1223"/>
      <c r="S369" s="1223"/>
      <c r="T369" s="1223"/>
      <c r="U369" s="1223"/>
      <c r="V369" s="1223"/>
      <c r="W369" s="1223"/>
      <c r="X369" s="1223"/>
      <c r="Y369" s="1223"/>
      <c r="Z369" s="1223"/>
      <c r="AA369" s="1223"/>
      <c r="AB369" s="1223"/>
      <c r="AC369" s="1223"/>
      <c r="AD369" s="1223"/>
      <c r="AE369" s="1223"/>
      <c r="AF369" s="1223"/>
      <c r="AG369" s="1223"/>
      <c r="AH369" s="1223"/>
    </row>
    <row r="370" spans="1:34" ht="12.9" customHeight="1">
      <c r="E370" s="2" t="s">
        <v>1210</v>
      </c>
      <c r="F370" s="2"/>
      <c r="G370" s="2"/>
      <c r="H370" s="2"/>
      <c r="I370" s="2"/>
      <c r="J370" s="2"/>
      <c r="K370" s="2"/>
      <c r="L370" s="2"/>
      <c r="N370" s="1346"/>
      <c r="O370" s="1346"/>
      <c r="P370" s="1346"/>
      <c r="Q370" s="1346"/>
      <c r="R370" s="2"/>
      <c r="U370" s="2" t="s">
        <v>1211</v>
      </c>
      <c r="V370" s="2"/>
      <c r="W370" s="2"/>
      <c r="X370" s="2"/>
      <c r="Y370" s="2"/>
      <c r="Z370" s="2"/>
      <c r="AA370" s="2"/>
      <c r="AB370" s="2"/>
      <c r="AC370" s="1346"/>
      <c r="AD370" s="1346"/>
      <c r="AE370" s="1346"/>
      <c r="AF370" s="1346"/>
    </row>
    <row r="371" spans="1:34" ht="12.9" customHeight="1">
      <c r="E371" s="2" t="s">
        <v>1212</v>
      </c>
      <c r="F371" s="2"/>
      <c r="G371" s="2"/>
      <c r="H371" s="2"/>
      <c r="I371" s="2"/>
      <c r="J371" s="2"/>
      <c r="K371" s="2"/>
      <c r="L371" s="2"/>
      <c r="N371" s="1346"/>
      <c r="O371" s="1346"/>
      <c r="P371" s="1346"/>
      <c r="Q371" s="1346"/>
      <c r="R371" s="2"/>
      <c r="U371" s="2" t="s">
        <v>1213</v>
      </c>
      <c r="V371" s="2"/>
      <c r="W371" s="2"/>
      <c r="X371" s="2"/>
      <c r="Y371" s="2"/>
      <c r="Z371" s="2"/>
      <c r="AA371" s="2"/>
      <c r="AB371" s="2"/>
      <c r="AC371" s="1346"/>
      <c r="AD371" s="1346"/>
      <c r="AE371" s="1346"/>
      <c r="AF371" s="1346"/>
    </row>
    <row r="372" spans="1:34" ht="12.9" customHeight="1">
      <c r="E372" s="2" t="s">
        <v>1214</v>
      </c>
      <c r="F372" s="2"/>
      <c r="G372" s="2"/>
      <c r="H372" s="2"/>
      <c r="I372" s="2"/>
      <c r="J372" s="2"/>
      <c r="K372" s="2"/>
      <c r="L372" s="2"/>
      <c r="N372" s="1346"/>
      <c r="O372" s="1346"/>
      <c r="P372" s="1346"/>
      <c r="Q372" s="1346"/>
      <c r="R372" s="2"/>
      <c r="V372" s="2"/>
      <c r="W372" s="2"/>
      <c r="X372" s="2"/>
      <c r="Y372" s="2"/>
      <c r="Z372" s="2"/>
      <c r="AA372" s="2"/>
      <c r="AB372" s="2"/>
    </row>
    <row r="373" spans="1:34" ht="12.9" customHeight="1">
      <c r="E373" s="2" t="s">
        <v>1215</v>
      </c>
      <c r="F373" s="2"/>
      <c r="G373" s="2"/>
      <c r="H373" s="2"/>
      <c r="I373" s="2"/>
      <c r="J373" s="2"/>
      <c r="K373" s="2"/>
      <c r="L373" s="2"/>
      <c r="N373" s="1479"/>
      <c r="O373" s="1479"/>
      <c r="P373" s="1479"/>
      <c r="Q373" s="1479"/>
      <c r="R373" s="1479"/>
      <c r="S373" s="1479"/>
      <c r="T373" s="1479"/>
      <c r="U373" s="1479"/>
      <c r="V373" s="1479"/>
      <c r="W373" s="1479"/>
      <c r="X373" s="1479"/>
      <c r="Y373" s="1479"/>
      <c r="Z373" s="1479"/>
      <c r="AA373" s="1479"/>
      <c r="AB373" s="1479"/>
      <c r="AC373" s="1479"/>
      <c r="AD373" s="1479"/>
      <c r="AE373" s="1479"/>
      <c r="AF373" s="1479"/>
    </row>
    <row r="374" spans="1:34" ht="12.9" customHeight="1">
      <c r="E374" s="2"/>
      <c r="F374" s="2"/>
      <c r="G374" s="2"/>
      <c r="H374" s="2"/>
      <c r="I374" s="2"/>
      <c r="J374" s="2"/>
      <c r="K374" s="2"/>
      <c r="L374" s="2"/>
      <c r="N374" s="1480"/>
      <c r="O374" s="1480"/>
      <c r="P374" s="1480"/>
      <c r="Q374" s="1480"/>
      <c r="R374" s="1480"/>
      <c r="S374" s="1480"/>
      <c r="T374" s="1480"/>
      <c r="U374" s="1480"/>
      <c r="V374" s="1480"/>
      <c r="W374" s="1480"/>
      <c r="X374" s="1480"/>
      <c r="Y374" s="1480"/>
      <c r="Z374" s="1480"/>
      <c r="AA374" s="1480"/>
      <c r="AB374" s="1480"/>
      <c r="AC374" s="1480"/>
      <c r="AD374" s="1480"/>
      <c r="AE374" s="1480"/>
      <c r="AF374" s="1480"/>
    </row>
    <row r="375" spans="1:34" ht="12.9" customHeight="1">
      <c r="C375" s="315"/>
      <c r="E375" s="2"/>
      <c r="F375" s="2"/>
      <c r="G375" s="2"/>
      <c r="H375" s="2"/>
      <c r="I375" s="2"/>
      <c r="J375" s="2"/>
      <c r="K375" s="2"/>
      <c r="L375" s="2"/>
    </row>
    <row r="376" spans="1:34" ht="12.9" customHeight="1">
      <c r="D376" s="1" t="s">
        <v>1216</v>
      </c>
      <c r="E376" s="1"/>
      <c r="F376" s="2"/>
      <c r="G376" s="2"/>
      <c r="H376" s="2"/>
      <c r="I376" s="2"/>
      <c r="J376" s="2"/>
      <c r="K376" s="2"/>
      <c r="L376" s="2"/>
    </row>
    <row r="377" spans="1:34" ht="12.9" customHeight="1">
      <c r="E377" s="2" t="s">
        <v>1217</v>
      </c>
      <c r="F377" s="2"/>
      <c r="G377" s="2"/>
      <c r="H377" s="2"/>
      <c r="I377" s="2"/>
      <c r="J377" s="2"/>
      <c r="K377" s="2"/>
      <c r="L377" s="2"/>
      <c r="N377" t="s">
        <v>887</v>
      </c>
      <c r="R377" s="21" t="s">
        <v>888</v>
      </c>
      <c r="S377" s="1447"/>
      <c r="T377" s="1447"/>
      <c r="U377" s="1146" t="s">
        <v>889</v>
      </c>
      <c r="V377" s="1447"/>
      <c r="W377" s="1447"/>
      <c r="Y377" t="s">
        <v>887</v>
      </c>
      <c r="AC377" s="21" t="s">
        <v>888</v>
      </c>
      <c r="AD377" s="1447"/>
      <c r="AE377" s="1447"/>
      <c r="AF377" s="1146" t="s">
        <v>889</v>
      </c>
      <c r="AG377" s="1447"/>
      <c r="AH377" s="1447"/>
    </row>
    <row r="378" spans="1:34" ht="12.9" customHeight="1">
      <c r="E378" s="2" t="s">
        <v>1218</v>
      </c>
      <c r="F378" s="2"/>
      <c r="G378" s="2"/>
      <c r="H378" s="2"/>
      <c r="I378" s="2"/>
      <c r="J378" s="2"/>
      <c r="K378" s="2"/>
      <c r="L378" s="2"/>
      <c r="N378" s="1447"/>
      <c r="O378" s="1447"/>
      <c r="P378" s="1447"/>
    </row>
    <row r="379" spans="1:34" ht="12.9" customHeight="1">
      <c r="E379" s="107" t="s">
        <v>1219</v>
      </c>
      <c r="F379" s="2"/>
      <c r="G379" s="2"/>
      <c r="H379" s="2"/>
      <c r="I379" s="2"/>
      <c r="J379" s="2"/>
      <c r="K379" s="2"/>
      <c r="L379" s="2"/>
      <c r="AG379" s="1467" t="s">
        <v>809</v>
      </c>
      <c r="AH379" s="1467"/>
    </row>
    <row r="380" spans="1:34" ht="12.9" customHeight="1">
      <c r="E380" s="2"/>
      <c r="F380" s="2"/>
      <c r="G380" s="2" t="s">
        <v>1220</v>
      </c>
      <c r="H380" s="2"/>
      <c r="I380" s="2"/>
      <c r="J380" s="2"/>
      <c r="K380" s="2"/>
      <c r="L380" s="2"/>
      <c r="AG380" s="1467" t="s">
        <v>809</v>
      </c>
      <c r="AH380" s="1467"/>
    </row>
    <row r="381" spans="1:34" ht="12.9" customHeight="1">
      <c r="E381" s="2"/>
      <c r="F381" s="2"/>
      <c r="G381" s="176" t="s">
        <v>1221</v>
      </c>
      <c r="H381" s="2"/>
      <c r="I381" s="2"/>
      <c r="J381" s="2"/>
      <c r="K381" s="2"/>
      <c r="L381" s="2"/>
      <c r="V381" s="1440" t="s">
        <v>809</v>
      </c>
      <c r="W381" s="1440"/>
      <c r="Y381" s="17" t="s">
        <v>1222</v>
      </c>
    </row>
    <row r="382" spans="1:34" ht="12.9" customHeight="1">
      <c r="E382" s="2" t="s">
        <v>1223</v>
      </c>
      <c r="F382" s="2"/>
      <c r="G382" s="2"/>
      <c r="H382" s="2"/>
      <c r="I382" s="2"/>
      <c r="J382" s="2"/>
      <c r="K382" s="2"/>
      <c r="L382" s="2"/>
      <c r="V382" s="1440" t="s">
        <v>809</v>
      </c>
      <c r="W382" s="1440"/>
      <c r="Y382" s="2" t="s">
        <v>1224</v>
      </c>
    </row>
    <row r="383" spans="1:34" ht="12.9" customHeight="1"/>
    <row r="384" spans="1:34" ht="12.9" customHeight="1">
      <c r="A384" s="1" t="s">
        <v>1225</v>
      </c>
      <c r="B384" s="1"/>
    </row>
    <row r="385" spans="4:36" ht="12.9" customHeight="1">
      <c r="D385" t="s">
        <v>1226</v>
      </c>
      <c r="J385" s="1383" t="s">
        <v>1227</v>
      </c>
      <c r="K385" s="1383"/>
      <c r="L385" s="1383"/>
      <c r="M385" s="1383"/>
      <c r="N385" s="1383"/>
      <c r="O385" s="1383"/>
      <c r="P385" s="1383"/>
      <c r="Q385" s="1383"/>
      <c r="R385" s="1383"/>
      <c r="S385" s="1383"/>
      <c r="T385" s="1383"/>
      <c r="U385" s="1383"/>
      <c r="V385" s="6" t="s">
        <v>1228</v>
      </c>
      <c r="W385" s="6"/>
      <c r="X385" s="6"/>
      <c r="Y385" s="6"/>
      <c r="Z385" s="6"/>
      <c r="AA385" s="6"/>
      <c r="AB385" s="6"/>
      <c r="AC385" s="1383" t="s">
        <v>1229</v>
      </c>
      <c r="AD385" s="1383"/>
      <c r="AE385" s="1383"/>
      <c r="AF385" s="1383"/>
      <c r="AG385" s="1383"/>
      <c r="AH385" s="1383"/>
      <c r="AI385" s="1383"/>
      <c r="AJ385" s="1383"/>
    </row>
    <row r="386" spans="4:36" ht="12.9" customHeight="1">
      <c r="D386" s="2" t="s">
        <v>1230</v>
      </c>
      <c r="J386" s="1328" t="s">
        <v>1229</v>
      </c>
      <c r="K386" s="1328"/>
      <c r="L386" s="1328"/>
      <c r="M386" s="1328"/>
      <c r="N386" s="1328"/>
      <c r="O386" s="1328"/>
      <c r="P386" s="1328"/>
      <c r="Q386" s="1328"/>
      <c r="R386" s="1328"/>
      <c r="S386" s="1328"/>
      <c r="T386" s="1328"/>
      <c r="U386" s="1328"/>
      <c r="V386" s="2" t="s">
        <v>1230</v>
      </c>
      <c r="W386" s="6"/>
      <c r="X386" s="6"/>
      <c r="Y386" s="6"/>
      <c r="Z386" s="6"/>
      <c r="AA386" s="6"/>
      <c r="AB386" s="6"/>
      <c r="AC386" s="1383" t="s">
        <v>1229</v>
      </c>
      <c r="AD386" s="1383"/>
      <c r="AE386" s="1383"/>
      <c r="AF386" s="1383"/>
      <c r="AG386" s="1383"/>
      <c r="AH386" s="1383"/>
      <c r="AI386" s="1383"/>
      <c r="AJ386" s="1383"/>
    </row>
    <row r="387" spans="4:36" ht="12.9" customHeight="1">
      <c r="D387" s="2" t="s">
        <v>807</v>
      </c>
      <c r="J387" s="1328" t="s">
        <v>1231</v>
      </c>
      <c r="K387" s="1328"/>
      <c r="L387" s="1328"/>
      <c r="M387" s="1328"/>
      <c r="N387" s="1328"/>
      <c r="O387" s="1328"/>
      <c r="P387" s="1328"/>
      <c r="Q387" s="1328"/>
      <c r="R387" s="1328"/>
      <c r="S387" s="1328"/>
      <c r="T387" s="1328"/>
      <c r="U387" s="1328"/>
      <c r="V387" s="2" t="s">
        <v>807</v>
      </c>
      <c r="W387" s="6"/>
      <c r="X387" s="6"/>
      <c r="Y387" s="6"/>
      <c r="Z387" s="6"/>
      <c r="AA387" s="6"/>
      <c r="AB387" s="6"/>
      <c r="AC387" s="1383" t="s">
        <v>1231</v>
      </c>
      <c r="AD387" s="1383"/>
      <c r="AE387" s="1383"/>
      <c r="AF387" s="1383"/>
      <c r="AG387" s="1383"/>
      <c r="AH387" s="1383"/>
      <c r="AI387" s="1383"/>
      <c r="AJ387" s="1383"/>
    </row>
    <row r="388" spans="4:36" ht="12.9" customHeight="1">
      <c r="D388" t="s">
        <v>1232</v>
      </c>
      <c r="J388" s="1372" t="s">
        <v>1233</v>
      </c>
      <c r="K388" s="1372"/>
      <c r="L388" s="1372"/>
      <c r="M388" s="1372"/>
      <c r="N388" s="1372"/>
      <c r="O388" s="1372"/>
      <c r="P388" s="1372"/>
      <c r="Q388" s="1372"/>
      <c r="R388" s="1372"/>
      <c r="S388" s="1372"/>
      <c r="T388" s="1372"/>
      <c r="U388" s="1372"/>
      <c r="V388" s="1383"/>
      <c r="W388" s="1383"/>
      <c r="X388" s="1383"/>
      <c r="Y388" s="1383"/>
      <c r="Z388" s="1383"/>
      <c r="AA388" s="1383"/>
      <c r="AB388" s="1383"/>
      <c r="AC388" s="1383"/>
      <c r="AD388" s="1383"/>
      <c r="AE388" s="1383"/>
      <c r="AF388" s="1383"/>
      <c r="AG388" s="1383"/>
      <c r="AH388" s="1383"/>
      <c r="AI388" s="1383"/>
      <c r="AJ388" s="1383"/>
    </row>
    <row r="389" spans="4:36" ht="12.9" customHeight="1">
      <c r="D389" t="s">
        <v>1234</v>
      </c>
      <c r="Q389" s="1534">
        <v>45721</v>
      </c>
      <c r="R389" s="1534"/>
      <c r="S389" s="1534"/>
      <c r="T389" s="1534"/>
      <c r="U389" s="1534"/>
      <c r="V389" t="s">
        <v>1235</v>
      </c>
      <c r="AI389" s="1440" t="s">
        <v>694</v>
      </c>
      <c r="AJ389" s="1440"/>
    </row>
    <row r="390" spans="4:36" ht="12.9" customHeight="1">
      <c r="D390" t="s">
        <v>1236</v>
      </c>
      <c r="Q390" s="1471">
        <v>46086</v>
      </c>
      <c r="R390" s="1472"/>
      <c r="S390" s="1472"/>
      <c r="T390" s="1472"/>
      <c r="U390" s="1472"/>
      <c r="W390" s="16" t="s">
        <v>1237</v>
      </c>
      <c r="AG390" s="1392"/>
      <c r="AH390" s="1392"/>
      <c r="AI390" s="1392"/>
      <c r="AJ390" s="1392"/>
    </row>
    <row r="391" spans="4:36" ht="12.9" customHeight="1">
      <c r="D391" t="s">
        <v>1238</v>
      </c>
      <c r="Q391" s="1393">
        <v>9250000</v>
      </c>
      <c r="R391" s="1393"/>
      <c r="S391" s="1393"/>
      <c r="T391" s="1393"/>
      <c r="U391" s="1393"/>
      <c r="V391" s="2" t="s">
        <v>1239</v>
      </c>
      <c r="AG391" s="1469"/>
      <c r="AH391" s="1469"/>
      <c r="AI391" s="1469"/>
      <c r="AJ391" s="1469"/>
    </row>
    <row r="392" spans="4:36" ht="12.9" customHeight="1">
      <c r="D392" t="s">
        <v>1069</v>
      </c>
      <c r="I392" s="1483"/>
      <c r="J392" s="1483"/>
      <c r="K392" s="1483"/>
      <c r="L392" s="1483"/>
      <c r="M392" s="1483"/>
      <c r="N392" s="1483"/>
      <c r="Q392" s="2" t="s">
        <v>1071</v>
      </c>
      <c r="S392" s="1468"/>
      <c r="T392" s="1468"/>
      <c r="U392" s="1468"/>
      <c r="V392" t="s">
        <v>1240</v>
      </c>
      <c r="AI392" s="1440" t="s">
        <v>843</v>
      </c>
      <c r="AJ392" s="1440"/>
    </row>
    <row r="393" spans="4:36" ht="12.9" customHeight="1">
      <c r="D393" t="s">
        <v>1241</v>
      </c>
      <c r="Q393" s="1478"/>
      <c r="R393" s="1478"/>
      <c r="S393" s="1478"/>
      <c r="T393" s="1478"/>
      <c r="U393" s="1478"/>
      <c r="V393" t="s">
        <v>1242</v>
      </c>
      <c r="AG393" s="1392"/>
      <c r="AH393" s="1392"/>
      <c r="AI393" s="1392"/>
      <c r="AJ393" s="1392"/>
    </row>
    <row r="394" spans="4:36" ht="12.9" customHeight="1">
      <c r="D394" t="s">
        <v>1243</v>
      </c>
      <c r="Q394" s="1535"/>
      <c r="R394" s="1535"/>
      <c r="S394" s="1535"/>
      <c r="T394" s="1535"/>
      <c r="U394" s="1535"/>
      <c r="V394" t="s">
        <v>1244</v>
      </c>
      <c r="AG394" s="1392"/>
      <c r="AH394" s="1392"/>
      <c r="AI394" s="1392"/>
      <c r="AJ394" s="1392"/>
    </row>
    <row r="395" spans="4:36" ht="12.9" customHeight="1">
      <c r="D395" t="s">
        <v>1245</v>
      </c>
      <c r="AG395" s="1392"/>
      <c r="AH395" s="1392"/>
      <c r="AI395" s="1392"/>
      <c r="AJ395" s="1392"/>
    </row>
    <row r="396" spans="4:36" ht="12.9" customHeight="1">
      <c r="AG396" s="992"/>
      <c r="AH396" s="992"/>
      <c r="AI396" s="992"/>
      <c r="AJ396" s="992"/>
    </row>
    <row r="397" spans="4:36" ht="12.9" customHeight="1">
      <c r="D397" s="2" t="s">
        <v>1246</v>
      </c>
      <c r="AG397" s="992"/>
      <c r="AH397" s="992"/>
      <c r="AI397" s="1440" t="s">
        <v>843</v>
      </c>
      <c r="AJ397" s="1440"/>
    </row>
    <row r="398" spans="4:36" ht="12.9" customHeight="1">
      <c r="D398" s="2" t="s">
        <v>1247</v>
      </c>
      <c r="T398" s="1410" t="s">
        <v>1110</v>
      </c>
      <c r="U398" s="1410"/>
      <c r="V398" s="1410"/>
      <c r="W398" s="1410"/>
      <c r="X398" s="1410"/>
      <c r="Y398" s="1410"/>
      <c r="Z398" s="1410"/>
      <c r="AA398" s="1410"/>
      <c r="AB398" s="1410"/>
      <c r="AC398" s="1410"/>
      <c r="AD398" s="1410"/>
      <c r="AE398" s="1410"/>
      <c r="AF398" s="1410"/>
      <c r="AG398" s="1410"/>
      <c r="AH398" s="1410"/>
      <c r="AI398" s="1410"/>
      <c r="AJ398" s="1410"/>
    </row>
    <row r="399" spans="4:36" ht="12.9" customHeight="1">
      <c r="D399" s="2" t="s">
        <v>1248</v>
      </c>
      <c r="T399" s="1410"/>
      <c r="U399" s="1410"/>
      <c r="V399" s="1410"/>
      <c r="W399" s="1410"/>
      <c r="X399" s="1410"/>
      <c r="Y399" s="1410"/>
      <c r="Z399" s="1410"/>
      <c r="AA399" s="1410"/>
      <c r="AB399" s="1410"/>
      <c r="AC399" s="1410"/>
      <c r="AD399" s="1410"/>
      <c r="AE399" s="1410"/>
      <c r="AF399" s="1410"/>
      <c r="AG399" s="1410"/>
      <c r="AH399" s="1410"/>
      <c r="AI399" s="1410"/>
      <c r="AJ399" s="1410"/>
    </row>
    <row r="400" spans="4:36" ht="12.9" customHeight="1">
      <c r="AG400" s="992"/>
      <c r="AH400" s="992"/>
      <c r="AI400" s="992"/>
      <c r="AJ400" s="992"/>
    </row>
    <row r="401" spans="1:36" ht="12.9" customHeight="1">
      <c r="D401" s="2" t="s">
        <v>1249</v>
      </c>
      <c r="S401" s="1410" t="s">
        <v>694</v>
      </c>
      <c r="T401" s="1410"/>
      <c r="U401" s="1410"/>
      <c r="V401" t="s">
        <v>1250</v>
      </c>
      <c r="AG401" s="1474">
        <v>99</v>
      </c>
      <c r="AH401" s="1474"/>
      <c r="AI401" s="1474"/>
      <c r="AJ401" s="1474"/>
    </row>
    <row r="402" spans="1:36" ht="12.9" customHeight="1">
      <c r="D402" s="2" t="s">
        <v>1251</v>
      </c>
      <c r="S402" s="1410" t="s">
        <v>694</v>
      </c>
      <c r="T402" s="1410"/>
      <c r="U402" s="1410"/>
      <c r="V402" t="s">
        <v>1252</v>
      </c>
      <c r="AE402" s="1485">
        <v>583520</v>
      </c>
      <c r="AF402" s="1485"/>
      <c r="AG402" s="1485"/>
      <c r="AH402" s="1485"/>
      <c r="AI402" s="1485"/>
      <c r="AJ402" s="1485"/>
    </row>
    <row r="403" spans="1:36" ht="12.9" customHeight="1">
      <c r="D403" s="2" t="s">
        <v>1253</v>
      </c>
      <c r="K403" s="1470"/>
      <c r="L403" s="1470"/>
      <c r="M403" s="1470"/>
      <c r="N403" s="1470"/>
      <c r="O403" s="1470"/>
      <c r="P403" s="1470"/>
      <c r="Q403" s="1470"/>
      <c r="R403" s="1470"/>
      <c r="S403" s="1470"/>
      <c r="T403" s="1470"/>
      <c r="U403" s="1470"/>
      <c r="V403" s="1470"/>
      <c r="W403" s="1470"/>
      <c r="X403" s="1470"/>
      <c r="Y403" s="1470"/>
      <c r="Z403" s="1470"/>
      <c r="AA403" s="1470"/>
      <c r="AB403" s="1470"/>
      <c r="AC403" s="1470"/>
      <c r="AD403" s="1470"/>
      <c r="AE403" s="1470"/>
      <c r="AF403" s="1470"/>
      <c r="AG403" s="1470"/>
      <c r="AH403" s="1470"/>
      <c r="AI403" s="1470"/>
      <c r="AJ403" s="1470"/>
    </row>
    <row r="404" spans="1:36" ht="12.9" customHeight="1">
      <c r="D404" s="2" t="s">
        <v>1254</v>
      </c>
      <c r="K404" s="1470" t="s">
        <v>1255</v>
      </c>
      <c r="L404" s="1470"/>
      <c r="M404" s="1470"/>
      <c r="N404" s="1470"/>
      <c r="O404" s="1470"/>
      <c r="P404" s="1470"/>
      <c r="Q404" s="1470"/>
      <c r="R404" s="1470"/>
      <c r="S404" s="1470"/>
      <c r="T404" s="1470"/>
      <c r="U404" s="1470"/>
      <c r="V404" s="1470"/>
      <c r="W404" s="1470"/>
      <c r="X404" s="1470"/>
      <c r="Y404" s="1470"/>
      <c r="Z404" s="1470"/>
      <c r="AA404" s="1470"/>
      <c r="AB404" s="1470"/>
      <c r="AC404" s="1470"/>
      <c r="AD404" s="1470"/>
      <c r="AE404" s="1470"/>
      <c r="AF404" s="1470"/>
      <c r="AG404" s="1470"/>
      <c r="AH404" s="1470"/>
      <c r="AI404" s="1470"/>
      <c r="AJ404" s="1470"/>
    </row>
    <row r="405" spans="1:36" ht="12.9" customHeight="1">
      <c r="D405" s="2" t="s">
        <v>1256</v>
      </c>
      <c r="E405" s="1154"/>
      <c r="F405" s="1154"/>
      <c r="G405" s="1154"/>
      <c r="H405" s="1154"/>
      <c r="I405" s="1154"/>
      <c r="J405" s="1154"/>
      <c r="K405" s="1154"/>
      <c r="L405" s="1154"/>
      <c r="M405" s="1154"/>
      <c r="N405" s="1154"/>
      <c r="O405" s="1154"/>
      <c r="P405" s="1154"/>
      <c r="Q405" s="1154"/>
      <c r="R405" s="1154"/>
      <c r="S405" s="1466" t="s">
        <v>1257</v>
      </c>
      <c r="T405" s="1466"/>
      <c r="U405" s="1466"/>
      <c r="V405" s="1466"/>
      <c r="W405" s="1466"/>
      <c r="X405" s="1466"/>
      <c r="Y405" s="1466"/>
      <c r="Z405" s="1466"/>
      <c r="AA405" s="1466"/>
      <c r="AB405" s="1466"/>
      <c r="AC405" s="1466"/>
      <c r="AD405" s="1466"/>
      <c r="AE405" s="1466"/>
      <c r="AF405" s="1466"/>
      <c r="AG405" s="1466"/>
      <c r="AH405" s="1466"/>
      <c r="AI405" s="1466"/>
      <c r="AJ405" s="1466"/>
    </row>
    <row r="406" spans="1:36" ht="12.9" customHeight="1">
      <c r="D406" s="1229" t="s">
        <v>1258</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 customHeight="1">
      <c r="AG408" s="992"/>
      <c r="AH408" s="992"/>
      <c r="AI408" s="992"/>
      <c r="AJ408" s="992"/>
    </row>
    <row r="409" spans="1:36" ht="12.9" customHeight="1">
      <c r="A409" s="1" t="s">
        <v>1007</v>
      </c>
      <c r="B409" s="1"/>
      <c r="C409" s="1" t="s">
        <v>145</v>
      </c>
    </row>
    <row r="410" spans="1:36" ht="12.9" customHeight="1">
      <c r="B410" s="1"/>
      <c r="C410" s="1"/>
      <c r="D410" s="1" t="s">
        <v>1259</v>
      </c>
      <c r="I410" s="1473" t="s">
        <v>1260</v>
      </c>
      <c r="J410" s="1473"/>
      <c r="K410" s="1473"/>
      <c r="L410" s="1473"/>
      <c r="M410" s="1473"/>
      <c r="N410" s="1473"/>
      <c r="O410" s="1473"/>
      <c r="P410" s="1473"/>
      <c r="Q410" s="1473"/>
      <c r="R410" s="1473"/>
      <c r="S410" s="1473"/>
      <c r="T410" s="1473"/>
      <c r="U410" s="1473"/>
      <c r="V410" s="1473"/>
      <c r="W410" s="1473"/>
      <c r="X410" s="1473"/>
      <c r="Y410" s="1473"/>
      <c r="Z410" s="1473"/>
      <c r="AA410" s="1473"/>
      <c r="AB410" s="1473"/>
      <c r="AC410" s="1473"/>
      <c r="AD410" s="1473"/>
      <c r="AE410" s="1473"/>
    </row>
    <row r="411" spans="1:36" ht="12.9" customHeight="1">
      <c r="E411" t="s">
        <v>1261</v>
      </c>
      <c r="R411" s="1440" t="s">
        <v>694</v>
      </c>
      <c r="S411" s="1440"/>
      <c r="AC411" s="21" t="s">
        <v>1262</v>
      </c>
      <c r="AD411" s="1346">
        <v>4</v>
      </c>
      <c r="AE411" s="1346"/>
    </row>
    <row r="412" spans="1:36" ht="12.9" customHeight="1">
      <c r="E412" t="s">
        <v>1263</v>
      </c>
      <c r="R412" s="1440" t="s">
        <v>809</v>
      </c>
      <c r="S412" s="1440"/>
      <c r="AC412" s="21" t="s">
        <v>1262</v>
      </c>
      <c r="AD412" s="1346"/>
      <c r="AE412" s="1346"/>
    </row>
    <row r="413" spans="1:36" ht="12.9" customHeight="1">
      <c r="E413" t="s">
        <v>1264</v>
      </c>
      <c r="S413" s="1440" t="s">
        <v>809</v>
      </c>
      <c r="T413" s="1440"/>
    </row>
    <row r="414" spans="1:36" ht="12.9" customHeight="1">
      <c r="E414" t="s">
        <v>233</v>
      </c>
      <c r="H414" s="1536" t="s">
        <v>1265</v>
      </c>
      <c r="I414" s="1536"/>
      <c r="J414" s="1536"/>
      <c r="K414" s="1536"/>
      <c r="L414" s="1536"/>
      <c r="M414" s="1536"/>
      <c r="N414" s="1536"/>
      <c r="O414" s="1536"/>
      <c r="P414" s="1536"/>
      <c r="Q414" s="1536"/>
      <c r="R414" s="1536"/>
      <c r="S414" s="1536"/>
      <c r="T414" s="1536"/>
      <c r="U414" s="1536"/>
      <c r="V414" s="1536"/>
      <c r="W414" s="1536"/>
      <c r="X414" s="1536"/>
      <c r="Y414" s="1536"/>
      <c r="Z414" s="1536"/>
      <c r="AA414" s="1536"/>
      <c r="AB414" s="1536"/>
      <c r="AC414" s="1536"/>
      <c r="AD414" s="1536"/>
      <c r="AE414" s="1536"/>
    </row>
    <row r="415" spans="1:36" ht="12.9" customHeight="1">
      <c r="H415" s="1537"/>
      <c r="I415" s="1537"/>
      <c r="J415" s="1537"/>
      <c r="K415" s="1537"/>
      <c r="L415" s="1537"/>
      <c r="M415" s="1537"/>
      <c r="N415" s="1537"/>
      <c r="O415" s="1537"/>
      <c r="P415" s="1537"/>
      <c r="Q415" s="1537"/>
      <c r="R415" s="1537"/>
      <c r="S415" s="1537"/>
      <c r="T415" s="1537"/>
      <c r="U415" s="1537"/>
      <c r="V415" s="1537"/>
      <c r="W415" s="1537"/>
      <c r="X415" s="1537"/>
      <c r="Y415" s="1537"/>
      <c r="Z415" s="1537"/>
      <c r="AA415" s="1537"/>
      <c r="AB415" s="1537"/>
      <c r="AC415" s="1537"/>
      <c r="AD415" s="1537"/>
      <c r="AE415" s="1537"/>
    </row>
    <row r="416" spans="1:36" ht="12.9" customHeight="1"/>
    <row r="417" spans="1:39" ht="12.9" customHeight="1">
      <c r="A417" s="1" t="s">
        <v>1019</v>
      </c>
      <c r="B417" s="1"/>
      <c r="C417" s="1"/>
      <c r="D417" s="1" t="s">
        <v>150</v>
      </c>
      <c r="AF417" s="1" t="s">
        <v>1266</v>
      </c>
    </row>
    <row r="418" spans="1:39" ht="12.9" customHeight="1">
      <c r="E418" s="1447"/>
      <c r="F418" s="1447"/>
      <c r="G418" s="1447"/>
      <c r="H418" s="1150" t="s">
        <v>1267</v>
      </c>
      <c r="I418" s="1447"/>
      <c r="J418" s="1447"/>
      <c r="K418" s="1447"/>
      <c r="L418" t="s">
        <v>1268</v>
      </c>
      <c r="N418" s="21" t="s">
        <v>36</v>
      </c>
      <c r="P418" s="1528">
        <v>3.9674</v>
      </c>
      <c r="Q418" s="1528"/>
      <c r="R418" s="1528"/>
      <c r="S418" t="s">
        <v>1269</v>
      </c>
      <c r="W418" s="1484">
        <f>IF(E418&gt;0,(E418*I418),(P418*43560))</f>
        <v>172819.94399999999</v>
      </c>
      <c r="X418" s="1484"/>
      <c r="Y418" s="1484"/>
      <c r="Z418" t="s">
        <v>1270</v>
      </c>
      <c r="AF418" s="1529">
        <f>IFERROR(IF(P418&gt;0,(AG437/P418),(AG437/(W418/43560))),0)</f>
        <v>32.26294298533044</v>
      </c>
      <c r="AG418" s="1529"/>
      <c r="AH418" s="1529"/>
      <c r="AM418" s="2"/>
    </row>
    <row r="419" spans="1:39" ht="12.9" customHeight="1">
      <c r="E419" t="s">
        <v>1271</v>
      </c>
    </row>
    <row r="420" spans="1:39" ht="12.9" customHeight="1">
      <c r="E420" s="1475"/>
      <c r="F420" s="1475"/>
      <c r="G420" s="1475"/>
      <c r="H420" s="1475"/>
      <c r="I420" s="1475"/>
      <c r="J420" s="1475"/>
      <c r="K420" s="1475"/>
      <c r="L420" s="1475"/>
      <c r="M420" s="1475"/>
      <c r="N420" s="1475"/>
      <c r="O420" s="1475"/>
      <c r="P420" s="1475"/>
      <c r="Q420" s="1475"/>
      <c r="R420" s="1475"/>
      <c r="S420" s="1475"/>
      <c r="T420" s="1475"/>
      <c r="U420" s="1475"/>
      <c r="V420" s="1475"/>
      <c r="W420" s="1475"/>
      <c r="X420" s="1475"/>
      <c r="Y420" s="1475"/>
      <c r="Z420" s="1475"/>
      <c r="AA420" s="1475"/>
      <c r="AB420" s="1475"/>
      <c r="AC420" s="1475"/>
      <c r="AD420" s="1475"/>
      <c r="AE420" s="1475"/>
      <c r="AF420" s="1475"/>
      <c r="AG420" s="1475"/>
      <c r="AH420" s="1475"/>
      <c r="AI420" s="1475"/>
      <c r="AJ420" s="1475"/>
    </row>
    <row r="421" spans="1:39" ht="12.9" customHeight="1">
      <c r="E421" s="68" t="s">
        <v>1272</v>
      </c>
      <c r="F421" s="16"/>
      <c r="G421" s="16"/>
      <c r="H421" s="16"/>
      <c r="I421" s="1527">
        <v>3.9674</v>
      </c>
      <c r="J421" s="1527"/>
      <c r="K421" s="1527"/>
      <c r="L421" s="16"/>
      <c r="M421" s="68"/>
      <c r="N421" s="16"/>
      <c r="O421" s="16"/>
      <c r="P421" s="1772">
        <f>(DU755+DU778+DU800)/I421</f>
        <v>59.232746887130112</v>
      </c>
      <c r="Q421" s="1772"/>
      <c r="R421" s="1772"/>
      <c r="S421" s="68" t="s">
        <v>1273</v>
      </c>
      <c r="T421" s="16"/>
      <c r="U421" s="16"/>
      <c r="V421" s="16"/>
      <c r="W421" s="16"/>
      <c r="X421" s="16"/>
      <c r="Y421" s="16"/>
      <c r="Z421" s="16"/>
      <c r="AA421" s="16"/>
      <c r="AB421" s="16"/>
      <c r="AC421" s="16"/>
      <c r="AD421" s="16"/>
      <c r="AE421" s="16"/>
      <c r="AF421" s="16"/>
      <c r="AG421" s="16"/>
      <c r="AH421" s="16"/>
      <c r="AI421" s="16"/>
      <c r="AJ421" s="16"/>
    </row>
    <row r="422" spans="1:39" ht="12.9" customHeight="1"/>
    <row r="423" spans="1:39" ht="12.9" customHeight="1">
      <c r="A423" s="1" t="s">
        <v>1046</v>
      </c>
      <c r="B423" s="1"/>
      <c r="C423" s="1"/>
      <c r="D423" s="1" t="s">
        <v>152</v>
      </c>
    </row>
    <row r="424" spans="1:39" ht="12.9" customHeight="1">
      <c r="E424" t="s">
        <v>1274</v>
      </c>
      <c r="P424" s="1440">
        <v>1</v>
      </c>
      <c r="Q424" s="1440"/>
      <c r="S424" t="s">
        <v>1275</v>
      </c>
      <c r="AE424" s="1440">
        <v>3</v>
      </c>
      <c r="AF424" s="1440"/>
    </row>
    <row r="425" spans="1:39" ht="12.9" customHeight="1">
      <c r="E425" t="s">
        <v>1276</v>
      </c>
      <c r="P425" s="1440">
        <v>0</v>
      </c>
      <c r="Q425" s="1440"/>
      <c r="S425" t="s">
        <v>1277</v>
      </c>
      <c r="AE425" s="1440" t="s">
        <v>809</v>
      </c>
      <c r="AF425" s="1440"/>
    </row>
    <row r="426" spans="1:39" ht="12.9" customHeight="1">
      <c r="F426" s="17" t="s">
        <v>1278</v>
      </c>
    </row>
    <row r="427" spans="1:39" ht="12.9" customHeight="1">
      <c r="F427" s="1481"/>
      <c r="G427" s="1481"/>
      <c r="H427" s="1481"/>
      <c r="I427" s="1481"/>
      <c r="J427" s="1481"/>
      <c r="K427" s="1481"/>
      <c r="L427" s="1481"/>
      <c r="M427" s="1481"/>
      <c r="N427" s="1481"/>
      <c r="O427" s="1481"/>
      <c r="P427" s="1481"/>
      <c r="Q427" s="1481"/>
      <c r="R427" s="1481"/>
      <c r="S427" s="1481"/>
      <c r="T427" s="1481"/>
      <c r="U427" s="1481"/>
      <c r="V427" s="1481"/>
      <c r="W427" s="1481"/>
      <c r="X427" s="1481"/>
      <c r="Y427" s="1481"/>
      <c r="Z427" s="1481"/>
      <c r="AA427" s="1481"/>
      <c r="AB427" s="1481"/>
      <c r="AC427" s="1481"/>
      <c r="AD427" s="1481"/>
      <c r="AE427" s="1481"/>
      <c r="AF427" s="1481"/>
      <c r="AG427" s="1481"/>
      <c r="AH427" s="1481"/>
    </row>
    <row r="428" spans="1:39" ht="12.9" customHeight="1">
      <c r="F428" s="1482"/>
      <c r="G428" s="1482"/>
      <c r="H428" s="1482"/>
      <c r="I428" s="1482"/>
      <c r="J428" s="1482"/>
      <c r="K428" s="1482"/>
      <c r="L428" s="1482"/>
      <c r="M428" s="1482"/>
      <c r="N428" s="1482"/>
      <c r="O428" s="1482"/>
      <c r="P428" s="1482"/>
      <c r="Q428" s="1482"/>
      <c r="R428" s="1482"/>
      <c r="S428" s="1482"/>
      <c r="T428" s="1482"/>
      <c r="U428" s="1482"/>
      <c r="V428" s="1482"/>
      <c r="W428" s="1482"/>
      <c r="X428" s="1482"/>
      <c r="Y428" s="1482"/>
      <c r="Z428" s="1482"/>
      <c r="AA428" s="1482"/>
      <c r="AB428" s="1482"/>
      <c r="AC428" s="1482"/>
      <c r="AD428" s="1482"/>
      <c r="AE428" s="1482"/>
      <c r="AF428" s="1482"/>
      <c r="AG428" s="1482"/>
      <c r="AH428" s="1482"/>
    </row>
    <row r="429" spans="1:39" ht="12.9" customHeight="1">
      <c r="E429" t="s">
        <v>1279</v>
      </c>
      <c r="P429" s="1146"/>
      <c r="Q429" s="1440" t="s">
        <v>694</v>
      </c>
      <c r="R429" s="1440"/>
    </row>
    <row r="430" spans="1:39" ht="12.9" customHeight="1">
      <c r="F430" t="s">
        <v>1280</v>
      </c>
      <c r="P430" s="1146"/>
      <c r="Q430" s="1146"/>
      <c r="AF430" s="1440" t="s">
        <v>809</v>
      </c>
      <c r="AG430" s="1477"/>
    </row>
    <row r="431" spans="1:39" ht="12.9" customHeight="1"/>
    <row r="432" spans="1:39" ht="12.9" customHeight="1">
      <c r="A432" s="1"/>
      <c r="B432" s="1"/>
      <c r="C432" s="1"/>
      <c r="E432" s="2" t="s">
        <v>1281</v>
      </c>
      <c r="Z432" s="1440" t="s">
        <v>843</v>
      </c>
      <c r="AA432" s="1440"/>
    </row>
    <row r="433" spans="1:55" ht="12.9" customHeight="1">
      <c r="F433" s="28" t="s">
        <v>1282</v>
      </c>
      <c r="G433" s="1180"/>
      <c r="H433" s="1180"/>
      <c r="I433" s="1180"/>
      <c r="J433" s="1180"/>
      <c r="K433" s="1180"/>
      <c r="L433" s="1180"/>
      <c r="M433" s="1180"/>
      <c r="N433" s="1180"/>
      <c r="O433" s="1180"/>
      <c r="P433" s="1180"/>
      <c r="Q433" s="1180"/>
      <c r="R433" s="1180"/>
      <c r="S433" s="1180"/>
      <c r="T433" s="1180"/>
      <c r="U433" s="1180"/>
      <c r="V433" s="1180"/>
      <c r="W433" s="1180"/>
      <c r="AB433" s="1180"/>
    </row>
    <row r="434" spans="1:55" ht="12.9" customHeight="1">
      <c r="F434" t="s">
        <v>1283</v>
      </c>
      <c r="G434" s="1180"/>
      <c r="I434" s="1180"/>
      <c r="J434" s="1180"/>
      <c r="K434" s="1180"/>
      <c r="L434" s="1180"/>
      <c r="M434" s="1180"/>
      <c r="N434" s="1180"/>
      <c r="O434" s="17"/>
      <c r="P434" s="1180"/>
      <c r="Q434" s="1180"/>
      <c r="R434" s="1180"/>
      <c r="S434" s="1180"/>
      <c r="T434" s="1180"/>
      <c r="U434" s="1180"/>
      <c r="V434" s="1180"/>
      <c r="W434" s="1180"/>
      <c r="Z434" s="1440" t="s">
        <v>809</v>
      </c>
      <c r="AA434" s="1440"/>
    </row>
    <row r="435" spans="1:55" ht="12.9" customHeight="1"/>
    <row r="436" spans="1:55" ht="12.9" customHeight="1">
      <c r="A436" s="1" t="s">
        <v>1108</v>
      </c>
      <c r="B436" s="1"/>
      <c r="C436" s="1"/>
      <c r="D436" s="1" t="s">
        <v>159</v>
      </c>
      <c r="AF436" s="32"/>
    </row>
    <row r="437" spans="1:55" ht="12.9" customHeight="1">
      <c r="D437" s="1476" t="s">
        <v>1284</v>
      </c>
      <c r="E437" s="1464"/>
      <c r="F437" s="1464"/>
      <c r="G437" s="1464"/>
      <c r="H437" s="1464"/>
      <c r="I437" s="1464"/>
      <c r="J437" s="1464"/>
      <c r="K437" s="1464"/>
      <c r="L437" s="1464"/>
      <c r="M437" s="1464"/>
      <c r="N437" s="1464"/>
      <c r="O437" s="1464"/>
      <c r="P437" s="1464"/>
      <c r="Q437" s="1464"/>
      <c r="R437" s="1464"/>
      <c r="S437" s="1464"/>
      <c r="T437" s="1464"/>
      <c r="U437" s="1464"/>
      <c r="V437" s="1464"/>
      <c r="W437" s="1464"/>
      <c r="X437" s="1464"/>
      <c r="Y437" s="1464"/>
      <c r="Z437" s="1464"/>
      <c r="AA437" s="1464"/>
      <c r="AB437" s="1464"/>
      <c r="AC437" s="1464"/>
      <c r="AD437" s="1464"/>
      <c r="AE437" s="1464"/>
      <c r="AF437" s="1465"/>
      <c r="AG437" s="1341">
        <v>128</v>
      </c>
      <c r="AH437" s="1341"/>
      <c r="AI437" s="1341"/>
      <c r="AJ437" s="1341"/>
    </row>
    <row r="438" spans="1:55" ht="12.9" customHeight="1">
      <c r="D438" s="1360" t="s">
        <v>1285</v>
      </c>
      <c r="E438" s="1361"/>
      <c r="F438" s="1361"/>
      <c r="G438" s="1361"/>
      <c r="H438" s="1361"/>
      <c r="I438" s="1361"/>
      <c r="J438" s="1361"/>
      <c r="K438" s="1361"/>
      <c r="L438" s="1361"/>
      <c r="M438" s="1361"/>
      <c r="N438" s="1361"/>
      <c r="O438" s="1361"/>
      <c r="P438" s="1361"/>
      <c r="Q438" s="1361"/>
      <c r="R438" s="1361"/>
      <c r="S438" s="1361"/>
      <c r="T438" s="1361"/>
      <c r="U438" s="1361"/>
      <c r="V438" s="1361"/>
      <c r="W438" s="1361"/>
      <c r="X438" s="1361"/>
      <c r="Y438" s="1361"/>
      <c r="Z438" s="1361"/>
      <c r="AA438" s="1361"/>
      <c r="AB438" s="1361"/>
      <c r="AC438" s="1361"/>
      <c r="AD438" s="1361"/>
      <c r="AE438" s="1361"/>
      <c r="AF438" s="1362"/>
      <c r="AG438" s="1407">
        <v>0</v>
      </c>
      <c r="AH438" s="1408"/>
      <c r="AI438" s="1408"/>
      <c r="AJ438" s="1408"/>
    </row>
    <row r="439" spans="1:55" ht="12.9" customHeight="1">
      <c r="D439" s="1360" t="s">
        <v>1286</v>
      </c>
      <c r="E439" s="1361"/>
      <c r="F439" s="1361"/>
      <c r="G439" s="1361"/>
      <c r="H439" s="1361"/>
      <c r="I439" s="1361"/>
      <c r="J439" s="1361"/>
      <c r="K439" s="1361"/>
      <c r="L439" s="1361"/>
      <c r="M439" s="1361"/>
      <c r="N439" s="1361"/>
      <c r="O439" s="1361"/>
      <c r="P439" s="1361"/>
      <c r="Q439" s="1361"/>
      <c r="R439" s="1361"/>
      <c r="S439" s="1361"/>
      <c r="T439" s="1361"/>
      <c r="U439" s="1361"/>
      <c r="V439" s="1361"/>
      <c r="W439" s="1361"/>
      <c r="X439" s="1361"/>
      <c r="Y439" s="1361"/>
      <c r="Z439" s="1361"/>
      <c r="AA439" s="1361"/>
      <c r="AB439" s="1361"/>
      <c r="AC439" s="1361"/>
      <c r="AD439" s="1361"/>
      <c r="AE439" s="1361"/>
      <c r="AF439" s="1362"/>
      <c r="AG439" s="1341">
        <v>127</v>
      </c>
      <c r="AH439" s="1341"/>
      <c r="AI439" s="1341"/>
      <c r="AJ439" s="1341"/>
    </row>
    <row r="440" spans="1:55" ht="12.9" customHeight="1">
      <c r="D440" s="1360" t="s">
        <v>1287</v>
      </c>
      <c r="E440" s="1361"/>
      <c r="F440" s="1361"/>
      <c r="G440" s="1361"/>
      <c r="H440" s="1361"/>
      <c r="I440" s="1361"/>
      <c r="J440" s="1361"/>
      <c r="K440" s="1361"/>
      <c r="L440" s="1361"/>
      <c r="M440" s="1361"/>
      <c r="N440" s="1361"/>
      <c r="O440" s="1361"/>
      <c r="P440" s="1361"/>
      <c r="Q440" s="1361"/>
      <c r="R440" s="1361"/>
      <c r="S440" s="1361"/>
      <c r="T440" s="1361"/>
      <c r="U440" s="1361"/>
      <c r="V440" s="1361"/>
      <c r="W440" s="1361"/>
      <c r="X440" s="1361"/>
      <c r="Y440" s="1361"/>
      <c r="Z440" s="1361"/>
      <c r="AA440" s="1361"/>
      <c r="AB440" s="1361"/>
      <c r="AC440" s="1361"/>
      <c r="AD440" s="1361"/>
      <c r="AE440" s="1361"/>
      <c r="AF440" s="1362"/>
      <c r="AG440" s="1341">
        <v>127</v>
      </c>
      <c r="AH440" s="1341"/>
      <c r="AI440" s="1341"/>
      <c r="AJ440" s="1341"/>
    </row>
    <row r="441" spans="1:55" ht="12.9" customHeight="1">
      <c r="D441" s="1360" t="s">
        <v>1288</v>
      </c>
      <c r="E441" s="1361"/>
      <c r="F441" s="1361"/>
      <c r="G441" s="1361"/>
      <c r="H441" s="1361"/>
      <c r="I441" s="1361"/>
      <c r="J441" s="1361"/>
      <c r="K441" s="1361"/>
      <c r="L441" s="1361"/>
      <c r="M441" s="1361"/>
      <c r="N441" s="1361"/>
      <c r="O441" s="1361"/>
      <c r="P441" s="1361"/>
      <c r="Q441" s="1361"/>
      <c r="R441" s="1361"/>
      <c r="S441" s="1361"/>
      <c r="T441" s="1361"/>
      <c r="U441" s="1361"/>
      <c r="V441" s="1361"/>
      <c r="W441" s="1361"/>
      <c r="X441" s="1361"/>
      <c r="Y441" s="1361"/>
      <c r="Z441" s="1361"/>
      <c r="AA441" s="1361"/>
      <c r="AB441" s="1361"/>
      <c r="AC441" s="1361"/>
      <c r="AD441" s="1361"/>
      <c r="AE441" s="1361"/>
      <c r="AF441" s="1362"/>
      <c r="AG441" s="1359">
        <f>IF(ISERROR(AG440/AG439),0,AG440/AG439)</f>
        <v>1</v>
      </c>
      <c r="AH441" s="1359"/>
      <c r="AI441" s="1359"/>
      <c r="AJ441" s="1359"/>
    </row>
    <row r="442" spans="1:55" ht="12.9" customHeight="1">
      <c r="D442" s="1360" t="s">
        <v>1289</v>
      </c>
      <c r="E442" s="1361"/>
      <c r="F442" s="1361"/>
      <c r="G442" s="1361"/>
      <c r="H442" s="1361"/>
      <c r="I442" s="1361"/>
      <c r="J442" s="1361"/>
      <c r="K442" s="1361"/>
      <c r="L442" s="1361"/>
      <c r="M442" s="1361"/>
      <c r="N442" s="1361"/>
      <c r="O442" s="1361"/>
      <c r="P442" s="1361"/>
      <c r="Q442" s="1361"/>
      <c r="R442" s="1361"/>
      <c r="S442" s="1361"/>
      <c r="T442" s="1361"/>
      <c r="U442" s="1361"/>
      <c r="V442" s="1361"/>
      <c r="W442" s="1361"/>
      <c r="X442" s="1361"/>
      <c r="Y442" s="1361"/>
      <c r="Z442" s="1361"/>
      <c r="AA442" s="1361"/>
      <c r="AB442" s="1361"/>
      <c r="AC442" s="1361"/>
      <c r="AD442" s="1361"/>
      <c r="AE442" s="1361"/>
      <c r="AF442" s="1362"/>
      <c r="AG442" s="1414">
        <f>104674-1043</f>
        <v>103631</v>
      </c>
      <c r="AH442" s="1414"/>
      <c r="AI442" s="1414"/>
      <c r="AJ442" s="1414"/>
    </row>
    <row r="443" spans="1:55" ht="12.9" customHeight="1">
      <c r="D443" s="1360" t="s">
        <v>1290</v>
      </c>
      <c r="E443" s="1361"/>
      <c r="F443" s="1361"/>
      <c r="G443" s="1361"/>
      <c r="H443" s="1361"/>
      <c r="I443" s="1361"/>
      <c r="J443" s="1361"/>
      <c r="K443" s="1361"/>
      <c r="L443" s="1361"/>
      <c r="M443" s="1361"/>
      <c r="N443" s="1361"/>
      <c r="O443" s="1361"/>
      <c r="P443" s="1361"/>
      <c r="Q443" s="1361"/>
      <c r="R443" s="1361"/>
      <c r="S443" s="1361"/>
      <c r="T443" s="1361"/>
      <c r="U443" s="1361"/>
      <c r="V443" s="1361"/>
      <c r="W443" s="1361"/>
      <c r="X443" s="1361"/>
      <c r="Y443" s="1361"/>
      <c r="Z443" s="1361"/>
      <c r="AA443" s="1361"/>
      <c r="AB443" s="1361"/>
      <c r="AC443" s="1361"/>
      <c r="AD443" s="1361"/>
      <c r="AE443" s="1361"/>
      <c r="AF443" s="1362"/>
      <c r="AG443" s="1414">
        <v>103631</v>
      </c>
      <c r="AH443" s="1414"/>
      <c r="AI443" s="1414"/>
      <c r="AJ443" s="1414"/>
    </row>
    <row r="444" spans="1:55" ht="12.9" customHeight="1">
      <c r="D444" s="1360" t="s">
        <v>1291</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2"/>
      <c r="AG444" s="1359">
        <f>IF(ISERROR(AG443/AG442),0,AG443/AG442)</f>
        <v>1</v>
      </c>
      <c r="AH444" s="1359"/>
      <c r="AI444" s="1359"/>
      <c r="AJ444" s="1359"/>
    </row>
    <row r="445" spans="1:55" ht="12.9" customHeight="1">
      <c r="D445" s="1360" t="s">
        <v>1292</v>
      </c>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2"/>
      <c r="AG445" s="1359">
        <f>MIN(IF(AG441&gt;AG444,AG444,AG441),1)</f>
        <v>1</v>
      </c>
      <c r="AH445" s="1359"/>
      <c r="AI445" s="1359"/>
      <c r="AJ445" s="1359"/>
    </row>
    <row r="446" spans="1:55" ht="12.9" customHeight="1">
      <c r="D446" s="1360" t="s">
        <v>1293</v>
      </c>
      <c r="E446" s="1464"/>
      <c r="F446" s="1464"/>
      <c r="G446" s="1464"/>
      <c r="H446" s="1464"/>
      <c r="I446" s="1464"/>
      <c r="J446" s="1464"/>
      <c r="K446" s="1464"/>
      <c r="L446" s="1464"/>
      <c r="M446" s="1464"/>
      <c r="N446" s="1464"/>
      <c r="O446" s="1464"/>
      <c r="P446" s="1464"/>
      <c r="Q446" s="1464"/>
      <c r="R446" s="1464"/>
      <c r="S446" s="1464"/>
      <c r="T446" s="1464"/>
      <c r="U446" s="1464"/>
      <c r="V446" s="1464"/>
      <c r="W446" s="1464"/>
      <c r="X446" s="1464"/>
      <c r="Y446" s="1464"/>
      <c r="Z446" s="1464"/>
      <c r="AA446" s="1464"/>
      <c r="AB446" s="1464"/>
      <c r="AC446" s="1464"/>
      <c r="AD446" s="1464"/>
      <c r="AE446" s="1464"/>
      <c r="AF446" s="1465"/>
      <c r="AG446" s="1414">
        <f>847+692</f>
        <v>1539</v>
      </c>
      <c r="AH446" s="1414"/>
      <c r="AI446" s="1414"/>
      <c r="AJ446" s="1414"/>
      <c r="AZ446" s="2"/>
      <c r="BA446" s="2"/>
      <c r="BB446" s="2"/>
      <c r="BC446" s="2"/>
    </row>
    <row r="447" spans="1:55" ht="12.9" customHeight="1">
      <c r="D447" s="1476" t="s">
        <v>1294</v>
      </c>
      <c r="E447" s="1464"/>
      <c r="F447" s="1464"/>
      <c r="G447" s="1464"/>
      <c r="H447" s="1464"/>
      <c r="I447" s="1464"/>
      <c r="J447" s="1464"/>
      <c r="K447" s="1464"/>
      <c r="L447" s="1464"/>
      <c r="M447" s="1464"/>
      <c r="N447" s="1464"/>
      <c r="O447" s="1464"/>
      <c r="P447" s="1464"/>
      <c r="Q447" s="1464"/>
      <c r="R447" s="1464"/>
      <c r="S447" s="1464"/>
      <c r="T447" s="1464"/>
      <c r="U447" s="1464"/>
      <c r="V447" s="1464"/>
      <c r="W447" s="1464"/>
      <c r="X447" s="1464"/>
      <c r="Y447" s="1464"/>
      <c r="Z447" s="1464"/>
      <c r="AA447" s="1464"/>
      <c r="AB447" s="1464"/>
      <c r="AC447" s="1464"/>
      <c r="AD447" s="1464"/>
      <c r="AE447" s="1464"/>
      <c r="AF447" s="1465"/>
      <c r="AG447" s="1414">
        <v>0</v>
      </c>
      <c r="AH447" s="1414"/>
      <c r="AI447" s="1414"/>
      <c r="AJ447" s="1414"/>
      <c r="AZ447" s="2"/>
      <c r="BA447" s="2"/>
      <c r="BB447" s="2"/>
      <c r="BC447" s="2"/>
    </row>
    <row r="448" spans="1:55" ht="12.9" customHeight="1">
      <c r="D448" s="1360" t="s">
        <v>1295</v>
      </c>
      <c r="E448" s="1464"/>
      <c r="F448" s="1464"/>
      <c r="G448" s="1464"/>
      <c r="H448" s="1464"/>
      <c r="I448" s="1464"/>
      <c r="J448" s="1464"/>
      <c r="K448" s="1464"/>
      <c r="L448" s="1464"/>
      <c r="M448" s="1464"/>
      <c r="N448" s="1464"/>
      <c r="O448" s="1464"/>
      <c r="P448" s="1464"/>
      <c r="Q448" s="1464"/>
      <c r="R448" s="1464"/>
      <c r="S448" s="1464"/>
      <c r="T448" s="1464"/>
      <c r="U448" s="1464"/>
      <c r="V448" s="1464"/>
      <c r="W448" s="1464"/>
      <c r="X448" s="1464"/>
      <c r="Y448" s="1464"/>
      <c r="Z448" s="1464"/>
      <c r="AA448" s="1464"/>
      <c r="AB448" s="1464"/>
      <c r="AC448" s="1464"/>
      <c r="AD448" s="1464"/>
      <c r="AE448" s="1464"/>
      <c r="AF448" s="1465"/>
      <c r="AG448" s="1414">
        <f>129788-AG446-AG443</f>
        <v>24618</v>
      </c>
      <c r="AH448" s="1414"/>
      <c r="AI448" s="1414"/>
      <c r="AJ448" s="1414"/>
      <c r="AZ448" s="2"/>
      <c r="BA448" s="2"/>
      <c r="BB448" s="2"/>
      <c r="BC448" s="2"/>
    </row>
    <row r="449" spans="1:55" ht="12.9" customHeight="1">
      <c r="D449" s="1360" t="s">
        <v>1296</v>
      </c>
      <c r="E449" s="1464"/>
      <c r="F449" s="1464"/>
      <c r="G449" s="1464"/>
      <c r="H449" s="1464"/>
      <c r="I449" s="1464"/>
      <c r="J449" s="1464"/>
      <c r="K449" s="1464"/>
      <c r="L449" s="1464"/>
      <c r="M449" s="1464"/>
      <c r="N449" s="1464"/>
      <c r="O449" s="1464"/>
      <c r="P449" s="1464"/>
      <c r="Q449" s="1464"/>
      <c r="R449" s="1464"/>
      <c r="S449" s="1464"/>
      <c r="T449" s="1464"/>
      <c r="U449" s="1464"/>
      <c r="V449" s="1464"/>
      <c r="W449" s="1464"/>
      <c r="X449" s="1464"/>
      <c r="Y449" s="1464"/>
      <c r="Z449" s="1464"/>
      <c r="AA449" s="1464"/>
      <c r="AB449" s="1464"/>
      <c r="AC449" s="1464"/>
      <c r="AD449" s="1464"/>
      <c r="AE449" s="1464"/>
      <c r="AF449" s="1465"/>
      <c r="AG449" s="1414">
        <v>0</v>
      </c>
      <c r="AH449" s="1414"/>
      <c r="AI449" s="1414"/>
      <c r="AJ449" s="1414"/>
      <c r="BB449" s="2"/>
      <c r="BC449" s="2"/>
    </row>
    <row r="450" spans="1:55" ht="12.9" customHeight="1">
      <c r="D450" s="1519" t="s">
        <v>1297</v>
      </c>
      <c r="E450" s="1520"/>
      <c r="F450" s="1520"/>
      <c r="G450" s="1520"/>
      <c r="H450" s="1520"/>
      <c r="I450" s="1520"/>
      <c r="J450" s="1520"/>
      <c r="K450" s="1520"/>
      <c r="L450" s="1520"/>
      <c r="M450" s="1520"/>
      <c r="N450" s="1520"/>
      <c r="O450" s="1520"/>
      <c r="P450" s="1520"/>
      <c r="Q450" s="1520"/>
      <c r="R450" s="1520"/>
      <c r="S450" s="1520"/>
      <c r="T450" s="1520"/>
      <c r="U450" s="1520"/>
      <c r="V450" s="1520"/>
      <c r="W450" s="1520"/>
      <c r="X450" s="1520"/>
      <c r="Y450" s="1520"/>
      <c r="Z450" s="1520"/>
      <c r="AA450" s="1520"/>
      <c r="AB450" s="1520"/>
      <c r="AC450" s="1520"/>
      <c r="AD450" s="1520"/>
      <c r="AE450" s="1520"/>
      <c r="AF450" s="1521"/>
      <c r="AG450" s="1374">
        <f>AG442+AG446+AG448+AG449</f>
        <v>129788</v>
      </c>
      <c r="AH450" s="1374"/>
      <c r="AI450" s="1374"/>
      <c r="AJ450" s="1374"/>
      <c r="AZ450" s="2"/>
      <c r="BA450" s="2"/>
      <c r="BB450" s="2"/>
      <c r="BC450" s="2"/>
    </row>
    <row r="451" spans="1:55" ht="12.9" customHeight="1">
      <c r="D451" s="1530" t="s">
        <v>1298</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2"/>
      <c r="BA451" s="2"/>
      <c r="BB451" s="2"/>
      <c r="BC451" s="2"/>
    </row>
    <row r="452" spans="1:55" ht="12.9"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2"/>
      <c r="BA452" s="2"/>
      <c r="BB452" s="2"/>
      <c r="BC452" s="2"/>
    </row>
    <row r="453" spans="1:55" ht="12.9" customHeight="1">
      <c r="D453" s="331"/>
      <c r="E453" s="318"/>
      <c r="F453" s="318"/>
      <c r="G453" s="318"/>
      <c r="H453" s="318"/>
      <c r="I453" s="318"/>
      <c r="J453" s="318"/>
      <c r="K453" s="318"/>
      <c r="L453" s="318"/>
      <c r="M453" s="318"/>
      <c r="N453" s="318"/>
      <c r="O453" s="318"/>
      <c r="P453" s="318"/>
      <c r="Q453" s="318"/>
      <c r="R453" s="318"/>
      <c r="S453" s="318"/>
      <c r="T453" s="318"/>
      <c r="U453" s="318"/>
      <c r="V453" s="318"/>
      <c r="W453" s="318"/>
      <c r="X453" s="318"/>
      <c r="Y453" s="318"/>
      <c r="Z453" s="318"/>
      <c r="AA453" s="318"/>
      <c r="AB453" s="318"/>
      <c r="AC453" s="318"/>
      <c r="AD453" s="318"/>
      <c r="AE453" s="318"/>
      <c r="AF453" s="318"/>
      <c r="AG453" s="318"/>
      <c r="AH453" s="318"/>
      <c r="AI453" s="318"/>
      <c r="AJ453" s="718"/>
      <c r="AZ453" s="2"/>
      <c r="BA453" s="2" t="str">
        <f>N575</f>
        <v>Yes</v>
      </c>
      <c r="BB453" s="2"/>
      <c r="BC453" s="2"/>
    </row>
    <row r="454" spans="1:55" ht="12.9" customHeight="1">
      <c r="D454" s="108" t="s">
        <v>1299</v>
      </c>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8"/>
      <c r="AC454" s="1330">
        <f>IF(AG437=0,"",'Sources and Uses Budget'!B105/Application!AG437)</f>
        <v>691167.25</v>
      </c>
      <c r="AD454" s="1330"/>
      <c r="AE454" s="1330"/>
      <c r="AF454" s="1330"/>
      <c r="AG454" s="318"/>
      <c r="AH454" s="318"/>
      <c r="AI454" s="318"/>
      <c r="AJ454" s="718"/>
      <c r="AZ454" s="2"/>
      <c r="BA454" s="2" t="str">
        <f>AG575</f>
        <v>Yes</v>
      </c>
      <c r="BB454" s="2"/>
      <c r="BC454" s="2"/>
    </row>
    <row r="455" spans="1:55" ht="12.9" customHeight="1">
      <c r="D455" s="108" t="s">
        <v>1300</v>
      </c>
      <c r="E455" s="318"/>
      <c r="F455" s="318"/>
      <c r="G455" s="318"/>
      <c r="H455" s="318"/>
      <c r="I455" s="318"/>
      <c r="J455" s="318"/>
      <c r="K455" s="318"/>
      <c r="L455" s="318"/>
      <c r="M455" s="318"/>
      <c r="N455" s="318"/>
      <c r="O455" s="318"/>
      <c r="P455" s="318"/>
      <c r="Q455" s="318"/>
      <c r="R455" s="318"/>
      <c r="S455" s="318"/>
      <c r="T455" s="318"/>
      <c r="U455" s="318"/>
      <c r="V455" s="318"/>
      <c r="W455" s="318"/>
      <c r="X455" s="318"/>
      <c r="Y455" s="318"/>
      <c r="Z455" s="318"/>
      <c r="AA455" s="318"/>
      <c r="AB455" s="318"/>
      <c r="AC455" s="1330">
        <f>IF(AG437=0,"",'Sources and Uses Budget'!C105/Application!AG437)</f>
        <v>691167.25</v>
      </c>
      <c r="AD455" s="1330"/>
      <c r="AE455" s="1330"/>
      <c r="AF455" s="1330"/>
      <c r="AG455" s="318"/>
      <c r="AH455" s="318"/>
      <c r="AI455" s="318"/>
      <c r="AJ455" s="718"/>
      <c r="AZ455" s="2"/>
      <c r="BA455" s="2"/>
      <c r="BB455" s="2"/>
      <c r="BC455" s="2"/>
    </row>
    <row r="456" spans="1:55" ht="12.9" customHeight="1">
      <c r="D456" s="108" t="s">
        <v>1301</v>
      </c>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8"/>
      <c r="AC456" s="1330">
        <f>IF(AG437=0,"",('Sources and Uses Budget'!$S$107+'Sources and Uses Budget'!$T$107)/Application!AG437)</f>
        <v>666727.6796875</v>
      </c>
      <c r="AD456" s="1330"/>
      <c r="AE456" s="1330"/>
      <c r="AF456" s="1330"/>
      <c r="AG456" s="318"/>
      <c r="AH456" s="318"/>
      <c r="AI456" s="318"/>
      <c r="AJ456" s="718"/>
      <c r="AZ456" s="2"/>
      <c r="BA456" s="2"/>
      <c r="BB456" s="2"/>
      <c r="BC456" s="2"/>
    </row>
    <row r="457" spans="1:55" ht="12.9" customHeight="1">
      <c r="D457" s="318"/>
      <c r="E457" s="318"/>
      <c r="F457" s="133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31"/>
      <c r="H457" s="1331"/>
      <c r="I457" s="1331"/>
      <c r="J457" s="1331"/>
      <c r="K457" s="1331"/>
      <c r="L457" s="1331"/>
      <c r="M457" s="1331"/>
      <c r="N457" s="1331"/>
      <c r="O457" s="1331"/>
      <c r="P457" s="1331"/>
      <c r="Q457" s="1331"/>
      <c r="R457" s="1331"/>
      <c r="S457" s="1331"/>
      <c r="T457" s="1331"/>
      <c r="U457" s="1331"/>
      <c r="V457" s="1331"/>
      <c r="W457" s="1331"/>
      <c r="X457" s="1331"/>
      <c r="Y457" s="1331"/>
      <c r="Z457" s="1331"/>
      <c r="AA457" s="1331"/>
      <c r="AB457" s="1331"/>
      <c r="AC457" s="318"/>
      <c r="AD457" s="318"/>
      <c r="AE457" s="318"/>
      <c r="AF457" s="318"/>
      <c r="AG457" s="318"/>
      <c r="AH457" s="318"/>
      <c r="AI457" s="318"/>
      <c r="AJ457" s="718"/>
      <c r="AZ457" s="2"/>
      <c r="BA457" s="2"/>
      <c r="BB457" s="2"/>
      <c r="BC457" s="2"/>
    </row>
    <row r="458" spans="1:55" ht="12.9" customHeight="1">
      <c r="A458" s="1"/>
      <c r="D458" s="1"/>
      <c r="E458" s="318"/>
      <c r="F458" s="1331"/>
      <c r="G458" s="1331"/>
      <c r="H458" s="1331"/>
      <c r="I458" s="1331"/>
      <c r="J458" s="1331"/>
      <c r="K458" s="1331"/>
      <c r="L458" s="1331"/>
      <c r="M458" s="1331"/>
      <c r="N458" s="1331"/>
      <c r="O458" s="1331"/>
      <c r="P458" s="1331"/>
      <c r="Q458" s="1331"/>
      <c r="R458" s="1331"/>
      <c r="S458" s="1331"/>
      <c r="T458" s="1331"/>
      <c r="U458" s="1331"/>
      <c r="V458" s="1331"/>
      <c r="W458" s="1331"/>
      <c r="X458" s="1331"/>
      <c r="Y458" s="1331"/>
      <c r="Z458" s="1331"/>
      <c r="AA458" s="1331"/>
      <c r="AB458" s="1331"/>
      <c r="AC458" s="318"/>
      <c r="AD458" s="318"/>
      <c r="AE458" s="318"/>
      <c r="AF458" s="318"/>
      <c r="AG458" s="318"/>
      <c r="AH458" s="318"/>
      <c r="AI458" s="318"/>
      <c r="AJ458" s="718"/>
      <c r="AZ458" s="2"/>
      <c r="BA458" s="2"/>
      <c r="BB458" s="2"/>
      <c r="BC458" s="2"/>
    </row>
    <row r="459" spans="1:55" ht="12.9" customHeight="1">
      <c r="A459" s="1" t="s">
        <v>1302</v>
      </c>
      <c r="D459" s="1" t="s">
        <v>162</v>
      </c>
      <c r="E459" s="318"/>
      <c r="F459" s="318"/>
      <c r="G459" s="318"/>
      <c r="H459" s="318"/>
      <c r="I459" s="318"/>
      <c r="J459" s="318"/>
      <c r="K459" s="318"/>
      <c r="L459" s="318"/>
      <c r="M459" s="318"/>
      <c r="N459" s="318"/>
      <c r="O459" s="318"/>
      <c r="P459" s="318"/>
      <c r="Q459" s="318"/>
      <c r="R459" s="318"/>
      <c r="S459" s="318"/>
      <c r="T459" s="318"/>
      <c r="U459" s="318"/>
      <c r="V459" s="318"/>
      <c r="W459" s="318"/>
      <c r="X459" s="318"/>
      <c r="Y459" s="318"/>
      <c r="Z459" s="318"/>
      <c r="AA459" s="318"/>
      <c r="AB459" s="318"/>
      <c r="AC459" s="318"/>
      <c r="AD459" s="318"/>
      <c r="AE459" s="318"/>
      <c r="AF459" s="318"/>
      <c r="AG459" s="318"/>
      <c r="AH459" s="318"/>
      <c r="AI459" s="318"/>
      <c r="AJ459" s="718"/>
      <c r="AZ459" s="2"/>
      <c r="BA459" s="2"/>
      <c r="BB459" s="2"/>
      <c r="BC459" s="2"/>
    </row>
    <row r="460" spans="1:55" ht="12.9" customHeight="1">
      <c r="D460" s="98" t="s">
        <v>1303</v>
      </c>
      <c r="E460" s="318"/>
      <c r="F460" s="318"/>
      <c r="G460" s="318"/>
      <c r="H460" s="318"/>
      <c r="I460" s="318"/>
      <c r="J460" s="318"/>
      <c r="K460" s="318"/>
      <c r="L460" s="318"/>
      <c r="M460" s="318"/>
      <c r="N460" s="318"/>
      <c r="O460" s="318"/>
      <c r="P460" s="318"/>
      <c r="Q460" s="318"/>
      <c r="R460" s="318"/>
      <c r="S460" s="318"/>
      <c r="T460" s="318"/>
      <c r="U460" s="318"/>
      <c r="V460" s="318"/>
      <c r="W460" s="318"/>
      <c r="X460" s="318"/>
      <c r="Y460" s="318"/>
      <c r="Z460" s="318"/>
      <c r="AA460" s="318"/>
      <c r="AB460" s="318"/>
      <c r="AC460" s="318"/>
      <c r="AD460" s="318"/>
      <c r="AE460" s="318"/>
      <c r="AF460" s="318"/>
      <c r="AG460" s="318"/>
      <c r="AH460" s="318"/>
      <c r="AI460" s="318"/>
      <c r="AJ460" s="718"/>
      <c r="AZ460" s="2"/>
      <c r="BA460" s="2"/>
      <c r="BB460" s="2"/>
      <c r="BC460" s="2"/>
    </row>
    <row r="461" spans="1:55" ht="12.9" customHeight="1">
      <c r="D461" s="98" t="s">
        <v>1304</v>
      </c>
      <c r="E461" s="318"/>
      <c r="F461" s="318"/>
      <c r="G461" s="318"/>
      <c r="H461" s="318"/>
      <c r="I461" s="318"/>
      <c r="J461" s="318"/>
      <c r="K461" s="318"/>
      <c r="L461" s="318"/>
      <c r="M461" s="318"/>
      <c r="N461" s="318"/>
      <c r="O461" s="318"/>
      <c r="P461" s="318"/>
      <c r="Q461" s="318"/>
      <c r="R461" s="318"/>
      <c r="S461" s="318"/>
      <c r="T461" s="318"/>
      <c r="U461" s="318"/>
      <c r="V461" s="318"/>
      <c r="W461" s="318"/>
      <c r="X461" s="318"/>
      <c r="Y461" s="318"/>
      <c r="Z461" s="318"/>
      <c r="AA461" s="318"/>
      <c r="AB461" s="318"/>
      <c r="AC461" s="318"/>
      <c r="AD461" s="318"/>
      <c r="AE461" s="318"/>
      <c r="AF461" s="318"/>
      <c r="AG461" s="318"/>
      <c r="AH461" s="318"/>
      <c r="AI461" s="318"/>
      <c r="AJ461" s="718"/>
      <c r="AZ461" s="2"/>
      <c r="BA461" s="2" t="str">
        <f>N583</f>
        <v>Yes</v>
      </c>
      <c r="BB461" s="2"/>
      <c r="BC461" s="2"/>
    </row>
    <row r="462" spans="1:55" ht="12.9" customHeight="1">
      <c r="D462" s="98" t="s">
        <v>1305</v>
      </c>
      <c r="E462" s="318"/>
      <c r="F462" s="318"/>
      <c r="G462" s="318"/>
      <c r="H462" s="318"/>
      <c r="I462" s="318"/>
      <c r="J462" s="318"/>
      <c r="K462" s="318"/>
      <c r="L462" s="318"/>
      <c r="M462" s="318"/>
      <c r="N462" s="318"/>
      <c r="O462" s="318"/>
      <c r="P462" s="318"/>
      <c r="Q462" s="318"/>
      <c r="R462" s="318"/>
      <c r="S462" s="318"/>
      <c r="T462" s="318"/>
      <c r="U462" s="318"/>
      <c r="V462" s="318"/>
      <c r="W462" s="318"/>
      <c r="X462" s="318"/>
      <c r="Y462" s="318"/>
      <c r="Z462" s="318"/>
      <c r="AA462" s="318"/>
      <c r="AB462" s="318"/>
      <c r="AC462" s="318"/>
      <c r="AD462" s="318"/>
      <c r="AE462" s="318"/>
      <c r="AF462" s="318"/>
      <c r="AG462" s="318"/>
      <c r="AH462" s="318"/>
      <c r="AI462" s="318"/>
      <c r="AJ462" s="718"/>
      <c r="AZ462" s="2"/>
      <c r="BA462" s="2" t="str">
        <f>AG583</f>
        <v>Yes</v>
      </c>
      <c r="BB462" s="2"/>
      <c r="BC462" s="2"/>
    </row>
    <row r="463" spans="1:55" ht="12.9" customHeight="1">
      <c r="D463" s="331"/>
      <c r="E463" s="318"/>
      <c r="F463" s="318"/>
      <c r="G463" s="318"/>
      <c r="H463" s="318"/>
      <c r="I463" s="318"/>
      <c r="J463" s="318"/>
      <c r="K463" s="318"/>
      <c r="L463" s="318"/>
      <c r="M463" s="318"/>
      <c r="N463" s="318"/>
      <c r="O463" s="318"/>
      <c r="P463" s="318"/>
      <c r="Q463" s="318"/>
      <c r="R463" s="318"/>
      <c r="S463" s="318"/>
      <c r="T463" s="318"/>
      <c r="U463" s="318"/>
      <c r="V463" s="318"/>
      <c r="W463" s="318"/>
      <c r="X463" s="318"/>
      <c r="Y463" s="318"/>
      <c r="Z463" s="318"/>
      <c r="AA463" s="318"/>
      <c r="AB463" s="318"/>
      <c r="AC463" s="318"/>
      <c r="AD463" s="318"/>
      <c r="AE463" s="318"/>
      <c r="AF463" s="318"/>
      <c r="AG463" s="318"/>
      <c r="AH463" s="318"/>
      <c r="AI463" s="318"/>
      <c r="AJ463" s="718"/>
      <c r="AZ463" s="2"/>
      <c r="BA463" s="2"/>
      <c r="BB463" s="2"/>
      <c r="BC463" s="2"/>
    </row>
    <row r="464" spans="1:55" ht="12.9" customHeight="1">
      <c r="A464" s="2"/>
      <c r="B464" s="2"/>
      <c r="C464" s="2"/>
      <c r="D464" s="98" t="s">
        <v>1306</v>
      </c>
      <c r="E464" s="98"/>
      <c r="F464" s="98"/>
      <c r="G464" s="98"/>
      <c r="H464" s="98"/>
      <c r="I464" s="98"/>
      <c r="J464" s="98"/>
      <c r="K464" s="98"/>
      <c r="L464" s="98"/>
      <c r="M464" s="98"/>
      <c r="N464" s="98"/>
      <c r="O464" s="98"/>
      <c r="P464" s="98"/>
      <c r="Q464" s="98"/>
      <c r="R464" s="98"/>
      <c r="S464" s="98"/>
      <c r="T464" s="98"/>
      <c r="U464" s="98"/>
      <c r="V464" s="98"/>
      <c r="W464" s="98"/>
      <c r="X464" s="98"/>
      <c r="Y464" s="98"/>
      <c r="Z464" s="98"/>
      <c r="AA464" s="98"/>
      <c r="AB464" s="98"/>
      <c r="AC464" s="98"/>
      <c r="AD464" s="318"/>
      <c r="AE464" s="318"/>
      <c r="AF464" s="318"/>
      <c r="AG464" s="318"/>
      <c r="AH464" s="318"/>
      <c r="AI464" s="318"/>
      <c r="AJ464" s="718"/>
      <c r="AZ464" s="2"/>
      <c r="BA464" s="2"/>
      <c r="BB464" s="2"/>
      <c r="BC464" s="2"/>
    </row>
    <row r="465" spans="1:55" ht="12.9" customHeight="1">
      <c r="A465" s="2"/>
      <c r="B465" s="2"/>
      <c r="C465" s="2"/>
      <c r="D465" s="1332" t="s">
        <v>1307</v>
      </c>
      <c r="E465" s="1333"/>
      <c r="F465" s="1333"/>
      <c r="G465" s="1333"/>
      <c r="H465" s="1333"/>
      <c r="I465" s="1333"/>
      <c r="J465" s="1333"/>
      <c r="K465" s="1333"/>
      <c r="L465" s="1333"/>
      <c r="M465" s="1333"/>
      <c r="N465" s="1333"/>
      <c r="O465" s="1333"/>
      <c r="P465" s="1333"/>
      <c r="Q465" s="1333"/>
      <c r="R465" s="1333"/>
      <c r="S465" s="1333"/>
      <c r="T465" s="1333"/>
      <c r="U465" s="1333"/>
      <c r="V465" s="1334"/>
      <c r="W465" s="1347">
        <v>0</v>
      </c>
      <c r="X465" s="1348"/>
      <c r="Y465" s="1349"/>
      <c r="Z465" s="98"/>
      <c r="AA465" s="98"/>
      <c r="AB465" s="98"/>
      <c r="AC465" s="98"/>
      <c r="AD465" s="318"/>
      <c r="AE465" s="318"/>
      <c r="AF465" s="318"/>
      <c r="AG465" s="318"/>
      <c r="AH465" s="318"/>
      <c r="AI465" s="318"/>
      <c r="AJ465" s="718"/>
      <c r="AZ465" s="2"/>
      <c r="BA465" s="2"/>
      <c r="BB465" s="2"/>
      <c r="BC465" s="2"/>
    </row>
    <row r="466" spans="1:55" ht="12.9" customHeight="1">
      <c r="A466" s="2"/>
      <c r="B466" s="2"/>
      <c r="C466" s="2"/>
      <c r="D466" s="1332" t="s">
        <v>1308</v>
      </c>
      <c r="E466" s="1333"/>
      <c r="F466" s="1333"/>
      <c r="G466" s="1333"/>
      <c r="H466" s="1333"/>
      <c r="I466" s="1333"/>
      <c r="J466" s="1333"/>
      <c r="K466" s="1333"/>
      <c r="L466" s="1333"/>
      <c r="M466" s="1333"/>
      <c r="N466" s="1333"/>
      <c r="O466" s="1333"/>
      <c r="P466" s="1333"/>
      <c r="Q466" s="1333"/>
      <c r="R466" s="1333"/>
      <c r="S466" s="1333"/>
      <c r="T466" s="1333"/>
      <c r="U466" s="1333"/>
      <c r="V466" s="1334"/>
      <c r="W466" s="1347">
        <v>0</v>
      </c>
      <c r="X466" s="1348"/>
      <c r="Y466" s="1349"/>
      <c r="Z466" s="98"/>
      <c r="AA466" s="98"/>
      <c r="AB466" s="98"/>
      <c r="AC466" s="98"/>
      <c r="AD466" s="318"/>
      <c r="AE466" s="318"/>
      <c r="AF466" s="318"/>
      <c r="AG466" s="318"/>
      <c r="AH466" s="318"/>
      <c r="AI466" s="318"/>
      <c r="AJ466" s="718"/>
      <c r="AZ466" s="2"/>
      <c r="BA466" s="2"/>
      <c r="BB466" s="2"/>
      <c r="BC466" s="2"/>
    </row>
    <row r="467" spans="1:55" ht="12.9" customHeight="1">
      <c r="A467" s="2"/>
      <c r="B467" s="2"/>
      <c r="C467" s="2"/>
      <c r="D467" s="1332" t="s">
        <v>1309</v>
      </c>
      <c r="E467" s="1333"/>
      <c r="F467" s="1333"/>
      <c r="G467" s="1333"/>
      <c r="H467" s="1333"/>
      <c r="I467" s="1333"/>
      <c r="J467" s="1333"/>
      <c r="K467" s="1333"/>
      <c r="L467" s="1333"/>
      <c r="M467" s="1333"/>
      <c r="N467" s="1333"/>
      <c r="O467" s="1333"/>
      <c r="P467" s="1333"/>
      <c r="Q467" s="1333"/>
      <c r="R467" s="1333"/>
      <c r="S467" s="1333"/>
      <c r="T467" s="1333"/>
      <c r="U467" s="1333"/>
      <c r="V467" s="1334"/>
      <c r="W467" s="1347">
        <v>0</v>
      </c>
      <c r="X467" s="1348"/>
      <c r="Y467" s="1349"/>
      <c r="Z467" s="98"/>
      <c r="AA467" s="98"/>
      <c r="AB467" s="98"/>
      <c r="AC467" s="98"/>
      <c r="AD467" s="318"/>
      <c r="AE467" s="318"/>
      <c r="AF467" s="318"/>
      <c r="AG467" s="318"/>
      <c r="AH467" s="318"/>
      <c r="AI467" s="318"/>
      <c r="AJ467" s="718"/>
      <c r="AZ467" s="2"/>
      <c r="BA467" s="2"/>
      <c r="BB467" s="2"/>
      <c r="BC467" s="2"/>
    </row>
    <row r="468" spans="1:55" ht="12.9" customHeight="1">
      <c r="A468" s="2"/>
      <c r="B468" s="2"/>
      <c r="C468" s="2"/>
      <c r="D468" s="1332" t="s">
        <v>1310</v>
      </c>
      <c r="E468" s="1333"/>
      <c r="F468" s="1333"/>
      <c r="G468" s="1333"/>
      <c r="H468" s="1333"/>
      <c r="I468" s="1333"/>
      <c r="J468" s="1333"/>
      <c r="K468" s="1333"/>
      <c r="L468" s="1333"/>
      <c r="M468" s="1333"/>
      <c r="N468" s="1333"/>
      <c r="O468" s="1333"/>
      <c r="P468" s="1333"/>
      <c r="Q468" s="1333"/>
      <c r="R468" s="1333"/>
      <c r="S468" s="1333"/>
      <c r="T468" s="1333"/>
      <c r="U468" s="1333"/>
      <c r="V468" s="1334"/>
      <c r="W468" s="1347">
        <v>0</v>
      </c>
      <c r="X468" s="1348"/>
      <c r="Y468" s="1349"/>
      <c r="Z468" s="98"/>
      <c r="AA468" s="98"/>
      <c r="AB468" s="98"/>
      <c r="AC468" s="98"/>
      <c r="AD468" s="318"/>
      <c r="AE468" s="318"/>
      <c r="AF468" s="318"/>
      <c r="AG468" s="318"/>
      <c r="AH468" s="318"/>
      <c r="AI468" s="318"/>
      <c r="AJ468" s="718"/>
      <c r="AZ468" s="2"/>
      <c r="BA468" s="2"/>
      <c r="BB468" s="2"/>
      <c r="BC468" s="2"/>
    </row>
    <row r="469" spans="1:55" ht="12.9" customHeight="1">
      <c r="A469" s="2"/>
      <c r="B469" s="2"/>
      <c r="C469" s="2"/>
      <c r="D469" s="1332" t="s">
        <v>1311</v>
      </c>
      <c r="E469" s="1333"/>
      <c r="F469" s="1333"/>
      <c r="G469" s="1333"/>
      <c r="H469" s="1333"/>
      <c r="I469" s="1333"/>
      <c r="J469" s="1333"/>
      <c r="K469" s="1333"/>
      <c r="L469" s="1333"/>
      <c r="M469" s="1333"/>
      <c r="N469" s="1333"/>
      <c r="O469" s="1333"/>
      <c r="P469" s="1333"/>
      <c r="Q469" s="1333"/>
      <c r="R469" s="1333"/>
      <c r="S469" s="1333"/>
      <c r="T469" s="1333"/>
      <c r="U469" s="1333"/>
      <c r="V469" s="1334"/>
      <c r="W469" s="1347">
        <v>0</v>
      </c>
      <c r="X469" s="1348"/>
      <c r="Y469" s="1349"/>
      <c r="Z469" s="98"/>
      <c r="AA469" s="98"/>
      <c r="AB469" s="98"/>
      <c r="AC469" s="98"/>
      <c r="AD469" s="318"/>
      <c r="AE469" s="318"/>
      <c r="AF469" s="318"/>
      <c r="AG469" s="318"/>
      <c r="AH469" s="318"/>
      <c r="AI469" s="318"/>
      <c r="AJ469" s="718"/>
      <c r="AZ469" s="2"/>
      <c r="BA469" s="2" t="str">
        <f>N591</f>
        <v>Yes</v>
      </c>
      <c r="BB469" s="2"/>
      <c r="BC469" s="2"/>
    </row>
    <row r="470" spans="1:55" ht="12.9" customHeight="1">
      <c r="A470" s="2"/>
      <c r="B470" s="2"/>
      <c r="C470" s="2"/>
      <c r="D470" s="1332" t="s">
        <v>1312</v>
      </c>
      <c r="E470" s="1333"/>
      <c r="F470" s="1333"/>
      <c r="G470" s="1333"/>
      <c r="H470" s="1333"/>
      <c r="I470" s="1333"/>
      <c r="J470" s="1333"/>
      <c r="K470" s="1333"/>
      <c r="L470" s="1333"/>
      <c r="M470" s="1333"/>
      <c r="N470" s="1333"/>
      <c r="O470" s="1333"/>
      <c r="P470" s="1333"/>
      <c r="Q470" s="1333"/>
      <c r="R470" s="1333"/>
      <c r="S470" s="1333"/>
      <c r="T470" s="1333"/>
      <c r="U470" s="1333"/>
      <c r="V470" s="1334"/>
      <c r="W470" s="1347">
        <v>0</v>
      </c>
      <c r="X470" s="1348"/>
      <c r="Y470" s="1349"/>
      <c r="Z470" s="98"/>
      <c r="AA470" s="98"/>
      <c r="AB470" s="98"/>
      <c r="AC470" s="98"/>
      <c r="AD470" s="318"/>
      <c r="AE470" s="318"/>
      <c r="AF470" s="318"/>
      <c r="AG470" s="318"/>
      <c r="AH470" s="318"/>
      <c r="AI470" s="318"/>
      <c r="AJ470" s="718"/>
      <c r="AZ470" s="2"/>
      <c r="BA470" s="2" t="str">
        <f>AG591</f>
        <v>Yes</v>
      </c>
      <c r="BB470" s="2"/>
      <c r="BC470" s="2"/>
    </row>
    <row r="471" spans="1:55" ht="12.9" customHeight="1">
      <c r="A471" s="2"/>
      <c r="B471" s="2"/>
      <c r="C471" s="2"/>
      <c r="D471" s="1332" t="s">
        <v>1313</v>
      </c>
      <c r="E471" s="1333"/>
      <c r="F471" s="1333"/>
      <c r="G471" s="1333"/>
      <c r="H471" s="1333"/>
      <c r="I471" s="1333"/>
      <c r="J471" s="1333"/>
      <c r="K471" s="1333"/>
      <c r="L471" s="1333"/>
      <c r="M471" s="1333"/>
      <c r="N471" s="1333"/>
      <c r="O471" s="1333"/>
      <c r="P471" s="1333"/>
      <c r="Q471" s="1333"/>
      <c r="R471" s="1333"/>
      <c r="S471" s="1333"/>
      <c r="T471" s="1333"/>
      <c r="U471" s="1333"/>
      <c r="V471" s="1334"/>
      <c r="W471" s="1347">
        <v>0</v>
      </c>
      <c r="X471" s="1348"/>
      <c r="Y471" s="1349"/>
      <c r="Z471" s="98"/>
      <c r="AA471" s="98"/>
      <c r="AB471" s="98"/>
      <c r="AC471" s="98"/>
      <c r="AD471" s="318"/>
      <c r="AE471" s="318"/>
      <c r="AF471" s="318"/>
      <c r="AG471" s="318"/>
      <c r="AH471" s="318"/>
      <c r="AI471" s="318"/>
      <c r="AJ471" s="718"/>
      <c r="AZ471" s="2"/>
      <c r="BA471" s="2"/>
      <c r="BB471" s="2"/>
      <c r="BC471" s="2"/>
    </row>
    <row r="472" spans="1:55" ht="12.9" customHeight="1">
      <c r="A472" s="2"/>
      <c r="B472" s="2"/>
      <c r="C472" s="2"/>
      <c r="D472" s="1332" t="s">
        <v>1314</v>
      </c>
      <c r="E472" s="1333"/>
      <c r="F472" s="1333"/>
      <c r="G472" s="1333"/>
      <c r="H472" s="1333"/>
      <c r="I472" s="1333"/>
      <c r="J472" s="1333"/>
      <c r="K472" s="1333"/>
      <c r="L472" s="1333"/>
      <c r="M472" s="1333"/>
      <c r="N472" s="1333"/>
      <c r="O472" s="1333"/>
      <c r="P472" s="1333"/>
      <c r="Q472" s="1333"/>
      <c r="R472" s="1333"/>
      <c r="S472" s="1333"/>
      <c r="T472" s="1333"/>
      <c r="U472" s="1333"/>
      <c r="V472" s="1334"/>
      <c r="W472" s="1347">
        <v>0</v>
      </c>
      <c r="X472" s="1348"/>
      <c r="Y472" s="1349"/>
      <c r="Z472" s="98"/>
      <c r="AA472" s="98"/>
      <c r="AB472" s="98"/>
      <c r="AC472" s="98"/>
      <c r="AD472" s="318"/>
      <c r="AE472" s="318"/>
      <c r="AF472" s="318"/>
      <c r="AG472" s="318"/>
      <c r="AH472" s="318"/>
      <c r="AI472" s="318"/>
      <c r="AJ472" s="718"/>
      <c r="AZ472" s="2"/>
      <c r="BA472" s="2"/>
      <c r="BB472" s="2"/>
      <c r="BC472" s="2"/>
    </row>
    <row r="473" spans="1:55" ht="12.9" customHeight="1">
      <c r="A473" s="2"/>
      <c r="B473" s="2"/>
      <c r="C473" s="2"/>
      <c r="D473" s="1332" t="s">
        <v>1315</v>
      </c>
      <c r="E473" s="1333"/>
      <c r="F473" s="1333"/>
      <c r="G473" s="1333"/>
      <c r="H473" s="1333"/>
      <c r="I473" s="1333"/>
      <c r="J473" s="1333"/>
      <c r="K473" s="1333"/>
      <c r="L473" s="1333"/>
      <c r="M473" s="1333"/>
      <c r="N473" s="1333"/>
      <c r="O473" s="1333"/>
      <c r="P473" s="1333"/>
      <c r="Q473" s="1333"/>
      <c r="R473" s="1333"/>
      <c r="S473" s="1333"/>
      <c r="T473" s="1333"/>
      <c r="U473" s="1333"/>
      <c r="V473" s="1334"/>
      <c r="W473" s="1347">
        <v>0</v>
      </c>
      <c r="X473" s="1348"/>
      <c r="Y473" s="1349"/>
      <c r="Z473" s="98"/>
      <c r="AA473" s="98"/>
      <c r="AB473" s="98"/>
      <c r="AC473" s="98"/>
      <c r="AD473" s="318"/>
      <c r="AE473" s="318"/>
      <c r="AF473" s="318"/>
      <c r="AG473" s="318"/>
      <c r="AH473" s="318"/>
      <c r="AI473" s="318"/>
      <c r="AJ473" s="718"/>
      <c r="AZ473" s="2"/>
      <c r="BA473" s="2"/>
      <c r="BB473" s="2"/>
      <c r="BC473" s="2"/>
    </row>
    <row r="474" spans="1:55" ht="12.9" customHeight="1">
      <c r="A474" s="2"/>
      <c r="B474" s="2"/>
      <c r="C474" s="2"/>
      <c r="D474" s="993" t="s">
        <v>233</v>
      </c>
      <c r="E474" s="994"/>
      <c r="F474" s="995"/>
      <c r="G474" s="1617" t="s">
        <v>936</v>
      </c>
      <c r="H474" s="1618"/>
      <c r="I474" s="1618"/>
      <c r="J474" s="1618"/>
      <c r="K474" s="1618"/>
      <c r="L474" s="1618"/>
      <c r="M474" s="1618"/>
      <c r="N474" s="1618"/>
      <c r="O474" s="1618"/>
      <c r="P474" s="1618"/>
      <c r="Q474" s="1618"/>
      <c r="R474" s="1618"/>
      <c r="S474" s="1618"/>
      <c r="T474" s="1618"/>
      <c r="U474" s="1618"/>
      <c r="V474" s="1619"/>
      <c r="W474" s="1347">
        <v>128</v>
      </c>
      <c r="X474" s="1348"/>
      <c r="Y474" s="1349"/>
      <c r="Z474" s="98"/>
      <c r="AA474" s="98"/>
      <c r="AB474" s="98"/>
      <c r="AC474" s="98"/>
      <c r="AD474" s="318"/>
      <c r="AE474" s="318"/>
      <c r="AF474" s="318"/>
      <c r="AG474" s="318"/>
      <c r="AH474" s="318"/>
      <c r="AI474" s="318"/>
      <c r="AJ474" s="718"/>
      <c r="AZ474" s="2"/>
      <c r="BA474" s="2"/>
      <c r="BB474" s="2"/>
      <c r="BC474" s="2"/>
    </row>
    <row r="475" spans="1:55" ht="12.9" customHeight="1">
      <c r="A475" s="2"/>
      <c r="B475" s="2"/>
      <c r="C475" s="2"/>
      <c r="D475" s="996" t="s">
        <v>1316</v>
      </c>
      <c r="E475" s="997"/>
      <c r="F475" s="997"/>
      <c r="G475" s="98"/>
      <c r="H475" s="98"/>
      <c r="I475" s="98"/>
      <c r="J475" s="98"/>
      <c r="K475" s="98"/>
      <c r="L475" s="98"/>
      <c r="M475" s="98"/>
      <c r="N475" s="98"/>
      <c r="O475" s="98"/>
      <c r="P475" s="98"/>
      <c r="Q475" s="98"/>
      <c r="R475" s="98"/>
      <c r="S475" s="98"/>
      <c r="T475" s="98"/>
      <c r="U475" s="98"/>
      <c r="V475" s="98"/>
      <c r="W475" s="998"/>
      <c r="X475" s="998"/>
      <c r="Y475" s="999"/>
      <c r="Z475" s="98"/>
      <c r="AA475" s="98"/>
      <c r="AB475" s="98"/>
      <c r="AC475" s="98"/>
      <c r="AD475" s="318"/>
      <c r="AE475" s="318"/>
      <c r="AF475" s="318"/>
      <c r="AG475" s="318"/>
      <c r="AH475" s="318"/>
      <c r="AI475" s="318"/>
      <c r="AJ475" s="718"/>
      <c r="AZ475" s="2"/>
      <c r="BA475" s="2"/>
      <c r="BB475" s="2"/>
      <c r="BC475" s="2"/>
    </row>
    <row r="476" spans="1:55" ht="12.9" customHeight="1">
      <c r="A476" s="2"/>
      <c r="B476" s="2"/>
      <c r="C476" s="2"/>
      <c r="D476" s="1158" t="s">
        <v>1317</v>
      </c>
      <c r="E476" s="1147"/>
      <c r="F476" s="1147"/>
      <c r="G476" s="1147"/>
      <c r="H476" s="1147"/>
      <c r="I476" s="1147"/>
      <c r="J476" s="1147"/>
      <c r="K476" s="1147"/>
      <c r="L476" s="1147"/>
      <c r="M476" s="1147"/>
      <c r="N476" s="1147"/>
      <c r="O476" s="1147"/>
      <c r="P476" s="1147"/>
      <c r="Q476" s="1147"/>
      <c r="R476" s="1147"/>
      <c r="S476" s="1147"/>
      <c r="T476" s="1147"/>
      <c r="U476" s="1147"/>
      <c r="V476" s="1147"/>
      <c r="W476" s="1000"/>
      <c r="X476" s="1000"/>
      <c r="Y476" s="1001"/>
      <c r="Z476" s="98"/>
      <c r="AA476" s="98"/>
      <c r="AB476" s="98"/>
      <c r="AC476" s="98"/>
      <c r="AD476" s="318"/>
      <c r="AE476" s="318"/>
      <c r="AF476" s="318"/>
      <c r="AG476" s="318"/>
      <c r="AH476" s="318"/>
      <c r="AI476" s="318"/>
      <c r="AJ476" s="718"/>
      <c r="AZ476" s="2"/>
      <c r="BA476" s="2"/>
      <c r="BB476" s="2"/>
      <c r="BC476" s="2"/>
    </row>
    <row r="477" spans="1:55" ht="12.9" customHeight="1">
      <c r="A477" s="2"/>
      <c r="B477" s="2"/>
      <c r="C477" s="2"/>
      <c r="D477" s="1158"/>
      <c r="E477" s="1147"/>
      <c r="F477" s="1147"/>
      <c r="G477" s="1147"/>
      <c r="H477" s="1147"/>
      <c r="I477" s="1147"/>
      <c r="J477" s="1147"/>
      <c r="K477" s="1147"/>
      <c r="L477" s="1147"/>
      <c r="M477" s="1147"/>
      <c r="N477" s="1147"/>
      <c r="O477" s="1147"/>
      <c r="P477" s="1147"/>
      <c r="Q477" s="1147"/>
      <c r="R477" s="1147"/>
      <c r="S477" s="1147"/>
      <c r="T477" s="1147"/>
      <c r="U477" s="1147"/>
      <c r="V477" s="1147"/>
      <c r="W477" s="1000"/>
      <c r="X477" s="1000"/>
      <c r="Y477" s="1001"/>
      <c r="Z477" s="98"/>
      <c r="AA477" s="98"/>
      <c r="AB477" s="98"/>
      <c r="AC477" s="98"/>
      <c r="AD477" s="318"/>
      <c r="AE477" s="318"/>
      <c r="AF477" s="318"/>
      <c r="AG477" s="318"/>
      <c r="AH477" s="318"/>
      <c r="AI477" s="318"/>
      <c r="AJ477" s="718"/>
      <c r="AZ477" s="2"/>
      <c r="BA477" s="2"/>
      <c r="BB477" s="2"/>
      <c r="BC477" s="2"/>
    </row>
    <row r="478" spans="1:55" ht="12.9" customHeight="1">
      <c r="A478" s="2"/>
      <c r="B478" s="2"/>
      <c r="C478" s="2"/>
      <c r="D478" s="1158"/>
      <c r="E478" s="1147"/>
      <c r="F478" s="1147"/>
      <c r="G478" s="1147"/>
      <c r="H478" s="1147"/>
      <c r="I478" s="1147"/>
      <c r="J478" s="1147"/>
      <c r="K478" s="1147"/>
      <c r="L478" s="1147"/>
      <c r="M478" s="1147"/>
      <c r="N478" s="1147"/>
      <c r="O478" s="1147"/>
      <c r="P478" s="1147"/>
      <c r="Q478" s="1147"/>
      <c r="R478" s="1147"/>
      <c r="S478" s="1147"/>
      <c r="T478" s="1147"/>
      <c r="U478" s="1147"/>
      <c r="V478" s="1147"/>
      <c r="W478" s="1000"/>
      <c r="X478" s="1000"/>
      <c r="Y478" s="1001"/>
      <c r="Z478" s="98"/>
      <c r="AA478" s="98"/>
      <c r="AB478" s="98"/>
      <c r="AC478" s="98"/>
      <c r="AD478" s="318"/>
      <c r="AE478" s="318"/>
      <c r="AF478" s="318"/>
      <c r="AG478" s="318"/>
      <c r="AH478" s="318"/>
      <c r="AI478" s="318"/>
      <c r="AJ478" s="718"/>
      <c r="AZ478" s="2"/>
      <c r="BA478" s="2" t="str">
        <f>N599</f>
        <v>Yes</v>
      </c>
      <c r="BB478" s="2"/>
      <c r="BC478" s="2"/>
    </row>
    <row r="479" spans="1:55" ht="12.9" customHeight="1">
      <c r="AU479" s="54"/>
      <c r="AV479" s="54"/>
      <c r="AW479" s="54"/>
      <c r="AX479" s="54"/>
      <c r="AY479" s="54"/>
      <c r="AZ479" s="2"/>
      <c r="BA479" s="2" t="str">
        <f>AG599</f>
        <v>No</v>
      </c>
      <c r="BB479" s="2"/>
      <c r="BC479" s="2"/>
    </row>
    <row r="480" spans="1:55" ht="12.9" customHeight="1">
      <c r="A480" s="1491" t="s">
        <v>1318</v>
      </c>
      <c r="B480" s="1491"/>
      <c r="C480" s="1491"/>
      <c r="D480" s="1491"/>
      <c r="E480" s="1491"/>
      <c r="F480" s="1491"/>
      <c r="G480" s="1491"/>
      <c r="H480" s="1491"/>
      <c r="I480" s="1491"/>
      <c r="J480" s="1491"/>
      <c r="K480" s="1491"/>
      <c r="L480" s="1491"/>
      <c r="M480" s="1491"/>
      <c r="N480" s="1491"/>
      <c r="O480" s="1491"/>
      <c r="P480" s="1491"/>
      <c r="Q480" s="1491"/>
      <c r="R480" s="1491"/>
      <c r="S480" s="1491"/>
      <c r="T480" s="1491"/>
      <c r="U480" s="1491"/>
      <c r="V480" s="1491"/>
      <c r="W480" s="1491"/>
      <c r="X480" s="1491"/>
      <c r="Y480" s="1491"/>
      <c r="Z480" s="1491"/>
      <c r="AA480" s="1491"/>
      <c r="AB480" s="1491"/>
      <c r="AC480" s="1491"/>
      <c r="AD480" s="1491"/>
      <c r="AE480" s="1491"/>
      <c r="AF480" s="1491"/>
      <c r="AG480" s="1491"/>
      <c r="AH480" s="1491"/>
      <c r="AI480" s="1491"/>
      <c r="AJ480" s="1491"/>
      <c r="AK480" s="1491"/>
      <c r="AL480" s="1491"/>
      <c r="AM480" s="1491"/>
      <c r="AN480" s="1491"/>
      <c r="AO480" s="1491"/>
      <c r="AP480" s="1491"/>
      <c r="AQ480" s="1491"/>
      <c r="AR480" s="1491"/>
      <c r="AS480" s="1491"/>
      <c r="AT480" s="1491"/>
      <c r="AU480" s="54"/>
      <c r="AV480" s="54"/>
      <c r="AW480" s="54"/>
      <c r="AX480" s="54"/>
      <c r="AY480" s="54"/>
      <c r="AZ480" s="2"/>
      <c r="BB480" s="2"/>
      <c r="BC480" s="2"/>
    </row>
    <row r="481" spans="1:55" ht="12.9" customHeight="1">
      <c r="A481" s="1491"/>
      <c r="B481" s="1491"/>
      <c r="C481" s="1491"/>
      <c r="D481" s="1491"/>
      <c r="E481" s="1491"/>
      <c r="F481" s="1491"/>
      <c r="G481" s="1491"/>
      <c r="H481" s="1491"/>
      <c r="I481" s="1491"/>
      <c r="J481" s="1491"/>
      <c r="K481" s="1491"/>
      <c r="L481" s="1491"/>
      <c r="M481" s="1491"/>
      <c r="N481" s="1491"/>
      <c r="O481" s="1491"/>
      <c r="P481" s="1491"/>
      <c r="Q481" s="1491"/>
      <c r="R481" s="1491"/>
      <c r="S481" s="1491"/>
      <c r="T481" s="1491"/>
      <c r="U481" s="1491"/>
      <c r="V481" s="1491"/>
      <c r="W481" s="1491"/>
      <c r="X481" s="1491"/>
      <c r="Y481" s="1491"/>
      <c r="Z481" s="1491"/>
      <c r="AA481" s="1491"/>
      <c r="AB481" s="1491"/>
      <c r="AC481" s="1491"/>
      <c r="AD481" s="1491"/>
      <c r="AE481" s="1491"/>
      <c r="AF481" s="1491"/>
      <c r="AG481" s="1491"/>
      <c r="AH481" s="1491"/>
      <c r="AI481" s="1491"/>
      <c r="AJ481" s="1491"/>
      <c r="AK481" s="1491"/>
      <c r="AL481" s="1491"/>
      <c r="AM481" s="1491"/>
      <c r="AN481" s="1491"/>
      <c r="AO481" s="1491"/>
      <c r="AP481" s="1491"/>
      <c r="AQ481" s="1491"/>
      <c r="AR481" s="1491"/>
      <c r="AS481" s="1491"/>
      <c r="AT481" s="1491"/>
      <c r="AZ481" s="2"/>
      <c r="BB481" s="2"/>
      <c r="BC481" s="2"/>
    </row>
    <row r="482" spans="1:55" ht="12.9" customHeight="1">
      <c r="AZ482" s="2"/>
      <c r="BB482" s="2"/>
      <c r="BC482" s="2"/>
    </row>
    <row r="483" spans="1:55" ht="12.9" customHeight="1">
      <c r="A483" s="1" t="s">
        <v>870</v>
      </c>
      <c r="C483" s="1" t="s">
        <v>165</v>
      </c>
      <c r="AZ483" s="2"/>
      <c r="BB483" s="2"/>
      <c r="BC483" s="2"/>
    </row>
    <row r="484" spans="1:55" ht="12.9" customHeight="1">
      <c r="AZ484" s="2"/>
      <c r="BB484" s="2"/>
      <c r="BC484" s="2"/>
    </row>
    <row r="485" spans="1:55" ht="12.9" customHeight="1">
      <c r="B485" s="965"/>
      <c r="C485" s="4"/>
      <c r="D485" s="4"/>
      <c r="E485" s="4"/>
      <c r="F485" s="4"/>
      <c r="G485" s="4"/>
      <c r="H485" s="4"/>
      <c r="I485" s="4"/>
      <c r="J485" s="4"/>
      <c r="K485" s="4"/>
      <c r="L485" s="4"/>
      <c r="M485" s="4"/>
      <c r="N485" s="4"/>
      <c r="O485" s="4"/>
      <c r="P485" s="966"/>
      <c r="Q485" s="1342" t="s">
        <v>1319</v>
      </c>
      <c r="R485" s="1343"/>
      <c r="S485" s="1343"/>
      <c r="T485" s="1343"/>
      <c r="U485" s="1343"/>
      <c r="V485" s="1343"/>
      <c r="W485" s="1343"/>
      <c r="X485" s="1343"/>
      <c r="Y485" s="1343"/>
      <c r="Z485" s="1343"/>
      <c r="AA485" s="1343"/>
      <c r="AB485" s="1343"/>
      <c r="AC485" s="1343"/>
      <c r="AD485" s="1343"/>
      <c r="AE485" s="1343"/>
      <c r="AF485" s="1343"/>
      <c r="AG485" s="1343"/>
      <c r="AH485" s="1343"/>
      <c r="AI485" s="1343"/>
      <c r="AJ485" s="1343"/>
      <c r="AK485" s="1344"/>
      <c r="AZ485" s="2"/>
      <c r="BB485" s="2"/>
      <c r="BC485" s="2"/>
    </row>
    <row r="486" spans="1:55" ht="12.9" customHeight="1">
      <c r="B486" s="965" t="s">
        <v>1320</v>
      </c>
      <c r="C486" s="4"/>
      <c r="D486" s="4"/>
      <c r="E486" s="4"/>
      <c r="F486" s="4"/>
      <c r="G486" s="4"/>
      <c r="H486" s="4"/>
      <c r="I486" s="4"/>
      <c r="J486" s="4"/>
      <c r="K486" s="4"/>
      <c r="L486" s="4"/>
      <c r="M486" s="4"/>
      <c r="N486" s="4"/>
      <c r="O486" s="4"/>
      <c r="P486" s="4"/>
      <c r="Q486" s="1327" t="s">
        <v>1321</v>
      </c>
      <c r="R486" s="1328"/>
      <c r="S486" s="1328"/>
      <c r="T486" s="1328"/>
      <c r="U486" s="1328"/>
      <c r="V486" s="1328"/>
      <c r="W486" s="1328"/>
      <c r="X486" s="1328"/>
      <c r="Y486" s="1328"/>
      <c r="Z486" s="1328"/>
      <c r="AA486" s="1328"/>
      <c r="AB486" s="1328"/>
      <c r="AC486" s="1328"/>
      <c r="AD486" s="1328"/>
      <c r="AE486" s="1328"/>
      <c r="AF486" s="1328"/>
      <c r="AG486" s="1328"/>
      <c r="AH486" s="1328"/>
      <c r="AI486" s="1328"/>
      <c r="AJ486" s="1328"/>
      <c r="AK486" s="1329"/>
      <c r="AZ486" s="2"/>
      <c r="BB486" s="2"/>
      <c r="BC486" s="2"/>
    </row>
    <row r="487" spans="1:55" ht="12.9" customHeight="1">
      <c r="B487" s="965" t="s">
        <v>1322</v>
      </c>
      <c r="C487" s="4"/>
      <c r="D487" s="4"/>
      <c r="E487" s="4"/>
      <c r="F487" s="4"/>
      <c r="G487" s="4"/>
      <c r="H487" s="4"/>
      <c r="I487" s="4"/>
      <c r="J487" s="4"/>
      <c r="K487" s="4"/>
      <c r="L487" s="4"/>
      <c r="M487" s="4"/>
      <c r="N487" s="4"/>
      <c r="O487" s="4"/>
      <c r="P487" s="4"/>
      <c r="Q487" s="1327" t="s">
        <v>1323</v>
      </c>
      <c r="R487" s="1328"/>
      <c r="S487" s="1328"/>
      <c r="T487" s="1328"/>
      <c r="U487" s="1328"/>
      <c r="V487" s="1328"/>
      <c r="W487" s="1328"/>
      <c r="X487" s="1328"/>
      <c r="Y487" s="1328"/>
      <c r="Z487" s="1328"/>
      <c r="AA487" s="1328"/>
      <c r="AB487" s="1328"/>
      <c r="AC487" s="1328"/>
      <c r="AD487" s="1328"/>
      <c r="AE487" s="1328"/>
      <c r="AF487" s="1328"/>
      <c r="AG487" s="1328"/>
      <c r="AH487" s="1328"/>
      <c r="AI487" s="1328"/>
      <c r="AJ487" s="1328"/>
      <c r="AK487" s="1329"/>
      <c r="AZ487" s="2"/>
      <c r="BB487" s="2"/>
      <c r="BC487" s="2"/>
    </row>
    <row r="488" spans="1:55" ht="12.9" customHeight="1">
      <c r="B488" s="965" t="s">
        <v>1324</v>
      </c>
      <c r="C488" s="4"/>
      <c r="D488" s="4"/>
      <c r="E488" s="4"/>
      <c r="F488" s="4"/>
      <c r="G488" s="4"/>
      <c r="H488" s="4"/>
      <c r="I488" s="4"/>
      <c r="J488" s="4"/>
      <c r="K488" s="4"/>
      <c r="L488" s="4"/>
      <c r="M488" s="4"/>
      <c r="N488" s="4"/>
      <c r="O488" s="4"/>
      <c r="P488" s="4"/>
      <c r="Q488" s="1327" t="s">
        <v>1325</v>
      </c>
      <c r="R488" s="1328"/>
      <c r="S488" s="1328"/>
      <c r="T488" s="1328"/>
      <c r="U488" s="1328"/>
      <c r="V488" s="1328"/>
      <c r="W488" s="1328"/>
      <c r="X488" s="1328"/>
      <c r="Y488" s="1328"/>
      <c r="Z488" s="1328"/>
      <c r="AA488" s="1328"/>
      <c r="AB488" s="1328"/>
      <c r="AC488" s="1328"/>
      <c r="AD488" s="1328"/>
      <c r="AE488" s="1328"/>
      <c r="AF488" s="1328"/>
      <c r="AG488" s="1328"/>
      <c r="AH488" s="1328"/>
      <c r="AI488" s="1328"/>
      <c r="AJ488" s="1328"/>
      <c r="AK488" s="1329"/>
      <c r="AZ488" s="2"/>
      <c r="BA488" s="2"/>
      <c r="BB488" s="2"/>
      <c r="BC488" s="2"/>
    </row>
    <row r="489" spans="1:55" ht="12.9" customHeight="1">
      <c r="B489" s="1397" t="s">
        <v>1326</v>
      </c>
      <c r="C489" s="1398"/>
      <c r="D489" s="1398"/>
      <c r="E489" s="1398"/>
      <c r="F489" s="1398"/>
      <c r="G489" s="1398"/>
      <c r="H489" s="1398"/>
      <c r="I489" s="1398"/>
      <c r="J489" s="1398"/>
      <c r="K489" s="1398"/>
      <c r="L489" s="1398"/>
      <c r="M489" s="1398"/>
      <c r="N489" s="1398"/>
      <c r="O489" s="1398"/>
      <c r="P489" s="1399"/>
      <c r="Q489" s="1403" t="s">
        <v>843</v>
      </c>
      <c r="R489" s="1404"/>
      <c r="S489" s="1522" t="s">
        <v>1327</v>
      </c>
      <c r="T489" s="1523"/>
      <c r="U489" s="1523"/>
      <c r="V489" s="1523"/>
      <c r="W489" s="1523"/>
      <c r="X489" s="1523"/>
      <c r="Y489" s="1523"/>
      <c r="Z489" s="1523"/>
      <c r="AA489" s="1523"/>
      <c r="AB489" s="1523"/>
      <c r="AC489" s="1523"/>
      <c r="AD489" s="1523"/>
      <c r="AE489" s="1523"/>
      <c r="AF489" s="1523"/>
      <c r="AG489" s="1523"/>
      <c r="AH489" s="1523"/>
      <c r="AI489" s="1523"/>
      <c r="AJ489" s="1523"/>
      <c r="AK489" s="1524"/>
      <c r="AZ489" s="2"/>
      <c r="BA489" s="2"/>
      <c r="BB489" s="2"/>
      <c r="BC489" s="2"/>
    </row>
    <row r="490" spans="1:55" ht="12.9" customHeight="1">
      <c r="B490" s="1400"/>
      <c r="C490" s="1401"/>
      <c r="D490" s="1401"/>
      <c r="E490" s="1401"/>
      <c r="F490" s="1401"/>
      <c r="G490" s="1401"/>
      <c r="H490" s="1401"/>
      <c r="I490" s="1401"/>
      <c r="J490" s="1401"/>
      <c r="K490" s="1401"/>
      <c r="L490" s="1401"/>
      <c r="M490" s="1401"/>
      <c r="N490" s="1401"/>
      <c r="O490" s="1401"/>
      <c r="P490" s="1402"/>
      <c r="Q490" s="1405"/>
      <c r="R490" s="1406"/>
      <c r="S490" s="1525"/>
      <c r="T490" s="1482"/>
      <c r="U490" s="1482"/>
      <c r="V490" s="1482"/>
      <c r="W490" s="1482"/>
      <c r="X490" s="1482"/>
      <c r="Y490" s="1482"/>
      <c r="Z490" s="1482"/>
      <c r="AA490" s="1482"/>
      <c r="AB490" s="1482"/>
      <c r="AC490" s="1482"/>
      <c r="AD490" s="1482"/>
      <c r="AE490" s="1482"/>
      <c r="AF490" s="1482"/>
      <c r="AG490" s="1482"/>
      <c r="AH490" s="1482"/>
      <c r="AI490" s="1482"/>
      <c r="AJ490" s="1482"/>
      <c r="AK490" s="1526"/>
      <c r="AZ490" s="2"/>
      <c r="BA490" s="2"/>
      <c r="BB490" s="2"/>
      <c r="BC490" s="2"/>
    </row>
    <row r="491" spans="1:55" ht="12.9" customHeight="1">
      <c r="B491" s="657" t="s">
        <v>1328</v>
      </c>
      <c r="C491" s="1181"/>
      <c r="D491" s="1181"/>
      <c r="E491" s="1181"/>
      <c r="F491" s="1181"/>
      <c r="G491" s="1181"/>
      <c r="H491" s="1181"/>
      <c r="I491" s="1181"/>
      <c r="J491" s="1181"/>
      <c r="K491" s="1181"/>
      <c r="L491" s="1181"/>
      <c r="M491" s="1181"/>
      <c r="N491" s="1181"/>
      <c r="O491" s="1181"/>
      <c r="P491" s="1181"/>
      <c r="Q491" s="1335" t="s">
        <v>843</v>
      </c>
      <c r="R491" s="1336"/>
      <c r="S491" s="1336"/>
      <c r="T491" s="1336"/>
      <c r="U491" s="1336"/>
      <c r="V491" s="1336"/>
      <c r="W491" s="1336"/>
      <c r="X491" s="1336"/>
      <c r="Y491" s="1336"/>
      <c r="Z491" s="1336"/>
      <c r="AA491" s="1336"/>
      <c r="AB491" s="1336"/>
      <c r="AC491" s="1336"/>
      <c r="AD491" s="1336"/>
      <c r="AE491" s="1336"/>
      <c r="AF491" s="1336"/>
      <c r="AG491" s="1336"/>
      <c r="AH491" s="1336"/>
      <c r="AI491" s="1336"/>
      <c r="AJ491" s="1336"/>
      <c r="AK491" s="1337"/>
      <c r="AZ491" s="2"/>
      <c r="BA491" s="2"/>
      <c r="BB491" s="2"/>
      <c r="BC491" s="2"/>
    </row>
    <row r="492" spans="1:55" ht="12.9" customHeight="1">
      <c r="B492" s="965" t="s">
        <v>1329</v>
      </c>
      <c r="C492" s="4"/>
      <c r="D492" s="4"/>
      <c r="E492" s="4"/>
      <c r="F492" s="4"/>
      <c r="G492" s="4"/>
      <c r="H492" s="4"/>
      <c r="I492" s="4"/>
      <c r="J492" s="4"/>
      <c r="K492" s="4"/>
      <c r="L492" s="4"/>
      <c r="M492" s="4"/>
      <c r="N492" s="4"/>
      <c r="O492" s="4"/>
      <c r="P492" s="4"/>
      <c r="Q492" s="1327" t="s">
        <v>1330</v>
      </c>
      <c r="R492" s="1328"/>
      <c r="S492" s="1328"/>
      <c r="T492" s="1328"/>
      <c r="U492" s="1328"/>
      <c r="V492" s="1328"/>
      <c r="W492" s="1328"/>
      <c r="X492" s="1328"/>
      <c r="Y492" s="1328"/>
      <c r="Z492" s="1328"/>
      <c r="AA492" s="1328"/>
      <c r="AB492" s="1328"/>
      <c r="AC492" s="1328"/>
      <c r="AD492" s="1328"/>
      <c r="AE492" s="1328"/>
      <c r="AF492" s="1328"/>
      <c r="AG492" s="1328"/>
      <c r="AH492" s="1328"/>
      <c r="AI492" s="1328"/>
      <c r="AJ492" s="1328"/>
      <c r="AK492" s="1329"/>
      <c r="AZ492" s="2"/>
      <c r="BA492" s="2"/>
      <c r="BB492" s="2"/>
      <c r="BC492" s="2"/>
    </row>
    <row r="493" spans="1:55" ht="12.9" customHeight="1">
      <c r="B493" s="965" t="s">
        <v>1331</v>
      </c>
      <c r="C493" s="4"/>
      <c r="D493" s="4"/>
      <c r="E493" s="4"/>
      <c r="F493" s="4"/>
      <c r="G493" s="4"/>
      <c r="H493" s="4"/>
      <c r="I493" s="4"/>
      <c r="J493" s="4"/>
      <c r="K493" s="4"/>
      <c r="L493" s="4"/>
      <c r="M493" s="4"/>
      <c r="N493" s="4"/>
      <c r="O493" s="4"/>
      <c r="P493" s="4"/>
      <c r="Q493" s="1327" t="s">
        <v>1332</v>
      </c>
      <c r="R493" s="1328"/>
      <c r="S493" s="1328"/>
      <c r="T493" s="1328"/>
      <c r="U493" s="1328"/>
      <c r="V493" s="1328"/>
      <c r="W493" s="1328"/>
      <c r="X493" s="1328"/>
      <c r="Y493" s="1328"/>
      <c r="Z493" s="1328"/>
      <c r="AA493" s="1328"/>
      <c r="AB493" s="1328"/>
      <c r="AC493" s="1328"/>
      <c r="AD493" s="1328"/>
      <c r="AE493" s="1328"/>
      <c r="AF493" s="1328"/>
      <c r="AG493" s="1328"/>
      <c r="AH493" s="1328"/>
      <c r="AI493" s="1328"/>
      <c r="AJ493" s="1328"/>
      <c r="AK493" s="1329"/>
      <c r="AZ493" s="2"/>
      <c r="BA493" s="2"/>
      <c r="BB493" s="2"/>
      <c r="BC493" s="2"/>
    </row>
    <row r="494" spans="1:55" ht="12.9" customHeight="1">
      <c r="B494" s="967" t="s">
        <v>1333</v>
      </c>
      <c r="C494" s="4"/>
      <c r="D494" s="4"/>
      <c r="E494" s="4"/>
      <c r="F494" s="4"/>
      <c r="G494" s="4"/>
      <c r="H494" s="4"/>
      <c r="I494" s="4"/>
      <c r="J494" s="4"/>
      <c r="K494" s="4"/>
      <c r="L494" s="4"/>
      <c r="M494" s="4"/>
      <c r="N494" s="4"/>
      <c r="O494" s="4"/>
      <c r="P494" s="4"/>
      <c r="Q494" s="1327">
        <v>98</v>
      </c>
      <c r="R494" s="1328"/>
      <c r="S494" s="1328"/>
      <c r="T494" s="1328"/>
      <c r="U494" s="1328"/>
      <c r="V494" s="1328"/>
      <c r="W494" s="1328"/>
      <c r="X494" s="1328"/>
      <c r="Y494" s="1328"/>
      <c r="Z494" s="1328"/>
      <c r="AA494" s="1328"/>
      <c r="AB494" s="1328"/>
      <c r="AC494" s="1328"/>
      <c r="AD494" s="1328"/>
      <c r="AE494" s="1328"/>
      <c r="AF494" s="1328"/>
      <c r="AG494" s="1328"/>
      <c r="AH494" s="1328"/>
      <c r="AI494" s="1328"/>
      <c r="AJ494" s="1328"/>
      <c r="AK494" s="1329"/>
      <c r="AZ494" s="2"/>
      <c r="BA494" s="2"/>
      <c r="BB494" s="2"/>
      <c r="BC494" s="2"/>
    </row>
    <row r="495" spans="1:55" ht="12.9" customHeight="1">
      <c r="B495" s="967" t="s">
        <v>1334</v>
      </c>
      <c r="C495" s="4"/>
      <c r="D495" s="4"/>
      <c r="E495" s="4"/>
      <c r="F495" s="4"/>
      <c r="G495" s="4"/>
      <c r="H495" s="4"/>
      <c r="I495" s="4"/>
      <c r="J495" s="4"/>
      <c r="K495" s="4"/>
      <c r="L495" s="4"/>
      <c r="M495" s="1338">
        <v>0</v>
      </c>
      <c r="N495" s="1339"/>
      <c r="O495" s="1339"/>
      <c r="P495" s="1340"/>
      <c r="Q495" s="967" t="s">
        <v>1335</v>
      </c>
      <c r="R495" s="4"/>
      <c r="S495" s="4"/>
      <c r="T495" s="4"/>
      <c r="U495" s="4"/>
      <c r="V495" s="4"/>
      <c r="W495" s="4"/>
      <c r="X495" s="4"/>
      <c r="Y495" s="4"/>
      <c r="Z495" s="4"/>
      <c r="AA495" s="4"/>
      <c r="AB495" s="4"/>
      <c r="AC495" s="4"/>
      <c r="AD495" s="4"/>
      <c r="AE495" s="4"/>
      <c r="AF495" s="4"/>
      <c r="AG495" s="4"/>
      <c r="AH495" s="1338">
        <v>98</v>
      </c>
      <c r="AI495" s="1339"/>
      <c r="AJ495" s="1339"/>
      <c r="AK495" s="1340"/>
      <c r="AZ495" s="2"/>
      <c r="BA495" s="2"/>
      <c r="BB495" s="2"/>
      <c r="BC495" s="2"/>
    </row>
    <row r="496" spans="1:55" ht="12.9" customHeight="1">
      <c r="B496" s="315"/>
      <c r="Q496" s="6"/>
      <c r="R496" s="6"/>
      <c r="S496" s="6"/>
      <c r="T496" s="6"/>
      <c r="U496" s="6"/>
      <c r="V496" s="6"/>
      <c r="W496" s="6"/>
      <c r="X496" s="6"/>
      <c r="Y496" s="6"/>
      <c r="Z496" s="6"/>
      <c r="AA496" s="6"/>
      <c r="AB496" s="6"/>
      <c r="AC496" s="6"/>
      <c r="AD496" s="6"/>
      <c r="AE496" s="6"/>
      <c r="AF496" s="6"/>
      <c r="AG496" s="6"/>
      <c r="AH496" s="6"/>
      <c r="AI496" s="6"/>
      <c r="AJ496" s="6"/>
      <c r="AK496" s="6"/>
      <c r="AZ496" s="2"/>
      <c r="BA496" s="2"/>
      <c r="BB496" s="2"/>
      <c r="BC496" s="2"/>
    </row>
    <row r="497" spans="1:66" ht="12.9" customHeight="1">
      <c r="A497" s="1" t="s">
        <v>911</v>
      </c>
      <c r="C497" s="1" t="s">
        <v>167</v>
      </c>
      <c r="Q497" s="6"/>
      <c r="R497" s="6"/>
      <c r="S497" s="6"/>
      <c r="T497" s="6"/>
      <c r="U497" s="6"/>
      <c r="V497" s="6"/>
      <c r="W497" s="6"/>
      <c r="X497" s="6"/>
      <c r="Y497" s="6"/>
      <c r="Z497" s="6"/>
      <c r="AA497" s="6"/>
      <c r="AB497" s="6"/>
      <c r="AC497" s="6"/>
      <c r="AD497" s="6"/>
      <c r="AE497" s="6"/>
      <c r="AF497" s="6"/>
      <c r="AG497" s="6"/>
      <c r="AH497" s="6"/>
      <c r="AI497" s="6"/>
      <c r="AJ497" s="6"/>
      <c r="AK497" s="6"/>
      <c r="AZ497" s="2"/>
      <c r="BA497" s="2"/>
      <c r="BB497" s="2"/>
      <c r="BC497" s="2"/>
      <c r="BD497" s="2"/>
      <c r="BE497" s="2"/>
      <c r="BF497" s="2"/>
      <c r="BG497" s="2"/>
      <c r="BH497" s="2"/>
      <c r="BI497" s="2"/>
      <c r="BJ497" s="2"/>
      <c r="BK497" s="2"/>
      <c r="BL497" s="2"/>
      <c r="BM497" s="2"/>
      <c r="BN497" s="2"/>
    </row>
    <row r="498" spans="1:66" ht="12.9" customHeight="1">
      <c r="B498" s="328"/>
      <c r="C498" s="315"/>
      <c r="Q498" s="6"/>
      <c r="R498" s="6"/>
      <c r="S498" s="6"/>
      <c r="T498" s="6"/>
      <c r="U498" s="6"/>
      <c r="V498" s="6"/>
      <c r="W498" s="6"/>
      <c r="X498" s="6"/>
      <c r="Y498" s="6"/>
      <c r="Z498" s="6"/>
      <c r="AA498" s="6"/>
      <c r="AB498" s="6"/>
      <c r="AC498" s="6"/>
      <c r="AD498" s="6"/>
      <c r="AE498" s="6"/>
      <c r="AF498" s="6"/>
      <c r="AG498" s="6"/>
      <c r="AH498" s="6"/>
      <c r="AI498" s="6"/>
      <c r="AJ498" s="6"/>
      <c r="AK498" s="6"/>
      <c r="AZ498" s="2"/>
      <c r="BA498" s="2"/>
      <c r="BB498" s="2"/>
      <c r="BC498" s="2"/>
      <c r="BD498" s="2"/>
      <c r="BE498" s="2"/>
      <c r="BF498" s="2"/>
      <c r="BG498" s="2"/>
      <c r="BH498" s="2"/>
      <c r="BI498" s="2"/>
      <c r="BJ498" s="2"/>
      <c r="BK498" s="2"/>
      <c r="BL498" s="2"/>
      <c r="BM498" s="2"/>
      <c r="BN498" s="2"/>
    </row>
    <row r="499" spans="1:66" ht="12.9" customHeight="1">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342" t="s">
        <v>1336</v>
      </c>
      <c r="AD499" s="1343"/>
      <c r="AE499" s="1343"/>
      <c r="AF499" s="1343"/>
      <c r="AG499" s="1343"/>
      <c r="AH499" s="1343"/>
      <c r="AI499" s="1343"/>
      <c r="AJ499" s="1343"/>
      <c r="AK499" s="1344"/>
      <c r="AZ499" s="2"/>
      <c r="BA499" s="2"/>
      <c r="BB499" s="2"/>
      <c r="BC499" s="2"/>
      <c r="BD499" s="2"/>
      <c r="BE499" s="2"/>
      <c r="BF499" s="2"/>
      <c r="BG499" s="2"/>
      <c r="BH499" s="2"/>
      <c r="BI499" s="2"/>
      <c r="BJ499" s="2"/>
      <c r="BK499" s="2"/>
      <c r="BL499" s="2"/>
      <c r="BM499" s="2"/>
      <c r="BN499" s="2"/>
    </row>
    <row r="500" spans="1:66" ht="12.9" customHeight="1">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342" t="s">
        <v>1337</v>
      </c>
      <c r="AD500" s="1343"/>
      <c r="AE500" s="1343"/>
      <c r="AF500" s="1343"/>
      <c r="AG500" s="1179" t="s">
        <v>1338</v>
      </c>
      <c r="AH500" s="1343" t="s">
        <v>1339</v>
      </c>
      <c r="AI500" s="1343"/>
      <c r="AJ500" s="1343"/>
      <c r="AK500" s="1344"/>
      <c r="AZ500" s="2"/>
      <c r="BA500" s="2"/>
      <c r="BB500" s="2"/>
      <c r="BC500" s="2"/>
      <c r="BD500" s="2"/>
      <c r="BE500" s="2"/>
      <c r="BF500" s="2"/>
      <c r="BG500" s="2"/>
      <c r="BH500" s="2"/>
      <c r="BI500" s="2"/>
      <c r="BJ500" s="2"/>
      <c r="BK500" s="2"/>
      <c r="BL500" s="2"/>
      <c r="BM500" s="2"/>
      <c r="BN500" s="2"/>
    </row>
    <row r="501" spans="1:66" ht="12.9" customHeight="1">
      <c r="B501" s="1350" t="s">
        <v>1340</v>
      </c>
      <c r="C501" s="1351"/>
      <c r="D501" s="1351"/>
      <c r="E501" s="1351"/>
      <c r="F501" s="1351"/>
      <c r="G501" s="1351"/>
      <c r="H501" s="1352"/>
      <c r="I501" s="30" t="s">
        <v>1341</v>
      </c>
      <c r="J501" s="30"/>
      <c r="K501" s="30"/>
      <c r="L501" s="30"/>
      <c r="M501" s="30"/>
      <c r="N501" s="30"/>
      <c r="O501" s="30"/>
      <c r="P501" s="30"/>
      <c r="Q501" s="30"/>
      <c r="R501" s="30"/>
      <c r="S501" s="30"/>
      <c r="T501" s="30"/>
      <c r="U501" s="30"/>
      <c r="V501" s="30"/>
      <c r="W501" s="30"/>
      <c r="AC501" s="1345" t="s">
        <v>809</v>
      </c>
      <c r="AD501" s="1346"/>
      <c r="AE501" s="1346"/>
      <c r="AF501" s="1346"/>
      <c r="AG501" s="1150" t="s">
        <v>1338</v>
      </c>
      <c r="AH501" s="1372">
        <v>0</v>
      </c>
      <c r="AI501" s="1372"/>
      <c r="AJ501" s="1372"/>
      <c r="AK501" s="1373"/>
      <c r="AZ501" s="2"/>
      <c r="BA501" s="2"/>
      <c r="BB501" s="2"/>
      <c r="BC501" s="2"/>
      <c r="BD501" s="2"/>
      <c r="BE501" s="2"/>
      <c r="BF501" s="2"/>
      <c r="BG501" s="2"/>
      <c r="BH501" s="2"/>
      <c r="BI501" s="2"/>
      <c r="BJ501" s="2"/>
      <c r="BK501" s="2"/>
      <c r="BL501" s="2"/>
      <c r="BM501" s="2"/>
      <c r="BN501" s="2"/>
    </row>
    <row r="502" spans="1:66" ht="12.9" customHeight="1">
      <c r="B502" s="1353"/>
      <c r="C502" s="1354"/>
      <c r="D502" s="1354"/>
      <c r="E502" s="1354"/>
      <c r="F502" s="1354"/>
      <c r="G502" s="1354"/>
      <c r="H502" s="1355"/>
      <c r="I502" s="32" t="s">
        <v>1342</v>
      </c>
      <c r="J502" s="32"/>
      <c r="K502" s="32"/>
      <c r="L502" s="32"/>
      <c r="M502" s="32"/>
      <c r="N502" s="32"/>
      <c r="O502" s="32"/>
      <c r="P502" s="32"/>
      <c r="Q502" s="32"/>
      <c r="R502" s="32"/>
      <c r="S502" s="32"/>
      <c r="T502" s="32"/>
      <c r="U502" s="32"/>
      <c r="V502" s="32"/>
      <c r="W502" s="32"/>
      <c r="X502" s="32"/>
      <c r="Y502" s="32"/>
      <c r="Z502" s="32"/>
      <c r="AA502" s="32"/>
      <c r="AB502" s="32"/>
      <c r="AC502" s="1345">
        <v>3</v>
      </c>
      <c r="AD502" s="1346"/>
      <c r="AE502" s="1346"/>
      <c r="AF502" s="1346"/>
      <c r="AG502" s="1172" t="s">
        <v>1338</v>
      </c>
      <c r="AH502" s="1372">
        <v>2025</v>
      </c>
      <c r="AI502" s="1372"/>
      <c r="AJ502" s="1372"/>
      <c r="AK502" s="1373"/>
      <c r="AZ502" s="2"/>
      <c r="BA502" s="2"/>
      <c r="BB502" s="2"/>
      <c r="BC502" s="2"/>
      <c r="BD502" s="2"/>
      <c r="BE502" s="2"/>
      <c r="BF502" s="2"/>
      <c r="BG502" s="2"/>
      <c r="BH502" s="2"/>
      <c r="BI502" s="2"/>
      <c r="BJ502" s="2"/>
      <c r="BK502" s="2"/>
      <c r="BL502" s="2"/>
      <c r="BM502" s="2"/>
      <c r="BN502" s="2"/>
    </row>
    <row r="503" spans="1:66" ht="12.9" customHeight="1">
      <c r="B503" s="1350" t="s">
        <v>1343</v>
      </c>
      <c r="C503" s="1351"/>
      <c r="D503" s="1351"/>
      <c r="E503" s="1351"/>
      <c r="F503" s="1351"/>
      <c r="G503" s="1351"/>
      <c r="H503" s="1352"/>
      <c r="I503" s="30" t="s">
        <v>1344</v>
      </c>
      <c r="J503" s="30"/>
      <c r="K503" s="30"/>
      <c r="L503" s="30"/>
      <c r="M503" s="30"/>
      <c r="N503" s="30"/>
      <c r="O503" s="30"/>
      <c r="P503" s="30"/>
      <c r="Q503" s="30"/>
      <c r="R503" s="30"/>
      <c r="S503" s="30"/>
      <c r="T503" s="30"/>
      <c r="U503" s="30"/>
      <c r="V503" s="30"/>
      <c r="W503" s="30"/>
      <c r="AC503" s="1345" t="s">
        <v>809</v>
      </c>
      <c r="AD503" s="1346"/>
      <c r="AE503" s="1346"/>
      <c r="AF503" s="1346"/>
      <c r="AG503" s="1150" t="s">
        <v>1338</v>
      </c>
      <c r="AH503" s="1372"/>
      <c r="AI503" s="1372"/>
      <c r="AJ503" s="1372"/>
      <c r="AK503" s="1373"/>
      <c r="AZ503" s="2"/>
      <c r="BA503" s="2"/>
      <c r="BB503" s="2"/>
      <c r="BC503" s="2"/>
      <c r="BD503" s="2"/>
      <c r="BE503" s="2"/>
      <c r="BF503" s="2"/>
      <c r="BG503" s="2"/>
      <c r="BH503" s="2"/>
      <c r="BI503" s="2"/>
      <c r="BJ503" s="2"/>
      <c r="BK503" s="2"/>
      <c r="BL503" s="2"/>
      <c r="BM503" s="2"/>
      <c r="BN503" s="2"/>
    </row>
    <row r="504" spans="1:66" ht="12.9" customHeight="1">
      <c r="B504" s="1353"/>
      <c r="C504" s="1354"/>
      <c r="D504" s="1354"/>
      <c r="E504" s="1354"/>
      <c r="F504" s="1354"/>
      <c r="G504" s="1354"/>
      <c r="H504" s="1355"/>
      <c r="I504" t="s">
        <v>1345</v>
      </c>
      <c r="AC504" s="1345" t="s">
        <v>809</v>
      </c>
      <c r="AD504" s="1346"/>
      <c r="AE504" s="1346"/>
      <c r="AF504" s="1346"/>
      <c r="AG504" s="1150" t="s">
        <v>1338</v>
      </c>
      <c r="AH504" s="1372"/>
      <c r="AI504" s="1372"/>
      <c r="AJ504" s="1372"/>
      <c r="AK504" s="1373"/>
      <c r="AZ504" s="2"/>
      <c r="BA504" s="2"/>
      <c r="BB504" s="2"/>
      <c r="BC504" s="2"/>
      <c r="BD504" s="2"/>
      <c r="BE504" s="2"/>
      <c r="BF504" s="2"/>
      <c r="BG504" s="2"/>
      <c r="BH504" s="2"/>
      <c r="BI504" s="2"/>
      <c r="BJ504" s="2"/>
      <c r="BK504" s="2"/>
      <c r="BL504" s="2"/>
      <c r="BM504" s="2"/>
      <c r="BN504" s="2"/>
    </row>
    <row r="505" spans="1:66" ht="12.9" customHeight="1">
      <c r="B505" s="1353"/>
      <c r="C505" s="1354"/>
      <c r="D505" s="1354"/>
      <c r="E505" s="1354"/>
      <c r="F505" s="1354"/>
      <c r="G505" s="1354"/>
      <c r="H505" s="1355"/>
      <c r="I505" t="s">
        <v>1346</v>
      </c>
      <c r="AC505" s="1345">
        <v>8</v>
      </c>
      <c r="AD505" s="1346"/>
      <c r="AE505" s="1346"/>
      <c r="AF505" s="1346"/>
      <c r="AG505" s="1150" t="s">
        <v>1338</v>
      </c>
      <c r="AH505" s="1372">
        <v>2023</v>
      </c>
      <c r="AI505" s="1372"/>
      <c r="AJ505" s="1372"/>
      <c r="AK505" s="1373"/>
      <c r="AZ505" s="2"/>
      <c r="BA505" s="2"/>
      <c r="BB505" s="2"/>
      <c r="BC505" s="2"/>
      <c r="BD505" s="2"/>
      <c r="BE505" s="2"/>
      <c r="BF505" s="2"/>
      <c r="BG505" s="2"/>
      <c r="BH505" s="2"/>
      <c r="BI505" s="2"/>
      <c r="BJ505" s="2"/>
      <c r="BK505" s="2"/>
      <c r="BL505" s="2"/>
      <c r="BM505" s="2"/>
      <c r="BN505" s="2"/>
    </row>
    <row r="506" spans="1:66" ht="12.9" customHeight="1">
      <c r="B506" s="1353"/>
      <c r="C506" s="1354"/>
      <c r="D506" s="1354"/>
      <c r="E506" s="1354"/>
      <c r="F506" s="1354"/>
      <c r="G506" s="1354"/>
      <c r="H506" s="1355"/>
      <c r="I506" t="s">
        <v>1347</v>
      </c>
      <c r="AC506" s="1345">
        <v>11</v>
      </c>
      <c r="AD506" s="1346"/>
      <c r="AE506" s="1346"/>
      <c r="AF506" s="1346"/>
      <c r="AG506" s="1150" t="s">
        <v>1338</v>
      </c>
      <c r="AH506" s="1372">
        <v>2025</v>
      </c>
      <c r="AI506" s="1372"/>
      <c r="AJ506" s="1372"/>
      <c r="AK506" s="1373"/>
      <c r="AZ506" s="2"/>
      <c r="BA506" s="2"/>
      <c r="BB506" s="2"/>
      <c r="BC506" s="2"/>
      <c r="BD506" s="2"/>
      <c r="BE506" s="2"/>
      <c r="BF506" s="2"/>
      <c r="BG506" s="2"/>
      <c r="BH506" s="2"/>
      <c r="BI506" s="2"/>
      <c r="BJ506" s="2"/>
      <c r="BK506" s="2"/>
      <c r="BL506" s="2"/>
      <c r="BM506" s="2"/>
      <c r="BN506" s="2"/>
    </row>
    <row r="507" spans="1:66" ht="12.9" customHeight="1">
      <c r="B507" s="1353"/>
      <c r="C507" s="1354"/>
      <c r="D507" s="1354"/>
      <c r="E507" s="1354"/>
      <c r="F507" s="1354"/>
      <c r="G507" s="1354"/>
      <c r="H507" s="1355"/>
      <c r="I507" s="2" t="s">
        <v>1348</v>
      </c>
      <c r="AC507" s="1312">
        <v>11</v>
      </c>
      <c r="AD507" s="1313"/>
      <c r="AE507" s="1313"/>
      <c r="AF507" s="1313"/>
      <c r="AG507" s="1150" t="s">
        <v>1338</v>
      </c>
      <c r="AH507" s="1372">
        <v>2025</v>
      </c>
      <c r="AI507" s="1372"/>
      <c r="AJ507" s="1372"/>
      <c r="AK507" s="1373"/>
      <c r="AZ507" s="2"/>
      <c r="BA507" s="2"/>
      <c r="BB507" s="2"/>
      <c r="BC507" s="2"/>
      <c r="BD507" s="2"/>
      <c r="BE507" s="2"/>
      <c r="BF507" s="2"/>
      <c r="BG507" s="2"/>
      <c r="BH507" s="2"/>
      <c r="BI507" s="2"/>
      <c r="BJ507" s="2"/>
      <c r="BK507" s="2"/>
      <c r="BL507" s="2"/>
      <c r="BM507" s="2"/>
      <c r="BN507" s="2"/>
    </row>
    <row r="508" spans="1:66" ht="12.9" customHeight="1">
      <c r="B508" s="1353"/>
      <c r="C508" s="1354"/>
      <c r="D508" s="1354"/>
      <c r="E508" s="1354"/>
      <c r="F508" s="1354"/>
      <c r="G508" s="1354"/>
      <c r="H508" s="1355"/>
      <c r="I508" s="658" t="s">
        <v>233</v>
      </c>
      <c r="J508" s="32"/>
      <c r="K508" s="32"/>
      <c r="L508" s="1409" t="s">
        <v>1349</v>
      </c>
      <c r="M508" s="1410"/>
      <c r="N508" s="1410"/>
      <c r="O508" s="1410"/>
      <c r="P508" s="1410"/>
      <c r="Q508" s="1410"/>
      <c r="R508" s="1410"/>
      <c r="S508" s="1410"/>
      <c r="T508" s="1410"/>
      <c r="U508" s="1410"/>
      <c r="V508" s="1410"/>
      <c r="W508" s="1410"/>
      <c r="X508" s="1410"/>
      <c r="Y508" s="1410"/>
      <c r="Z508" s="1410"/>
      <c r="AA508" s="1410"/>
      <c r="AB508" s="1413"/>
      <c r="AC508" s="1345" t="s">
        <v>809</v>
      </c>
      <c r="AD508" s="1346"/>
      <c r="AE508" s="1346"/>
      <c r="AF508" s="1346"/>
      <c r="AG508" s="1172" t="s">
        <v>1338</v>
      </c>
      <c r="AH508" s="1372"/>
      <c r="AI508" s="1372"/>
      <c r="AJ508" s="1372"/>
      <c r="AK508" s="1373"/>
      <c r="AZ508" s="2"/>
      <c r="BA508" s="2"/>
      <c r="BB508" s="2"/>
      <c r="BC508" s="2"/>
      <c r="BD508" s="2"/>
      <c r="BE508" s="2"/>
      <c r="BF508" s="2"/>
      <c r="BG508" s="2"/>
      <c r="BH508" s="2"/>
      <c r="BI508" s="2"/>
      <c r="BJ508" s="2"/>
      <c r="BK508" s="2"/>
      <c r="BL508" s="2"/>
      <c r="BM508" s="2"/>
      <c r="BN508" s="2"/>
    </row>
    <row r="509" spans="1:66" ht="12.9" customHeight="1">
      <c r="B509" s="1176"/>
      <c r="C509" s="1156"/>
      <c r="D509" s="1156"/>
      <c r="E509" s="1156"/>
      <c r="F509" s="1156"/>
      <c r="G509" s="1156"/>
      <c r="H509" s="1157"/>
      <c r="I509" s="2" t="s">
        <v>1350</v>
      </c>
      <c r="AC509" s="1341" t="s">
        <v>1027</v>
      </c>
      <c r="AD509" s="1341"/>
      <c r="AE509" s="1341"/>
      <c r="AF509" s="1341"/>
      <c r="AG509" s="1150"/>
      <c r="AH509" s="1381"/>
      <c r="AI509" s="1381"/>
      <c r="AJ509" s="1381"/>
      <c r="AK509" s="1382"/>
      <c r="AZ509" s="2"/>
      <c r="BA509" s="2"/>
      <c r="BB509" s="2"/>
      <c r="BC509" s="2"/>
      <c r="BD509" s="2"/>
      <c r="BE509" s="2"/>
      <c r="BF509" s="2"/>
      <c r="BG509" s="2"/>
      <c r="BH509" s="2"/>
      <c r="BI509" s="2"/>
      <c r="BJ509" s="2"/>
      <c r="BK509" s="2"/>
      <c r="BL509" s="2"/>
      <c r="BM509" s="2"/>
      <c r="BN509" s="2"/>
    </row>
    <row r="510" spans="1:66" ht="12.9" customHeight="1">
      <c r="B510" s="1176"/>
      <c r="C510" s="1156"/>
      <c r="D510" s="1156"/>
      <c r="E510" s="1156"/>
      <c r="F510" s="1156"/>
      <c r="G510" s="1156"/>
      <c r="H510" s="1157"/>
      <c r="I510" t="s">
        <v>1351</v>
      </c>
      <c r="AC510" s="1312"/>
      <c r="AD510" s="1313"/>
      <c r="AE510" s="1313"/>
      <c r="AF510" s="1314"/>
      <c r="AG510" s="1150"/>
      <c r="AH510" s="1381"/>
      <c r="AI510" s="1381"/>
      <c r="AJ510" s="1381"/>
      <c r="AK510" s="1382"/>
      <c r="AZ510" s="2"/>
      <c r="BA510" s="2"/>
      <c r="BB510" s="2"/>
      <c r="BC510" s="2"/>
      <c r="BD510" s="2"/>
      <c r="BE510" s="2"/>
      <c r="BF510" s="2"/>
      <c r="BG510" s="2"/>
      <c r="BH510" s="2"/>
      <c r="BI510" s="2"/>
      <c r="BJ510" s="2"/>
      <c r="BK510" s="2"/>
      <c r="BL510" s="2"/>
      <c r="BM510" s="2"/>
      <c r="BN510" s="2"/>
    </row>
    <row r="511" spans="1:66" ht="12.9" customHeight="1">
      <c r="B511" s="1176"/>
      <c r="C511" s="1156"/>
      <c r="D511" s="1156"/>
      <c r="E511" s="1156"/>
      <c r="F511" s="1156"/>
      <c r="G511" s="1156"/>
      <c r="H511" s="1157"/>
      <c r="I511" t="s">
        <v>1352</v>
      </c>
      <c r="AC511" s="1161"/>
      <c r="AD511" s="1163"/>
      <c r="AE511" s="1163"/>
      <c r="AF511" s="1162"/>
      <c r="AG511" s="1150"/>
      <c r="AH511" s="1146"/>
      <c r="AI511" s="1146"/>
      <c r="AJ511" s="1146"/>
      <c r="AK511" s="1175"/>
      <c r="AZ511" s="2"/>
      <c r="BA511" s="2"/>
      <c r="BB511" s="2"/>
      <c r="BC511" s="2"/>
      <c r="BD511" s="2"/>
      <c r="BE511" s="2"/>
      <c r="BF511" s="2"/>
      <c r="BG511" s="2"/>
      <c r="BH511" s="2"/>
      <c r="BI511" s="2"/>
      <c r="BJ511" s="2"/>
      <c r="BK511" s="2"/>
      <c r="BL511" s="2"/>
      <c r="BM511" s="2"/>
      <c r="BN511" s="2"/>
    </row>
    <row r="512" spans="1:66" ht="12.9" customHeight="1">
      <c r="B512" s="1176"/>
      <c r="C512" s="1156"/>
      <c r="D512" s="1156"/>
      <c r="E512" s="1156"/>
      <c r="F512" s="1156"/>
      <c r="G512" s="1156"/>
      <c r="H512" s="1157"/>
      <c r="I512" s="659" t="s">
        <v>1353</v>
      </c>
      <c r="J512" s="32"/>
      <c r="K512" s="32"/>
      <c r="L512" s="32"/>
      <c r="M512" s="32"/>
      <c r="N512" s="32"/>
      <c r="O512" s="32"/>
      <c r="P512" s="32"/>
      <c r="Q512" s="32"/>
      <c r="R512" s="32"/>
      <c r="S512" s="32"/>
      <c r="T512" s="32"/>
      <c r="U512" s="32"/>
      <c r="V512" s="32"/>
      <c r="W512" s="32"/>
      <c r="X512" s="32"/>
      <c r="Y512" s="32"/>
      <c r="Z512" s="32"/>
      <c r="AA512" s="32"/>
      <c r="AB512" s="32"/>
      <c r="AC512" s="1394"/>
      <c r="AD512" s="1395"/>
      <c r="AE512" s="1395"/>
      <c r="AF512" s="1396"/>
      <c r="AG512" s="1172"/>
      <c r="AH512" s="1532"/>
      <c r="AI512" s="1532"/>
      <c r="AJ512" s="1532"/>
      <c r="AK512" s="1533"/>
      <c r="AZ512" s="2"/>
      <c r="BA512" s="2"/>
      <c r="BB512" s="2"/>
      <c r="BC512" s="2"/>
      <c r="BD512" s="2"/>
      <c r="BE512" s="2"/>
      <c r="BF512" s="2"/>
      <c r="BG512" s="2"/>
      <c r="BH512" s="2"/>
      <c r="BI512" s="2"/>
      <c r="BJ512" s="2"/>
      <c r="BK512" s="2"/>
      <c r="BL512" s="2"/>
      <c r="BM512" s="2"/>
      <c r="BN512" s="2" t="s">
        <v>1027</v>
      </c>
    </row>
    <row r="513" spans="2:66" ht="12.9" customHeight="1">
      <c r="B513" s="1176"/>
      <c r="C513" s="1156"/>
      <c r="D513" s="1156"/>
      <c r="E513" s="1156"/>
      <c r="F513" s="1156"/>
      <c r="G513" s="1156"/>
      <c r="H513" s="1157"/>
      <c r="I513" s="2"/>
      <c r="L513" s="6"/>
      <c r="M513" s="6"/>
      <c r="N513" s="6"/>
      <c r="O513" s="6"/>
      <c r="P513" s="6"/>
      <c r="Q513" s="6"/>
      <c r="R513" s="6"/>
      <c r="S513" s="6"/>
      <c r="T513" s="6"/>
      <c r="U513" s="6"/>
      <c r="V513" s="6"/>
      <c r="W513" s="6"/>
      <c r="X513" s="1148"/>
      <c r="Y513" s="1148"/>
      <c r="Z513" s="1148"/>
      <c r="AA513" s="1148"/>
      <c r="AB513" s="749"/>
      <c r="AC513" s="1616" t="s">
        <v>1337</v>
      </c>
      <c r="AD513" s="1411"/>
      <c r="AE513" s="1411"/>
      <c r="AF513" s="1411"/>
      <c r="AG513" s="1172" t="s">
        <v>1338</v>
      </c>
      <c r="AH513" s="1411" t="s">
        <v>1339</v>
      </c>
      <c r="AI513" s="1411"/>
      <c r="AJ513" s="1411"/>
      <c r="AK513" s="1412"/>
      <c r="AZ513" s="2"/>
      <c r="BA513" s="2"/>
      <c r="BB513" s="2"/>
      <c r="BC513" s="2"/>
      <c r="BD513" s="2"/>
      <c r="BE513" s="2"/>
      <c r="BF513" s="2"/>
      <c r="BG513" s="2"/>
      <c r="BH513" s="2"/>
      <c r="BI513" s="2"/>
      <c r="BJ513" s="2"/>
      <c r="BK513" s="2"/>
      <c r="BL513" s="2"/>
      <c r="BM513" s="2"/>
      <c r="BN513" s="2" t="s">
        <v>1354</v>
      </c>
    </row>
    <row r="514" spans="2:66" ht="12.9" customHeight="1">
      <c r="B514" s="1350" t="s">
        <v>1355</v>
      </c>
      <c r="C514" s="1351"/>
      <c r="D514" s="1351"/>
      <c r="E514" s="1351"/>
      <c r="F514" s="1351"/>
      <c r="G514" s="1351"/>
      <c r="H514" s="1352"/>
      <c r="I514" s="30" t="s">
        <v>1356</v>
      </c>
      <c r="J514" s="30"/>
      <c r="K514" s="30"/>
      <c r="L514" s="30"/>
      <c r="M514" s="30"/>
      <c r="N514" s="30"/>
      <c r="O514" s="30"/>
      <c r="P514" s="30"/>
      <c r="Q514" s="30"/>
      <c r="R514" s="30"/>
      <c r="S514" s="30"/>
      <c r="T514" s="30"/>
      <c r="U514" s="30"/>
      <c r="V514" s="30"/>
      <c r="W514" s="30"/>
      <c r="AC514" s="1345">
        <v>5</v>
      </c>
      <c r="AD514" s="1346"/>
      <c r="AE514" s="1346"/>
      <c r="AF514" s="1346"/>
      <c r="AG514" s="1150" t="s">
        <v>1338</v>
      </c>
      <c r="AH514" s="1372">
        <v>2025</v>
      </c>
      <c r="AI514" s="1372"/>
      <c r="AJ514" s="1372"/>
      <c r="AK514" s="1373"/>
      <c r="AZ514" s="2"/>
      <c r="BA514" s="2"/>
      <c r="BB514" s="2"/>
      <c r="BC514" s="2"/>
      <c r="BD514" s="2"/>
      <c r="BE514" s="2"/>
      <c r="BF514" s="2"/>
      <c r="BG514" s="2"/>
      <c r="BH514" s="2"/>
      <c r="BI514" s="2"/>
      <c r="BJ514" s="2"/>
      <c r="BK514" s="2"/>
      <c r="BL514" s="2"/>
      <c r="BM514" s="2"/>
      <c r="BN514" s="2" t="s">
        <v>1357</v>
      </c>
    </row>
    <row r="515" spans="2:66" ht="12.9" customHeight="1">
      <c r="B515" s="1353"/>
      <c r="C515" s="1354"/>
      <c r="D515" s="1354"/>
      <c r="E515" s="1354"/>
      <c r="F515" s="1354"/>
      <c r="G515" s="1354"/>
      <c r="H515" s="1355"/>
      <c r="I515" t="s">
        <v>1358</v>
      </c>
      <c r="AC515" s="1345">
        <v>5</v>
      </c>
      <c r="AD515" s="1346"/>
      <c r="AE515" s="1346"/>
      <c r="AF515" s="1346"/>
      <c r="AG515" s="1150" t="s">
        <v>1338</v>
      </c>
      <c r="AH515" s="1372">
        <v>2025</v>
      </c>
      <c r="AI515" s="1372"/>
      <c r="AJ515" s="1372"/>
      <c r="AK515" s="1373"/>
      <c r="AZ515" s="2"/>
      <c r="BA515" s="2"/>
      <c r="BB515" s="2"/>
      <c r="BC515" s="2"/>
      <c r="BD515" s="2"/>
      <c r="BE515" s="2"/>
      <c r="BF515" s="2"/>
      <c r="BG515" s="2"/>
      <c r="BH515" s="2"/>
      <c r="BI515" s="2"/>
      <c r="BJ515" s="2"/>
      <c r="BK515" s="2"/>
      <c r="BL515" s="2"/>
      <c r="BM515" s="2"/>
      <c r="BN515" s="2" t="s">
        <v>1359</v>
      </c>
    </row>
    <row r="516" spans="2:66" ht="12.9" customHeight="1">
      <c r="B516" s="1353"/>
      <c r="C516" s="1354"/>
      <c r="D516" s="1354"/>
      <c r="E516" s="1354"/>
      <c r="F516" s="1354"/>
      <c r="G516" s="1354"/>
      <c r="H516" s="1355"/>
      <c r="I516" s="32" t="s">
        <v>1360</v>
      </c>
      <c r="J516" s="32"/>
      <c r="K516" s="32"/>
      <c r="L516" s="32"/>
      <c r="M516" s="32"/>
      <c r="N516" s="32"/>
      <c r="O516" s="32"/>
      <c r="P516" s="32"/>
      <c r="Q516" s="32"/>
      <c r="R516" s="32"/>
      <c r="S516" s="32"/>
      <c r="T516" s="32"/>
      <c r="U516" s="32"/>
      <c r="V516" s="32"/>
      <c r="W516" s="32"/>
      <c r="X516" s="32"/>
      <c r="Y516" s="32"/>
      <c r="Z516" s="32"/>
      <c r="AA516" s="32"/>
      <c r="AB516" s="32"/>
      <c r="AC516" s="1345">
        <v>2</v>
      </c>
      <c r="AD516" s="1346"/>
      <c r="AE516" s="1346"/>
      <c r="AF516" s="1346"/>
      <c r="AG516" s="1172" t="s">
        <v>1338</v>
      </c>
      <c r="AH516" s="1372">
        <v>2026</v>
      </c>
      <c r="AI516" s="1372"/>
      <c r="AJ516" s="1372"/>
      <c r="AK516" s="1373"/>
      <c r="AZ516" s="2"/>
      <c r="BA516" s="2"/>
      <c r="BB516" s="2"/>
      <c r="BC516" s="2"/>
      <c r="BD516" s="2"/>
      <c r="BE516" s="2"/>
      <c r="BF516" s="2"/>
      <c r="BG516" s="2"/>
      <c r="BH516" s="2"/>
      <c r="BI516" s="2"/>
      <c r="BJ516" s="2"/>
      <c r="BK516" s="2"/>
      <c r="BL516" s="2"/>
      <c r="BM516" s="2"/>
      <c r="BN516" s="2" t="s">
        <v>1361</v>
      </c>
    </row>
    <row r="517" spans="2:66" ht="12.9" customHeight="1">
      <c r="B517" s="1350" t="s">
        <v>1362</v>
      </c>
      <c r="C517" s="1351"/>
      <c r="D517" s="1351"/>
      <c r="E517" s="1351"/>
      <c r="F517" s="1351"/>
      <c r="G517" s="1351"/>
      <c r="H517" s="1352"/>
      <c r="I517" s="30" t="s">
        <v>1356</v>
      </c>
      <c r="J517" s="30"/>
      <c r="K517" s="30"/>
      <c r="L517" s="30"/>
      <c r="M517" s="30"/>
      <c r="N517" s="30"/>
      <c r="O517" s="30"/>
      <c r="P517" s="30"/>
      <c r="Q517" s="30"/>
      <c r="R517" s="30"/>
      <c r="S517" s="30"/>
      <c r="T517" s="30"/>
      <c r="U517" s="30"/>
      <c r="V517" s="30"/>
      <c r="W517" s="30"/>
      <c r="X517" s="30"/>
      <c r="Y517" s="30"/>
      <c r="Z517" s="30"/>
      <c r="AA517" s="30"/>
      <c r="AB517" s="30"/>
      <c r="AC517" s="1312">
        <v>5</v>
      </c>
      <c r="AD517" s="1313"/>
      <c r="AE517" s="1313"/>
      <c r="AF517" s="1313"/>
      <c r="AG517" s="1174" t="s">
        <v>1338</v>
      </c>
      <c r="AH517" s="1372">
        <v>2025</v>
      </c>
      <c r="AI517" s="1372"/>
      <c r="AJ517" s="1372"/>
      <c r="AK517" s="1373"/>
      <c r="AZ517" s="2"/>
      <c r="BB517" s="2"/>
      <c r="BC517" s="2"/>
      <c r="BD517" s="2"/>
      <c r="BE517" s="2"/>
      <c r="BF517" s="2"/>
      <c r="BG517" s="2"/>
      <c r="BH517" s="2"/>
      <c r="BI517" s="2"/>
      <c r="BJ517" s="2"/>
      <c r="BK517" s="2"/>
      <c r="BL517" s="2"/>
      <c r="BM517" s="2"/>
      <c r="BN517" s="2" t="s">
        <v>1363</v>
      </c>
    </row>
    <row r="518" spans="2:66" ht="12.9" customHeight="1">
      <c r="B518" s="1353"/>
      <c r="C518" s="1354"/>
      <c r="D518" s="1354"/>
      <c r="E518" s="1354"/>
      <c r="F518" s="1354"/>
      <c r="G518" s="1354"/>
      <c r="H518" s="1355"/>
      <c r="I518" t="s">
        <v>1358</v>
      </c>
      <c r="AC518" s="1345">
        <v>5</v>
      </c>
      <c r="AD518" s="1346"/>
      <c r="AE518" s="1346"/>
      <c r="AF518" s="1346"/>
      <c r="AG518" s="1150" t="s">
        <v>1338</v>
      </c>
      <c r="AH518" s="1372">
        <v>2025</v>
      </c>
      <c r="AI518" s="1372"/>
      <c r="AJ518" s="1372"/>
      <c r="AK518" s="1373"/>
      <c r="BB518" s="2"/>
      <c r="BC518" s="2"/>
      <c r="BD518" s="2"/>
      <c r="BE518" s="2"/>
      <c r="BF518" s="2"/>
      <c r="BG518" s="2"/>
      <c r="BH518" s="2"/>
      <c r="BI518" s="2"/>
      <c r="BJ518" s="2"/>
      <c r="BK518" s="2"/>
      <c r="BL518" s="2"/>
      <c r="BM518" s="2"/>
      <c r="BN518" s="2" t="s">
        <v>1364</v>
      </c>
    </row>
    <row r="519" spans="2:66" ht="12.9" customHeight="1">
      <c r="B519" s="1356"/>
      <c r="C519" s="1357"/>
      <c r="D519" s="1357"/>
      <c r="E519" s="1357"/>
      <c r="F519" s="1357"/>
      <c r="G519" s="1357"/>
      <c r="H519" s="1358"/>
      <c r="I519" s="32" t="s">
        <v>1360</v>
      </c>
      <c r="J519" s="32"/>
      <c r="K519" s="32"/>
      <c r="L519" s="32"/>
      <c r="M519" s="32"/>
      <c r="N519" s="32"/>
      <c r="O519" s="32"/>
      <c r="P519" s="32"/>
      <c r="Q519" s="32"/>
      <c r="R519" s="32"/>
      <c r="S519" s="32"/>
      <c r="T519" s="32"/>
      <c r="U519" s="32"/>
      <c r="V519" s="32"/>
      <c r="W519" s="32"/>
      <c r="X519" s="32"/>
      <c r="Y519" s="32"/>
      <c r="Z519" s="32"/>
      <c r="AA519" s="32"/>
      <c r="AB519" s="32"/>
      <c r="AC519" s="1345">
        <v>12</v>
      </c>
      <c r="AD519" s="1346"/>
      <c r="AE519" s="1346"/>
      <c r="AF519" s="1346"/>
      <c r="AG519" s="1172" t="s">
        <v>1338</v>
      </c>
      <c r="AH519" s="1372">
        <v>2027</v>
      </c>
      <c r="AI519" s="1372"/>
      <c r="AJ519" s="1372"/>
      <c r="AK519" s="1373"/>
      <c r="BB519" s="2"/>
      <c r="BC519" s="2"/>
      <c r="BD519" s="2"/>
      <c r="BE519" s="2"/>
      <c r="BF519" s="2"/>
      <c r="BG519" s="2"/>
      <c r="BH519" s="2"/>
      <c r="BI519" s="2"/>
      <c r="BJ519" s="2"/>
      <c r="BK519" s="2"/>
      <c r="BL519" s="2"/>
      <c r="BM519" s="2"/>
      <c r="BN519" s="2" t="s">
        <v>1365</v>
      </c>
    </row>
    <row r="520" spans="2:66" ht="12.9" customHeight="1">
      <c r="B520" s="1350" t="s">
        <v>1366</v>
      </c>
      <c r="C520" s="1351"/>
      <c r="D520" s="1351"/>
      <c r="E520" s="1351"/>
      <c r="F520" s="1351"/>
      <c r="G520" s="1351"/>
      <c r="H520" s="1352"/>
      <c r="I520" s="29" t="s">
        <v>1367</v>
      </c>
      <c r="J520" s="30"/>
      <c r="K520" s="30"/>
      <c r="L520" s="30"/>
      <c r="M520" s="30"/>
      <c r="N520" s="30"/>
      <c r="O520" s="1409" t="s">
        <v>1349</v>
      </c>
      <c r="P520" s="1410"/>
      <c r="Q520" s="1410"/>
      <c r="R520" s="1410"/>
      <c r="S520" s="1410"/>
      <c r="T520" s="1410"/>
      <c r="U520" s="1410"/>
      <c r="V520" s="1410"/>
      <c r="W520" s="1410"/>
      <c r="X520" s="1410"/>
      <c r="Y520" s="1410"/>
      <c r="Z520" s="1410"/>
      <c r="AA520" s="1410"/>
      <c r="AB520" s="39"/>
      <c r="AC520" s="1312" t="s">
        <v>809</v>
      </c>
      <c r="AD520" s="1313"/>
      <c r="AE520" s="1313"/>
      <c r="AF520" s="1313"/>
      <c r="AG520" s="1174" t="s">
        <v>1338</v>
      </c>
      <c r="AH520" s="1372"/>
      <c r="AI520" s="1372"/>
      <c r="AJ520" s="1372"/>
      <c r="AK520" s="1373"/>
      <c r="AZ520" s="2"/>
      <c r="BB520" s="2"/>
      <c r="BC520" s="2"/>
      <c r="BD520" s="2"/>
      <c r="BE520" s="2"/>
      <c r="BF520" s="2"/>
      <c r="BG520" s="2"/>
      <c r="BH520" s="2"/>
      <c r="BI520" s="2"/>
      <c r="BJ520" s="2"/>
      <c r="BK520" s="2"/>
      <c r="BL520" s="2"/>
      <c r="BM520" s="2"/>
      <c r="BN520" s="2" t="s">
        <v>1368</v>
      </c>
    </row>
    <row r="521" spans="2:66" ht="12.9" customHeight="1">
      <c r="B521" s="1353"/>
      <c r="C521" s="1354"/>
      <c r="D521" s="1354"/>
      <c r="E521" s="1354"/>
      <c r="F521" s="1354"/>
      <c r="G521" s="1354"/>
      <c r="H521" s="1355"/>
      <c r="I521" s="66" t="s">
        <v>44</v>
      </c>
      <c r="AB521" s="42"/>
      <c r="AC521" s="1345" t="s">
        <v>809</v>
      </c>
      <c r="AD521" s="1346"/>
      <c r="AE521" s="1346"/>
      <c r="AF521" s="1346"/>
      <c r="AG521" s="1150" t="s">
        <v>1338</v>
      </c>
      <c r="AH521" s="1372"/>
      <c r="AI521" s="1372"/>
      <c r="AJ521" s="1372"/>
      <c r="AK521" s="1373"/>
      <c r="AZ521" s="2"/>
      <c r="BB521" s="2"/>
      <c r="BC521" s="2"/>
      <c r="BD521" s="2"/>
      <c r="BE521" s="2"/>
      <c r="BF521" s="2"/>
      <c r="BG521" s="2"/>
      <c r="BH521" s="2"/>
      <c r="BI521" s="2"/>
      <c r="BJ521" s="2"/>
      <c r="BK521" s="2"/>
      <c r="BL521" s="2"/>
      <c r="BM521" s="2"/>
      <c r="BN521" s="2" t="s">
        <v>1369</v>
      </c>
    </row>
    <row r="522" spans="2:66" ht="12.9" customHeight="1">
      <c r="B522" s="1353"/>
      <c r="C522" s="1354"/>
      <c r="D522" s="1354"/>
      <c r="E522" s="1354"/>
      <c r="F522" s="1354"/>
      <c r="G522" s="1354"/>
      <c r="H522" s="1355"/>
      <c r="I522" s="31" t="s">
        <v>1370</v>
      </c>
      <c r="J522" s="32"/>
      <c r="K522" s="32"/>
      <c r="L522" s="32"/>
      <c r="M522" s="32"/>
      <c r="N522" s="32"/>
      <c r="O522" s="32"/>
      <c r="P522" s="32"/>
      <c r="Q522" s="32"/>
      <c r="R522" s="32"/>
      <c r="S522" s="32"/>
      <c r="T522" s="32"/>
      <c r="U522" s="32"/>
      <c r="V522" s="32"/>
      <c r="W522" s="32"/>
      <c r="X522" s="32"/>
      <c r="Y522" s="32"/>
      <c r="Z522" s="32"/>
      <c r="AA522" s="32"/>
      <c r="AB522" s="33"/>
      <c r="AC522" s="1345" t="s">
        <v>809</v>
      </c>
      <c r="AD522" s="1346"/>
      <c r="AE522" s="1346"/>
      <c r="AF522" s="1346"/>
      <c r="AG522" s="1172" t="s">
        <v>1338</v>
      </c>
      <c r="AH522" s="1372"/>
      <c r="AI522" s="1372"/>
      <c r="AJ522" s="1372"/>
      <c r="AK522" s="1373"/>
      <c r="AZ522" s="2"/>
      <c r="BA522" s="2"/>
      <c r="BB522" s="2"/>
      <c r="BC522" s="2"/>
      <c r="BD522" s="2"/>
      <c r="BE522" s="2"/>
      <c r="BF522" s="2"/>
      <c r="BG522" s="2"/>
      <c r="BH522" s="2"/>
      <c r="BI522" s="2"/>
      <c r="BJ522" s="2"/>
      <c r="BK522" s="2"/>
      <c r="BL522" s="2"/>
      <c r="BM522" s="2"/>
      <c r="BN522" s="2" t="s">
        <v>1371</v>
      </c>
    </row>
    <row r="523" spans="2:66" ht="12.9" customHeight="1">
      <c r="B523" s="1353"/>
      <c r="C523" s="1354"/>
      <c r="D523" s="1354"/>
      <c r="E523" s="1354"/>
      <c r="F523" s="1354"/>
      <c r="G523" s="1354"/>
      <c r="H523" s="1355"/>
      <c r="I523" s="30" t="s">
        <v>1372</v>
      </c>
      <c r="J523" s="30"/>
      <c r="K523" s="30"/>
      <c r="L523" s="30"/>
      <c r="M523" s="30"/>
      <c r="N523" s="30"/>
      <c r="O523" s="1409" t="s">
        <v>1349</v>
      </c>
      <c r="P523" s="1410"/>
      <c r="Q523" s="1410"/>
      <c r="R523" s="1410"/>
      <c r="S523" s="1410"/>
      <c r="T523" s="1410"/>
      <c r="U523" s="1410"/>
      <c r="V523" s="1410"/>
      <c r="W523" s="1410"/>
      <c r="X523" s="1410"/>
      <c r="Y523" s="1410"/>
      <c r="Z523" s="1410"/>
      <c r="AA523" s="1410"/>
      <c r="AC523" s="1345" t="s">
        <v>809</v>
      </c>
      <c r="AD523" s="1346"/>
      <c r="AE523" s="1346"/>
      <c r="AF523" s="1346"/>
      <c r="AG523" s="1150" t="s">
        <v>1338</v>
      </c>
      <c r="AH523" s="1372"/>
      <c r="AI523" s="1372"/>
      <c r="AJ523" s="1372"/>
      <c r="AK523" s="1373"/>
      <c r="AZ523" s="2"/>
      <c r="BA523" s="2"/>
      <c r="BB523" s="2"/>
      <c r="BC523" s="2"/>
      <c r="BD523" s="2"/>
      <c r="BE523" s="2"/>
      <c r="BF523" s="2"/>
      <c r="BG523" s="2"/>
      <c r="BH523" s="2"/>
      <c r="BI523" s="2"/>
      <c r="BJ523" s="2"/>
      <c r="BK523" s="2"/>
      <c r="BL523" s="2"/>
      <c r="BM523" s="2"/>
      <c r="BN523" s="2" t="s">
        <v>1373</v>
      </c>
    </row>
    <row r="524" spans="2:66" ht="12.9" customHeight="1">
      <c r="B524" s="1353"/>
      <c r="C524" s="1354"/>
      <c r="D524" s="1354"/>
      <c r="E524" s="1354"/>
      <c r="F524" s="1354"/>
      <c r="G524" s="1354"/>
      <c r="H524" s="1355"/>
      <c r="I524" t="s">
        <v>44</v>
      </c>
      <c r="AC524" s="1345" t="s">
        <v>809</v>
      </c>
      <c r="AD524" s="1346"/>
      <c r="AE524" s="1346"/>
      <c r="AF524" s="1346"/>
      <c r="AG524" s="1150" t="s">
        <v>1338</v>
      </c>
      <c r="AH524" s="1372"/>
      <c r="AI524" s="1372"/>
      <c r="AJ524" s="1372"/>
      <c r="AK524" s="1373"/>
      <c r="AZ524" s="2"/>
      <c r="BA524" s="2"/>
      <c r="BB524" s="2"/>
      <c r="BC524" s="2"/>
      <c r="BD524" s="2"/>
      <c r="BE524" s="2"/>
      <c r="BF524" s="2"/>
      <c r="BG524" s="2"/>
      <c r="BH524" s="2"/>
      <c r="BI524" s="2"/>
      <c r="BJ524" s="2"/>
      <c r="BK524" s="2"/>
      <c r="BL524" s="2"/>
      <c r="BM524" s="2"/>
      <c r="BN524" s="2" t="s">
        <v>1374</v>
      </c>
    </row>
    <row r="525" spans="2:66" ht="12.9" customHeight="1">
      <c r="B525" s="1353"/>
      <c r="C525" s="1354"/>
      <c r="D525" s="1354"/>
      <c r="E525" s="1354"/>
      <c r="F525" s="1354"/>
      <c r="G525" s="1354"/>
      <c r="H525" s="1355"/>
      <c r="I525" s="32" t="s">
        <v>1370</v>
      </c>
      <c r="J525" s="32"/>
      <c r="K525" s="32"/>
      <c r="L525" s="32"/>
      <c r="M525" s="32"/>
      <c r="N525" s="32"/>
      <c r="O525" s="32"/>
      <c r="P525" s="32"/>
      <c r="Q525" s="32"/>
      <c r="R525" s="32"/>
      <c r="S525" s="32"/>
      <c r="T525" s="32"/>
      <c r="U525" s="32"/>
      <c r="V525" s="32"/>
      <c r="W525" s="32"/>
      <c r="X525" s="32"/>
      <c r="Y525" s="32"/>
      <c r="Z525" s="32"/>
      <c r="AA525" s="32"/>
      <c r="AB525" s="32"/>
      <c r="AC525" s="1345" t="s">
        <v>809</v>
      </c>
      <c r="AD525" s="1346"/>
      <c r="AE525" s="1346"/>
      <c r="AF525" s="1346"/>
      <c r="AG525" s="1172" t="s">
        <v>1338</v>
      </c>
      <c r="AH525" s="1372"/>
      <c r="AI525" s="1372"/>
      <c r="AJ525" s="1372"/>
      <c r="AK525" s="1373"/>
      <c r="AZ525" s="2"/>
      <c r="BA525" s="2"/>
      <c r="BB525" s="2"/>
      <c r="BC525" s="2"/>
      <c r="BD525" s="2"/>
      <c r="BE525" s="2"/>
      <c r="BF525" s="2"/>
      <c r="BG525" s="2"/>
      <c r="BH525" s="2"/>
      <c r="BI525" s="2"/>
      <c r="BJ525" s="2"/>
      <c r="BK525" s="2"/>
      <c r="BL525" s="2"/>
      <c r="BM525" s="2"/>
      <c r="BN525" s="2" t="s">
        <v>1375</v>
      </c>
    </row>
    <row r="526" spans="2:66" ht="12.9" customHeight="1">
      <c r="B526" s="1353"/>
      <c r="C526" s="1354"/>
      <c r="D526" s="1354"/>
      <c r="E526" s="1354"/>
      <c r="F526" s="1354"/>
      <c r="G526" s="1354"/>
      <c r="H526" s="1355"/>
      <c r="I526" s="30" t="s">
        <v>1372</v>
      </c>
      <c r="J526" s="30"/>
      <c r="K526" s="30"/>
      <c r="L526" s="30"/>
      <c r="M526" s="30"/>
      <c r="N526" s="30"/>
      <c r="O526" s="1409" t="s">
        <v>1349</v>
      </c>
      <c r="P526" s="1410"/>
      <c r="Q526" s="1410"/>
      <c r="R526" s="1410"/>
      <c r="S526" s="1410"/>
      <c r="T526" s="1410"/>
      <c r="U526" s="1410"/>
      <c r="V526" s="1410"/>
      <c r="W526" s="1410"/>
      <c r="X526" s="1410"/>
      <c r="Y526" s="1410"/>
      <c r="Z526" s="1410"/>
      <c r="AA526" s="1410"/>
      <c r="AC526" s="1345" t="s">
        <v>809</v>
      </c>
      <c r="AD526" s="1346"/>
      <c r="AE526" s="1346"/>
      <c r="AF526" s="1346"/>
      <c r="AG526" s="1150" t="s">
        <v>1338</v>
      </c>
      <c r="AH526" s="1372"/>
      <c r="AI526" s="1372"/>
      <c r="AJ526" s="1372"/>
      <c r="AK526" s="1373"/>
      <c r="AZ526" s="2"/>
      <c r="BA526" s="2"/>
      <c r="BB526" s="2"/>
      <c r="BC526" s="2"/>
      <c r="BD526" s="2"/>
      <c r="BE526" s="2"/>
      <c r="BF526" s="2"/>
      <c r="BG526" s="2"/>
      <c r="BH526" s="2"/>
      <c r="BI526" s="2"/>
      <c r="BJ526" s="2"/>
      <c r="BK526" s="2"/>
      <c r="BL526" s="2"/>
      <c r="BM526" s="2"/>
      <c r="BN526" s="2" t="s">
        <v>1376</v>
      </c>
    </row>
    <row r="527" spans="2:66" ht="12.9" customHeight="1">
      <c r="B527" s="1353"/>
      <c r="C527" s="1354"/>
      <c r="D527" s="1354"/>
      <c r="E527" s="1354"/>
      <c r="F527" s="1354"/>
      <c r="G527" s="1354"/>
      <c r="H527" s="1355"/>
      <c r="I527" t="s">
        <v>44</v>
      </c>
      <c r="AC527" s="1345" t="s">
        <v>809</v>
      </c>
      <c r="AD527" s="1346"/>
      <c r="AE527" s="1346"/>
      <c r="AF527" s="1346"/>
      <c r="AG527" s="1150" t="s">
        <v>1338</v>
      </c>
      <c r="AH527" s="1372"/>
      <c r="AI527" s="1372"/>
      <c r="AJ527" s="1372"/>
      <c r="AK527" s="1373"/>
      <c r="AZ527" s="2"/>
      <c r="BA527" s="2"/>
      <c r="BB527" s="2"/>
      <c r="BC527" s="2"/>
      <c r="BD527" s="2"/>
      <c r="BE527" s="2"/>
      <c r="BF527" s="2"/>
      <c r="BG527" s="2"/>
      <c r="BH527" s="2"/>
      <c r="BI527" s="2"/>
      <c r="BJ527" s="2"/>
      <c r="BK527" s="2"/>
      <c r="BL527" s="2"/>
      <c r="BM527" s="2"/>
      <c r="BN527" s="2" t="s">
        <v>1377</v>
      </c>
    </row>
    <row r="528" spans="2:66" ht="12.9" customHeight="1">
      <c r="B528" s="1353"/>
      <c r="C528" s="1354"/>
      <c r="D528" s="1354"/>
      <c r="E528" s="1354"/>
      <c r="F528" s="1354"/>
      <c r="G528" s="1354"/>
      <c r="H528" s="1355"/>
      <c r="I528" s="32" t="s">
        <v>1370</v>
      </c>
      <c r="J528" s="32"/>
      <c r="K528" s="32"/>
      <c r="L528" s="32"/>
      <c r="M528" s="32"/>
      <c r="N528" s="32"/>
      <c r="O528" s="32"/>
      <c r="P528" s="32"/>
      <c r="Q528" s="32"/>
      <c r="R528" s="32"/>
      <c r="S528" s="32"/>
      <c r="T528" s="32"/>
      <c r="U528" s="32"/>
      <c r="V528" s="32"/>
      <c r="W528" s="32"/>
      <c r="X528" s="32"/>
      <c r="Y528" s="32"/>
      <c r="Z528" s="32"/>
      <c r="AA528" s="32"/>
      <c r="AB528" s="32"/>
      <c r="AC528" s="1345" t="s">
        <v>809</v>
      </c>
      <c r="AD528" s="1346"/>
      <c r="AE528" s="1346"/>
      <c r="AF528" s="1346"/>
      <c r="AG528" s="1172" t="s">
        <v>1338</v>
      </c>
      <c r="AH528" s="1372"/>
      <c r="AI528" s="1372"/>
      <c r="AJ528" s="1372"/>
      <c r="AK528" s="1373"/>
      <c r="AZ528" s="2"/>
      <c r="BA528" s="2"/>
      <c r="BB528" s="2"/>
      <c r="BC528" s="2"/>
      <c r="BD528" s="2"/>
      <c r="BE528" s="2"/>
      <c r="BF528" s="2"/>
      <c r="BG528" s="2"/>
      <c r="BH528" s="2"/>
      <c r="BI528" s="2"/>
      <c r="BJ528" s="2"/>
      <c r="BK528" s="2"/>
      <c r="BL528" s="2"/>
      <c r="BM528" s="2"/>
      <c r="BN528" s="2" t="s">
        <v>1378</v>
      </c>
    </row>
    <row r="529" spans="1:66" ht="12.9" customHeight="1">
      <c r="B529" s="1353"/>
      <c r="C529" s="1354"/>
      <c r="D529" s="1354"/>
      <c r="E529" s="1354"/>
      <c r="F529" s="1354"/>
      <c r="G529" s="1354"/>
      <c r="H529" s="1355"/>
      <c r="I529" s="30" t="s">
        <v>1372</v>
      </c>
      <c r="J529" s="30"/>
      <c r="K529" s="30"/>
      <c r="L529" s="30"/>
      <c r="M529" s="30"/>
      <c r="N529" s="30"/>
      <c r="O529" s="1409" t="s">
        <v>1349</v>
      </c>
      <c r="P529" s="1410"/>
      <c r="Q529" s="1410"/>
      <c r="R529" s="1410"/>
      <c r="S529" s="1410"/>
      <c r="T529" s="1410"/>
      <c r="U529" s="1410"/>
      <c r="V529" s="1410"/>
      <c r="W529" s="1410"/>
      <c r="X529" s="1410"/>
      <c r="Y529" s="1410"/>
      <c r="Z529" s="1410"/>
      <c r="AA529" s="1410"/>
      <c r="AC529" s="1345" t="s">
        <v>809</v>
      </c>
      <c r="AD529" s="1346"/>
      <c r="AE529" s="1346"/>
      <c r="AF529" s="1346"/>
      <c r="AG529" s="1150" t="s">
        <v>1338</v>
      </c>
      <c r="AH529" s="1372"/>
      <c r="AI529" s="1372"/>
      <c r="AJ529" s="1372"/>
      <c r="AK529" s="1373"/>
      <c r="AZ529" s="2"/>
      <c r="BA529" s="2"/>
      <c r="BB529" s="2"/>
      <c r="BC529" s="2"/>
      <c r="BD529" s="2"/>
      <c r="BE529" s="2"/>
      <c r="BF529" s="2"/>
      <c r="BG529" s="2"/>
      <c r="BH529" s="2"/>
      <c r="BI529" s="2"/>
      <c r="BJ529" s="2"/>
      <c r="BK529" s="2"/>
      <c r="BL529" s="2"/>
      <c r="BM529" s="2"/>
      <c r="BN529" s="2" t="s">
        <v>1379</v>
      </c>
    </row>
    <row r="530" spans="1:66" ht="12.9" customHeight="1">
      <c r="B530" s="1353"/>
      <c r="C530" s="1354"/>
      <c r="D530" s="1354"/>
      <c r="E530" s="1354"/>
      <c r="F530" s="1354"/>
      <c r="G530" s="1354"/>
      <c r="H530" s="1355"/>
      <c r="I530" t="s">
        <v>44</v>
      </c>
      <c r="AC530" s="1345" t="s">
        <v>809</v>
      </c>
      <c r="AD530" s="1346"/>
      <c r="AE530" s="1346"/>
      <c r="AF530" s="1346"/>
      <c r="AG530" s="1150" t="s">
        <v>1338</v>
      </c>
      <c r="AH530" s="1372"/>
      <c r="AI530" s="1372"/>
      <c r="AJ530" s="1372"/>
      <c r="AK530" s="1373"/>
      <c r="AZ530" s="2"/>
      <c r="BA530" s="2"/>
      <c r="BB530" s="2"/>
      <c r="BC530" s="2"/>
      <c r="BD530" s="2"/>
      <c r="BE530" s="2"/>
      <c r="BF530" s="2"/>
      <c r="BG530" s="2"/>
      <c r="BH530" s="2"/>
      <c r="BI530" s="2"/>
      <c r="BJ530" s="2"/>
      <c r="BK530" s="2"/>
      <c r="BL530" s="2"/>
      <c r="BM530" s="2"/>
      <c r="BN530" s="2" t="s">
        <v>1380</v>
      </c>
    </row>
    <row r="531" spans="1:66" ht="12.9" customHeight="1">
      <c r="B531" s="1353"/>
      <c r="C531" s="1354"/>
      <c r="D531" s="1354"/>
      <c r="E531" s="1354"/>
      <c r="F531" s="1354"/>
      <c r="G531" s="1354"/>
      <c r="H531" s="1355"/>
      <c r="I531" s="32" t="s">
        <v>1370</v>
      </c>
      <c r="J531" s="32"/>
      <c r="K531" s="32"/>
      <c r="L531" s="32"/>
      <c r="M531" s="32"/>
      <c r="N531" s="32"/>
      <c r="O531" s="32"/>
      <c r="P531" s="32"/>
      <c r="Q531" s="32"/>
      <c r="R531" s="32"/>
      <c r="S531" s="32"/>
      <c r="T531" s="32"/>
      <c r="U531" s="32"/>
      <c r="V531" s="32"/>
      <c r="W531" s="32"/>
      <c r="X531" s="32"/>
      <c r="Y531" s="32"/>
      <c r="Z531" s="32"/>
      <c r="AA531" s="32"/>
      <c r="AB531" s="32"/>
      <c r="AC531" s="1345" t="s">
        <v>809</v>
      </c>
      <c r="AD531" s="1346"/>
      <c r="AE531" s="1346"/>
      <c r="AF531" s="1346"/>
      <c r="AG531" s="1172" t="s">
        <v>1338</v>
      </c>
      <c r="AH531" s="1372"/>
      <c r="AI531" s="1372"/>
      <c r="AJ531" s="1372"/>
      <c r="AK531" s="1373"/>
      <c r="AZ531" s="2"/>
      <c r="BA531" s="2"/>
      <c r="BB531" s="2"/>
      <c r="BC531" s="2"/>
      <c r="BD531" s="2"/>
      <c r="BE531" s="2"/>
      <c r="BF531" s="2"/>
      <c r="BG531" s="2"/>
      <c r="BH531" s="2"/>
      <c r="BI531" s="2"/>
      <c r="BJ531" s="2"/>
      <c r="BK531" s="2"/>
      <c r="BL531" s="2"/>
      <c r="BM531" s="2"/>
      <c r="BN531" s="2" t="s">
        <v>1381</v>
      </c>
    </row>
    <row r="532" spans="1:66" ht="12.9" customHeight="1">
      <c r="B532" s="1353"/>
      <c r="C532" s="1354"/>
      <c r="D532" s="1354"/>
      <c r="E532" s="1354"/>
      <c r="F532" s="1354"/>
      <c r="G532" s="1354"/>
      <c r="H532" s="1355"/>
      <c r="I532" s="30" t="s">
        <v>1372</v>
      </c>
      <c r="J532" s="30"/>
      <c r="K532" s="30"/>
      <c r="L532" s="30"/>
      <c r="M532" s="30"/>
      <c r="N532" s="30"/>
      <c r="O532" s="1409" t="s">
        <v>1349</v>
      </c>
      <c r="P532" s="1410"/>
      <c r="Q532" s="1410"/>
      <c r="R532" s="1410"/>
      <c r="S532" s="1410"/>
      <c r="T532" s="1410"/>
      <c r="U532" s="1410"/>
      <c r="V532" s="1410"/>
      <c r="W532" s="1410"/>
      <c r="X532" s="1410"/>
      <c r="Y532" s="1410"/>
      <c r="Z532" s="1410"/>
      <c r="AA532" s="1410"/>
      <c r="AC532" s="1345" t="s">
        <v>809</v>
      </c>
      <c r="AD532" s="1346"/>
      <c r="AE532" s="1346"/>
      <c r="AF532" s="1346"/>
      <c r="AG532" s="1150" t="s">
        <v>1338</v>
      </c>
      <c r="AH532" s="1372"/>
      <c r="AI532" s="1372"/>
      <c r="AJ532" s="1372"/>
      <c r="AK532" s="1373"/>
      <c r="AZ532" s="2"/>
      <c r="BA532" s="2"/>
      <c r="BB532" s="2"/>
      <c r="BC532" s="2"/>
      <c r="BD532" s="2"/>
      <c r="BE532" s="2"/>
      <c r="BF532" s="2"/>
      <c r="BG532" s="2"/>
      <c r="BH532" s="2"/>
      <c r="BI532" s="2"/>
      <c r="BJ532" s="2"/>
      <c r="BK532" s="2"/>
      <c r="BL532" s="2"/>
      <c r="BM532" s="2"/>
      <c r="BN532" s="2" t="s">
        <v>1382</v>
      </c>
    </row>
    <row r="533" spans="1:66" ht="12.9" customHeight="1">
      <c r="B533" s="1353"/>
      <c r="C533" s="1354"/>
      <c r="D533" s="1354"/>
      <c r="E533" s="1354"/>
      <c r="F533" s="1354"/>
      <c r="G533" s="1354"/>
      <c r="H533" s="1355"/>
      <c r="I533" t="s">
        <v>44</v>
      </c>
      <c r="AC533" s="1345" t="s">
        <v>809</v>
      </c>
      <c r="AD533" s="1346"/>
      <c r="AE533" s="1346"/>
      <c r="AF533" s="1346"/>
      <c r="AG533" s="1172" t="s">
        <v>1338</v>
      </c>
      <c r="AH533" s="1372"/>
      <c r="AI533" s="1372"/>
      <c r="AJ533" s="1372"/>
      <c r="AK533" s="1373"/>
      <c r="AZ533" s="2"/>
      <c r="BA533" s="2"/>
      <c r="BB533" s="2"/>
      <c r="BC533" s="2"/>
      <c r="BD533" s="2"/>
      <c r="BE533" s="2"/>
      <c r="BF533" s="2"/>
      <c r="BG533" s="2"/>
      <c r="BH533" s="2"/>
      <c r="BI533" s="2"/>
      <c r="BJ533" s="2"/>
      <c r="BK533" s="2"/>
      <c r="BL533" s="2"/>
      <c r="BM533" s="2"/>
      <c r="BN533" s="2" t="s">
        <v>1383</v>
      </c>
    </row>
    <row r="534" spans="1:66" ht="12.9" customHeight="1">
      <c r="B534" s="1353"/>
      <c r="C534" s="1354"/>
      <c r="D534" s="1354"/>
      <c r="E534" s="1354"/>
      <c r="F534" s="1354"/>
      <c r="G534" s="1354"/>
      <c r="H534" s="1355"/>
      <c r="I534" s="32" t="s">
        <v>1370</v>
      </c>
      <c r="J534" s="32"/>
      <c r="K534" s="32"/>
      <c r="L534" s="32"/>
      <c r="M534" s="32"/>
      <c r="N534" s="32"/>
      <c r="O534" s="32"/>
      <c r="P534" s="32"/>
      <c r="Q534" s="32"/>
      <c r="R534" s="32"/>
      <c r="S534" s="32"/>
      <c r="T534" s="32"/>
      <c r="U534" s="32"/>
      <c r="V534" s="32"/>
      <c r="W534" s="32"/>
      <c r="X534" s="32"/>
      <c r="Y534" s="32"/>
      <c r="Z534" s="32"/>
      <c r="AA534" s="32"/>
      <c r="AB534" s="32"/>
      <c r="AC534" s="1345" t="s">
        <v>809</v>
      </c>
      <c r="AD534" s="1346"/>
      <c r="AE534" s="1346"/>
      <c r="AF534" s="1346"/>
      <c r="AG534" s="1150" t="s">
        <v>1338</v>
      </c>
      <c r="AH534" s="1372"/>
      <c r="AI534" s="1372"/>
      <c r="AJ534" s="1372"/>
      <c r="AK534" s="1373"/>
      <c r="AZ534" s="2"/>
      <c r="BA534" s="2"/>
      <c r="BB534" s="2"/>
      <c r="BC534" s="2"/>
      <c r="BD534" s="2"/>
      <c r="BE534" s="2"/>
      <c r="BF534" s="2"/>
      <c r="BG534" s="2"/>
      <c r="BH534" s="2"/>
      <c r="BI534" s="2"/>
      <c r="BJ534" s="2"/>
      <c r="BK534" s="2"/>
      <c r="BL534" s="2"/>
      <c r="BM534" s="2"/>
      <c r="BN534" s="2" t="s">
        <v>1384</v>
      </c>
    </row>
    <row r="535" spans="1:66" ht="12.9" customHeight="1">
      <c r="B535" s="1353"/>
      <c r="C535" s="1354"/>
      <c r="D535" s="1354"/>
      <c r="E535" s="1354"/>
      <c r="F535" s="1354"/>
      <c r="G535" s="1354"/>
      <c r="H535" s="1355"/>
      <c r="I535" s="30" t="s">
        <v>1372</v>
      </c>
      <c r="J535" s="30"/>
      <c r="K535" s="30"/>
      <c r="L535" s="30"/>
      <c r="M535" s="30"/>
      <c r="N535" s="30"/>
      <c r="O535" s="1409" t="s">
        <v>1349</v>
      </c>
      <c r="P535" s="1410"/>
      <c r="Q535" s="1410"/>
      <c r="R535" s="1410"/>
      <c r="S535" s="1410"/>
      <c r="T535" s="1410"/>
      <c r="U535" s="1410"/>
      <c r="V535" s="1410"/>
      <c r="W535" s="1410"/>
      <c r="X535" s="1410"/>
      <c r="Y535" s="1410"/>
      <c r="Z535" s="1410"/>
      <c r="AA535" s="1410"/>
      <c r="AC535" s="1345" t="s">
        <v>809</v>
      </c>
      <c r="AD535" s="1346"/>
      <c r="AE535" s="1346"/>
      <c r="AF535" s="1346"/>
      <c r="AG535" s="1172" t="s">
        <v>1338</v>
      </c>
      <c r="AH535" s="1372"/>
      <c r="AI535" s="1372"/>
      <c r="AJ535" s="1372"/>
      <c r="AK535" s="1373"/>
      <c r="AZ535" s="2"/>
      <c r="BA535" s="2"/>
      <c r="BB535" s="2"/>
      <c r="BC535" s="2"/>
      <c r="BD535" s="2"/>
      <c r="BE535" s="2"/>
      <c r="BF535" s="2"/>
      <c r="BG535" s="2"/>
      <c r="BH535" s="2"/>
      <c r="BI535" s="2"/>
      <c r="BJ535" s="2"/>
      <c r="BK535" s="2"/>
      <c r="BL535" s="2"/>
      <c r="BM535" s="2"/>
      <c r="BN535" s="2" t="s">
        <v>1385</v>
      </c>
    </row>
    <row r="536" spans="1:66" ht="12.9" customHeight="1">
      <c r="B536" s="1353"/>
      <c r="C536" s="1354"/>
      <c r="D536" s="1354"/>
      <c r="E536" s="1354"/>
      <c r="F536" s="1354"/>
      <c r="G536" s="1354"/>
      <c r="H536" s="1355"/>
      <c r="I536" t="s">
        <v>44</v>
      </c>
      <c r="AC536" s="1345" t="s">
        <v>809</v>
      </c>
      <c r="AD536" s="1346"/>
      <c r="AE536" s="1346"/>
      <c r="AF536" s="1346"/>
      <c r="AG536" s="1150" t="s">
        <v>1338</v>
      </c>
      <c r="AH536" s="1372"/>
      <c r="AI536" s="1372"/>
      <c r="AJ536" s="1372"/>
      <c r="AK536" s="1373"/>
      <c r="AZ536" s="2"/>
      <c r="BA536" s="2"/>
      <c r="BB536" s="2"/>
      <c r="BC536" s="2"/>
      <c r="BD536" s="2"/>
      <c r="BE536" s="2"/>
      <c r="BF536" s="2"/>
      <c r="BG536" s="2"/>
      <c r="BH536" s="2"/>
      <c r="BI536" s="2"/>
      <c r="BJ536" s="2"/>
      <c r="BK536" s="2"/>
      <c r="BL536" s="2"/>
      <c r="BM536" s="2"/>
      <c r="BN536" s="2" t="s">
        <v>1386</v>
      </c>
    </row>
    <row r="537" spans="1:66" ht="12.9" customHeight="1">
      <c r="B537" s="1353"/>
      <c r="C537" s="1354"/>
      <c r="D537" s="1354"/>
      <c r="E537" s="1354"/>
      <c r="F537" s="1354"/>
      <c r="G537" s="1354"/>
      <c r="H537" s="1355"/>
      <c r="I537" s="32" t="s">
        <v>1370</v>
      </c>
      <c r="J537" s="32"/>
      <c r="K537" s="32"/>
      <c r="L537" s="32"/>
      <c r="M537" s="32"/>
      <c r="N537" s="32"/>
      <c r="O537" s="32"/>
      <c r="P537" s="32"/>
      <c r="Q537" s="32"/>
      <c r="R537" s="32"/>
      <c r="S537" s="32"/>
      <c r="T537" s="32"/>
      <c r="U537" s="32"/>
      <c r="V537" s="32"/>
      <c r="W537" s="32"/>
      <c r="X537" s="32"/>
      <c r="Y537" s="32"/>
      <c r="Z537" s="32"/>
      <c r="AA537" s="32"/>
      <c r="AB537" s="32"/>
      <c r="AC537" s="1345" t="s">
        <v>809</v>
      </c>
      <c r="AD537" s="1346"/>
      <c r="AE537" s="1346"/>
      <c r="AF537" s="1346"/>
      <c r="AG537" s="1172" t="s">
        <v>1338</v>
      </c>
      <c r="AH537" s="1372"/>
      <c r="AI537" s="1372"/>
      <c r="AJ537" s="1372"/>
      <c r="AK537" s="1373"/>
      <c r="AZ537" s="2"/>
      <c r="BA537" s="2"/>
      <c r="BB537" s="2"/>
      <c r="BC537" s="2"/>
      <c r="BD537" s="2"/>
      <c r="BE537" s="2"/>
      <c r="BF537" s="2"/>
      <c r="BG537" s="2"/>
      <c r="BH537" s="2"/>
      <c r="BI537" s="2"/>
      <c r="BJ537" s="2"/>
      <c r="BK537" s="2"/>
      <c r="BL537" s="2"/>
      <c r="BM537" s="2"/>
      <c r="BN537" s="2" t="s">
        <v>1387</v>
      </c>
    </row>
    <row r="538" spans="1:66" ht="12.9" customHeight="1">
      <c r="B538" s="1353"/>
      <c r="C538" s="1354"/>
      <c r="D538" s="1354"/>
      <c r="E538" s="1354"/>
      <c r="F538" s="1354"/>
      <c r="G538" s="1354"/>
      <c r="H538" s="1355"/>
      <c r="I538" s="30" t="s">
        <v>1388</v>
      </c>
      <c r="J538" s="30"/>
      <c r="K538" s="30"/>
      <c r="L538" s="30"/>
      <c r="M538" s="30"/>
      <c r="N538" s="30"/>
      <c r="O538" s="30"/>
      <c r="P538" s="30"/>
      <c r="Q538" s="30"/>
      <c r="R538" s="30"/>
      <c r="S538" s="30"/>
      <c r="T538" s="30"/>
      <c r="U538" s="30"/>
      <c r="V538" s="30"/>
      <c r="W538" s="30"/>
      <c r="AC538" s="1345" t="s">
        <v>809</v>
      </c>
      <c r="AD538" s="1346"/>
      <c r="AE538" s="1346"/>
      <c r="AF538" s="1346"/>
      <c r="AG538" s="1172" t="s">
        <v>1338</v>
      </c>
      <c r="AH538" s="1372"/>
      <c r="AI538" s="1372"/>
      <c r="AJ538" s="1372"/>
      <c r="AK538" s="1373"/>
      <c r="AZ538" s="2"/>
      <c r="BA538" s="2"/>
      <c r="BB538" s="2"/>
      <c r="BC538" s="2"/>
      <c r="BD538" s="2"/>
      <c r="BE538" s="2"/>
      <c r="BF538" s="2"/>
      <c r="BG538" s="2"/>
      <c r="BH538" s="2"/>
      <c r="BI538" s="2"/>
      <c r="BJ538" s="2"/>
      <c r="BK538" s="2"/>
      <c r="BL538" s="2"/>
      <c r="BM538" s="2"/>
      <c r="BN538" s="2"/>
    </row>
    <row r="539" spans="1:66" ht="12.9" customHeight="1">
      <c r="B539" s="1353"/>
      <c r="C539" s="1354"/>
      <c r="D539" s="1354"/>
      <c r="E539" s="1354"/>
      <c r="F539" s="1354"/>
      <c r="G539" s="1354"/>
      <c r="H539" s="1355"/>
      <c r="I539" t="s">
        <v>1389</v>
      </c>
      <c r="AC539" s="1345">
        <v>2</v>
      </c>
      <c r="AD539" s="1346"/>
      <c r="AE539" s="1346"/>
      <c r="AF539" s="1346"/>
      <c r="AG539" s="1150" t="s">
        <v>1338</v>
      </c>
      <c r="AH539" s="1372">
        <v>2026</v>
      </c>
      <c r="AI539" s="1372"/>
      <c r="AJ539" s="1372"/>
      <c r="AK539" s="1373"/>
      <c r="AZ539" s="2"/>
      <c r="BA539" s="2"/>
      <c r="BB539" s="2"/>
      <c r="BC539" s="2"/>
      <c r="BD539" s="2"/>
      <c r="BE539" s="2"/>
      <c r="BF539" s="2"/>
      <c r="BG539" s="2"/>
      <c r="BH539" s="2"/>
      <c r="BI539" s="2"/>
      <c r="BJ539" s="2"/>
      <c r="BK539" s="2"/>
      <c r="BL539" s="2"/>
      <c r="BM539" s="2"/>
      <c r="BN539" s="2"/>
    </row>
    <row r="540" spans="1:66" ht="12.9" customHeight="1">
      <c r="B540" s="1353"/>
      <c r="C540" s="1354"/>
      <c r="D540" s="1354"/>
      <c r="E540" s="1354"/>
      <c r="F540" s="1354"/>
      <c r="G540" s="1354"/>
      <c r="H540" s="1355"/>
      <c r="I540" t="s">
        <v>1390</v>
      </c>
      <c r="AC540" s="1345">
        <v>11</v>
      </c>
      <c r="AD540" s="1346"/>
      <c r="AE540" s="1346"/>
      <c r="AF540" s="1346"/>
      <c r="AG540" s="1172" t="s">
        <v>1338</v>
      </c>
      <c r="AH540" s="1372">
        <v>2027</v>
      </c>
      <c r="AI540" s="1372"/>
      <c r="AJ540" s="1372"/>
      <c r="AK540" s="1373"/>
      <c r="AZ540" s="2"/>
      <c r="BA540" s="2"/>
      <c r="BB540" s="2"/>
      <c r="BC540" s="2"/>
      <c r="BD540" s="2"/>
      <c r="BE540" s="2"/>
      <c r="BF540" s="2"/>
      <c r="BG540" s="2"/>
      <c r="BH540" s="2"/>
      <c r="BI540" s="2"/>
      <c r="BJ540" s="2"/>
      <c r="BK540" s="2"/>
      <c r="BL540" s="2"/>
      <c r="BM540" s="2"/>
      <c r="BN540" s="2"/>
    </row>
    <row r="541" spans="1:66" ht="12.9" customHeight="1">
      <c r="B541" s="1353"/>
      <c r="C541" s="1354"/>
      <c r="D541" s="1354"/>
      <c r="E541" s="1354"/>
      <c r="F541" s="1354"/>
      <c r="G541" s="1354"/>
      <c r="H541" s="1355"/>
      <c r="I541" t="s">
        <v>1391</v>
      </c>
      <c r="AC541" s="1345">
        <v>11</v>
      </c>
      <c r="AD541" s="1346"/>
      <c r="AE541" s="1346"/>
      <c r="AF541" s="1346"/>
      <c r="AG541" s="1172" t="s">
        <v>1338</v>
      </c>
      <c r="AH541" s="1372">
        <v>2027</v>
      </c>
      <c r="AI541" s="1372"/>
      <c r="AJ541" s="1372"/>
      <c r="AK541" s="1373"/>
      <c r="AZ541" s="2"/>
      <c r="BA541" s="2"/>
      <c r="BB541" s="2"/>
      <c r="BC541" s="2"/>
      <c r="BD541" s="2"/>
      <c r="BE541" s="2"/>
      <c r="BF541" s="2"/>
      <c r="BG541" s="2"/>
      <c r="BH541" s="2"/>
      <c r="BI541" s="2"/>
      <c r="BJ541" s="2"/>
      <c r="BK541" s="2"/>
      <c r="BL541" s="2"/>
      <c r="BM541" s="2"/>
      <c r="BN541" s="2"/>
    </row>
    <row r="542" spans="1:66" ht="12.9" customHeight="1">
      <c r="B542" s="1356"/>
      <c r="C542" s="1357"/>
      <c r="D542" s="1357"/>
      <c r="E542" s="1357"/>
      <c r="F542" s="1357"/>
      <c r="G542" s="1357"/>
      <c r="H542" s="1358"/>
      <c r="I542" s="32" t="s">
        <v>1392</v>
      </c>
      <c r="J542" s="32"/>
      <c r="K542" s="32"/>
      <c r="L542" s="32"/>
      <c r="M542" s="32"/>
      <c r="N542" s="32"/>
      <c r="O542" s="32"/>
      <c r="P542" s="32"/>
      <c r="Q542" s="32"/>
      <c r="R542" s="32"/>
      <c r="S542" s="32"/>
      <c r="T542" s="32"/>
      <c r="U542" s="32"/>
      <c r="V542" s="32"/>
      <c r="W542" s="32"/>
      <c r="X542" s="32"/>
      <c r="Y542" s="32"/>
      <c r="Z542" s="32"/>
      <c r="AA542" s="32"/>
      <c r="AB542" s="32"/>
      <c r="AC542" s="1345">
        <v>2</v>
      </c>
      <c r="AD542" s="1346"/>
      <c r="AE542" s="1346"/>
      <c r="AF542" s="1346"/>
      <c r="AG542" s="1172" t="s">
        <v>1338</v>
      </c>
      <c r="AH542" s="1372">
        <v>2028</v>
      </c>
      <c r="AI542" s="1372"/>
      <c r="AJ542" s="1372"/>
      <c r="AK542" s="1373"/>
      <c r="BB542" s="2"/>
      <c r="BC542" s="2"/>
      <c r="BD542" s="2"/>
      <c r="BE542" s="2"/>
      <c r="BF542" s="2"/>
      <c r="BG542" s="2"/>
      <c r="BH542" s="2" t="s">
        <v>18</v>
      </c>
      <c r="BI542" s="2" t="str">
        <f>N649</f>
        <v>Yes</v>
      </c>
      <c r="BJ542" s="2"/>
      <c r="BK542" s="2"/>
      <c r="BL542" s="2"/>
      <c r="BM542" s="2"/>
      <c r="BN542" s="2"/>
    </row>
    <row r="543" spans="1:66" ht="12.9" customHeight="1">
      <c r="B543" s="332"/>
      <c r="C543" s="1156"/>
      <c r="D543" s="1156"/>
      <c r="E543" s="1156"/>
      <c r="F543" s="1156"/>
      <c r="G543" s="1156"/>
      <c r="H543" s="1156"/>
      <c r="AB543" s="1156"/>
      <c r="AU543" s="660"/>
      <c r="AV543" s="660"/>
      <c r="AW543" s="660"/>
      <c r="AX543" s="660"/>
      <c r="AY543" s="660"/>
      <c r="BB543" s="2"/>
      <c r="BC543" s="2"/>
      <c r="BD543" s="2"/>
      <c r="BE543" s="2"/>
      <c r="BF543" s="2"/>
      <c r="BG543" s="2"/>
      <c r="BH543" s="2" t="s">
        <v>31</v>
      </c>
      <c r="BI543" s="2" t="str">
        <f>AG649</f>
        <v>Yes</v>
      </c>
      <c r="BJ543" s="2"/>
      <c r="BK543" s="2"/>
      <c r="BL543" s="2"/>
      <c r="BM543" s="2"/>
      <c r="BN543" s="2"/>
    </row>
    <row r="544" spans="1:66" ht="12.9" customHeight="1">
      <c r="A544" s="1233" t="s">
        <v>1393</v>
      </c>
      <c r="B544" s="1233"/>
      <c r="C544" s="1233"/>
      <c r="D544" s="1233"/>
      <c r="E544" s="1233"/>
      <c r="F544" s="1233"/>
      <c r="G544" s="1233"/>
      <c r="H544" s="1233"/>
      <c r="I544" s="1233"/>
      <c r="J544" s="1233"/>
      <c r="K544" s="1233"/>
      <c r="L544" s="1233"/>
      <c r="M544" s="1233"/>
      <c r="N544" s="1233"/>
      <c r="O544" s="1233"/>
      <c r="P544" s="1233"/>
      <c r="Q544" s="1233"/>
      <c r="R544" s="1233"/>
      <c r="S544" s="1233"/>
      <c r="T544" s="1233"/>
      <c r="U544" s="1233"/>
      <c r="V544" s="1233"/>
      <c r="W544" s="1233"/>
      <c r="X544" s="1233"/>
      <c r="Y544" s="1233"/>
      <c r="Z544" s="1233"/>
      <c r="AA544" s="1233"/>
      <c r="AB544" s="1233"/>
      <c r="AC544" s="1233"/>
      <c r="AD544" s="1233"/>
      <c r="AE544" s="1233"/>
      <c r="AF544" s="1233"/>
      <c r="AG544" s="1233"/>
      <c r="AH544" s="1233"/>
      <c r="AI544" s="1233"/>
      <c r="AJ544" s="1233"/>
      <c r="AK544" s="1233"/>
      <c r="AL544" s="1233"/>
      <c r="AM544" s="1233"/>
      <c r="AN544" s="1233"/>
      <c r="AO544" s="1233"/>
      <c r="AP544" s="1233"/>
      <c r="AQ544" s="1233"/>
      <c r="AR544" s="1233"/>
      <c r="AS544" s="1233"/>
      <c r="AT544" s="1233"/>
      <c r="AU544" s="660"/>
      <c r="AV544" s="660"/>
      <c r="AW544" s="660"/>
      <c r="AX544" s="660"/>
      <c r="AY544" s="660"/>
      <c r="BB544" s="2"/>
      <c r="BC544" s="2"/>
      <c r="BD544" s="2"/>
      <c r="BE544" s="2"/>
      <c r="BF544" s="2"/>
      <c r="BG544" s="2"/>
      <c r="BH544" s="2"/>
      <c r="BI544" s="2"/>
      <c r="BJ544" s="2"/>
      <c r="BK544" s="2"/>
      <c r="BL544" s="2"/>
      <c r="BM544" s="2"/>
      <c r="BN544" s="2"/>
    </row>
    <row r="545" spans="1:61" ht="12.9" customHeight="1">
      <c r="A545" s="1233"/>
      <c r="B545" s="1233"/>
      <c r="C545" s="1233"/>
      <c r="D545" s="1233"/>
      <c r="E545" s="1233"/>
      <c r="F545" s="1233"/>
      <c r="G545" s="1233"/>
      <c r="H545" s="1233"/>
      <c r="I545" s="1233"/>
      <c r="J545" s="1233"/>
      <c r="K545" s="1233"/>
      <c r="L545" s="1233"/>
      <c r="M545" s="1233"/>
      <c r="N545" s="1233"/>
      <c r="O545" s="1233"/>
      <c r="P545" s="1233"/>
      <c r="Q545" s="1233"/>
      <c r="R545" s="1233"/>
      <c r="S545" s="1233"/>
      <c r="T545" s="1233"/>
      <c r="U545" s="1233"/>
      <c r="V545" s="1233"/>
      <c r="W545" s="1233"/>
      <c r="X545" s="1233"/>
      <c r="Y545" s="1233"/>
      <c r="Z545" s="1233"/>
      <c r="AA545" s="1233"/>
      <c r="AB545" s="1233"/>
      <c r="AC545" s="1233"/>
      <c r="AD545" s="1233"/>
      <c r="AE545" s="1233"/>
      <c r="AF545" s="1233"/>
      <c r="AG545" s="1233"/>
      <c r="AH545" s="1233"/>
      <c r="AI545" s="1233"/>
      <c r="AJ545" s="1233"/>
      <c r="AK545" s="1233"/>
      <c r="AL545" s="1233"/>
      <c r="AM545" s="1233"/>
      <c r="AN545" s="1233"/>
      <c r="AO545" s="1233"/>
      <c r="AP545" s="1233"/>
      <c r="AQ545" s="1233"/>
      <c r="AR545" s="1233"/>
      <c r="AS545" s="1233"/>
      <c r="AT545" s="1233"/>
      <c r="BB545" s="2"/>
      <c r="BC545" s="2"/>
      <c r="BD545" s="2"/>
      <c r="BE545" s="2"/>
      <c r="BF545" s="2"/>
      <c r="BG545" s="2"/>
      <c r="BH545" s="2"/>
      <c r="BI545" s="2"/>
    </row>
    <row r="546" spans="1:61" ht="12.9" customHeight="1">
      <c r="BB546" s="2"/>
      <c r="BC546" s="2"/>
      <c r="BD546" s="2"/>
      <c r="BE546" s="2"/>
      <c r="BF546" s="2"/>
      <c r="BG546" s="2"/>
      <c r="BH546" s="2"/>
      <c r="BI546" s="2"/>
    </row>
    <row r="547" spans="1:61" ht="12.9" customHeight="1">
      <c r="A547" s="1" t="s">
        <v>870</v>
      </c>
      <c r="B547" s="1"/>
      <c r="C547" s="1" t="s">
        <v>172</v>
      </c>
      <c r="BB547" s="2"/>
      <c r="BC547" s="2"/>
      <c r="BD547" s="2"/>
      <c r="BE547" s="2"/>
      <c r="BF547" s="2"/>
      <c r="BG547" s="2"/>
      <c r="BH547" s="2"/>
      <c r="BI547" s="2"/>
    </row>
    <row r="548" spans="1:61" ht="12.9" customHeight="1">
      <c r="A548" s="1"/>
      <c r="B548" s="1"/>
      <c r="C548" s="1"/>
      <c r="BB548" s="2"/>
      <c r="BC548" s="2"/>
      <c r="BD548" s="2"/>
      <c r="BE548" s="2"/>
      <c r="BF548" s="2"/>
      <c r="BG548" s="2"/>
      <c r="BH548" s="2"/>
      <c r="BI548" s="2"/>
    </row>
    <row r="549" spans="1:61" ht="12.9" customHeight="1">
      <c r="A549" s="1"/>
      <c r="B549" s="1"/>
      <c r="C549" s="1"/>
      <c r="D549" s="1" t="s">
        <v>1394</v>
      </c>
      <c r="AC549" s="57"/>
      <c r="BB549" s="2"/>
      <c r="BC549" s="2"/>
      <c r="BD549" s="2"/>
      <c r="BE549" s="2"/>
      <c r="BF549" s="2"/>
      <c r="BG549" s="2"/>
      <c r="BH549" s="2"/>
      <c r="BI549" s="2"/>
    </row>
    <row r="550" spans="1:61" ht="12.9" customHeight="1">
      <c r="B550" s="315"/>
      <c r="BB550" s="2"/>
      <c r="BC550" s="2"/>
      <c r="BD550" s="2"/>
      <c r="BE550" s="2"/>
      <c r="BF550" s="2"/>
      <c r="BG550" s="2"/>
      <c r="BH550" s="2" t="s">
        <v>39</v>
      </c>
      <c r="BI550" s="2" t="str">
        <f>N657</f>
        <v>Yes</v>
      </c>
    </row>
    <row r="551" spans="1:61" ht="12.9" customHeight="1">
      <c r="B551" s="1350" t="s">
        <v>1395</v>
      </c>
      <c r="C551" s="1351"/>
      <c r="D551" s="1351"/>
      <c r="E551" s="1351"/>
      <c r="F551" s="1351"/>
      <c r="G551" s="1351"/>
      <c r="H551" s="1351"/>
      <c r="I551" s="1351"/>
      <c r="J551" s="1351"/>
      <c r="K551" s="1351"/>
      <c r="L551" s="1352"/>
      <c r="M551" s="1350" t="s">
        <v>1396</v>
      </c>
      <c r="N551" s="1351"/>
      <c r="O551" s="1351"/>
      <c r="P551" s="1352"/>
      <c r="Q551" s="1350" t="s">
        <v>1397</v>
      </c>
      <c r="R551" s="1351"/>
      <c r="S551" s="1352"/>
      <c r="T551" s="1350" t="s">
        <v>1398</v>
      </c>
      <c r="U551" s="1351"/>
      <c r="V551" s="1352"/>
      <c r="W551" s="1350" t="s">
        <v>1399</v>
      </c>
      <c r="X551" s="1351"/>
      <c r="Y551" s="1352"/>
      <c r="Z551" s="1350" t="s">
        <v>1400</v>
      </c>
      <c r="AA551" s="1351"/>
      <c r="AB551" s="1351"/>
      <c r="AC551" s="1351"/>
      <c r="AD551" s="1352"/>
      <c r="AE551" s="1350" t="s">
        <v>1401</v>
      </c>
      <c r="AF551" s="1351"/>
      <c r="AG551" s="1351"/>
      <c r="AH551" s="1352"/>
      <c r="AI551" s="1350" t="s">
        <v>1402</v>
      </c>
      <c r="AJ551" s="1351"/>
      <c r="AK551" s="1351"/>
      <c r="AL551" s="1352"/>
      <c r="AM551" s="1350" t="s">
        <v>1403</v>
      </c>
      <c r="AN551" s="1351"/>
      <c r="AO551" s="1351"/>
      <c r="AP551" s="1351"/>
      <c r="AQ551" s="1351"/>
      <c r="AR551" s="1351"/>
      <c r="AS551" s="1352"/>
      <c r="BB551" s="2"/>
      <c r="BC551" s="2"/>
      <c r="BD551" s="2"/>
      <c r="BE551" s="2"/>
      <c r="BF551" s="2"/>
      <c r="BG551" s="2"/>
      <c r="BH551" s="2" t="s">
        <v>82</v>
      </c>
      <c r="BI551" s="2" t="str">
        <f>AG657</f>
        <v>No</v>
      </c>
    </row>
    <row r="552" spans="1:61" ht="12.9" customHeight="1">
      <c r="B552" s="1353"/>
      <c r="C552" s="1354"/>
      <c r="D552" s="1354"/>
      <c r="E552" s="1354"/>
      <c r="F552" s="1354"/>
      <c r="G552" s="1354"/>
      <c r="H552" s="1354"/>
      <c r="I552" s="1354"/>
      <c r="J552" s="1354"/>
      <c r="K552" s="1354"/>
      <c r="L552" s="1355"/>
      <c r="M552" s="1353"/>
      <c r="N552" s="1354"/>
      <c r="O552" s="1354"/>
      <c r="P552" s="1355"/>
      <c r="Q552" s="1353"/>
      <c r="R552" s="1354"/>
      <c r="S552" s="1355"/>
      <c r="T552" s="1353"/>
      <c r="U552" s="1354"/>
      <c r="V552" s="1355"/>
      <c r="W552" s="1353"/>
      <c r="X552" s="1354"/>
      <c r="Y552" s="1355"/>
      <c r="Z552" s="1353"/>
      <c r="AA552" s="1354"/>
      <c r="AB552" s="1354"/>
      <c r="AC552" s="1354"/>
      <c r="AD552" s="1355"/>
      <c r="AE552" s="1353"/>
      <c r="AF552" s="1354"/>
      <c r="AG552" s="1354"/>
      <c r="AH552" s="1355"/>
      <c r="AI552" s="1353"/>
      <c r="AJ552" s="1354"/>
      <c r="AK552" s="1354"/>
      <c r="AL552" s="1355"/>
      <c r="AM552" s="1353"/>
      <c r="AN552" s="1354"/>
      <c r="AO552" s="1354"/>
      <c r="AP552" s="1354"/>
      <c r="AQ552" s="1354"/>
      <c r="AR552" s="1354"/>
      <c r="AS552" s="1355"/>
      <c r="AU552" s="864"/>
      <c r="BB552" s="2"/>
      <c r="BC552" s="2"/>
      <c r="BD552" s="2"/>
      <c r="BE552" s="2"/>
      <c r="BF552" s="2"/>
      <c r="BG552" s="2"/>
      <c r="BH552" s="2"/>
      <c r="BI552" s="2"/>
    </row>
    <row r="553" spans="1:61" ht="12.9" customHeight="1">
      <c r="B553" s="1356"/>
      <c r="C553" s="1357"/>
      <c r="D553" s="1357"/>
      <c r="E553" s="1357"/>
      <c r="F553" s="1357"/>
      <c r="G553" s="1357"/>
      <c r="H553" s="1357"/>
      <c r="I553" s="1357"/>
      <c r="J553" s="1357"/>
      <c r="K553" s="1357"/>
      <c r="L553" s="1358"/>
      <c r="M553" s="1356"/>
      <c r="N553" s="1357"/>
      <c r="O553" s="1357"/>
      <c r="P553" s="1358"/>
      <c r="Q553" s="1356"/>
      <c r="R553" s="1357"/>
      <c r="S553" s="1358"/>
      <c r="T553" s="1356"/>
      <c r="U553" s="1357"/>
      <c r="V553" s="1358"/>
      <c r="W553" s="1356"/>
      <c r="X553" s="1357"/>
      <c r="Y553" s="1358"/>
      <c r="Z553" s="1356"/>
      <c r="AA553" s="1357"/>
      <c r="AB553" s="1357"/>
      <c r="AC553" s="1357"/>
      <c r="AD553" s="1358"/>
      <c r="AE553" s="1356"/>
      <c r="AF553" s="1357"/>
      <c r="AG553" s="1357"/>
      <c r="AH553" s="1358"/>
      <c r="AI553" s="1356"/>
      <c r="AJ553" s="1357"/>
      <c r="AK553" s="1357"/>
      <c r="AL553" s="1358"/>
      <c r="AM553" s="1356"/>
      <c r="AN553" s="1357"/>
      <c r="AO553" s="1357"/>
      <c r="AP553" s="1357"/>
      <c r="AQ553" s="1357"/>
      <c r="AR553" s="1357"/>
      <c r="AS553" s="1358"/>
      <c r="AU553" s="864"/>
      <c r="BB553" s="2"/>
      <c r="BC553" s="2"/>
      <c r="BD553" s="2"/>
      <c r="BE553" s="2"/>
      <c r="BF553" s="2"/>
      <c r="BG553" s="2"/>
      <c r="BH553" s="2"/>
      <c r="BI553" s="2"/>
    </row>
    <row r="554" spans="1:61" ht="12.9" customHeight="1">
      <c r="B554" s="34" t="s">
        <v>18</v>
      </c>
      <c r="C554" s="1378" t="s">
        <v>1404</v>
      </c>
      <c r="D554" s="1378"/>
      <c r="E554" s="1378"/>
      <c r="F554" s="1378"/>
      <c r="G554" s="1378"/>
      <c r="H554" s="1378"/>
      <c r="I554" s="1378"/>
      <c r="J554" s="1378"/>
      <c r="K554" s="1378"/>
      <c r="L554" s="1378"/>
      <c r="M554" s="1378" t="s">
        <v>1378</v>
      </c>
      <c r="N554" s="1378"/>
      <c r="O554" s="1378"/>
      <c r="P554" s="1378"/>
      <c r="Q554" s="1370">
        <v>36</v>
      </c>
      <c r="R554" s="1370"/>
      <c r="S554" s="1371"/>
      <c r="T554" s="1369"/>
      <c r="U554" s="1370"/>
      <c r="V554" s="1371"/>
      <c r="W554" s="1363">
        <v>6.25E-2</v>
      </c>
      <c r="X554" s="1364"/>
      <c r="Y554" s="1365"/>
      <c r="Z554" s="1379" t="s">
        <v>1405</v>
      </c>
      <c r="AA554" s="1379"/>
      <c r="AB554" s="1379"/>
      <c r="AC554" s="1379"/>
      <c r="AD554" s="1379"/>
      <c r="AE554" s="1366"/>
      <c r="AF554" s="1367"/>
      <c r="AG554" s="1367"/>
      <c r="AH554" s="1368"/>
      <c r="AI554" s="1375"/>
      <c r="AJ554" s="1376"/>
      <c r="AK554" s="1376"/>
      <c r="AL554" s="1377"/>
      <c r="AM554" s="1415">
        <f>51523983-AM555</f>
        <v>43523983</v>
      </c>
      <c r="AN554" s="1416"/>
      <c r="AO554" s="1416"/>
      <c r="AP554" s="1416"/>
      <c r="AQ554" s="1416"/>
      <c r="AR554" s="1416"/>
      <c r="AS554" s="1417"/>
      <c r="AT554" s="865"/>
      <c r="AU554" s="864"/>
      <c r="BB554" s="2"/>
      <c r="BC554" s="2"/>
      <c r="BD554" s="2"/>
      <c r="BE554" s="2"/>
      <c r="BF554" s="2"/>
      <c r="BG554" s="2"/>
      <c r="BH554" s="2"/>
      <c r="BI554" s="2"/>
    </row>
    <row r="555" spans="1:61" ht="12.9" customHeight="1">
      <c r="B555" s="35" t="s">
        <v>31</v>
      </c>
      <c r="C555" s="1380" t="s">
        <v>1406</v>
      </c>
      <c r="D555" s="1380"/>
      <c r="E555" s="1380"/>
      <c r="F555" s="1380"/>
      <c r="G555" s="1380"/>
      <c r="H555" s="1380"/>
      <c r="I555" s="1380"/>
      <c r="J555" s="1380"/>
      <c r="K555" s="1380"/>
      <c r="L555" s="1380"/>
      <c r="M555" s="1378" t="s">
        <v>1378</v>
      </c>
      <c r="N555" s="1378"/>
      <c r="O555" s="1378"/>
      <c r="P555" s="1378"/>
      <c r="Q555" s="1369">
        <v>36</v>
      </c>
      <c r="R555" s="1370"/>
      <c r="S555" s="1371"/>
      <c r="T555" s="1369"/>
      <c r="U555" s="1370"/>
      <c r="V555" s="1371"/>
      <c r="W555" s="1363">
        <v>6.25E-2</v>
      </c>
      <c r="X555" s="1364"/>
      <c r="Y555" s="1365"/>
      <c r="Z555" s="1379" t="s">
        <v>1405</v>
      </c>
      <c r="AA555" s="1379"/>
      <c r="AB555" s="1379"/>
      <c r="AC555" s="1379"/>
      <c r="AD555" s="1379"/>
      <c r="AE555" s="1366"/>
      <c r="AF555" s="1367"/>
      <c r="AG555" s="1367"/>
      <c r="AH555" s="1368"/>
      <c r="AI555" s="1375"/>
      <c r="AJ555" s="1376"/>
      <c r="AK555" s="1376"/>
      <c r="AL555" s="1377"/>
      <c r="AM555" s="1415">
        <v>8000000</v>
      </c>
      <c r="AN555" s="1416"/>
      <c r="AO555" s="1416"/>
      <c r="AP555" s="1416"/>
      <c r="AQ555" s="1416"/>
      <c r="AR555" s="1416"/>
      <c r="AS555" s="1417"/>
      <c r="AT555" s="865" t="str">
        <f t="shared" ref="AT555:AT561" si="0">IF(AND(NOT(C554=""),C555="",NOT(C556="")),"!","")</f>
        <v/>
      </c>
      <c r="AU555" s="864"/>
      <c r="BB555" s="2"/>
      <c r="BC555" s="2"/>
      <c r="BD555" s="2"/>
      <c r="BE555" s="2"/>
      <c r="BF555" s="2"/>
      <c r="BG555" s="2"/>
      <c r="BH555" s="2"/>
      <c r="BI555" s="2"/>
    </row>
    <row r="556" spans="1:61" ht="12.9" customHeight="1">
      <c r="B556" s="35" t="s">
        <v>39</v>
      </c>
      <c r="C556" s="1380" t="s">
        <v>1407</v>
      </c>
      <c r="D556" s="1380"/>
      <c r="E556" s="1380"/>
      <c r="F556" s="1380"/>
      <c r="G556" s="1380"/>
      <c r="H556" s="1380"/>
      <c r="I556" s="1380"/>
      <c r="J556" s="1380"/>
      <c r="K556" s="1380"/>
      <c r="L556" s="1380"/>
      <c r="M556" s="1378" t="s">
        <v>1377</v>
      </c>
      <c r="N556" s="1378"/>
      <c r="O556" s="1378"/>
      <c r="P556" s="1378"/>
      <c r="Q556" s="1369">
        <v>36</v>
      </c>
      <c r="R556" s="1370"/>
      <c r="S556" s="1371"/>
      <c r="T556" s="1369"/>
      <c r="U556" s="1370"/>
      <c r="V556" s="1371"/>
      <c r="W556" s="1363">
        <v>6.7500000000000004E-2</v>
      </c>
      <c r="X556" s="1364"/>
      <c r="Y556" s="1365"/>
      <c r="Z556" s="1379" t="s">
        <v>1405</v>
      </c>
      <c r="AA556" s="1379"/>
      <c r="AB556" s="1379"/>
      <c r="AC556" s="1379"/>
      <c r="AD556" s="1379"/>
      <c r="AE556" s="1366"/>
      <c r="AF556" s="1367"/>
      <c r="AG556" s="1367"/>
      <c r="AH556" s="1368"/>
      <c r="AI556" s="1375"/>
      <c r="AJ556" s="1376"/>
      <c r="AK556" s="1376"/>
      <c r="AL556" s="1377"/>
      <c r="AM556" s="1415">
        <v>8591083</v>
      </c>
      <c r="AN556" s="1416"/>
      <c r="AO556" s="1416"/>
      <c r="AP556" s="1416"/>
      <c r="AQ556" s="1416"/>
      <c r="AR556" s="1416"/>
      <c r="AS556" s="1417"/>
      <c r="AT556" s="865" t="str">
        <f t="shared" si="0"/>
        <v/>
      </c>
      <c r="AU556" s="864"/>
      <c r="BB556" s="2"/>
      <c r="BC556" s="2"/>
      <c r="BD556" s="2"/>
      <c r="BE556" s="2"/>
      <c r="BF556" s="2"/>
      <c r="BG556" s="2"/>
      <c r="BH556" s="2"/>
      <c r="BI556" s="2"/>
    </row>
    <row r="557" spans="1:61" ht="12.9" customHeight="1">
      <c r="B557" s="35" t="s">
        <v>82</v>
      </c>
      <c r="C557" s="1380" t="s">
        <v>1408</v>
      </c>
      <c r="D557" s="1380"/>
      <c r="E557" s="1380"/>
      <c r="F557" s="1380"/>
      <c r="G557" s="1380"/>
      <c r="H557" s="1380"/>
      <c r="I557" s="1380"/>
      <c r="J557" s="1380"/>
      <c r="K557" s="1380"/>
      <c r="L557" s="1380"/>
      <c r="M557" s="1378" t="s">
        <v>1365</v>
      </c>
      <c r="N557" s="1378"/>
      <c r="O557" s="1378"/>
      <c r="P557" s="1378"/>
      <c r="Q557" s="1369"/>
      <c r="R557" s="1370"/>
      <c r="S557" s="1371"/>
      <c r="T557" s="1369"/>
      <c r="U557" s="1370"/>
      <c r="V557" s="1371"/>
      <c r="W557" s="1363"/>
      <c r="X557" s="1364"/>
      <c r="Y557" s="1365"/>
      <c r="Z557" s="1379" t="s">
        <v>1027</v>
      </c>
      <c r="AA557" s="1379"/>
      <c r="AB557" s="1379"/>
      <c r="AC557" s="1379"/>
      <c r="AD557" s="1379"/>
      <c r="AE557" s="1366"/>
      <c r="AF557" s="1367"/>
      <c r="AG557" s="1367"/>
      <c r="AH557" s="1368"/>
      <c r="AI557" s="1375"/>
      <c r="AJ557" s="1376"/>
      <c r="AK557" s="1376"/>
      <c r="AL557" s="1377"/>
      <c r="AM557" s="1415">
        <v>9651118</v>
      </c>
      <c r="AN557" s="1416"/>
      <c r="AO557" s="1416"/>
      <c r="AP557" s="1416"/>
      <c r="AQ557" s="1416"/>
      <c r="AR557" s="1416"/>
      <c r="AS557" s="1417"/>
      <c r="AT557" s="865" t="str">
        <f t="shared" si="0"/>
        <v/>
      </c>
      <c r="AU557" s="864"/>
      <c r="BB557" s="2"/>
      <c r="BC557" s="2"/>
      <c r="BD557" s="2"/>
      <c r="BE557" s="2"/>
      <c r="BF557" s="2"/>
      <c r="BG557" s="2"/>
      <c r="BH557" s="2"/>
      <c r="BI557" s="2"/>
    </row>
    <row r="558" spans="1:61" ht="12.9" customHeight="1">
      <c r="B558" s="35" t="s">
        <v>86</v>
      </c>
      <c r="C558" s="1380" t="s">
        <v>1409</v>
      </c>
      <c r="D558" s="1380"/>
      <c r="E558" s="1380"/>
      <c r="F558" s="1380"/>
      <c r="G558" s="1380"/>
      <c r="H558" s="1380"/>
      <c r="I558" s="1380"/>
      <c r="J558" s="1380"/>
      <c r="K558" s="1380"/>
      <c r="L558" s="1380"/>
      <c r="M558" s="1378" t="s">
        <v>1365</v>
      </c>
      <c r="N558" s="1378"/>
      <c r="O558" s="1378"/>
      <c r="P558" s="1378"/>
      <c r="Q558" s="1369"/>
      <c r="R558" s="1370"/>
      <c r="S558" s="1371"/>
      <c r="T558" s="1369"/>
      <c r="U558" s="1370"/>
      <c r="V558" s="1371"/>
      <c r="W558" s="1363"/>
      <c r="X558" s="1364"/>
      <c r="Y558" s="1365"/>
      <c r="Z558" s="1379" t="s">
        <v>1027</v>
      </c>
      <c r="AA558" s="1379"/>
      <c r="AB558" s="1379"/>
      <c r="AC558" s="1379"/>
      <c r="AD558" s="1379"/>
      <c r="AE558" s="1366"/>
      <c r="AF558" s="1367"/>
      <c r="AG558" s="1367"/>
      <c r="AH558" s="1368"/>
      <c r="AI558" s="1375"/>
      <c r="AJ558" s="1376"/>
      <c r="AK558" s="1376"/>
      <c r="AL558" s="1377"/>
      <c r="AM558" s="1415">
        <v>5760000</v>
      </c>
      <c r="AN558" s="1416"/>
      <c r="AO558" s="1416"/>
      <c r="AP558" s="1416"/>
      <c r="AQ558" s="1416"/>
      <c r="AR558" s="1416"/>
      <c r="AS558" s="1417"/>
      <c r="AT558" s="865" t="str">
        <f t="shared" si="0"/>
        <v/>
      </c>
      <c r="AU558" s="864"/>
      <c r="BB558" s="2"/>
      <c r="BC558" s="2"/>
      <c r="BD558" s="2"/>
      <c r="BE558" s="2"/>
      <c r="BF558" s="2"/>
      <c r="BG558" s="2"/>
      <c r="BH558" s="2" t="s">
        <v>86</v>
      </c>
      <c r="BI558" s="2" t="str">
        <f>N665</f>
        <v>No</v>
      </c>
    </row>
    <row r="559" spans="1:61" ht="12.9" customHeight="1">
      <c r="B559" s="35" t="s">
        <v>1410</v>
      </c>
      <c r="C559" s="1380" t="s">
        <v>1411</v>
      </c>
      <c r="D559" s="1380"/>
      <c r="E559" s="1380"/>
      <c r="F559" s="1380"/>
      <c r="G559" s="1380"/>
      <c r="H559" s="1380"/>
      <c r="I559" s="1380"/>
      <c r="J559" s="1380"/>
      <c r="K559" s="1380"/>
      <c r="L559" s="1380"/>
      <c r="M559" s="1378" t="s">
        <v>1381</v>
      </c>
      <c r="N559" s="1378"/>
      <c r="O559" s="1378"/>
      <c r="P559" s="1378"/>
      <c r="Q559" s="1369"/>
      <c r="R559" s="1370"/>
      <c r="S559" s="1371"/>
      <c r="T559" s="1369"/>
      <c r="U559" s="1370"/>
      <c r="V559" s="1371"/>
      <c r="W559" s="1363"/>
      <c r="X559" s="1364"/>
      <c r="Y559" s="1365"/>
      <c r="Z559" s="1379" t="s">
        <v>1027</v>
      </c>
      <c r="AA559" s="1379"/>
      <c r="AB559" s="1379"/>
      <c r="AC559" s="1379"/>
      <c r="AD559" s="1379"/>
      <c r="AE559" s="1366"/>
      <c r="AF559" s="1367"/>
      <c r="AG559" s="1367"/>
      <c r="AH559" s="1368"/>
      <c r="AI559" s="1375"/>
      <c r="AJ559" s="1376"/>
      <c r="AK559" s="1376"/>
      <c r="AL559" s="1377"/>
      <c r="AM559" s="1415">
        <v>1650000</v>
      </c>
      <c r="AN559" s="1416"/>
      <c r="AO559" s="1416"/>
      <c r="AP559" s="1416"/>
      <c r="AQ559" s="1416"/>
      <c r="AR559" s="1416"/>
      <c r="AS559" s="1417"/>
      <c r="AT559" s="865" t="str">
        <f t="shared" si="0"/>
        <v/>
      </c>
      <c r="AU559" s="864"/>
      <c r="BB559" s="2"/>
      <c r="BC559" s="2"/>
      <c r="BD559" s="2"/>
      <c r="BE559" s="2"/>
      <c r="BF559" s="2"/>
      <c r="BG559" s="2"/>
      <c r="BH559" s="2" t="s">
        <v>1410</v>
      </c>
      <c r="BI559" s="2" t="str">
        <f>AG665</f>
        <v>No</v>
      </c>
    </row>
    <row r="560" spans="1:61" ht="12.9" customHeight="1">
      <c r="B560" s="35" t="s">
        <v>1412</v>
      </c>
      <c r="C560" s="1389" t="s">
        <v>1413</v>
      </c>
      <c r="D560" s="1390"/>
      <c r="E560" s="1390"/>
      <c r="F560" s="1390"/>
      <c r="G560" s="1390"/>
      <c r="H560" s="1390"/>
      <c r="I560" s="1390"/>
      <c r="J560" s="1390"/>
      <c r="K560" s="1390"/>
      <c r="L560" s="1391"/>
      <c r="M560" s="1378" t="s">
        <v>1357</v>
      </c>
      <c r="N560" s="1378"/>
      <c r="O560" s="1378"/>
      <c r="P560" s="1378"/>
      <c r="Q560" s="1369"/>
      <c r="R560" s="1370"/>
      <c r="S560" s="1371"/>
      <c r="T560" s="1369"/>
      <c r="U560" s="1370"/>
      <c r="V560" s="1371"/>
      <c r="W560" s="1363"/>
      <c r="X560" s="1364"/>
      <c r="Y560" s="1365"/>
      <c r="Z560" s="1379" t="s">
        <v>1027</v>
      </c>
      <c r="AA560" s="1379"/>
      <c r="AB560" s="1379"/>
      <c r="AC560" s="1379"/>
      <c r="AD560" s="1379"/>
      <c r="AE560" s="1366"/>
      <c r="AF560" s="1367"/>
      <c r="AG560" s="1367"/>
      <c r="AH560" s="1368"/>
      <c r="AI560" s="1375"/>
      <c r="AJ560" s="1376"/>
      <c r="AK560" s="1376"/>
      <c r="AL560" s="1377"/>
      <c r="AM560" s="1415">
        <f>88469408-SUM(AM554:AS559)</f>
        <v>11293224</v>
      </c>
      <c r="AN560" s="1416"/>
      <c r="AO560" s="1416"/>
      <c r="AP560" s="1416"/>
      <c r="AQ560" s="1416"/>
      <c r="AR560" s="1416"/>
      <c r="AS560" s="1417"/>
      <c r="AT560" s="865" t="str">
        <f t="shared" si="0"/>
        <v/>
      </c>
      <c r="AU560" s="864"/>
      <c r="BB560" s="2"/>
      <c r="BC560" s="2"/>
      <c r="BD560" s="2"/>
      <c r="BE560" s="2"/>
      <c r="BF560" s="2"/>
      <c r="BG560" s="2"/>
      <c r="BH560" s="2"/>
      <c r="BI560" s="2"/>
    </row>
    <row r="561" spans="1:61" ht="12.9" customHeight="1">
      <c r="B561" s="35" t="s">
        <v>1414</v>
      </c>
      <c r="C561" s="1380"/>
      <c r="D561" s="1380"/>
      <c r="E561" s="1380"/>
      <c r="F561" s="1380"/>
      <c r="G561" s="1380"/>
      <c r="H561" s="1380"/>
      <c r="I561" s="1380"/>
      <c r="J561" s="1380"/>
      <c r="K561" s="1380"/>
      <c r="L561" s="1380"/>
      <c r="M561" s="1378" t="s">
        <v>1027</v>
      </c>
      <c r="N561" s="1378"/>
      <c r="O561" s="1378"/>
      <c r="P561" s="1378"/>
      <c r="Q561" s="1369"/>
      <c r="R561" s="1370"/>
      <c r="S561" s="1371"/>
      <c r="T561" s="1369"/>
      <c r="U561" s="1370"/>
      <c r="V561" s="1371"/>
      <c r="W561" s="1363"/>
      <c r="X561" s="1364"/>
      <c r="Y561" s="1365"/>
      <c r="Z561" s="1379" t="s">
        <v>1027</v>
      </c>
      <c r="AA561" s="1379"/>
      <c r="AB561" s="1379"/>
      <c r="AC561" s="1379"/>
      <c r="AD561" s="1379"/>
      <c r="AE561" s="1366"/>
      <c r="AF561" s="1367"/>
      <c r="AG561" s="1367"/>
      <c r="AH561" s="1368"/>
      <c r="AI561" s="1375"/>
      <c r="AJ561" s="1376"/>
      <c r="AK561" s="1376"/>
      <c r="AL561" s="1377"/>
      <c r="AM561" s="1415"/>
      <c r="AN561" s="1416"/>
      <c r="AO561" s="1416"/>
      <c r="AP561" s="1416"/>
      <c r="AQ561" s="1416"/>
      <c r="AR561" s="1416"/>
      <c r="AS561" s="1417"/>
      <c r="AT561" s="865" t="str">
        <f t="shared" si="0"/>
        <v/>
      </c>
      <c r="AU561" s="864"/>
      <c r="BB561" s="2"/>
      <c r="BC561" s="2"/>
      <c r="BD561" s="2"/>
      <c r="BE561" s="2"/>
      <c r="BF561" s="2"/>
      <c r="BG561" s="2"/>
      <c r="BH561" s="2"/>
      <c r="BI561" s="2"/>
    </row>
    <row r="562" spans="1:61" ht="12.9" customHeight="1">
      <c r="B562" s="35" t="s">
        <v>1415</v>
      </c>
      <c r="C562" s="1380"/>
      <c r="D562" s="1380"/>
      <c r="E562" s="1380"/>
      <c r="F562" s="1380"/>
      <c r="G562" s="1380"/>
      <c r="H562" s="1380"/>
      <c r="I562" s="1380"/>
      <c r="J562" s="1380"/>
      <c r="K562" s="1380"/>
      <c r="L562" s="1380"/>
      <c r="M562" s="1378" t="s">
        <v>1027</v>
      </c>
      <c r="N562" s="1378"/>
      <c r="O562" s="1378"/>
      <c r="P562" s="1378"/>
      <c r="Q562" s="1369"/>
      <c r="R562" s="1370"/>
      <c r="S562" s="1371"/>
      <c r="T562" s="1369"/>
      <c r="U562" s="1370"/>
      <c r="V562" s="1371"/>
      <c r="W562" s="1363"/>
      <c r="X562" s="1364"/>
      <c r="Y562" s="1365"/>
      <c r="Z562" s="1379" t="s">
        <v>1027</v>
      </c>
      <c r="AA562" s="1379"/>
      <c r="AB562" s="1379"/>
      <c r="AC562" s="1379"/>
      <c r="AD562" s="1379"/>
      <c r="AE562" s="1366"/>
      <c r="AF562" s="1367"/>
      <c r="AG562" s="1367"/>
      <c r="AH562" s="1368"/>
      <c r="AI562" s="1375"/>
      <c r="AJ562" s="1376"/>
      <c r="AK562" s="1376"/>
      <c r="AL562" s="1377"/>
      <c r="AM562" s="1415"/>
      <c r="AN562" s="1416"/>
      <c r="AO562" s="1416"/>
      <c r="AP562" s="1416"/>
      <c r="AQ562" s="1416"/>
      <c r="AR562" s="1416"/>
      <c r="AS562" s="1417"/>
      <c r="AT562" s="865" t="str">
        <f t="shared" ref="AT562:AT565" si="1">IF(AND(NOT(C561=""),C562="",NOT(C563="")),"!","")</f>
        <v/>
      </c>
      <c r="AU562" s="864"/>
      <c r="BB562" s="2"/>
      <c r="BC562" s="2"/>
      <c r="BD562" s="2"/>
      <c r="BE562" s="2"/>
      <c r="BF562" s="2"/>
      <c r="BG562" s="2"/>
      <c r="BH562" s="2"/>
      <c r="BI562" s="2"/>
    </row>
    <row r="563" spans="1:61" ht="12.9" customHeight="1">
      <c r="B563" s="35" t="s">
        <v>1416</v>
      </c>
      <c r="C563" s="1380"/>
      <c r="D563" s="1380"/>
      <c r="E563" s="1380"/>
      <c r="F563" s="1380"/>
      <c r="G563" s="1380"/>
      <c r="H563" s="1380"/>
      <c r="I563" s="1380"/>
      <c r="J563" s="1380"/>
      <c r="K563" s="1380"/>
      <c r="L563" s="1380"/>
      <c r="M563" s="1378" t="s">
        <v>1027</v>
      </c>
      <c r="N563" s="1378"/>
      <c r="O563" s="1378"/>
      <c r="P563" s="1378"/>
      <c r="Q563" s="1369"/>
      <c r="R563" s="1370"/>
      <c r="S563" s="1371"/>
      <c r="T563" s="1369"/>
      <c r="U563" s="1370"/>
      <c r="V563" s="1371"/>
      <c r="W563" s="1363"/>
      <c r="X563" s="1364"/>
      <c r="Y563" s="1365"/>
      <c r="Z563" s="1379" t="s">
        <v>1027</v>
      </c>
      <c r="AA563" s="1379"/>
      <c r="AB563" s="1379"/>
      <c r="AC563" s="1379"/>
      <c r="AD563" s="1379"/>
      <c r="AE563" s="1366"/>
      <c r="AF563" s="1367"/>
      <c r="AG563" s="1367"/>
      <c r="AH563" s="1368"/>
      <c r="AI563" s="1375"/>
      <c r="AJ563" s="1376"/>
      <c r="AK563" s="1376"/>
      <c r="AL563" s="1377"/>
      <c r="AM563" s="1415"/>
      <c r="AN563" s="1416"/>
      <c r="AO563" s="1416"/>
      <c r="AP563" s="1416"/>
      <c r="AQ563" s="1416"/>
      <c r="AR563" s="1416"/>
      <c r="AS563" s="1417"/>
      <c r="AT563" s="865" t="str">
        <f t="shared" si="1"/>
        <v/>
      </c>
      <c r="BB563" s="2"/>
      <c r="BC563" s="2"/>
      <c r="BD563" s="2"/>
      <c r="BE563" s="2"/>
      <c r="BF563" s="2"/>
      <c r="BG563" s="2"/>
      <c r="BH563" s="2"/>
      <c r="BI563" s="2"/>
    </row>
    <row r="564" spans="1:61" ht="12.9" customHeight="1">
      <c r="B564" s="35" t="s">
        <v>1417</v>
      </c>
      <c r="C564" s="1380"/>
      <c r="D564" s="1380"/>
      <c r="E564" s="1380"/>
      <c r="F564" s="1380"/>
      <c r="G564" s="1380"/>
      <c r="H564" s="1380"/>
      <c r="I564" s="1380"/>
      <c r="J564" s="1380"/>
      <c r="K564" s="1380"/>
      <c r="L564" s="1380"/>
      <c r="M564" s="1378" t="s">
        <v>1027</v>
      </c>
      <c r="N564" s="1378"/>
      <c r="O564" s="1378"/>
      <c r="P564" s="1378"/>
      <c r="Q564" s="1369"/>
      <c r="R564" s="1370"/>
      <c r="S564" s="1371"/>
      <c r="T564" s="1369"/>
      <c r="U564" s="1370"/>
      <c r="V564" s="1371"/>
      <c r="W564" s="1363"/>
      <c r="X564" s="1364"/>
      <c r="Y564" s="1365"/>
      <c r="Z564" s="1379" t="s">
        <v>1027</v>
      </c>
      <c r="AA564" s="1379"/>
      <c r="AB564" s="1379"/>
      <c r="AC564" s="1379"/>
      <c r="AD564" s="1379"/>
      <c r="AE564" s="1366"/>
      <c r="AF564" s="1367"/>
      <c r="AG564" s="1367"/>
      <c r="AH564" s="1368"/>
      <c r="AI564" s="1375"/>
      <c r="AJ564" s="1376"/>
      <c r="AK564" s="1376"/>
      <c r="AL564" s="1377"/>
      <c r="AM564" s="1415"/>
      <c r="AN564" s="1416"/>
      <c r="AO564" s="1416"/>
      <c r="AP564" s="1416"/>
      <c r="AQ564" s="1416"/>
      <c r="AR564" s="1416"/>
      <c r="AS564" s="1417"/>
      <c r="AT564" s="865" t="str">
        <f t="shared" si="1"/>
        <v/>
      </c>
      <c r="BB564" s="2"/>
      <c r="BC564" s="2"/>
      <c r="BD564" s="2"/>
      <c r="BE564" s="2"/>
      <c r="BF564" s="2"/>
      <c r="BG564" s="2"/>
      <c r="BH564" s="2"/>
      <c r="BI564" s="2"/>
    </row>
    <row r="565" spans="1:61" ht="12.9" customHeight="1">
      <c r="B565" s="35" t="s">
        <v>1418</v>
      </c>
      <c r="C565" s="1380"/>
      <c r="D565" s="1380"/>
      <c r="E565" s="1380"/>
      <c r="F565" s="1380"/>
      <c r="G565" s="1380"/>
      <c r="H565" s="1380"/>
      <c r="I565" s="1380"/>
      <c r="J565" s="1380"/>
      <c r="K565" s="1380"/>
      <c r="L565" s="1380"/>
      <c r="M565" s="1378" t="s">
        <v>1027</v>
      </c>
      <c r="N565" s="1378"/>
      <c r="O565" s="1378"/>
      <c r="P565" s="1378"/>
      <c r="Q565" s="1369"/>
      <c r="R565" s="1370"/>
      <c r="S565" s="1371"/>
      <c r="T565" s="1369"/>
      <c r="U565" s="1370"/>
      <c r="V565" s="1371"/>
      <c r="W565" s="1363"/>
      <c r="X565" s="1364"/>
      <c r="Y565" s="1365"/>
      <c r="Z565" s="1379" t="s">
        <v>1027</v>
      </c>
      <c r="AA565" s="1379"/>
      <c r="AB565" s="1379"/>
      <c r="AC565" s="1379"/>
      <c r="AD565" s="1379"/>
      <c r="AE565" s="1366"/>
      <c r="AF565" s="1367"/>
      <c r="AG565" s="1367"/>
      <c r="AH565" s="1368"/>
      <c r="AI565" s="1375"/>
      <c r="AJ565" s="1376"/>
      <c r="AK565" s="1376"/>
      <c r="AL565" s="1377"/>
      <c r="AM565" s="1415"/>
      <c r="AN565" s="1416"/>
      <c r="AO565" s="1416"/>
      <c r="AP565" s="1416"/>
      <c r="AQ565" s="1416"/>
      <c r="AR565" s="1416"/>
      <c r="AS565" s="1417"/>
      <c r="AT565" s="865" t="str">
        <f t="shared" si="1"/>
        <v/>
      </c>
      <c r="BB565" s="2"/>
      <c r="BC565" s="2"/>
      <c r="BD565" s="2"/>
      <c r="BE565" s="2"/>
      <c r="BF565" s="2"/>
      <c r="BG565" s="2"/>
      <c r="BH565" s="2"/>
      <c r="BI565" s="2"/>
    </row>
    <row r="566" spans="1:61" ht="12.9" customHeight="1">
      <c r="B566" s="1384" t="s">
        <v>1419</v>
      </c>
      <c r="C566" s="1385"/>
      <c r="D566" s="1385"/>
      <c r="E566" s="1385"/>
      <c r="F566" s="1385"/>
      <c r="G566" s="1385"/>
      <c r="H566" s="1385"/>
      <c r="I566" s="1385"/>
      <c r="J566" s="1385"/>
      <c r="K566" s="1385"/>
      <c r="L566" s="1385"/>
      <c r="M566" s="1385"/>
      <c r="N566" s="1385"/>
      <c r="O566" s="1385"/>
      <c r="P566" s="1385"/>
      <c r="Q566" s="1385"/>
      <c r="R566" s="1385"/>
      <c r="S566" s="1385"/>
      <c r="T566" s="1385"/>
      <c r="U566" s="1386"/>
      <c r="V566" s="1385"/>
      <c r="W566" s="1385"/>
      <c r="X566" s="1385"/>
      <c r="Y566" s="1385"/>
      <c r="Z566" s="1385"/>
      <c r="AA566" s="1385"/>
      <c r="AB566" s="1385"/>
      <c r="AC566" s="1385"/>
      <c r="AD566" s="1385"/>
      <c r="AE566" s="1385"/>
      <c r="AF566" s="1385"/>
      <c r="AG566" s="1385"/>
      <c r="AH566" s="1385"/>
      <c r="AI566" s="1385"/>
      <c r="AJ566" s="1385"/>
      <c r="AK566" s="1385"/>
      <c r="AL566" s="1387"/>
      <c r="AM566" s="1422">
        <f>SUM(AM554:AS565)</f>
        <v>88469408</v>
      </c>
      <c r="AN566" s="1423"/>
      <c r="AO566" s="1423"/>
      <c r="AP566" s="1423"/>
      <c r="AQ566" s="1423"/>
      <c r="AR566" s="1423"/>
      <c r="AS566" s="1424"/>
      <c r="BB566" s="2"/>
      <c r="BC566" s="2"/>
      <c r="BD566" s="2"/>
      <c r="BE566" s="2"/>
      <c r="BF566" s="2"/>
      <c r="BG566" s="2"/>
      <c r="BH566" s="2" t="s">
        <v>1412</v>
      </c>
      <c r="BI566" s="2" t="str">
        <f>N673</f>
        <v>No</v>
      </c>
    </row>
    <row r="567" spans="1:61" ht="12.9" customHeight="1">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BB567" s="2"/>
      <c r="BC567" s="2"/>
      <c r="BD567" s="2"/>
      <c r="BE567" s="2"/>
      <c r="BF567" s="2"/>
      <c r="BG567" s="2"/>
      <c r="BH567" s="2" t="s">
        <v>1414</v>
      </c>
      <c r="BI567" s="2" t="str">
        <f>AG673</f>
        <v>No</v>
      </c>
    </row>
    <row r="568" spans="1:61" ht="12.9" customHeight="1">
      <c r="A568" s="36" t="s">
        <v>18</v>
      </c>
      <c r="B568" t="s">
        <v>1420</v>
      </c>
      <c r="G568" s="1432" t="str">
        <f>C554</f>
        <v>CitiBank Construction Loan (Tax- Exempt)</v>
      </c>
      <c r="H568" s="1432"/>
      <c r="I568" s="1432"/>
      <c r="J568" s="1432"/>
      <c r="K568" s="1432"/>
      <c r="L568" s="1432"/>
      <c r="M568" s="1432"/>
      <c r="N568" s="1432"/>
      <c r="O568" s="1432"/>
      <c r="P568" s="1432"/>
      <c r="Q568" s="1432"/>
      <c r="R568" s="1432"/>
      <c r="S568" s="6"/>
      <c r="T568" s="36" t="s">
        <v>31</v>
      </c>
      <c r="U568" t="s">
        <v>1420</v>
      </c>
      <c r="Z568" s="1432" t="str">
        <f>C555</f>
        <v xml:space="preserve">CitiBank Construction Loan - Recycled (Tax-Exempt) </v>
      </c>
      <c r="AA568" s="1432"/>
      <c r="AB568" s="1432"/>
      <c r="AC568" s="1432"/>
      <c r="AD568" s="1432"/>
      <c r="AE568" s="1432"/>
      <c r="AF568" s="1432"/>
      <c r="AG568" s="1432"/>
      <c r="AH568" s="1432"/>
      <c r="AI568" s="1432"/>
      <c r="AJ568" s="1432"/>
      <c r="AK568" s="1432"/>
      <c r="BB568" s="2"/>
      <c r="BC568" s="2"/>
      <c r="BD568" s="2"/>
      <c r="BE568" s="2"/>
      <c r="BF568" s="2"/>
      <c r="BG568" s="2"/>
      <c r="BH568" s="2"/>
      <c r="BI568" s="2"/>
    </row>
    <row r="569" spans="1:61" ht="12.9" customHeight="1">
      <c r="A569" s="17"/>
      <c r="B569" t="s">
        <v>1062</v>
      </c>
      <c r="G569" s="1383" t="s">
        <v>1421</v>
      </c>
      <c r="H569" s="1383"/>
      <c r="I569" s="1383"/>
      <c r="J569" s="1383"/>
      <c r="K569" s="1383"/>
      <c r="L569" s="1383"/>
      <c r="M569" s="1383"/>
      <c r="N569" s="1383"/>
      <c r="O569" s="1383"/>
      <c r="P569" s="1383"/>
      <c r="Q569" s="1383"/>
      <c r="R569" s="1383"/>
      <c r="S569" s="6"/>
      <c r="T569" s="17"/>
      <c r="U569" t="s">
        <v>1062</v>
      </c>
      <c r="Z569" s="1383" t="s">
        <v>1421</v>
      </c>
      <c r="AA569" s="1383"/>
      <c r="AB569" s="1383"/>
      <c r="AC569" s="1383"/>
      <c r="AD569" s="1383"/>
      <c r="AE569" s="1383"/>
      <c r="AF569" s="1383"/>
      <c r="AG569" s="1383"/>
      <c r="AH569" s="1383"/>
      <c r="AI569" s="1383"/>
      <c r="AJ569" s="1383"/>
      <c r="AK569" s="1383"/>
      <c r="BB569" s="2"/>
      <c r="BC569" s="2"/>
      <c r="BD569" s="2"/>
      <c r="BE569" s="2"/>
      <c r="BF569" s="2"/>
      <c r="BG569" s="2"/>
      <c r="BH569" s="2"/>
      <c r="BI569" s="2"/>
    </row>
    <row r="570" spans="1:61" ht="12.9" customHeight="1">
      <c r="A570" s="17"/>
      <c r="B570" t="s">
        <v>930</v>
      </c>
      <c r="G570" s="1383" t="s">
        <v>1422</v>
      </c>
      <c r="H570" s="1383"/>
      <c r="I570" s="1383"/>
      <c r="J570" s="1383"/>
      <c r="K570" s="1383"/>
      <c r="L570" s="1383"/>
      <c r="M570" s="1383"/>
      <c r="N570" s="1383"/>
      <c r="O570" s="1383"/>
      <c r="P570" s="1383"/>
      <c r="Q570" s="1383"/>
      <c r="R570" s="1383"/>
      <c r="T570" s="17"/>
      <c r="U570" t="s">
        <v>930</v>
      </c>
      <c r="Z570" s="1328" t="s">
        <v>1422</v>
      </c>
      <c r="AA570" s="1328"/>
      <c r="AB570" s="1328"/>
      <c r="AC570" s="1328"/>
      <c r="AD570" s="1328"/>
      <c r="AE570" s="1328"/>
      <c r="AF570" s="1328"/>
      <c r="AG570" s="1328"/>
      <c r="AH570" s="1328"/>
      <c r="AI570" s="1328"/>
      <c r="AJ570" s="1328"/>
      <c r="AK570" s="1328"/>
      <c r="BB570" s="2"/>
      <c r="BC570" s="2"/>
      <c r="BD570" s="2"/>
      <c r="BE570" s="2"/>
      <c r="BF570" s="2"/>
      <c r="BG570" s="2"/>
      <c r="BH570" s="2"/>
      <c r="BI570" s="2"/>
    </row>
    <row r="571" spans="1:61" ht="12.9" customHeight="1">
      <c r="A571" s="17"/>
      <c r="B571" t="s">
        <v>1423</v>
      </c>
      <c r="G571" s="1383" t="s">
        <v>1424</v>
      </c>
      <c r="H571" s="1383"/>
      <c r="I571" s="1383"/>
      <c r="J571" s="1383"/>
      <c r="K571" s="1383"/>
      <c r="L571" s="1383"/>
      <c r="M571" s="1383"/>
      <c r="N571" s="1383"/>
      <c r="O571" s="1383"/>
      <c r="P571" s="1383"/>
      <c r="Q571" s="1383"/>
      <c r="R571" s="1383"/>
      <c r="S571" s="6"/>
      <c r="T571" s="17"/>
      <c r="U571" t="s">
        <v>1423</v>
      </c>
      <c r="Z571" s="1328" t="s">
        <v>1424</v>
      </c>
      <c r="AA571" s="1328"/>
      <c r="AB571" s="1328"/>
      <c r="AC571" s="1328"/>
      <c r="AD571" s="1328"/>
      <c r="AE571" s="1328"/>
      <c r="AF571" s="1328"/>
      <c r="AG571" s="1328"/>
      <c r="AH571" s="1328"/>
      <c r="AI571" s="1328"/>
      <c r="AJ571" s="1328"/>
      <c r="AK571" s="1328"/>
      <c r="BB571" s="2"/>
      <c r="BC571" s="2"/>
      <c r="BD571" s="2"/>
      <c r="BE571" s="2"/>
      <c r="BF571" s="2"/>
      <c r="BG571" s="2"/>
      <c r="BH571" s="2"/>
      <c r="BI571" s="2"/>
    </row>
    <row r="572" spans="1:61" ht="12.9" customHeight="1">
      <c r="A572" s="17"/>
      <c r="B572" t="s">
        <v>823</v>
      </c>
      <c r="G572" s="1445">
        <v>2122391914</v>
      </c>
      <c r="H572" s="1445"/>
      <c r="I572" s="1445"/>
      <c r="J572" s="1445"/>
      <c r="K572" s="1445"/>
      <c r="L572" s="1445"/>
      <c r="O572" s="763" t="s">
        <v>1071</v>
      </c>
      <c r="P572" s="1421"/>
      <c r="Q572" s="1421"/>
      <c r="R572" s="1421"/>
      <c r="S572" s="8"/>
      <c r="T572" s="17"/>
      <c r="U572" t="s">
        <v>823</v>
      </c>
      <c r="Z572" s="1445">
        <v>2122391914</v>
      </c>
      <c r="AA572" s="1445"/>
      <c r="AB572" s="1445"/>
      <c r="AC572" s="1445"/>
      <c r="AD572" s="1445"/>
      <c r="AE572" s="1445"/>
      <c r="AH572" s="763" t="s">
        <v>1071</v>
      </c>
      <c r="AI572" s="1421"/>
      <c r="AJ572" s="1421"/>
      <c r="AK572" s="1421"/>
      <c r="BB572" s="2"/>
      <c r="BC572" s="2"/>
      <c r="BD572" s="2"/>
      <c r="BE572" s="2"/>
      <c r="BF572" s="2"/>
      <c r="BG572" s="2"/>
      <c r="BH572" s="2"/>
      <c r="BI572" s="2"/>
    </row>
    <row r="573" spans="1:61" ht="12.9" customHeight="1">
      <c r="A573" s="17"/>
      <c r="B573" t="s">
        <v>1425</v>
      </c>
      <c r="H573" s="1149" t="s">
        <v>1426</v>
      </c>
      <c r="I573" s="1149"/>
      <c r="J573" s="1149"/>
      <c r="K573" s="1149"/>
      <c r="L573" s="1149"/>
      <c r="M573" s="1149"/>
      <c r="N573" s="1149"/>
      <c r="O573" s="1149"/>
      <c r="P573" s="1149"/>
      <c r="Q573" s="1149"/>
      <c r="R573" s="1149"/>
      <c r="S573" s="6"/>
      <c r="T573" s="17"/>
      <c r="U573" t="s">
        <v>1425</v>
      </c>
      <c r="AA573" s="1383" t="s">
        <v>1426</v>
      </c>
      <c r="AB573" s="1383"/>
      <c r="AC573" s="1383"/>
      <c r="AD573" s="1383"/>
      <c r="AE573" s="1383"/>
      <c r="AF573" s="1383"/>
      <c r="AG573" s="1383"/>
      <c r="AH573" s="1383"/>
      <c r="AI573" s="1383"/>
      <c r="AJ573" s="1383"/>
      <c r="AK573" s="1383"/>
      <c r="BB573" s="2"/>
      <c r="BC573" s="2"/>
      <c r="BD573" s="2"/>
      <c r="BE573" s="2"/>
      <c r="BF573" s="2"/>
      <c r="BG573" s="2"/>
      <c r="BH573" s="2"/>
      <c r="BI573" s="2"/>
    </row>
    <row r="574" spans="1:61" ht="12.9" customHeight="1">
      <c r="A574" s="17"/>
      <c r="B574" s="176" t="s">
        <v>1427</v>
      </c>
      <c r="H574" s="6"/>
      <c r="I574" s="6"/>
      <c r="J574" s="6"/>
      <c r="K574" s="6"/>
      <c r="L574" s="6"/>
      <c r="M574" s="1388"/>
      <c r="N574" s="1388"/>
      <c r="O574" s="1388"/>
      <c r="P574" s="1388"/>
      <c r="Q574" s="1388"/>
      <c r="R574" s="1388"/>
      <c r="S574" s="6"/>
      <c r="T574" s="17"/>
      <c r="U574" s="176" t="s">
        <v>1427</v>
      </c>
      <c r="AA574" s="6"/>
      <c r="AB574" s="6"/>
      <c r="AC574" s="6"/>
      <c r="AD574" s="6"/>
      <c r="AE574" s="6"/>
      <c r="AF574" s="1388"/>
      <c r="AG574" s="1388"/>
      <c r="AH574" s="1388"/>
      <c r="AI574" s="1388"/>
      <c r="AJ574" s="1388"/>
      <c r="AK574" s="1388"/>
      <c r="BB574" s="2"/>
      <c r="BC574" s="2"/>
      <c r="BD574" s="2"/>
      <c r="BE574" s="2"/>
      <c r="BF574" s="2"/>
      <c r="BG574" s="2"/>
      <c r="BH574" s="2"/>
      <c r="BI574" s="2"/>
    </row>
    <row r="575" spans="1:61" ht="12.9" customHeight="1">
      <c r="A575" s="17"/>
      <c r="B575" t="s">
        <v>1428</v>
      </c>
      <c r="N575" s="1440" t="s">
        <v>694</v>
      </c>
      <c r="O575" s="1440"/>
      <c r="T575" s="17"/>
      <c r="U575" t="s">
        <v>1428</v>
      </c>
      <c r="AG575" s="1440" t="s">
        <v>694</v>
      </c>
      <c r="AH575" s="1440"/>
      <c r="BB575" s="2"/>
      <c r="BC575" s="2"/>
      <c r="BD575" s="2"/>
      <c r="BE575" s="2"/>
      <c r="BF575" s="2"/>
      <c r="BG575" s="2"/>
      <c r="BH575" s="2"/>
      <c r="BI575" s="2"/>
    </row>
    <row r="576" spans="1:61" ht="12.9" customHeight="1">
      <c r="A576" s="17"/>
      <c r="T576" s="17"/>
      <c r="BB576" s="2"/>
      <c r="BC576" s="2"/>
      <c r="BD576" s="2"/>
      <c r="BE576" s="2"/>
      <c r="BF576" s="2"/>
      <c r="BG576" s="2"/>
      <c r="BH576" s="2"/>
      <c r="BI576" s="2"/>
    </row>
    <row r="577" spans="1:55" ht="12.9" customHeight="1">
      <c r="A577" s="36" t="s">
        <v>39</v>
      </c>
      <c r="B577" t="s">
        <v>1420</v>
      </c>
      <c r="G577" s="1432" t="str">
        <f>C556</f>
        <v>CitiBank Construction Loan (Taxable)</v>
      </c>
      <c r="H577" s="1432"/>
      <c r="I577" s="1432"/>
      <c r="J577" s="1432"/>
      <c r="K577" s="1432"/>
      <c r="L577" s="1432"/>
      <c r="M577" s="1432"/>
      <c r="N577" s="1432"/>
      <c r="O577" s="1432"/>
      <c r="P577" s="1432"/>
      <c r="Q577" s="1432"/>
      <c r="R577" s="1432"/>
      <c r="T577" s="36" t="s">
        <v>82</v>
      </c>
      <c r="U577" t="s">
        <v>1420</v>
      </c>
      <c r="Z577" s="1432" t="str">
        <f>C557</f>
        <v>Federal LIHTC Equity</v>
      </c>
      <c r="AA577" s="1432"/>
      <c r="AB577" s="1432"/>
      <c r="AC577" s="1432"/>
      <c r="AD577" s="1432"/>
      <c r="AE577" s="1432"/>
      <c r="AF577" s="1432"/>
      <c r="AG577" s="1432"/>
      <c r="AH577" s="1432"/>
      <c r="AI577" s="1432"/>
      <c r="AJ577" s="1432"/>
      <c r="AK577" s="1432"/>
      <c r="BB577" s="2"/>
      <c r="BC577" s="2"/>
    </row>
    <row r="578" spans="1:55" ht="12.9" customHeight="1">
      <c r="A578" s="17"/>
      <c r="B578" t="s">
        <v>1062</v>
      </c>
      <c r="G578" s="1383" t="s">
        <v>1421</v>
      </c>
      <c r="H578" s="1383"/>
      <c r="I578" s="1383"/>
      <c r="J578" s="1383"/>
      <c r="K578" s="1383"/>
      <c r="L578" s="1383"/>
      <c r="M578" s="1383"/>
      <c r="N578" s="1383"/>
      <c r="O578" s="1383"/>
      <c r="P578" s="1383"/>
      <c r="Q578" s="1383"/>
      <c r="R578" s="1383"/>
      <c r="T578" s="17"/>
      <c r="U578" t="s">
        <v>1062</v>
      </c>
      <c r="Z578" s="1149" t="s">
        <v>1164</v>
      </c>
      <c r="AA578" s="1149"/>
      <c r="AB578" s="1149"/>
      <c r="AC578" s="1149"/>
      <c r="AD578" s="1149"/>
      <c r="AE578" s="1149"/>
      <c r="AF578" s="1149"/>
      <c r="AG578" s="1149"/>
      <c r="AH578" s="1149"/>
      <c r="AI578" s="1149"/>
      <c r="AJ578" s="1149"/>
      <c r="AK578" s="1149"/>
      <c r="BB578" s="2"/>
      <c r="BC578" s="2"/>
    </row>
    <row r="579" spans="1:55" ht="12.9" customHeight="1">
      <c r="A579" s="17"/>
      <c r="B579" t="s">
        <v>930</v>
      </c>
      <c r="G579" s="1328" t="s">
        <v>1422</v>
      </c>
      <c r="H579" s="1328"/>
      <c r="I579" s="1328"/>
      <c r="J579" s="1328"/>
      <c r="K579" s="1328"/>
      <c r="L579" s="1328"/>
      <c r="M579" s="1328"/>
      <c r="N579" s="1328"/>
      <c r="O579" s="1328"/>
      <c r="P579" s="1328"/>
      <c r="Q579" s="1328"/>
      <c r="R579" s="1328"/>
      <c r="T579" s="17"/>
      <c r="U579" t="s">
        <v>930</v>
      </c>
      <c r="Z579" s="1147" t="s">
        <v>1165</v>
      </c>
      <c r="AA579" s="1147"/>
      <c r="AB579" s="1147"/>
      <c r="AC579" s="1147"/>
      <c r="AD579" s="1147"/>
      <c r="AE579" s="1147"/>
      <c r="AF579" s="1147"/>
      <c r="AG579" s="1147"/>
      <c r="AH579" s="1147"/>
      <c r="AI579" s="1147"/>
      <c r="AJ579" s="1147"/>
      <c r="AK579" s="1147"/>
      <c r="BB579" s="2"/>
      <c r="BC579" s="2"/>
    </row>
    <row r="580" spans="1:55" ht="12.9" customHeight="1">
      <c r="A580" s="17"/>
      <c r="B580" t="s">
        <v>1423</v>
      </c>
      <c r="G580" s="1328" t="s">
        <v>1424</v>
      </c>
      <c r="H580" s="1328"/>
      <c r="I580" s="1328"/>
      <c r="J580" s="1328"/>
      <c r="K580" s="1328"/>
      <c r="L580" s="1328"/>
      <c r="M580" s="1328"/>
      <c r="N580" s="1328"/>
      <c r="O580" s="1328"/>
      <c r="P580" s="1328"/>
      <c r="Q580" s="1328"/>
      <c r="R580" s="1328"/>
      <c r="T580" s="17"/>
      <c r="U580" t="s">
        <v>1423</v>
      </c>
      <c r="Z580" s="1147" t="s">
        <v>1166</v>
      </c>
      <c r="AA580" s="1147"/>
      <c r="AB580" s="1147"/>
      <c r="AC580" s="1147"/>
      <c r="AD580" s="1147"/>
      <c r="AE580" s="1147"/>
      <c r="AF580" s="1147"/>
      <c r="AG580" s="1147"/>
      <c r="AH580" s="1147"/>
      <c r="AI580" s="1147"/>
      <c r="AJ580" s="1147"/>
      <c r="AK580" s="1147"/>
      <c r="BB580" s="2"/>
      <c r="BC580" s="2"/>
    </row>
    <row r="581" spans="1:55" ht="12.9" customHeight="1">
      <c r="A581" s="17"/>
      <c r="B581" t="s">
        <v>823</v>
      </c>
      <c r="G581" s="1445">
        <v>2122391914</v>
      </c>
      <c r="H581" s="1445"/>
      <c r="I581" s="1445"/>
      <c r="J581" s="1445"/>
      <c r="K581" s="1445"/>
      <c r="L581" s="1445"/>
      <c r="O581" s="763" t="s">
        <v>1071</v>
      </c>
      <c r="P581" s="1421"/>
      <c r="Q581" s="1421"/>
      <c r="R581" s="1421"/>
      <c r="T581" s="17"/>
      <c r="U581" t="s">
        <v>823</v>
      </c>
      <c r="Z581" s="1445" t="s">
        <v>1167</v>
      </c>
      <c r="AA581" s="1445"/>
      <c r="AB581" s="1445"/>
      <c r="AC581" s="1445"/>
      <c r="AD581" s="1445"/>
      <c r="AE581" s="1445"/>
      <c r="AH581" s="763" t="s">
        <v>1071</v>
      </c>
      <c r="AI581" s="1421"/>
      <c r="AJ581" s="1421"/>
      <c r="AK581" s="1421"/>
      <c r="BB581" s="2"/>
      <c r="BC581" s="2"/>
    </row>
    <row r="582" spans="1:55" ht="12.9" customHeight="1">
      <c r="A582" s="17"/>
      <c r="B582" t="s">
        <v>1425</v>
      </c>
      <c r="H582" s="1383" t="s">
        <v>1429</v>
      </c>
      <c r="I582" s="1383"/>
      <c r="J582" s="1383"/>
      <c r="K582" s="1383"/>
      <c r="L582" s="1383"/>
      <c r="M582" s="1383"/>
      <c r="N582" s="1383"/>
      <c r="O582" s="1383"/>
      <c r="P582" s="1383"/>
      <c r="Q582" s="1383"/>
      <c r="R582" s="1383"/>
      <c r="T582" s="17"/>
      <c r="U582" t="s">
        <v>1425</v>
      </c>
      <c r="AA582" s="1383" t="s">
        <v>1365</v>
      </c>
      <c r="AB582" s="1383"/>
      <c r="AC582" s="1383"/>
      <c r="AD582" s="1383"/>
      <c r="AE582" s="1383"/>
      <c r="AF582" s="1383"/>
      <c r="AG582" s="1383"/>
      <c r="AH582" s="1383"/>
      <c r="AI582" s="1383"/>
      <c r="AJ582" s="1383"/>
      <c r="AK582" s="1383"/>
      <c r="BB582" s="2"/>
      <c r="BC582" s="2"/>
    </row>
    <row r="583" spans="1:55" ht="12.9" customHeight="1">
      <c r="A583" s="17"/>
      <c r="B583" t="s">
        <v>1428</v>
      </c>
      <c r="N583" s="1440" t="s">
        <v>694</v>
      </c>
      <c r="O583" s="1440"/>
      <c r="T583" s="17"/>
      <c r="U583" t="s">
        <v>1428</v>
      </c>
      <c r="AG583" s="1440" t="s">
        <v>694</v>
      </c>
      <c r="AH583" s="1440"/>
      <c r="BB583" s="2"/>
      <c r="BC583" s="2"/>
    </row>
    <row r="584" spans="1:55" ht="12.9" customHeight="1">
      <c r="A584" s="17"/>
      <c r="T584" s="17"/>
      <c r="BB584" s="2"/>
      <c r="BC584" s="2"/>
    </row>
    <row r="585" spans="1:55" ht="12.9" customHeight="1">
      <c r="A585" s="36" t="s">
        <v>86</v>
      </c>
      <c r="B585" t="s">
        <v>1420</v>
      </c>
      <c r="G585" s="1432" t="str">
        <f>C558</f>
        <v>State LIHTC Equity</v>
      </c>
      <c r="H585" s="1432"/>
      <c r="I585" s="1432"/>
      <c r="J585" s="1432"/>
      <c r="K585" s="1432"/>
      <c r="L585" s="1432"/>
      <c r="M585" s="1432"/>
      <c r="N585" s="1432"/>
      <c r="O585" s="1432"/>
      <c r="P585" s="1432"/>
      <c r="Q585" s="1432"/>
      <c r="R585" s="1432"/>
      <c r="T585" s="36" t="s">
        <v>1410</v>
      </c>
      <c r="U585" t="s">
        <v>1420</v>
      </c>
      <c r="Z585" s="1432" t="str">
        <f>C559</f>
        <v>SafeHold TILoan</v>
      </c>
      <c r="AA585" s="1432"/>
      <c r="AB585" s="1432"/>
      <c r="AC585" s="1432"/>
      <c r="AD585" s="1432"/>
      <c r="AE585" s="1432"/>
      <c r="AF585" s="1432"/>
      <c r="AG585" s="1432"/>
      <c r="AH585" s="1432"/>
      <c r="AI585" s="1432"/>
      <c r="AJ585" s="1432"/>
      <c r="AK585" s="1432"/>
      <c r="BB585" s="2"/>
      <c r="BC585" s="2"/>
    </row>
    <row r="586" spans="1:55" ht="12.9" customHeight="1">
      <c r="A586" s="17"/>
      <c r="B586" t="s">
        <v>1062</v>
      </c>
      <c r="G586" s="1473" t="s">
        <v>1164</v>
      </c>
      <c r="H586" s="1383"/>
      <c r="I586" s="1383"/>
      <c r="J586" s="1383"/>
      <c r="K586" s="1383"/>
      <c r="L586" s="1383"/>
      <c r="M586" s="1383"/>
      <c r="N586" s="1383"/>
      <c r="O586" s="1383"/>
      <c r="P586" s="1383"/>
      <c r="Q586" s="1383"/>
      <c r="R586" s="1383"/>
      <c r="T586" s="17"/>
      <c r="U586" t="s">
        <v>1062</v>
      </c>
      <c r="Z586" s="1383" t="s">
        <v>1430</v>
      </c>
      <c r="AA586" s="1383"/>
      <c r="AB586" s="1383"/>
      <c r="AC586" s="1383"/>
      <c r="AD586" s="1383"/>
      <c r="AE586" s="1383"/>
      <c r="AF586" s="1383"/>
      <c r="AG586" s="1383"/>
      <c r="AH586" s="1383"/>
      <c r="AI586" s="1383"/>
      <c r="AJ586" s="1383"/>
      <c r="AK586" s="1383"/>
      <c r="BB586" s="2"/>
      <c r="BC586" s="2"/>
    </row>
    <row r="587" spans="1:55" ht="12.9" customHeight="1">
      <c r="A587" s="17"/>
      <c r="B587" t="s">
        <v>930</v>
      </c>
      <c r="G587" s="1473" t="s">
        <v>1165</v>
      </c>
      <c r="H587" s="1383"/>
      <c r="I587" s="1383"/>
      <c r="J587" s="1383"/>
      <c r="K587" s="1383"/>
      <c r="L587" s="1383"/>
      <c r="M587" s="1383"/>
      <c r="N587" s="1383"/>
      <c r="O587" s="1383"/>
      <c r="P587" s="1383"/>
      <c r="Q587" s="1383"/>
      <c r="R587" s="1383"/>
      <c r="T587" s="17"/>
      <c r="U587" t="s">
        <v>930</v>
      </c>
      <c r="Z587" s="1328" t="s">
        <v>1431</v>
      </c>
      <c r="AA587" s="1328"/>
      <c r="AB587" s="1328"/>
      <c r="AC587" s="1328"/>
      <c r="AD587" s="1328"/>
      <c r="AE587" s="1328"/>
      <c r="AF587" s="1328"/>
      <c r="AG587" s="1328"/>
      <c r="AH587" s="1328"/>
      <c r="AI587" s="1328"/>
      <c r="AJ587" s="1328"/>
      <c r="AK587" s="1328"/>
      <c r="BB587" s="2"/>
      <c r="BC587" s="2"/>
    </row>
    <row r="588" spans="1:55" ht="12.9" customHeight="1">
      <c r="A588" s="17"/>
      <c r="B588" t="s">
        <v>1423</v>
      </c>
      <c r="G588" s="1473" t="s">
        <v>1166</v>
      </c>
      <c r="H588" s="1383"/>
      <c r="I588" s="1383"/>
      <c r="J588" s="1383"/>
      <c r="K588" s="1383"/>
      <c r="L588" s="1383"/>
      <c r="M588" s="1383"/>
      <c r="N588" s="1383"/>
      <c r="O588" s="1383"/>
      <c r="P588" s="1383"/>
      <c r="Q588" s="1383"/>
      <c r="R588" s="1383"/>
      <c r="T588" s="17"/>
      <c r="U588" t="s">
        <v>1423</v>
      </c>
      <c r="Z588" s="1328" t="s">
        <v>1432</v>
      </c>
      <c r="AA588" s="1328"/>
      <c r="AB588" s="1328"/>
      <c r="AC588" s="1328"/>
      <c r="AD588" s="1328"/>
      <c r="AE588" s="1328"/>
      <c r="AF588" s="1328"/>
      <c r="AG588" s="1328"/>
      <c r="AH588" s="1328"/>
      <c r="AI588" s="1328"/>
      <c r="AJ588" s="1328"/>
      <c r="AK588" s="1328"/>
    </row>
    <row r="589" spans="1:55" ht="12.9" customHeight="1">
      <c r="A589" s="17"/>
      <c r="B589" t="s">
        <v>823</v>
      </c>
      <c r="G589" s="1445" t="s">
        <v>1167</v>
      </c>
      <c r="H589" s="1445"/>
      <c r="I589" s="1445"/>
      <c r="J589" s="1445"/>
      <c r="K589" s="1445"/>
      <c r="L589" s="1445"/>
      <c r="O589" s="763" t="s">
        <v>1071</v>
      </c>
      <c r="P589" s="1421"/>
      <c r="Q589" s="1421"/>
      <c r="R589" s="1421"/>
      <c r="T589" s="17"/>
      <c r="U589" t="s">
        <v>823</v>
      </c>
      <c r="Z589" s="1445" t="s">
        <v>1433</v>
      </c>
      <c r="AA589" s="1445"/>
      <c r="AB589" s="1445"/>
      <c r="AC589" s="1445"/>
      <c r="AD589" s="1445"/>
      <c r="AE589" s="1445"/>
      <c r="AH589" s="763" t="s">
        <v>1071</v>
      </c>
      <c r="AI589" s="1421"/>
      <c r="AJ589" s="1421"/>
      <c r="AK589" s="1421"/>
      <c r="AZ589" s="2"/>
      <c r="BA589" s="2"/>
      <c r="BB589" s="2"/>
      <c r="BC589" s="2"/>
    </row>
    <row r="590" spans="1:55" ht="12.9" customHeight="1">
      <c r="A590" s="17"/>
      <c r="B590" t="s">
        <v>1425</v>
      </c>
      <c r="H590" s="1383" t="s">
        <v>1365</v>
      </c>
      <c r="I590" s="1383"/>
      <c r="J590" s="1383"/>
      <c r="K590" s="1383"/>
      <c r="L590" s="1383"/>
      <c r="M590" s="1383"/>
      <c r="N590" s="1383"/>
      <c r="O590" s="1383"/>
      <c r="P590" s="1383"/>
      <c r="Q590" s="1383"/>
      <c r="R590" s="1383"/>
      <c r="T590" s="17"/>
      <c r="U590" t="s">
        <v>1425</v>
      </c>
      <c r="AA590" s="1383" t="s">
        <v>1434</v>
      </c>
      <c r="AB590" s="1383"/>
      <c r="AC590" s="1383"/>
      <c r="AD590" s="1383"/>
      <c r="AE590" s="1383"/>
      <c r="AF590" s="1383"/>
      <c r="AG590" s="1383"/>
      <c r="AH590" s="1383"/>
      <c r="AI590" s="1383"/>
      <c r="AJ590" s="1383"/>
      <c r="AK590" s="1383"/>
      <c r="AZ590" s="2"/>
      <c r="BA590" s="2"/>
      <c r="BB590" s="2"/>
      <c r="BC590" s="2"/>
    </row>
    <row r="591" spans="1:55" ht="12.9" customHeight="1">
      <c r="A591" s="17"/>
      <c r="B591" t="s">
        <v>1428</v>
      </c>
      <c r="N591" s="1440" t="s">
        <v>694</v>
      </c>
      <c r="O591" s="1440"/>
      <c r="T591" s="17"/>
      <c r="U591" t="s">
        <v>1428</v>
      </c>
      <c r="AG591" s="1440" t="s">
        <v>694</v>
      </c>
      <c r="AH591" s="1440"/>
      <c r="AZ591" s="2"/>
      <c r="BA591" s="2"/>
      <c r="BB591" s="2"/>
      <c r="BC591" s="2"/>
    </row>
    <row r="592" spans="1:55" ht="12.9" customHeight="1">
      <c r="A592" s="17"/>
      <c r="T592" s="17"/>
      <c r="AZ592" s="2"/>
      <c r="BA592" s="2"/>
      <c r="BB592" s="2"/>
      <c r="BC592" s="2"/>
    </row>
    <row r="593" spans="1:55" ht="12.9" customHeight="1">
      <c r="A593" s="36" t="s">
        <v>1412</v>
      </c>
      <c r="B593" t="s">
        <v>1420</v>
      </c>
      <c r="G593" s="1432" t="str">
        <f>C560</f>
        <v>Deferred Costs</v>
      </c>
      <c r="H593" s="1432"/>
      <c r="I593" s="1432"/>
      <c r="J593" s="1432"/>
      <c r="K593" s="1432"/>
      <c r="L593" s="1432"/>
      <c r="M593" s="1432"/>
      <c r="N593" s="1432"/>
      <c r="O593" s="1432"/>
      <c r="P593" s="1432"/>
      <c r="Q593" s="1432"/>
      <c r="R593" s="1432"/>
      <c r="T593" s="36" t="s">
        <v>1414</v>
      </c>
      <c r="U593" t="s">
        <v>1420</v>
      </c>
      <c r="Z593" s="1432">
        <f>C561</f>
        <v>0</v>
      </c>
      <c r="AA593" s="1432"/>
      <c r="AB593" s="1432"/>
      <c r="AC593" s="1432"/>
      <c r="AD593" s="1432"/>
      <c r="AE593" s="1432"/>
      <c r="AF593" s="1432"/>
      <c r="AG593" s="1432"/>
      <c r="AH593" s="1432"/>
      <c r="AI593" s="1432"/>
      <c r="AJ593" s="1432"/>
      <c r="AK593" s="1432"/>
      <c r="AZ593" s="2"/>
      <c r="BA593" s="2"/>
      <c r="BB593" s="2"/>
      <c r="BC593" s="2"/>
    </row>
    <row r="594" spans="1:55" s="3" customFormat="1" ht="12.9" customHeight="1">
      <c r="A594" s="17"/>
      <c r="B594" t="s">
        <v>1062</v>
      </c>
      <c r="C594"/>
      <c r="D594"/>
      <c r="E594"/>
      <c r="F594"/>
      <c r="G594" s="1383" t="s">
        <v>1435</v>
      </c>
      <c r="H594" s="1383"/>
      <c r="I594" s="1383"/>
      <c r="J594" s="1383"/>
      <c r="K594" s="1383"/>
      <c r="L594" s="1383"/>
      <c r="M594" s="1383"/>
      <c r="N594" s="1383"/>
      <c r="O594" s="1383"/>
      <c r="P594" s="1383"/>
      <c r="Q594" s="1383"/>
      <c r="R594" s="1383"/>
      <c r="S594"/>
      <c r="T594" s="17"/>
      <c r="U594" t="s">
        <v>1062</v>
      </c>
      <c r="V594"/>
      <c r="W594"/>
      <c r="X594"/>
      <c r="Y594"/>
      <c r="Z594" s="1383"/>
      <c r="AA594" s="1383"/>
      <c r="AB594" s="1383"/>
      <c r="AC594" s="1383"/>
      <c r="AD594" s="1383"/>
      <c r="AE594" s="1383"/>
      <c r="AF594" s="1383"/>
      <c r="AG594" s="1383"/>
      <c r="AH594" s="1383"/>
      <c r="AI594" s="1383"/>
      <c r="AJ594" s="1383"/>
      <c r="AK594" s="1383"/>
      <c r="AL594"/>
      <c r="AM594"/>
      <c r="AN594"/>
      <c r="AO594"/>
      <c r="AP594"/>
      <c r="AQ594"/>
      <c r="AR594"/>
      <c r="AS594"/>
      <c r="AT594"/>
      <c r="AU594"/>
      <c r="AV594"/>
      <c r="AW594"/>
      <c r="AX594"/>
      <c r="AY594"/>
      <c r="AZ594" s="2"/>
      <c r="BA594" s="2"/>
      <c r="BB594" s="2"/>
      <c r="BC594" s="2"/>
    </row>
    <row r="595" spans="1:55" s="3" customFormat="1" ht="12.9" customHeight="1">
      <c r="A595" s="17"/>
      <c r="B595" t="s">
        <v>930</v>
      </c>
      <c r="C595"/>
      <c r="D595"/>
      <c r="E595"/>
      <c r="F595"/>
      <c r="G595" s="1383" t="s">
        <v>1127</v>
      </c>
      <c r="H595" s="1383"/>
      <c r="I595" s="1383"/>
      <c r="J595" s="1383"/>
      <c r="K595" s="1383"/>
      <c r="L595" s="1383"/>
      <c r="M595" s="1383"/>
      <c r="N595" s="1383"/>
      <c r="O595" s="1383"/>
      <c r="P595" s="1383"/>
      <c r="Q595" s="1383"/>
      <c r="R595" s="1383"/>
      <c r="S595"/>
      <c r="T595" s="17"/>
      <c r="U595" t="s">
        <v>930</v>
      </c>
      <c r="V595"/>
      <c r="W595"/>
      <c r="X595"/>
      <c r="Y595"/>
      <c r="Z595" s="1328"/>
      <c r="AA595" s="1328"/>
      <c r="AB595" s="1328"/>
      <c r="AC595" s="1328"/>
      <c r="AD595" s="1328"/>
      <c r="AE595" s="1328"/>
      <c r="AF595" s="1328"/>
      <c r="AG595" s="1328"/>
      <c r="AH595" s="1328"/>
      <c r="AI595" s="1328"/>
      <c r="AJ595" s="1328"/>
      <c r="AK595" s="1328"/>
      <c r="AL595"/>
      <c r="AM595"/>
      <c r="AN595"/>
      <c r="AO595"/>
      <c r="AP595"/>
      <c r="AQ595"/>
      <c r="AR595"/>
      <c r="AS595"/>
      <c r="AT595"/>
      <c r="AU595"/>
      <c r="AV595"/>
      <c r="AW595"/>
      <c r="AX595"/>
      <c r="AY595"/>
      <c r="AZ595" s="2"/>
      <c r="BA595" s="2"/>
      <c r="BB595" s="2"/>
      <c r="BC595" s="2"/>
    </row>
    <row r="596" spans="1:55" s="3" customFormat="1" ht="12.9" customHeight="1">
      <c r="A596" s="17"/>
      <c r="B596" t="s">
        <v>1423</v>
      </c>
      <c r="C596"/>
      <c r="D596"/>
      <c r="E596"/>
      <c r="F596"/>
      <c r="G596" s="1383" t="s">
        <v>1068</v>
      </c>
      <c r="H596" s="1383"/>
      <c r="I596" s="1383"/>
      <c r="J596" s="1383"/>
      <c r="K596" s="1383"/>
      <c r="L596" s="1383"/>
      <c r="M596" s="1383"/>
      <c r="N596" s="1383"/>
      <c r="O596" s="1383"/>
      <c r="P596" s="1383"/>
      <c r="Q596" s="1383"/>
      <c r="R596" s="1383"/>
      <c r="S596"/>
      <c r="T596" s="17"/>
      <c r="U596" t="s">
        <v>1423</v>
      </c>
      <c r="V596"/>
      <c r="W596"/>
      <c r="X596"/>
      <c r="Y596"/>
      <c r="Z596" s="1328"/>
      <c r="AA596" s="1328"/>
      <c r="AB596" s="1328"/>
      <c r="AC596" s="1328"/>
      <c r="AD596" s="1328"/>
      <c r="AE596" s="1328"/>
      <c r="AF596" s="1328"/>
      <c r="AG596" s="1328"/>
      <c r="AH596" s="1328"/>
      <c r="AI596" s="1328"/>
      <c r="AJ596" s="1328"/>
      <c r="AK596" s="1328"/>
      <c r="AL596"/>
      <c r="AM596"/>
      <c r="AN596"/>
      <c r="AO596"/>
      <c r="AP596"/>
      <c r="AQ596"/>
      <c r="AR596"/>
      <c r="AS596"/>
      <c r="AT596"/>
      <c r="AU596"/>
      <c r="AV596"/>
      <c r="AW596"/>
      <c r="AX596"/>
      <c r="AY596"/>
      <c r="AZ596" s="2"/>
      <c r="BA596" s="2"/>
      <c r="BB596" s="2"/>
      <c r="BC596" s="2"/>
    </row>
    <row r="597" spans="1:55" s="3" customFormat="1" ht="12.9" customHeight="1">
      <c r="A597" s="17"/>
      <c r="B597" t="s">
        <v>823</v>
      </c>
      <c r="C597"/>
      <c r="D597"/>
      <c r="E597"/>
      <c r="F597"/>
      <c r="G597" s="1445" t="s">
        <v>1070</v>
      </c>
      <c r="H597" s="1445"/>
      <c r="I597" s="1445"/>
      <c r="J597" s="1445"/>
      <c r="K597" s="1445"/>
      <c r="L597" s="1445"/>
      <c r="M597"/>
      <c r="N597"/>
      <c r="O597" s="763" t="s">
        <v>1071</v>
      </c>
      <c r="P597" s="1421"/>
      <c r="Q597" s="1421"/>
      <c r="R597" s="1421"/>
      <c r="S597"/>
      <c r="T597" s="17"/>
      <c r="U597" t="s">
        <v>823</v>
      </c>
      <c r="V597"/>
      <c r="W597"/>
      <c r="X597"/>
      <c r="Y597"/>
      <c r="Z597" s="1445"/>
      <c r="AA597" s="1445"/>
      <c r="AB597" s="1445"/>
      <c r="AC597" s="1445"/>
      <c r="AD597" s="1445"/>
      <c r="AE597" s="1445"/>
      <c r="AF597"/>
      <c r="AG597"/>
      <c r="AH597" s="763" t="s">
        <v>1071</v>
      </c>
      <c r="AI597" s="1421"/>
      <c r="AJ597" s="1421"/>
      <c r="AK597" s="1421"/>
      <c r="AL597"/>
      <c r="AM597"/>
      <c r="AN597"/>
      <c r="AO597"/>
      <c r="AP597"/>
      <c r="AQ597"/>
      <c r="AR597"/>
      <c r="AS597"/>
      <c r="AT597"/>
      <c r="AU597"/>
      <c r="AV597"/>
      <c r="AW597"/>
      <c r="AX597"/>
      <c r="AY597"/>
      <c r="AZ597" s="2"/>
      <c r="BA597" s="2"/>
      <c r="BB597" s="2"/>
      <c r="BC597" s="2"/>
    </row>
    <row r="598" spans="1:55" s="3" customFormat="1" ht="12.9" customHeight="1">
      <c r="A598" s="17"/>
      <c r="B598" t="s">
        <v>1425</v>
      </c>
      <c r="C598"/>
      <c r="D598"/>
      <c r="E598"/>
      <c r="F598"/>
      <c r="G598"/>
      <c r="H598" s="1383" t="s">
        <v>1436</v>
      </c>
      <c r="I598" s="1383"/>
      <c r="J598" s="1383"/>
      <c r="K598" s="1383"/>
      <c r="L598" s="1383"/>
      <c r="M598" s="1383"/>
      <c r="N598" s="1383"/>
      <c r="O598" s="1383"/>
      <c r="P598" s="1383"/>
      <c r="Q598" s="1383"/>
      <c r="R598" s="1383"/>
      <c r="S598"/>
      <c r="T598" s="17"/>
      <c r="U598" t="s">
        <v>1425</v>
      </c>
      <c r="V598"/>
      <c r="W598"/>
      <c r="X598"/>
      <c r="Y598"/>
      <c r="Z598"/>
      <c r="AA598" s="1383"/>
      <c r="AB598" s="1383"/>
      <c r="AC598" s="1383"/>
      <c r="AD598" s="1383"/>
      <c r="AE598" s="1383"/>
      <c r="AF598" s="1383"/>
      <c r="AG598" s="1383"/>
      <c r="AH598" s="1383"/>
      <c r="AI598" s="1383"/>
      <c r="AJ598" s="1383"/>
      <c r="AK598" s="1383"/>
      <c r="AL598"/>
      <c r="AM598"/>
      <c r="AN598"/>
      <c r="AO598"/>
      <c r="AP598"/>
      <c r="AQ598"/>
      <c r="AR598"/>
      <c r="AS598"/>
      <c r="AT598"/>
      <c r="AU598"/>
      <c r="AV598"/>
      <c r="AW598"/>
      <c r="AX598"/>
      <c r="AY598"/>
      <c r="AZ598" s="2"/>
      <c r="BA598" s="2"/>
      <c r="BB598" s="2"/>
      <c r="BC598" s="2"/>
    </row>
    <row r="599" spans="1:55" ht="12.9" customHeight="1">
      <c r="A599" s="17"/>
      <c r="B599" t="s">
        <v>1428</v>
      </c>
      <c r="N599" s="1440" t="s">
        <v>694</v>
      </c>
      <c r="O599" s="1440"/>
      <c r="T599" s="17"/>
      <c r="U599" t="s">
        <v>1428</v>
      </c>
      <c r="AG599" s="1440" t="s">
        <v>843</v>
      </c>
      <c r="AH599" s="1440"/>
      <c r="BB599" s="2"/>
      <c r="BC599" s="2"/>
    </row>
    <row r="600" spans="1:55" ht="12.9" customHeight="1">
      <c r="A600" s="17"/>
      <c r="T600" s="17"/>
      <c r="BB600" s="2"/>
      <c r="BC600" s="2"/>
    </row>
    <row r="601" spans="1:55" ht="12.9" customHeight="1">
      <c r="A601" s="36" t="s">
        <v>1415</v>
      </c>
      <c r="B601" t="s">
        <v>1420</v>
      </c>
      <c r="G601" s="1432">
        <f>C562</f>
        <v>0</v>
      </c>
      <c r="H601" s="1432"/>
      <c r="I601" s="1432"/>
      <c r="J601" s="1432"/>
      <c r="K601" s="1432"/>
      <c r="L601" s="1432"/>
      <c r="M601" s="1432"/>
      <c r="N601" s="1432"/>
      <c r="O601" s="1432"/>
      <c r="P601" s="1432"/>
      <c r="Q601" s="1432"/>
      <c r="R601" s="1432"/>
      <c r="T601" s="36" t="s">
        <v>1416</v>
      </c>
      <c r="U601" t="s">
        <v>1420</v>
      </c>
      <c r="Z601" s="1432">
        <f>C563</f>
        <v>0</v>
      </c>
      <c r="AA601" s="1432"/>
      <c r="AB601" s="1432"/>
      <c r="AC601" s="1432"/>
      <c r="AD601" s="1432"/>
      <c r="AE601" s="1432"/>
      <c r="AF601" s="1432"/>
      <c r="AG601" s="1432"/>
      <c r="AH601" s="1432"/>
      <c r="AI601" s="1432"/>
      <c r="AJ601" s="1432"/>
      <c r="AK601" s="1432"/>
      <c r="BB601" s="2"/>
      <c r="BC601" s="2"/>
    </row>
    <row r="602" spans="1:55" ht="12.9" customHeight="1">
      <c r="A602" s="17"/>
      <c r="B602" t="s">
        <v>1062</v>
      </c>
      <c r="G602" s="1383"/>
      <c r="H602" s="1383"/>
      <c r="I602" s="1383"/>
      <c r="J602" s="1383"/>
      <c r="K602" s="1383"/>
      <c r="L602" s="1383"/>
      <c r="M602" s="1383"/>
      <c r="N602" s="1383"/>
      <c r="O602" s="1383"/>
      <c r="P602" s="1383"/>
      <c r="Q602" s="1383"/>
      <c r="R602" s="1383"/>
      <c r="T602" s="17"/>
      <c r="U602" t="s">
        <v>1062</v>
      </c>
      <c r="Z602" s="1383"/>
      <c r="AA602" s="1383"/>
      <c r="AB602" s="1383"/>
      <c r="AC602" s="1383"/>
      <c r="AD602" s="1383"/>
      <c r="AE602" s="1383"/>
      <c r="AF602" s="1383"/>
      <c r="AG602" s="1383"/>
      <c r="AH602" s="1383"/>
      <c r="AI602" s="1383"/>
      <c r="AJ602" s="1383"/>
      <c r="AK602" s="1383"/>
      <c r="AZ602" s="2"/>
      <c r="BA602" s="2"/>
      <c r="BB602" s="2"/>
      <c r="BC602" s="2"/>
    </row>
    <row r="603" spans="1:55" ht="12.9" customHeight="1">
      <c r="A603" s="17"/>
      <c r="B603" t="s">
        <v>930</v>
      </c>
      <c r="G603" s="1383"/>
      <c r="H603" s="1383"/>
      <c r="I603" s="1383"/>
      <c r="J603" s="1383"/>
      <c r="K603" s="1383"/>
      <c r="L603" s="1383"/>
      <c r="M603" s="1383"/>
      <c r="N603" s="1383"/>
      <c r="O603" s="1383"/>
      <c r="P603" s="1383"/>
      <c r="Q603" s="1383"/>
      <c r="R603" s="1383"/>
      <c r="T603" s="17"/>
      <c r="U603" t="s">
        <v>930</v>
      </c>
      <c r="Z603" s="1328"/>
      <c r="AA603" s="1328"/>
      <c r="AB603" s="1328"/>
      <c r="AC603" s="1328"/>
      <c r="AD603" s="1328"/>
      <c r="AE603" s="1328"/>
      <c r="AF603" s="1328"/>
      <c r="AG603" s="1328"/>
      <c r="AH603" s="1328"/>
      <c r="AI603" s="1328"/>
      <c r="AJ603" s="1328"/>
      <c r="AK603" s="1328"/>
      <c r="AZ603" s="2"/>
      <c r="BA603" s="2"/>
      <c r="BB603" s="2"/>
      <c r="BC603" s="2"/>
    </row>
    <row r="604" spans="1:55" ht="12.9" customHeight="1">
      <c r="A604" s="17"/>
      <c r="B604" t="s">
        <v>1423</v>
      </c>
      <c r="G604" s="1383"/>
      <c r="H604" s="1383"/>
      <c r="I604" s="1383"/>
      <c r="J604" s="1383"/>
      <c r="K604" s="1383"/>
      <c r="L604" s="1383"/>
      <c r="M604" s="1383"/>
      <c r="N604" s="1383"/>
      <c r="O604" s="1383"/>
      <c r="P604" s="1383"/>
      <c r="Q604" s="1383"/>
      <c r="R604" s="1383"/>
      <c r="T604" s="17"/>
      <c r="U604" t="s">
        <v>1423</v>
      </c>
      <c r="Z604" s="1328"/>
      <c r="AA604" s="1328"/>
      <c r="AB604" s="1328"/>
      <c r="AC604" s="1328"/>
      <c r="AD604" s="1328"/>
      <c r="AE604" s="1328"/>
      <c r="AF604" s="1328"/>
      <c r="AG604" s="1328"/>
      <c r="AH604" s="1328"/>
      <c r="AI604" s="1328"/>
      <c r="AJ604" s="1328"/>
      <c r="AK604" s="1328"/>
      <c r="AZ604" s="2"/>
      <c r="BA604" s="2"/>
      <c r="BB604" s="2"/>
      <c r="BC604" s="2"/>
    </row>
    <row r="605" spans="1:55" s="3" customFormat="1" ht="12.9" customHeight="1">
      <c r="A605" s="17"/>
      <c r="B605" t="s">
        <v>823</v>
      </c>
      <c r="C605"/>
      <c r="D605"/>
      <c r="E605"/>
      <c r="F605"/>
      <c r="G605" s="1445"/>
      <c r="H605" s="1445"/>
      <c r="I605" s="1445"/>
      <c r="J605" s="1445"/>
      <c r="K605" s="1445"/>
      <c r="L605" s="1445"/>
      <c r="M605"/>
      <c r="N605"/>
      <c r="O605" s="763" t="s">
        <v>1071</v>
      </c>
      <c r="P605" s="1421"/>
      <c r="Q605" s="1421"/>
      <c r="R605" s="1421"/>
      <c r="S605"/>
      <c r="T605" s="17"/>
      <c r="U605" t="s">
        <v>823</v>
      </c>
      <c r="V605"/>
      <c r="W605"/>
      <c r="X605"/>
      <c r="Y605"/>
      <c r="Z605" s="1445"/>
      <c r="AA605" s="1445"/>
      <c r="AB605" s="1445"/>
      <c r="AC605" s="1445"/>
      <c r="AD605" s="1445"/>
      <c r="AE605" s="1445"/>
      <c r="AF605"/>
      <c r="AG605"/>
      <c r="AH605" s="763" t="s">
        <v>1071</v>
      </c>
      <c r="AI605" s="1421"/>
      <c r="AJ605" s="1421"/>
      <c r="AK605" s="1421"/>
      <c r="AL605"/>
      <c r="AM605"/>
      <c r="AN605"/>
      <c r="AO605"/>
      <c r="AP605"/>
      <c r="AQ605"/>
      <c r="AR605"/>
      <c r="AS605"/>
      <c r="AT605"/>
      <c r="AU605"/>
      <c r="AV605"/>
      <c r="AW605"/>
      <c r="AX605"/>
      <c r="AY605"/>
      <c r="AZ605" s="2"/>
      <c r="BA605" s="2"/>
      <c r="BB605" s="2"/>
      <c r="BC605" s="2"/>
    </row>
    <row r="606" spans="1:55" s="3" customFormat="1" ht="12.9" customHeight="1">
      <c r="A606" s="17"/>
      <c r="B606" t="s">
        <v>1425</v>
      </c>
      <c r="C606"/>
      <c r="D606"/>
      <c r="E606"/>
      <c r="F606"/>
      <c r="G606"/>
      <c r="H606" s="1383"/>
      <c r="I606" s="1383"/>
      <c r="J606" s="1383"/>
      <c r="K606" s="1383"/>
      <c r="L606" s="1383"/>
      <c r="M606" s="1383"/>
      <c r="N606" s="1383"/>
      <c r="O606" s="1383"/>
      <c r="P606" s="1383"/>
      <c r="Q606" s="1383"/>
      <c r="R606" s="1383"/>
      <c r="S606"/>
      <c r="T606" s="17"/>
      <c r="U606" t="s">
        <v>1425</v>
      </c>
      <c r="V606"/>
      <c r="W606"/>
      <c r="X606"/>
      <c r="Y606"/>
      <c r="Z606"/>
      <c r="AA606" s="1383"/>
      <c r="AB606" s="1383"/>
      <c r="AC606" s="1383"/>
      <c r="AD606" s="1383"/>
      <c r="AE606" s="1383"/>
      <c r="AF606" s="1383"/>
      <c r="AG606" s="1383"/>
      <c r="AH606" s="1383"/>
      <c r="AI606" s="1383"/>
      <c r="AJ606" s="1383"/>
      <c r="AK606" s="1383"/>
      <c r="AL606"/>
      <c r="AM606"/>
      <c r="AN606"/>
      <c r="AO606"/>
      <c r="AP606"/>
      <c r="AQ606"/>
      <c r="AR606"/>
      <c r="AS606"/>
      <c r="AT606"/>
      <c r="AU606"/>
      <c r="AV606"/>
      <c r="AW606"/>
      <c r="AX606"/>
      <c r="AY606"/>
      <c r="AZ606" s="2"/>
      <c r="BA606" s="2"/>
      <c r="BB606" s="2"/>
      <c r="BC606" s="2"/>
    </row>
    <row r="607" spans="1:55" s="3" customFormat="1" ht="12.9" customHeight="1">
      <c r="A607" s="17"/>
      <c r="B607" t="s">
        <v>1428</v>
      </c>
      <c r="C607"/>
      <c r="D607"/>
      <c r="E607"/>
      <c r="F607"/>
      <c r="G607"/>
      <c r="H607"/>
      <c r="I607"/>
      <c r="J607"/>
      <c r="K607"/>
      <c r="L607"/>
      <c r="M607"/>
      <c r="N607" s="1440" t="s">
        <v>843</v>
      </c>
      <c r="O607" s="1440"/>
      <c r="P607"/>
      <c r="Q607"/>
      <c r="R607"/>
      <c r="S607"/>
      <c r="T607" s="17"/>
      <c r="U607" t="s">
        <v>1428</v>
      </c>
      <c r="V607"/>
      <c r="W607"/>
      <c r="X607"/>
      <c r="Y607"/>
      <c r="Z607"/>
      <c r="AA607"/>
      <c r="AB607"/>
      <c r="AC607"/>
      <c r="AD607"/>
      <c r="AE607"/>
      <c r="AF607"/>
      <c r="AG607" s="1440" t="s">
        <v>843</v>
      </c>
      <c r="AH607" s="1440"/>
      <c r="AI607"/>
      <c r="AJ607"/>
      <c r="AK607"/>
      <c r="AL607"/>
      <c r="AM607"/>
      <c r="AN607"/>
      <c r="AO607"/>
      <c r="AP607"/>
      <c r="AQ607"/>
      <c r="AR607"/>
      <c r="AS607"/>
      <c r="AT607"/>
      <c r="AU607"/>
      <c r="AV607"/>
      <c r="AW607"/>
      <c r="AX607"/>
      <c r="AY607"/>
      <c r="AZ607" s="2"/>
      <c r="BA607" s="2"/>
      <c r="BB607" s="2"/>
      <c r="BC607" s="2"/>
    </row>
    <row r="608" spans="1:55" ht="12.9" customHeight="1">
      <c r="A608" s="17"/>
      <c r="T608" s="17"/>
      <c r="AZ608" s="2"/>
      <c r="BA608" s="2"/>
      <c r="BB608" s="2"/>
      <c r="BC608" s="2"/>
    </row>
    <row r="609" spans="1:55" ht="12.9" customHeight="1">
      <c r="A609" s="36" t="s">
        <v>1417</v>
      </c>
      <c r="B609" t="s">
        <v>1420</v>
      </c>
      <c r="G609" s="1432">
        <f>C564</f>
        <v>0</v>
      </c>
      <c r="H609" s="1432"/>
      <c r="I609" s="1432"/>
      <c r="J609" s="1432"/>
      <c r="K609" s="1432"/>
      <c r="L609" s="1432"/>
      <c r="M609" s="1432"/>
      <c r="N609" s="1432"/>
      <c r="O609" s="1432"/>
      <c r="P609" s="1432"/>
      <c r="Q609" s="1432"/>
      <c r="R609" s="1432"/>
      <c r="T609" s="36" t="s">
        <v>1418</v>
      </c>
      <c r="U609" t="s">
        <v>1420</v>
      </c>
      <c r="Z609" s="1432">
        <f>C565</f>
        <v>0</v>
      </c>
      <c r="AA609" s="1432"/>
      <c r="AB609" s="1432"/>
      <c r="AC609" s="1432"/>
      <c r="AD609" s="1432"/>
      <c r="AE609" s="1432"/>
      <c r="AF609" s="1432"/>
      <c r="AG609" s="1432"/>
      <c r="AH609" s="1432"/>
      <c r="AI609" s="1432"/>
      <c r="AJ609" s="1432"/>
      <c r="AK609" s="1432"/>
      <c r="AZ609" s="2"/>
      <c r="BA609" s="2"/>
      <c r="BB609" s="2"/>
      <c r="BC609" s="2"/>
    </row>
    <row r="610" spans="1:55" ht="12.9" customHeight="1">
      <c r="B610" t="s">
        <v>1062</v>
      </c>
      <c r="G610" s="1383"/>
      <c r="H610" s="1383"/>
      <c r="I610" s="1383"/>
      <c r="J610" s="1383"/>
      <c r="K610" s="1383"/>
      <c r="L610" s="1383"/>
      <c r="M610" s="1383"/>
      <c r="N610" s="1383"/>
      <c r="O610" s="1383"/>
      <c r="P610" s="1383"/>
      <c r="Q610" s="1383"/>
      <c r="R610" s="1383"/>
      <c r="U610" t="s">
        <v>1062</v>
      </c>
      <c r="Z610" s="1383"/>
      <c r="AA610" s="1383"/>
      <c r="AB610" s="1383"/>
      <c r="AC610" s="1383"/>
      <c r="AD610" s="1383"/>
      <c r="AE610" s="1383"/>
      <c r="AF610" s="1383"/>
      <c r="AG610" s="1383"/>
      <c r="AH610" s="1383"/>
      <c r="AI610" s="1383"/>
      <c r="AJ610" s="1383"/>
      <c r="AK610" s="1383"/>
      <c r="AZ610" s="2"/>
      <c r="BA610" s="2"/>
      <c r="BB610" s="2"/>
      <c r="BC610" s="2"/>
    </row>
    <row r="611" spans="1:55" ht="12.9" customHeight="1">
      <c r="B611" t="s">
        <v>930</v>
      </c>
      <c r="G611" s="1383"/>
      <c r="H611" s="1383"/>
      <c r="I611" s="1383"/>
      <c r="J611" s="1383"/>
      <c r="K611" s="1383"/>
      <c r="L611" s="1383"/>
      <c r="M611" s="1383"/>
      <c r="N611" s="1383"/>
      <c r="O611" s="1383"/>
      <c r="P611" s="1383"/>
      <c r="Q611" s="1383"/>
      <c r="R611" s="1383"/>
      <c r="U611" t="s">
        <v>930</v>
      </c>
      <c r="Z611" s="1328"/>
      <c r="AA611" s="1328"/>
      <c r="AB611" s="1328"/>
      <c r="AC611" s="1328"/>
      <c r="AD611" s="1328"/>
      <c r="AE611" s="1328"/>
      <c r="AF611" s="1328"/>
      <c r="AG611" s="1328"/>
      <c r="AH611" s="1328"/>
      <c r="AI611" s="1328"/>
      <c r="AJ611" s="1328"/>
      <c r="AK611" s="1328"/>
      <c r="AZ611" s="2"/>
      <c r="BA611" s="2"/>
      <c r="BB611" s="2"/>
      <c r="BC611" s="2"/>
    </row>
    <row r="612" spans="1:55" ht="12.9" customHeight="1">
      <c r="B612" t="s">
        <v>1423</v>
      </c>
      <c r="G612" s="1383"/>
      <c r="H612" s="1383"/>
      <c r="I612" s="1383"/>
      <c r="J612" s="1383"/>
      <c r="K612" s="1383"/>
      <c r="L612" s="1383"/>
      <c r="M612" s="1383"/>
      <c r="N612" s="1383"/>
      <c r="O612" s="1383"/>
      <c r="P612" s="1383"/>
      <c r="Q612" s="1383"/>
      <c r="R612" s="1383"/>
      <c r="U612" t="s">
        <v>1423</v>
      </c>
      <c r="Z612" s="1328"/>
      <c r="AA612" s="1328"/>
      <c r="AB612" s="1328"/>
      <c r="AC612" s="1328"/>
      <c r="AD612" s="1328"/>
      <c r="AE612" s="1328"/>
      <c r="AF612" s="1328"/>
      <c r="AG612" s="1328"/>
      <c r="AH612" s="1328"/>
      <c r="AI612" s="1328"/>
      <c r="AJ612" s="1328"/>
      <c r="AK612" s="1328"/>
      <c r="AZ612" s="2"/>
      <c r="BA612" s="2"/>
      <c r="BB612" s="2"/>
      <c r="BC612" s="2"/>
    </row>
    <row r="613" spans="1:55" ht="12.9" customHeight="1">
      <c r="B613" t="s">
        <v>823</v>
      </c>
      <c r="G613" s="1445"/>
      <c r="H613" s="1445"/>
      <c r="I613" s="1445"/>
      <c r="J613" s="1445"/>
      <c r="K613" s="1445"/>
      <c r="L613" s="1445"/>
      <c r="O613" s="763" t="s">
        <v>1071</v>
      </c>
      <c r="P613" s="1421"/>
      <c r="Q613" s="1421"/>
      <c r="R613" s="1421"/>
      <c r="U613" t="s">
        <v>823</v>
      </c>
      <c r="Z613" s="1445"/>
      <c r="AA613" s="1445"/>
      <c r="AB613" s="1445"/>
      <c r="AC613" s="1445"/>
      <c r="AD613" s="1445"/>
      <c r="AE613" s="1445"/>
      <c r="AH613" s="763" t="s">
        <v>1071</v>
      </c>
      <c r="AI613" s="1421"/>
      <c r="AJ613" s="1421"/>
      <c r="AK613" s="1421"/>
      <c r="AZ613" s="2"/>
      <c r="BA613" s="2"/>
      <c r="BB613" s="2"/>
      <c r="BC613" s="2"/>
    </row>
    <row r="614" spans="1:55" ht="12.9" customHeight="1">
      <c r="B614" t="s">
        <v>1425</v>
      </c>
      <c r="H614" s="1383"/>
      <c r="I614" s="1383"/>
      <c r="J614" s="1383"/>
      <c r="K614" s="1383"/>
      <c r="L614" s="1383"/>
      <c r="M614" s="1383"/>
      <c r="N614" s="1383"/>
      <c r="O614" s="1383"/>
      <c r="P614" s="1383"/>
      <c r="Q614" s="1383"/>
      <c r="R614" s="1383"/>
      <c r="U614" t="s">
        <v>1425</v>
      </c>
      <c r="AA614" s="1383"/>
      <c r="AB614" s="1383"/>
      <c r="AC614" s="1383"/>
      <c r="AD614" s="1383"/>
      <c r="AE614" s="1383"/>
      <c r="AF614" s="1383"/>
      <c r="AG614" s="1383"/>
      <c r="AH614" s="1383"/>
      <c r="AI614" s="1383"/>
      <c r="AJ614" s="1383"/>
      <c r="AK614" s="1383"/>
      <c r="AU614" s="660"/>
      <c r="AV614" s="660"/>
      <c r="AW614" s="660"/>
      <c r="AX614" s="660"/>
      <c r="AY614" s="660"/>
      <c r="AZ614" s="2"/>
      <c r="BA614" s="2"/>
      <c r="BB614" s="2"/>
      <c r="BC614" s="2"/>
    </row>
    <row r="615" spans="1:55" ht="12.9" customHeight="1">
      <c r="B615" t="s">
        <v>1428</v>
      </c>
      <c r="N615" s="1440" t="s">
        <v>843</v>
      </c>
      <c r="O615" s="1440"/>
      <c r="U615" t="s">
        <v>1428</v>
      </c>
      <c r="AG615" s="1440" t="s">
        <v>843</v>
      </c>
      <c r="AH615" s="1440"/>
      <c r="AU615" s="660"/>
      <c r="AV615" s="660"/>
      <c r="AW615" s="660"/>
      <c r="AX615" s="660"/>
      <c r="AY615" s="660"/>
      <c r="AZ615" s="2"/>
      <c r="BA615" s="2"/>
      <c r="BB615" s="2"/>
      <c r="BC615" s="2"/>
    </row>
    <row r="616" spans="1:55" ht="12.9" customHeight="1">
      <c r="AZ616" s="2"/>
      <c r="BA616" s="2"/>
      <c r="BB616" s="2"/>
      <c r="BC616" s="2"/>
    </row>
    <row r="617" spans="1:55" ht="12.9" customHeight="1">
      <c r="A617" s="1233" t="s">
        <v>1437</v>
      </c>
      <c r="B617" s="1233"/>
      <c r="C617" s="1233"/>
      <c r="D617" s="1233"/>
      <c r="E617" s="1233"/>
      <c r="F617" s="1233"/>
      <c r="G617" s="1233"/>
      <c r="H617" s="1233"/>
      <c r="I617" s="1233"/>
      <c r="J617" s="1233"/>
      <c r="K617" s="1233"/>
      <c r="L617" s="1233"/>
      <c r="M617" s="1233"/>
      <c r="N617" s="1233"/>
      <c r="O617" s="1233"/>
      <c r="P617" s="1233"/>
      <c r="Q617" s="1233"/>
      <c r="R617" s="1233"/>
      <c r="S617" s="1233"/>
      <c r="T617" s="1233"/>
      <c r="U617" s="1233"/>
      <c r="V617" s="1233"/>
      <c r="W617" s="1233"/>
      <c r="X617" s="1233"/>
      <c r="Y617" s="1233"/>
      <c r="Z617" s="1233"/>
      <c r="AA617" s="1233"/>
      <c r="AB617" s="1233"/>
      <c r="AC617" s="1233"/>
      <c r="AD617" s="1233"/>
      <c r="AE617" s="1233"/>
      <c r="AF617" s="1233"/>
      <c r="AG617" s="1233"/>
      <c r="AH617" s="1233"/>
      <c r="AI617" s="1233"/>
      <c r="AJ617" s="1233"/>
      <c r="AK617" s="1233"/>
      <c r="AL617" s="1233"/>
      <c r="AM617" s="1233"/>
      <c r="AN617" s="1233"/>
      <c r="AO617" s="1233"/>
      <c r="AP617" s="1233"/>
      <c r="AQ617" s="1233"/>
      <c r="AR617" s="1233"/>
      <c r="AS617" s="1233"/>
      <c r="AT617" s="1233"/>
      <c r="AZ617" s="2"/>
      <c r="BA617" s="2"/>
      <c r="BB617" s="2"/>
      <c r="BC617" s="2"/>
    </row>
    <row r="618" spans="1:55" ht="12.9" customHeight="1">
      <c r="A618" s="1233"/>
      <c r="B618" s="1233"/>
      <c r="C618" s="1233"/>
      <c r="D618" s="1233"/>
      <c r="E618" s="1233"/>
      <c r="F618" s="1233"/>
      <c r="G618" s="1233"/>
      <c r="H618" s="1233"/>
      <c r="I618" s="1233"/>
      <c r="J618" s="1233"/>
      <c r="K618" s="1233"/>
      <c r="L618" s="1233"/>
      <c r="M618" s="1233"/>
      <c r="N618" s="1233"/>
      <c r="O618" s="1233"/>
      <c r="P618" s="1233"/>
      <c r="Q618" s="1233"/>
      <c r="R618" s="1233"/>
      <c r="S618" s="1233"/>
      <c r="T618" s="1233"/>
      <c r="U618" s="1233"/>
      <c r="V618" s="1233"/>
      <c r="W618" s="1233"/>
      <c r="X618" s="1233"/>
      <c r="Y618" s="1233"/>
      <c r="Z618" s="1233"/>
      <c r="AA618" s="1233"/>
      <c r="AB618" s="1233"/>
      <c r="AC618" s="1233"/>
      <c r="AD618" s="1233"/>
      <c r="AE618" s="1233"/>
      <c r="AF618" s="1233"/>
      <c r="AG618" s="1233"/>
      <c r="AH618" s="1233"/>
      <c r="AI618" s="1233"/>
      <c r="AJ618" s="1233"/>
      <c r="AK618" s="1233"/>
      <c r="AL618" s="1233"/>
      <c r="AM618" s="1233"/>
      <c r="AN618" s="1233"/>
      <c r="AO618" s="1233"/>
      <c r="AP618" s="1233"/>
      <c r="AQ618" s="1233"/>
      <c r="AR618" s="1233"/>
      <c r="AS618" s="1233"/>
      <c r="AT618" s="1233"/>
      <c r="AZ618" s="2"/>
      <c r="BA618" s="2"/>
      <c r="BB618" s="2"/>
      <c r="BC618" s="2"/>
    </row>
    <row r="619" spans="1:55" ht="12.9" customHeight="1">
      <c r="AZ619" s="2"/>
      <c r="BA619" s="2"/>
      <c r="BB619" s="2"/>
      <c r="BC619" s="2"/>
    </row>
    <row r="620" spans="1:55" ht="12.9" customHeight="1">
      <c r="A620" s="1" t="s">
        <v>870</v>
      </c>
      <c r="B620" s="1"/>
      <c r="C620" s="1" t="s">
        <v>175</v>
      </c>
      <c r="AZ620" s="2"/>
      <c r="BA620" s="2"/>
      <c r="BB620" s="2"/>
      <c r="BC620" s="2"/>
    </row>
    <row r="621" spans="1:55" ht="12.9" customHeight="1">
      <c r="A621" s="1"/>
      <c r="B621" s="1"/>
      <c r="C621" s="1"/>
      <c r="AZ621" s="2"/>
      <c r="BA621" s="2"/>
      <c r="BB621" s="2"/>
      <c r="BC621" s="2"/>
    </row>
    <row r="622" spans="1:55" ht="12.9" customHeight="1">
      <c r="C622" s="1" t="s">
        <v>1394</v>
      </c>
      <c r="AZ622" s="2"/>
      <c r="BA622" s="2"/>
      <c r="BB622" s="2"/>
      <c r="BC622" s="2"/>
    </row>
    <row r="623" spans="1:55" ht="12.9" customHeight="1">
      <c r="B623" s="315"/>
      <c r="C623" s="1"/>
      <c r="AU623" s="2"/>
      <c r="AZ623" s="2"/>
      <c r="BA623" s="2"/>
      <c r="BB623" s="2"/>
      <c r="BC623" s="2"/>
    </row>
    <row r="624" spans="1:55" ht="12.9" customHeight="1">
      <c r="B624" s="1615" t="s">
        <v>1395</v>
      </c>
      <c r="C624" s="1615"/>
      <c r="D624" s="1615"/>
      <c r="E624" s="1615"/>
      <c r="F624" s="1615"/>
      <c r="G624" s="1615"/>
      <c r="H624" s="1615"/>
      <c r="I624" s="1615"/>
      <c r="J624" s="1615"/>
      <c r="K624" s="1615"/>
      <c r="L624" s="1615"/>
      <c r="M624" s="1620" t="s">
        <v>1396</v>
      </c>
      <c r="N624" s="1620"/>
      <c r="O624" s="1620"/>
      <c r="P624" s="1620"/>
      <c r="Q624" s="1620" t="s">
        <v>1438</v>
      </c>
      <c r="R624" s="1620"/>
      <c r="S624" s="1620"/>
      <c r="T624" s="1620" t="s">
        <v>1439</v>
      </c>
      <c r="U624" s="1620"/>
      <c r="V624" s="1620"/>
      <c r="W624" s="1614" t="s">
        <v>1399</v>
      </c>
      <c r="X624" s="1614"/>
      <c r="Y624" s="1614"/>
      <c r="Z624" s="1351" t="s">
        <v>1440</v>
      </c>
      <c r="AA624" s="1351"/>
      <c r="AB624" s="1352"/>
      <c r="AC624" s="1538" t="s">
        <v>1401</v>
      </c>
      <c r="AD624" s="1539"/>
      <c r="AE624" s="1540"/>
      <c r="AF624" s="1350" t="s">
        <v>1441</v>
      </c>
      <c r="AG624" s="1351"/>
      <c r="AH624" s="1351"/>
      <c r="AI624" s="1351"/>
      <c r="AJ624" s="1352"/>
      <c r="AK624" s="1621" t="s">
        <v>1442</v>
      </c>
      <c r="AL624" s="1622"/>
      <c r="AM624" s="1622"/>
      <c r="AN624" s="1623"/>
      <c r="AO624" s="1620" t="s">
        <v>1403</v>
      </c>
      <c r="AP624" s="1620"/>
      <c r="AQ624" s="1620"/>
      <c r="AR624" s="1620"/>
      <c r="AS624" s="1620"/>
      <c r="AU624" s="2"/>
      <c r="AZ624" s="2"/>
      <c r="BA624" s="2"/>
      <c r="BB624" s="2"/>
      <c r="BC624" s="2"/>
    </row>
    <row r="625" spans="2:157" ht="12.9" customHeight="1">
      <c r="B625" s="1615"/>
      <c r="C625" s="1615"/>
      <c r="D625" s="1615"/>
      <c r="E625" s="1615"/>
      <c r="F625" s="1615"/>
      <c r="G625" s="1615"/>
      <c r="H625" s="1615"/>
      <c r="I625" s="1615"/>
      <c r="J625" s="1615"/>
      <c r="K625" s="1615"/>
      <c r="L625" s="1615"/>
      <c r="M625" s="1620"/>
      <c r="N625" s="1620"/>
      <c r="O625" s="1620"/>
      <c r="P625" s="1620"/>
      <c r="Q625" s="1620"/>
      <c r="R625" s="1620"/>
      <c r="S625" s="1620"/>
      <c r="T625" s="1620"/>
      <c r="U625" s="1620"/>
      <c r="V625" s="1620"/>
      <c r="W625" s="1614"/>
      <c r="X625" s="1614"/>
      <c r="Y625" s="1614"/>
      <c r="Z625" s="1354"/>
      <c r="AA625" s="1354"/>
      <c r="AB625" s="1355"/>
      <c r="AC625" s="1541"/>
      <c r="AD625" s="1542"/>
      <c r="AE625" s="1543"/>
      <c r="AF625" s="1353"/>
      <c r="AG625" s="1354"/>
      <c r="AH625" s="1354"/>
      <c r="AI625" s="1354"/>
      <c r="AJ625" s="1355"/>
      <c r="AK625" s="1624"/>
      <c r="AL625" s="1625"/>
      <c r="AM625" s="1625"/>
      <c r="AN625" s="1626"/>
      <c r="AO625" s="1620"/>
      <c r="AP625" s="1620"/>
      <c r="AQ625" s="1620"/>
      <c r="AR625" s="1620"/>
      <c r="AS625" s="1620"/>
      <c r="AU625" s="2"/>
      <c r="AZ625" s="2"/>
      <c r="BA625" s="2"/>
      <c r="BB625" s="2"/>
      <c r="BC625" s="2"/>
      <c r="BD625" s="2"/>
    </row>
    <row r="626" spans="2:157" ht="12.9" customHeight="1">
      <c r="B626" s="1615"/>
      <c r="C626" s="1615"/>
      <c r="D626" s="1615"/>
      <c r="E626" s="1615"/>
      <c r="F626" s="1615"/>
      <c r="G626" s="1615"/>
      <c r="H626" s="1615"/>
      <c r="I626" s="1615"/>
      <c r="J626" s="1615"/>
      <c r="K626" s="1615"/>
      <c r="L626" s="1615"/>
      <c r="M626" s="1620"/>
      <c r="N626" s="1620"/>
      <c r="O626" s="1620"/>
      <c r="P626" s="1620"/>
      <c r="Q626" s="1620"/>
      <c r="R626" s="1620"/>
      <c r="S626" s="1620"/>
      <c r="T626" s="1620"/>
      <c r="U626" s="1620"/>
      <c r="V626" s="1620"/>
      <c r="W626" s="1614"/>
      <c r="X626" s="1614"/>
      <c r="Y626" s="1614"/>
      <c r="Z626" s="1357"/>
      <c r="AA626" s="1357"/>
      <c r="AB626" s="1358"/>
      <c r="AC626" s="1544"/>
      <c r="AD626" s="1545"/>
      <c r="AE626" s="1546"/>
      <c r="AF626" s="1356"/>
      <c r="AG626" s="1357"/>
      <c r="AH626" s="1357"/>
      <c r="AI626" s="1357"/>
      <c r="AJ626" s="1358"/>
      <c r="AK626" s="1627"/>
      <c r="AL626" s="1628"/>
      <c r="AM626" s="1628"/>
      <c r="AN626" s="1629"/>
      <c r="AO626" s="1620"/>
      <c r="AP626" s="1620"/>
      <c r="AQ626" s="1620"/>
      <c r="AR626" s="1620"/>
      <c r="AS626" s="1620"/>
      <c r="AT626" s="2"/>
      <c r="AU626" s="2"/>
      <c r="AZ626" s="2"/>
      <c r="BA626" s="2"/>
      <c r="BB626" s="2"/>
      <c r="BC626" s="2"/>
      <c r="BD626" s="2"/>
    </row>
    <row r="627" spans="2:157" ht="12.9" customHeight="1">
      <c r="B627" s="34" t="s">
        <v>18</v>
      </c>
      <c r="C627" s="1436" t="s">
        <v>1443</v>
      </c>
      <c r="D627" s="1436"/>
      <c r="E627" s="1436"/>
      <c r="F627" s="1436"/>
      <c r="G627" s="1436"/>
      <c r="H627" s="1436"/>
      <c r="I627" s="1436"/>
      <c r="J627" s="1436"/>
      <c r="K627" s="1436"/>
      <c r="L627" s="1436"/>
      <c r="M627" s="1441" t="s">
        <v>1371</v>
      </c>
      <c r="N627" s="1441"/>
      <c r="O627" s="1441"/>
      <c r="P627" s="1441"/>
      <c r="Q627" s="1442">
        <v>204</v>
      </c>
      <c r="R627" s="1443"/>
      <c r="S627" s="1444"/>
      <c r="T627" s="1442">
        <f>40*12</f>
        <v>480</v>
      </c>
      <c r="U627" s="1443"/>
      <c r="V627" s="1444"/>
      <c r="W627" s="1429">
        <v>0.06</v>
      </c>
      <c r="X627" s="1430"/>
      <c r="Y627" s="1431"/>
      <c r="Z627" s="1426" t="s">
        <v>1444</v>
      </c>
      <c r="AA627" s="1427"/>
      <c r="AB627" s="1428"/>
      <c r="AC627" s="1338"/>
      <c r="AD627" s="1339"/>
      <c r="AE627" s="1340"/>
      <c r="AF627" s="1437">
        <v>1084946</v>
      </c>
      <c r="AG627" s="1438"/>
      <c r="AH627" s="1438"/>
      <c r="AI627" s="1438"/>
      <c r="AJ627" s="1439"/>
      <c r="AK627" s="1433"/>
      <c r="AL627" s="1434"/>
      <c r="AM627" s="1434"/>
      <c r="AN627" s="1435"/>
      <c r="AO627" s="1425">
        <v>16432195</v>
      </c>
      <c r="AP627" s="1301"/>
      <c r="AQ627" s="1301"/>
      <c r="AR627" s="1301"/>
      <c r="AS627" s="1302"/>
      <c r="AT627" s="2"/>
      <c r="AU627" s="2"/>
      <c r="AZ627" s="2"/>
      <c r="BA627" s="2"/>
      <c r="BB627" s="2"/>
      <c r="BC627" s="2"/>
      <c r="BD627" s="2"/>
    </row>
    <row r="628" spans="2:157" ht="12.9" customHeight="1">
      <c r="B628" s="35" t="s">
        <v>31</v>
      </c>
      <c r="C628" s="1436" t="s">
        <v>1445</v>
      </c>
      <c r="D628" s="1436"/>
      <c r="E628" s="1436"/>
      <c r="F628" s="1436"/>
      <c r="G628" s="1436"/>
      <c r="H628" s="1436"/>
      <c r="I628" s="1436"/>
      <c r="J628" s="1436"/>
      <c r="K628" s="1436"/>
      <c r="L628" s="1436"/>
      <c r="M628" s="1441" t="s">
        <v>1381</v>
      </c>
      <c r="N628" s="1441"/>
      <c r="O628" s="1441"/>
      <c r="P628" s="1441"/>
      <c r="Q628" s="1442"/>
      <c r="R628" s="1443"/>
      <c r="S628" s="1444"/>
      <c r="T628" s="1442"/>
      <c r="U628" s="1443"/>
      <c r="V628" s="1444"/>
      <c r="W628" s="1429"/>
      <c r="X628" s="1430"/>
      <c r="Y628" s="1431"/>
      <c r="Z628" s="1426" t="s">
        <v>1444</v>
      </c>
      <c r="AA628" s="1427"/>
      <c r="AB628" s="1428"/>
      <c r="AC628" s="1338"/>
      <c r="AD628" s="1339"/>
      <c r="AE628" s="1340"/>
      <c r="AF628" s="1437"/>
      <c r="AG628" s="1438"/>
      <c r="AH628" s="1438"/>
      <c r="AI628" s="1438"/>
      <c r="AJ628" s="1439"/>
      <c r="AK628" s="1433"/>
      <c r="AL628" s="1434"/>
      <c r="AM628" s="1434"/>
      <c r="AN628" s="1435"/>
      <c r="AO628" s="1425">
        <v>1650000</v>
      </c>
      <c r="AP628" s="1301"/>
      <c r="AQ628" s="1301"/>
      <c r="AR628" s="1301"/>
      <c r="AS628" s="1302"/>
      <c r="AT628" s="865" t="str">
        <f>IF(AND(NOT(C627=""),C628="",NOT(C629="")),"!","")</f>
        <v/>
      </c>
      <c r="AU628" s="2"/>
      <c r="AZ628" s="2"/>
      <c r="BA628" s="2"/>
      <c r="BB628" s="2"/>
      <c r="BC628" s="2"/>
      <c r="BD628" s="2"/>
    </row>
    <row r="629" spans="2:157" ht="12.9" customHeight="1">
      <c r="B629" s="35" t="s">
        <v>39</v>
      </c>
      <c r="C629" s="1436" t="s">
        <v>1446</v>
      </c>
      <c r="D629" s="1436"/>
      <c r="E629" s="1436"/>
      <c r="F629" s="1436"/>
      <c r="G629" s="1436"/>
      <c r="H629" s="1436"/>
      <c r="I629" s="1436"/>
      <c r="J629" s="1436"/>
      <c r="K629" s="1436"/>
      <c r="L629" s="1436"/>
      <c r="M629" s="1441" t="s">
        <v>1359</v>
      </c>
      <c r="N629" s="1441"/>
      <c r="O629" s="1441"/>
      <c r="P629" s="1441"/>
      <c r="Q629" s="1442"/>
      <c r="R629" s="1443"/>
      <c r="S629" s="1444"/>
      <c r="T629" s="1442"/>
      <c r="U629" s="1443"/>
      <c r="V629" s="1444"/>
      <c r="W629" s="1429"/>
      <c r="X629" s="1430"/>
      <c r="Y629" s="1431"/>
      <c r="Z629" s="1426" t="s">
        <v>1447</v>
      </c>
      <c r="AA629" s="1427"/>
      <c r="AB629" s="1428"/>
      <c r="AC629" s="1338"/>
      <c r="AD629" s="1339"/>
      <c r="AE629" s="1340"/>
      <c r="AF629" s="1437"/>
      <c r="AG629" s="1438"/>
      <c r="AH629" s="1438"/>
      <c r="AI629" s="1438"/>
      <c r="AJ629" s="1439"/>
      <c r="AK629" s="1433"/>
      <c r="AL629" s="1434"/>
      <c r="AM629" s="1434"/>
      <c r="AN629" s="1435"/>
      <c r="AO629" s="1425">
        <v>8742741</v>
      </c>
      <c r="AP629" s="1301"/>
      <c r="AQ629" s="1301"/>
      <c r="AR629" s="1301"/>
      <c r="AS629" s="1302"/>
      <c r="AT629" s="865" t="str">
        <f t="shared" ref="AT629:AT638" si="2">IF(AND(NOT(C628=""),C629="",NOT(C630="")),"!","")</f>
        <v/>
      </c>
      <c r="AU629" s="2"/>
      <c r="AZ629" s="2"/>
      <c r="BA629" s="2"/>
      <c r="BB629" s="2"/>
      <c r="BC629" s="2"/>
      <c r="BD629" s="2"/>
    </row>
    <row r="630" spans="2:157" ht="12.9" customHeight="1">
      <c r="B630" s="35" t="s">
        <v>82</v>
      </c>
      <c r="C630" s="1436"/>
      <c r="D630" s="1436"/>
      <c r="E630" s="1436"/>
      <c r="F630" s="1436"/>
      <c r="G630" s="1436"/>
      <c r="H630" s="1436"/>
      <c r="I630" s="1436"/>
      <c r="J630" s="1436"/>
      <c r="K630" s="1436"/>
      <c r="L630" s="1436"/>
      <c r="M630" s="1441" t="s">
        <v>1027</v>
      </c>
      <c r="N630" s="1441"/>
      <c r="O630" s="1441"/>
      <c r="P630" s="1441"/>
      <c r="Q630" s="1442"/>
      <c r="R630" s="1443"/>
      <c r="S630" s="1444"/>
      <c r="T630" s="1442"/>
      <c r="U630" s="1443"/>
      <c r="V630" s="1444"/>
      <c r="W630" s="1429"/>
      <c r="X630" s="1430"/>
      <c r="Y630" s="1431"/>
      <c r="Z630" s="1426" t="s">
        <v>1027</v>
      </c>
      <c r="AA630" s="1427"/>
      <c r="AB630" s="1428"/>
      <c r="AC630" s="1338"/>
      <c r="AD630" s="1339"/>
      <c r="AE630" s="1340"/>
      <c r="AF630" s="1437"/>
      <c r="AG630" s="1438"/>
      <c r="AH630" s="1438"/>
      <c r="AI630" s="1438"/>
      <c r="AJ630" s="1439"/>
      <c r="AK630" s="1433"/>
      <c r="AL630" s="1434"/>
      <c r="AM630" s="1434"/>
      <c r="AN630" s="1435"/>
      <c r="AO630" s="1425"/>
      <c r="AP630" s="1301"/>
      <c r="AQ630" s="1301"/>
      <c r="AR630" s="1301"/>
      <c r="AS630" s="1302"/>
      <c r="AT630" s="865" t="str">
        <f t="shared" si="2"/>
        <v/>
      </c>
      <c r="AU630" s="2"/>
      <c r="AZ630" s="2"/>
      <c r="BA630" s="2"/>
      <c r="BB630" s="2"/>
      <c r="BC630" s="2"/>
      <c r="BD630" s="2"/>
    </row>
    <row r="631" spans="2:157" ht="12.9" customHeight="1">
      <c r="B631" s="35" t="s">
        <v>86</v>
      </c>
      <c r="C631" s="1436"/>
      <c r="D631" s="1436"/>
      <c r="E631" s="1436"/>
      <c r="F631" s="1436"/>
      <c r="G631" s="1436"/>
      <c r="H631" s="1436"/>
      <c r="I631" s="1436"/>
      <c r="J631" s="1436"/>
      <c r="K631" s="1436"/>
      <c r="L631" s="1436"/>
      <c r="M631" s="1441" t="s">
        <v>1027</v>
      </c>
      <c r="N631" s="1441"/>
      <c r="O631" s="1441"/>
      <c r="P631" s="1441"/>
      <c r="Q631" s="1442"/>
      <c r="R631" s="1443"/>
      <c r="S631" s="1444"/>
      <c r="T631" s="1442"/>
      <c r="U631" s="1443"/>
      <c r="V631" s="1444"/>
      <c r="W631" s="1429"/>
      <c r="X631" s="1430"/>
      <c r="Y631" s="1431"/>
      <c r="Z631" s="1426" t="s">
        <v>1027</v>
      </c>
      <c r="AA631" s="1427"/>
      <c r="AB631" s="1428"/>
      <c r="AC631" s="1338"/>
      <c r="AD631" s="1339"/>
      <c r="AE631" s="1340"/>
      <c r="AF631" s="1437"/>
      <c r="AG631" s="1438"/>
      <c r="AH631" s="1438"/>
      <c r="AI631" s="1438"/>
      <c r="AJ631" s="1439"/>
      <c r="AK631" s="1433"/>
      <c r="AL631" s="1434"/>
      <c r="AM631" s="1434"/>
      <c r="AN631" s="1435"/>
      <c r="AO631" s="1425"/>
      <c r="AP631" s="1301"/>
      <c r="AQ631" s="1301"/>
      <c r="AR631" s="1301"/>
      <c r="AS631" s="1302"/>
      <c r="AT631" s="865" t="str">
        <f t="shared" si="2"/>
        <v/>
      </c>
      <c r="AU631" s="2"/>
      <c r="AZ631" s="2"/>
      <c r="BA631" s="2"/>
      <c r="BB631" s="2"/>
      <c r="BC631" s="2"/>
      <c r="BD631" s="2"/>
    </row>
    <row r="632" spans="2:157" ht="12.9" customHeight="1">
      <c r="B632" s="35" t="s">
        <v>1410</v>
      </c>
      <c r="C632" s="1436"/>
      <c r="D632" s="1436"/>
      <c r="E632" s="1436"/>
      <c r="F632" s="1436"/>
      <c r="G632" s="1436"/>
      <c r="H632" s="1436"/>
      <c r="I632" s="1436"/>
      <c r="J632" s="1436"/>
      <c r="K632" s="1436"/>
      <c r="L632" s="1436"/>
      <c r="M632" s="1441" t="s">
        <v>1027</v>
      </c>
      <c r="N632" s="1441"/>
      <c r="O632" s="1441"/>
      <c r="P632" s="1441"/>
      <c r="Q632" s="1442"/>
      <c r="R632" s="1443"/>
      <c r="S632" s="1444"/>
      <c r="T632" s="1442"/>
      <c r="U632" s="1443"/>
      <c r="V632" s="1444"/>
      <c r="W632" s="1429"/>
      <c r="X632" s="1430"/>
      <c r="Y632" s="1431"/>
      <c r="Z632" s="1426" t="s">
        <v>1027</v>
      </c>
      <c r="AA632" s="1427"/>
      <c r="AB632" s="1428"/>
      <c r="AC632" s="1338"/>
      <c r="AD632" s="1339"/>
      <c r="AE632" s="1340"/>
      <c r="AF632" s="1437"/>
      <c r="AG632" s="1438"/>
      <c r="AH632" s="1438"/>
      <c r="AI632" s="1438"/>
      <c r="AJ632" s="1439"/>
      <c r="AK632" s="1433"/>
      <c r="AL632" s="1434"/>
      <c r="AM632" s="1434"/>
      <c r="AN632" s="1435"/>
      <c r="AO632" s="1425"/>
      <c r="AP632" s="1301"/>
      <c r="AQ632" s="1301"/>
      <c r="AR632" s="1301"/>
      <c r="AS632" s="1302"/>
      <c r="AT632" s="865" t="str">
        <f t="shared" si="2"/>
        <v/>
      </c>
      <c r="AU632" s="2"/>
      <c r="AZ632" s="2"/>
      <c r="BA632" s="2"/>
      <c r="BB632" s="2"/>
      <c r="BC632" s="2"/>
      <c r="BD632" s="2"/>
    </row>
    <row r="633" spans="2:157" ht="12.9" customHeight="1">
      <c r="B633" s="35" t="s">
        <v>1412</v>
      </c>
      <c r="C633" s="1436"/>
      <c r="D633" s="1436"/>
      <c r="E633" s="1436"/>
      <c r="F633" s="1436"/>
      <c r="G633" s="1436"/>
      <c r="H633" s="1436"/>
      <c r="I633" s="1436"/>
      <c r="J633" s="1436"/>
      <c r="K633" s="1436"/>
      <c r="L633" s="1436"/>
      <c r="M633" s="1441" t="s">
        <v>1027</v>
      </c>
      <c r="N633" s="1441"/>
      <c r="O633" s="1441"/>
      <c r="P633" s="1441"/>
      <c r="Q633" s="1442"/>
      <c r="R633" s="1443"/>
      <c r="S633" s="1444"/>
      <c r="T633" s="1442"/>
      <c r="U633" s="1443"/>
      <c r="V633" s="1444"/>
      <c r="W633" s="1429"/>
      <c r="X633" s="1430"/>
      <c r="Y633" s="1431"/>
      <c r="Z633" s="1426" t="s">
        <v>1027</v>
      </c>
      <c r="AA633" s="1427"/>
      <c r="AB633" s="1428"/>
      <c r="AC633" s="1338"/>
      <c r="AD633" s="1339"/>
      <c r="AE633" s="1340"/>
      <c r="AF633" s="1437"/>
      <c r="AG633" s="1438"/>
      <c r="AH633" s="1438"/>
      <c r="AI633" s="1438"/>
      <c r="AJ633" s="1439"/>
      <c r="AK633" s="1433"/>
      <c r="AL633" s="1434"/>
      <c r="AM633" s="1434"/>
      <c r="AN633" s="1435"/>
      <c r="AO633" s="1425"/>
      <c r="AP633" s="1301"/>
      <c r="AQ633" s="1301"/>
      <c r="AR633" s="1301"/>
      <c r="AS633" s="1302"/>
      <c r="AT633" s="865" t="str">
        <f t="shared" si="2"/>
        <v/>
      </c>
      <c r="AU633" s="2"/>
      <c r="AV633" s="2"/>
      <c r="AW633" s="2"/>
      <c r="AX633" s="2"/>
      <c r="AY633" s="2"/>
      <c r="AZ633" s="2"/>
      <c r="BA633" s="2"/>
      <c r="BB633" s="2"/>
      <c r="BC633" s="2"/>
      <c r="BD633" s="2"/>
    </row>
    <row r="634" spans="2:157" ht="12.9" customHeight="1">
      <c r="B634" s="35" t="s">
        <v>1414</v>
      </c>
      <c r="C634" s="1436"/>
      <c r="D634" s="1436"/>
      <c r="E634" s="1436"/>
      <c r="F634" s="1436"/>
      <c r="G634" s="1436"/>
      <c r="H634" s="1436"/>
      <c r="I634" s="1436"/>
      <c r="J634" s="1436"/>
      <c r="K634" s="1436"/>
      <c r="L634" s="1436"/>
      <c r="M634" s="1441" t="s">
        <v>1027</v>
      </c>
      <c r="N634" s="1441"/>
      <c r="O634" s="1441"/>
      <c r="P634" s="1441"/>
      <c r="Q634" s="1442"/>
      <c r="R634" s="1443"/>
      <c r="S634" s="1444"/>
      <c r="T634" s="1442"/>
      <c r="U634" s="1443"/>
      <c r="V634" s="1444"/>
      <c r="W634" s="1429"/>
      <c r="X634" s="1430"/>
      <c r="Y634" s="1431"/>
      <c r="Z634" s="1426" t="s">
        <v>1027</v>
      </c>
      <c r="AA634" s="1427"/>
      <c r="AB634" s="1428"/>
      <c r="AC634" s="1338"/>
      <c r="AD634" s="1339"/>
      <c r="AE634" s="1340"/>
      <c r="AF634" s="1437"/>
      <c r="AG634" s="1438"/>
      <c r="AH634" s="1438"/>
      <c r="AI634" s="1438"/>
      <c r="AJ634" s="1439"/>
      <c r="AK634" s="1433"/>
      <c r="AL634" s="1434"/>
      <c r="AM634" s="1434"/>
      <c r="AN634" s="1435"/>
      <c r="AO634" s="1425"/>
      <c r="AP634" s="1301"/>
      <c r="AQ634" s="1301"/>
      <c r="AR634" s="1301"/>
      <c r="AS634" s="1302"/>
      <c r="AT634" s="865" t="str">
        <f t="shared" si="2"/>
        <v/>
      </c>
      <c r="AU634" s="2"/>
      <c r="AV634" s="2"/>
      <c r="AW634" s="2"/>
      <c r="AX634" s="2"/>
      <c r="AY634" s="2"/>
      <c r="AZ634" s="2"/>
      <c r="BA634" s="2" t="s">
        <v>1027</v>
      </c>
      <c r="BB634" s="2"/>
      <c r="BC634" s="2"/>
      <c r="BD634" s="2"/>
    </row>
    <row r="635" spans="2:157" ht="12.9" customHeight="1">
      <c r="B635" s="35" t="s">
        <v>1415</v>
      </c>
      <c r="C635" s="1436"/>
      <c r="D635" s="1436"/>
      <c r="E635" s="1436"/>
      <c r="F635" s="1436"/>
      <c r="G635" s="1436"/>
      <c r="H635" s="1436"/>
      <c r="I635" s="1436"/>
      <c r="J635" s="1436"/>
      <c r="K635" s="1436"/>
      <c r="L635" s="1436"/>
      <c r="M635" s="1441" t="s">
        <v>1027</v>
      </c>
      <c r="N635" s="1441"/>
      <c r="O635" s="1441"/>
      <c r="P635" s="1441"/>
      <c r="Q635" s="1442"/>
      <c r="R635" s="1443"/>
      <c r="S635" s="1444"/>
      <c r="T635" s="1442"/>
      <c r="U635" s="1443"/>
      <c r="V635" s="1444"/>
      <c r="W635" s="1429"/>
      <c r="X635" s="1430"/>
      <c r="Y635" s="1431"/>
      <c r="Z635" s="1426" t="s">
        <v>1027</v>
      </c>
      <c r="AA635" s="1427"/>
      <c r="AB635" s="1428"/>
      <c r="AC635" s="1338"/>
      <c r="AD635" s="1339"/>
      <c r="AE635" s="1340"/>
      <c r="AF635" s="1437"/>
      <c r="AG635" s="1438"/>
      <c r="AH635" s="1438"/>
      <c r="AI635" s="1438"/>
      <c r="AJ635" s="1439"/>
      <c r="AK635" s="1433"/>
      <c r="AL635" s="1434"/>
      <c r="AM635" s="1434"/>
      <c r="AN635" s="1435"/>
      <c r="AO635" s="1425"/>
      <c r="AP635" s="1301"/>
      <c r="AQ635" s="1301"/>
      <c r="AR635" s="1301"/>
      <c r="AS635" s="1302"/>
      <c r="AT635" s="865" t="str">
        <f t="shared" si="2"/>
        <v/>
      </c>
      <c r="AU635" s="2"/>
      <c r="AV635" s="2"/>
      <c r="AW635" s="2"/>
      <c r="AX635" s="2"/>
      <c r="AY635" s="2"/>
      <c r="AZ635" s="2"/>
      <c r="BA635" s="2" t="s">
        <v>1447</v>
      </c>
      <c r="BB635" s="2"/>
      <c r="BC635" s="2"/>
      <c r="BD635" s="2"/>
      <c r="BE635" s="2"/>
      <c r="BF635" s="2"/>
      <c r="BG635" s="2"/>
      <c r="BH635" s="2"/>
      <c r="BI635" s="2"/>
      <c r="BJ635" s="2"/>
      <c r="BK635" s="2"/>
      <c r="BL635" s="2"/>
      <c r="BM635" s="2"/>
      <c r="CR635" s="1152"/>
      <c r="CS635" s="2"/>
      <c r="CT635" s="2"/>
      <c r="CU635" s="2"/>
      <c r="CV635" s="2"/>
      <c r="CW635" s="2"/>
      <c r="CX635" s="2"/>
      <c r="CY635" s="2"/>
      <c r="CZ635" s="2"/>
      <c r="DA635" s="2"/>
      <c r="DB635" s="2"/>
      <c r="DC635" s="2"/>
      <c r="DD635" s="2"/>
      <c r="DE635" s="2"/>
      <c r="DF635" s="2"/>
      <c r="DX635" s="1326" t="e">
        <f t="shared" ref="DX635:DX669" si="3">EZ718*(CP718/$CP$753)</f>
        <v>#VALUE!</v>
      </c>
      <c r="DY635" s="1326"/>
      <c r="DZ635" s="1326"/>
      <c r="EA635" s="1326"/>
      <c r="EB635" s="1326"/>
      <c r="EC635" s="1326">
        <f t="shared" ref="EC635:EC669" si="4">FE718*(CU718/$CU$753)</f>
        <v>729.85964912280701</v>
      </c>
      <c r="ED635" s="1326"/>
      <c r="EE635" s="1326"/>
      <c r="EF635" s="1326"/>
      <c r="EG635" s="1326"/>
      <c r="EH635" s="1326" t="e">
        <f t="shared" ref="EH635:EH669" si="5">FJ718*(CZ718/$CZ$753)</f>
        <v>#VALUE!</v>
      </c>
      <c r="EI635" s="1326"/>
      <c r="EJ635" s="1326"/>
      <c r="EK635" s="1326"/>
      <c r="EL635" s="1326"/>
      <c r="EM635" s="1326" t="e">
        <f t="shared" ref="EM635:EM669" si="6">FO718*(DE718/$DE$753)</f>
        <v>#VALUE!</v>
      </c>
      <c r="EN635" s="1326"/>
      <c r="EO635" s="1326"/>
      <c r="EP635" s="1326"/>
      <c r="EQ635" s="1326"/>
      <c r="ER635" s="1326" t="e">
        <f t="shared" ref="ER635:ER669" si="7">FT718*(DJ718/$DJ$753)</f>
        <v>#VALUE!</v>
      </c>
      <c r="ES635" s="1326"/>
      <c r="ET635" s="1326"/>
      <c r="EU635" s="1326"/>
      <c r="EV635" s="1326"/>
      <c r="EW635" s="1326" t="e">
        <f t="shared" ref="EW635:EW669" si="8">FY718*(DO718/$DO$753)</f>
        <v>#VALUE!</v>
      </c>
      <c r="EX635" s="1326"/>
      <c r="EY635" s="1326"/>
      <c r="EZ635" s="1326"/>
      <c r="FA635" s="1326"/>
    </row>
    <row r="636" spans="2:157" ht="12.9" customHeight="1">
      <c r="B636" s="35" t="s">
        <v>1416</v>
      </c>
      <c r="C636" s="1436"/>
      <c r="D636" s="1436"/>
      <c r="E636" s="1436"/>
      <c r="F636" s="1436"/>
      <c r="G636" s="1436"/>
      <c r="H636" s="1436"/>
      <c r="I636" s="1436"/>
      <c r="J636" s="1436"/>
      <c r="K636" s="1436"/>
      <c r="L636" s="1436"/>
      <c r="M636" s="1441" t="s">
        <v>1027</v>
      </c>
      <c r="N636" s="1441"/>
      <c r="O636" s="1441"/>
      <c r="P636" s="1441"/>
      <c r="Q636" s="1442"/>
      <c r="R636" s="1443"/>
      <c r="S636" s="1444"/>
      <c r="T636" s="1442"/>
      <c r="U636" s="1443"/>
      <c r="V636" s="1444"/>
      <c r="W636" s="1429"/>
      <c r="X636" s="1430"/>
      <c r="Y636" s="1431"/>
      <c r="Z636" s="1426" t="s">
        <v>1027</v>
      </c>
      <c r="AA636" s="1427"/>
      <c r="AB636" s="1428"/>
      <c r="AC636" s="1338"/>
      <c r="AD636" s="1339"/>
      <c r="AE636" s="1340"/>
      <c r="AF636" s="1437"/>
      <c r="AG636" s="1438"/>
      <c r="AH636" s="1438"/>
      <c r="AI636" s="1438"/>
      <c r="AJ636" s="1439"/>
      <c r="AK636" s="1433"/>
      <c r="AL636" s="1434"/>
      <c r="AM636" s="1434"/>
      <c r="AN636" s="1435"/>
      <c r="AO636" s="1425"/>
      <c r="AP636" s="1301"/>
      <c r="AQ636" s="1301"/>
      <c r="AR636" s="1301"/>
      <c r="AS636" s="1302"/>
      <c r="AT636" s="865" t="str">
        <f t="shared" si="2"/>
        <v/>
      </c>
      <c r="AV636" s="2"/>
      <c r="AW636" s="2"/>
      <c r="AX636" s="2"/>
      <c r="AY636" s="2"/>
      <c r="AZ636" s="2"/>
      <c r="BA636" s="2" t="s">
        <v>1448</v>
      </c>
      <c r="BB636" s="2"/>
      <c r="BC636" s="2"/>
      <c r="BD636" s="2"/>
      <c r="BE636" s="2"/>
      <c r="BF636" s="2"/>
      <c r="BG636" s="2"/>
      <c r="BH636" s="2"/>
      <c r="BI636" s="2"/>
      <c r="BJ636" s="2"/>
      <c r="BK636" s="2"/>
      <c r="BL636" s="2"/>
      <c r="BM636" s="2"/>
      <c r="DA636" s="2"/>
      <c r="DB636" s="2"/>
      <c r="DC636" s="2"/>
      <c r="DD636" s="2"/>
      <c r="DE636" s="2"/>
      <c r="DF636" s="2"/>
      <c r="DX636" s="1326" t="e">
        <f t="shared" si="3"/>
        <v>#VALUE!</v>
      </c>
      <c r="DY636" s="1326"/>
      <c r="DZ636" s="1326"/>
      <c r="EA636" s="1326"/>
      <c r="EB636" s="1326"/>
      <c r="EC636" s="1326">
        <f t="shared" si="4"/>
        <v>648.43859649122805</v>
      </c>
      <c r="ED636" s="1326"/>
      <c r="EE636" s="1326"/>
      <c r="EF636" s="1326"/>
      <c r="EG636" s="1326"/>
      <c r="EH636" s="1326" t="e">
        <f t="shared" si="5"/>
        <v>#VALUE!</v>
      </c>
      <c r="EI636" s="1326"/>
      <c r="EJ636" s="1326"/>
      <c r="EK636" s="1326"/>
      <c r="EL636" s="1326"/>
      <c r="EM636" s="1326" t="e">
        <f t="shared" si="6"/>
        <v>#VALUE!</v>
      </c>
      <c r="EN636" s="1326"/>
      <c r="EO636" s="1326"/>
      <c r="EP636" s="1326"/>
      <c r="EQ636" s="1326"/>
      <c r="ER636" s="1326" t="e">
        <f t="shared" si="7"/>
        <v>#VALUE!</v>
      </c>
      <c r="ES636" s="1326"/>
      <c r="ET636" s="1326"/>
      <c r="EU636" s="1326"/>
      <c r="EV636" s="1326"/>
      <c r="EW636" s="1326" t="e">
        <f t="shared" si="8"/>
        <v>#VALUE!</v>
      </c>
      <c r="EX636" s="1326"/>
      <c r="EY636" s="1326"/>
      <c r="EZ636" s="1326"/>
      <c r="FA636" s="1326"/>
    </row>
    <row r="637" spans="2:157" ht="12.9" customHeight="1">
      <c r="B637" s="35" t="s">
        <v>1417</v>
      </c>
      <c r="C637" s="1436"/>
      <c r="D637" s="1436"/>
      <c r="E637" s="1436"/>
      <c r="F637" s="1436"/>
      <c r="G637" s="1436"/>
      <c r="H637" s="1436"/>
      <c r="I637" s="1436"/>
      <c r="J637" s="1436"/>
      <c r="K637" s="1436"/>
      <c r="L637" s="1436"/>
      <c r="M637" s="1441" t="s">
        <v>1027</v>
      </c>
      <c r="N637" s="1441"/>
      <c r="O637" s="1441"/>
      <c r="P637" s="1441"/>
      <c r="Q637" s="1442"/>
      <c r="R637" s="1443"/>
      <c r="S637" s="1444"/>
      <c r="T637" s="1442"/>
      <c r="U637" s="1443"/>
      <c r="V637" s="1444"/>
      <c r="W637" s="1429"/>
      <c r="X637" s="1430"/>
      <c r="Y637" s="1431"/>
      <c r="Z637" s="1426" t="s">
        <v>1027</v>
      </c>
      <c r="AA637" s="1427"/>
      <c r="AB637" s="1428"/>
      <c r="AC637" s="1338"/>
      <c r="AD637" s="1339"/>
      <c r="AE637" s="1340"/>
      <c r="AF637" s="1437"/>
      <c r="AG637" s="1438"/>
      <c r="AH637" s="1438"/>
      <c r="AI637" s="1438"/>
      <c r="AJ637" s="1439"/>
      <c r="AK637" s="1433"/>
      <c r="AL637" s="1434"/>
      <c r="AM637" s="1434"/>
      <c r="AN637" s="1435"/>
      <c r="AO637" s="1425"/>
      <c r="AP637" s="1301"/>
      <c r="AQ637" s="1301"/>
      <c r="AR637" s="1301"/>
      <c r="AS637" s="1302"/>
      <c r="AT637" s="865" t="str">
        <f t="shared" si="2"/>
        <v/>
      </c>
      <c r="AV637" s="2"/>
      <c r="AW637" s="2"/>
      <c r="AX637" s="2"/>
      <c r="AY637" s="2"/>
      <c r="AZ637" s="2"/>
      <c r="BA637" s="2" t="s">
        <v>1444</v>
      </c>
      <c r="BB637" s="2"/>
      <c r="BC637" s="2"/>
      <c r="BD637" s="2"/>
      <c r="BE637" s="2"/>
      <c r="BF637" s="2"/>
      <c r="BG637" s="2"/>
      <c r="BH637" s="2"/>
      <c r="BI637" s="2"/>
      <c r="BJ637" s="2"/>
      <c r="BK637" s="2"/>
      <c r="BL637" s="2"/>
      <c r="BM637" s="2"/>
      <c r="DA637" s="2"/>
      <c r="DB637" s="2"/>
      <c r="DC637" s="2"/>
      <c r="DD637" s="2"/>
      <c r="DE637" s="2"/>
      <c r="DF637" s="2"/>
      <c r="DX637" s="1326" t="e">
        <f t="shared" si="3"/>
        <v>#VALUE!</v>
      </c>
      <c r="DY637" s="1326"/>
      <c r="DZ637" s="1326"/>
      <c r="EA637" s="1326"/>
      <c r="EB637" s="1326"/>
      <c r="EC637" s="1326">
        <f t="shared" si="4"/>
        <v>139.26315789473682</v>
      </c>
      <c r="ED637" s="1326"/>
      <c r="EE637" s="1326"/>
      <c r="EF637" s="1326"/>
      <c r="EG637" s="1326"/>
      <c r="EH637" s="1326" t="e">
        <f t="shared" si="5"/>
        <v>#VALUE!</v>
      </c>
      <c r="EI637" s="1326"/>
      <c r="EJ637" s="1326"/>
      <c r="EK637" s="1326"/>
      <c r="EL637" s="1326"/>
      <c r="EM637" s="1326" t="e">
        <f t="shared" si="6"/>
        <v>#VALUE!</v>
      </c>
      <c r="EN637" s="1326"/>
      <c r="EO637" s="1326"/>
      <c r="EP637" s="1326"/>
      <c r="EQ637" s="1326"/>
      <c r="ER637" s="1326" t="e">
        <f t="shared" si="7"/>
        <v>#VALUE!</v>
      </c>
      <c r="ES637" s="1326"/>
      <c r="ET637" s="1326"/>
      <c r="EU637" s="1326"/>
      <c r="EV637" s="1326"/>
      <c r="EW637" s="1326" t="e">
        <f t="shared" si="8"/>
        <v>#VALUE!</v>
      </c>
      <c r="EX637" s="1326"/>
      <c r="EY637" s="1326"/>
      <c r="EZ637" s="1326"/>
      <c r="FA637" s="1326"/>
    </row>
    <row r="638" spans="2:157" ht="12.9" customHeight="1">
      <c r="B638" s="35" t="s">
        <v>1418</v>
      </c>
      <c r="C638" s="1436"/>
      <c r="D638" s="1436"/>
      <c r="E638" s="1436"/>
      <c r="F638" s="1436"/>
      <c r="G638" s="1436"/>
      <c r="H638" s="1436"/>
      <c r="I638" s="1436"/>
      <c r="J638" s="1436"/>
      <c r="K638" s="1436"/>
      <c r="L638" s="1436"/>
      <c r="M638" s="1441" t="s">
        <v>1027</v>
      </c>
      <c r="N638" s="1441"/>
      <c r="O638" s="1441"/>
      <c r="P638" s="1441"/>
      <c r="Q638" s="1442"/>
      <c r="R638" s="1443"/>
      <c r="S638" s="1444"/>
      <c r="T638" s="1442"/>
      <c r="U638" s="1443"/>
      <c r="V638" s="1444"/>
      <c r="W638" s="1429"/>
      <c r="X638" s="1430"/>
      <c r="Y638" s="1431"/>
      <c r="Z638" s="1426" t="s">
        <v>1027</v>
      </c>
      <c r="AA638" s="1427"/>
      <c r="AB638" s="1428"/>
      <c r="AC638" s="1338"/>
      <c r="AD638" s="1339"/>
      <c r="AE638" s="1340"/>
      <c r="AF638" s="1437"/>
      <c r="AG638" s="1438"/>
      <c r="AH638" s="1438"/>
      <c r="AI638" s="1438"/>
      <c r="AJ638" s="1439"/>
      <c r="AK638" s="1433"/>
      <c r="AL638" s="1434"/>
      <c r="AM638" s="1434"/>
      <c r="AN638" s="1435"/>
      <c r="AO638" s="1425"/>
      <c r="AP638" s="1301"/>
      <c r="AQ638" s="1301"/>
      <c r="AR638" s="1301"/>
      <c r="AS638" s="1302"/>
      <c r="AT638" s="865" t="str">
        <f t="shared" si="2"/>
        <v/>
      </c>
      <c r="AV638" s="2"/>
      <c r="AW638" s="2"/>
      <c r="AX638" s="2"/>
      <c r="AY638" s="2"/>
      <c r="AZ638" s="2"/>
      <c r="BA638" s="2" t="s">
        <v>1052</v>
      </c>
      <c r="BB638" s="2"/>
      <c r="BC638" s="2"/>
      <c r="BD638" s="2"/>
      <c r="BE638" s="2"/>
      <c r="BF638" s="2"/>
      <c r="BG638" s="2"/>
      <c r="BH638" s="2"/>
      <c r="BI638" s="2"/>
      <c r="BJ638" s="2"/>
      <c r="BK638" s="2"/>
      <c r="BL638" s="2"/>
      <c r="BM638" s="2"/>
      <c r="DA638" s="2"/>
      <c r="DB638" s="2"/>
      <c r="DC638" s="2"/>
      <c r="DD638" s="2"/>
      <c r="DE638" s="2"/>
      <c r="DF638" s="2"/>
      <c r="DX638" s="1326" t="e">
        <f t="shared" si="3"/>
        <v>#VALUE!</v>
      </c>
      <c r="DY638" s="1326"/>
      <c r="DZ638" s="1326"/>
      <c r="EA638" s="1326"/>
      <c r="EB638" s="1326"/>
      <c r="EC638" s="1326">
        <f t="shared" si="4"/>
        <v>79.473684210526315</v>
      </c>
      <c r="ED638" s="1326"/>
      <c r="EE638" s="1326"/>
      <c r="EF638" s="1326"/>
      <c r="EG638" s="1326"/>
      <c r="EH638" s="1326" t="e">
        <f t="shared" si="5"/>
        <v>#VALUE!</v>
      </c>
      <c r="EI638" s="1326"/>
      <c r="EJ638" s="1326"/>
      <c r="EK638" s="1326"/>
      <c r="EL638" s="1326"/>
      <c r="EM638" s="1326" t="e">
        <f t="shared" si="6"/>
        <v>#VALUE!</v>
      </c>
      <c r="EN638" s="1326"/>
      <c r="EO638" s="1326"/>
      <c r="EP638" s="1326"/>
      <c r="EQ638" s="1326"/>
      <c r="ER638" s="1326" t="e">
        <f t="shared" si="7"/>
        <v>#VALUE!</v>
      </c>
      <c r="ES638" s="1326"/>
      <c r="ET638" s="1326"/>
      <c r="EU638" s="1326"/>
      <c r="EV638" s="1326"/>
      <c r="EW638" s="1326" t="e">
        <f t="shared" si="8"/>
        <v>#VALUE!</v>
      </c>
      <c r="EX638" s="1326"/>
      <c r="EY638" s="1326"/>
      <c r="EZ638" s="1326"/>
      <c r="FA638" s="1326"/>
    </row>
    <row r="639" spans="2:157" ht="12.9" customHeight="1">
      <c r="B639" s="1384" t="s">
        <v>1449</v>
      </c>
      <c r="C639" s="1385"/>
      <c r="D639" s="1385"/>
      <c r="E639" s="1385"/>
      <c r="F639" s="1385"/>
      <c r="G639" s="1385"/>
      <c r="H639" s="1385"/>
      <c r="I639" s="1385"/>
      <c r="J639" s="1385"/>
      <c r="K639" s="1385"/>
      <c r="L639" s="1385"/>
      <c r="M639" s="1385"/>
      <c r="N639" s="1385"/>
      <c r="O639" s="1385"/>
      <c r="P639" s="1385"/>
      <c r="Q639" s="1385"/>
      <c r="R639" s="1385"/>
      <c r="S639" s="1385"/>
      <c r="T639" s="1385"/>
      <c r="U639" s="1385"/>
      <c r="V639" s="1385"/>
      <c r="W639" s="1385"/>
      <c r="X639" s="1385"/>
      <c r="Y639" s="1385"/>
      <c r="Z639" s="1385"/>
      <c r="AA639" s="1385"/>
      <c r="AB639" s="1385"/>
      <c r="AC639" s="1385"/>
      <c r="AD639" s="1385"/>
      <c r="AE639" s="1385"/>
      <c r="AF639" s="1385"/>
      <c r="AG639" s="1385"/>
      <c r="AH639" s="1385"/>
      <c r="AI639" s="1385"/>
      <c r="AJ639" s="1385"/>
      <c r="AK639" s="1385"/>
      <c r="AL639" s="1385"/>
      <c r="AM639" s="1385"/>
      <c r="AN639" s="1387"/>
      <c r="AO639" s="1422">
        <f>SUM(AO627:AR638)</f>
        <v>26824936</v>
      </c>
      <c r="AP639" s="1423"/>
      <c r="AQ639" s="1423"/>
      <c r="AR639" s="1423"/>
      <c r="AS639" s="1424"/>
      <c r="AV639" s="2"/>
      <c r="AW639" s="2"/>
      <c r="AX639" s="2"/>
      <c r="AY639" s="2"/>
      <c r="AZ639" s="2"/>
      <c r="BA639" s="2"/>
      <c r="BB639" s="2"/>
      <c r="BC639" s="2"/>
      <c r="BD639" s="2"/>
      <c r="BE639" s="2"/>
      <c r="BF639" s="2"/>
      <c r="BG639" s="2"/>
      <c r="BH639" s="2"/>
      <c r="BI639" s="2"/>
      <c r="BJ639" s="2"/>
      <c r="BK639" s="2"/>
      <c r="BL639" s="2"/>
      <c r="BM639" s="2"/>
      <c r="DA639" s="2"/>
      <c r="DB639" s="2"/>
      <c r="DC639" s="2"/>
      <c r="DD639" s="2"/>
      <c r="DE639" s="2"/>
      <c r="DF639" s="2"/>
      <c r="DX639" s="1326" t="e">
        <f t="shared" si="3"/>
        <v>#VALUE!</v>
      </c>
      <c r="DY639" s="1326"/>
      <c r="DZ639" s="1326"/>
      <c r="EA639" s="1326"/>
      <c r="EB639" s="1326"/>
      <c r="EC639" s="1326" t="e">
        <f t="shared" si="4"/>
        <v>#VALUE!</v>
      </c>
      <c r="ED639" s="1326"/>
      <c r="EE639" s="1326"/>
      <c r="EF639" s="1326"/>
      <c r="EG639" s="1326"/>
      <c r="EH639" s="1326">
        <f t="shared" si="5"/>
        <v>1034.5142857142857</v>
      </c>
      <c r="EI639" s="1326"/>
      <c r="EJ639" s="1326"/>
      <c r="EK639" s="1326"/>
      <c r="EL639" s="1326"/>
      <c r="EM639" s="1326" t="e">
        <f t="shared" si="6"/>
        <v>#VALUE!</v>
      </c>
      <c r="EN639" s="1326"/>
      <c r="EO639" s="1326"/>
      <c r="EP639" s="1326"/>
      <c r="EQ639" s="1326"/>
      <c r="ER639" s="1326" t="e">
        <f t="shared" si="7"/>
        <v>#VALUE!</v>
      </c>
      <c r="ES639" s="1326"/>
      <c r="ET639" s="1326"/>
      <c r="EU639" s="1326"/>
      <c r="EV639" s="1326"/>
      <c r="EW639" s="1326" t="e">
        <f t="shared" si="8"/>
        <v>#VALUE!</v>
      </c>
      <c r="EX639" s="1326"/>
      <c r="EY639" s="1326"/>
      <c r="EZ639" s="1326"/>
      <c r="FA639" s="1326"/>
    </row>
    <row r="640" spans="2:157" ht="12.9" customHeight="1">
      <c r="B640" s="1384" t="s">
        <v>1450</v>
      </c>
      <c r="C640" s="1385"/>
      <c r="D640" s="1385"/>
      <c r="E640" s="1385"/>
      <c r="F640" s="1385"/>
      <c r="G640" s="1385"/>
      <c r="H640" s="1385"/>
      <c r="I640" s="1385"/>
      <c r="J640" s="1385"/>
      <c r="K640" s="1385"/>
      <c r="L640" s="1385"/>
      <c r="M640" s="1385"/>
      <c r="N640" s="1385"/>
      <c r="O640" s="1385"/>
      <c r="P640" s="1385"/>
      <c r="Q640" s="1385"/>
      <c r="R640" s="1385"/>
      <c r="S640" s="1385"/>
      <c r="T640" s="1385"/>
      <c r="U640" s="1385"/>
      <c r="V640" s="1385"/>
      <c r="W640" s="1385"/>
      <c r="X640" s="1385"/>
      <c r="Y640" s="1385"/>
      <c r="Z640" s="1385"/>
      <c r="AA640" s="1385"/>
      <c r="AB640" s="1385"/>
      <c r="AC640" s="1385"/>
      <c r="AD640" s="1385"/>
      <c r="AE640" s="1385"/>
      <c r="AF640" s="1385"/>
      <c r="AG640" s="1385"/>
      <c r="AH640" s="1385"/>
      <c r="AI640" s="1385"/>
      <c r="AJ640" s="1385"/>
      <c r="AK640" s="1385"/>
      <c r="AL640" s="1385"/>
      <c r="AM640" s="1385"/>
      <c r="AN640" s="1387"/>
      <c r="AO640" s="1425">
        <v>61644472</v>
      </c>
      <c r="AP640" s="1301"/>
      <c r="AQ640" s="1301"/>
      <c r="AR640" s="1301"/>
      <c r="AS640" s="1302"/>
      <c r="AV640" s="2"/>
      <c r="AW640" s="2"/>
      <c r="AX640" s="2"/>
      <c r="AY640" s="2"/>
      <c r="AZ640" s="2"/>
      <c r="BA640" s="2"/>
      <c r="BB640" s="2"/>
      <c r="BC640" s="2"/>
      <c r="BD640" s="2"/>
      <c r="BE640" s="2"/>
      <c r="BF640" s="2"/>
      <c r="BG640" s="2"/>
      <c r="BH640" s="2"/>
      <c r="BI640" s="2"/>
      <c r="BJ640" s="2"/>
      <c r="BK640" s="2"/>
      <c r="BL640" s="2"/>
      <c r="BM640" s="2"/>
      <c r="DA640" s="2"/>
      <c r="DB640" s="2"/>
      <c r="DC640" s="2"/>
      <c r="DD640" s="2"/>
      <c r="DE640" s="2"/>
      <c r="DF640" s="2"/>
      <c r="DX640" s="1326" t="e">
        <f t="shared" si="3"/>
        <v>#VALUE!</v>
      </c>
      <c r="DY640" s="1326"/>
      <c r="DZ640" s="1326"/>
      <c r="EA640" s="1326"/>
      <c r="EB640" s="1326"/>
      <c r="EC640" s="1326" t="e">
        <f t="shared" si="4"/>
        <v>#VALUE!</v>
      </c>
      <c r="ED640" s="1326"/>
      <c r="EE640" s="1326"/>
      <c r="EF640" s="1326"/>
      <c r="EG640" s="1326"/>
      <c r="EH640" s="1326">
        <f t="shared" si="5"/>
        <v>604.05714285714282</v>
      </c>
      <c r="EI640" s="1326"/>
      <c r="EJ640" s="1326"/>
      <c r="EK640" s="1326"/>
      <c r="EL640" s="1326"/>
      <c r="EM640" s="1326" t="e">
        <f t="shared" si="6"/>
        <v>#VALUE!</v>
      </c>
      <c r="EN640" s="1326"/>
      <c r="EO640" s="1326"/>
      <c r="EP640" s="1326"/>
      <c r="EQ640" s="1326"/>
      <c r="ER640" s="1326" t="e">
        <f t="shared" si="7"/>
        <v>#VALUE!</v>
      </c>
      <c r="ES640" s="1326"/>
      <c r="ET640" s="1326"/>
      <c r="EU640" s="1326"/>
      <c r="EV640" s="1326"/>
      <c r="EW640" s="1326" t="e">
        <f t="shared" si="8"/>
        <v>#VALUE!</v>
      </c>
      <c r="EX640" s="1326"/>
      <c r="EY640" s="1326"/>
      <c r="EZ640" s="1326"/>
      <c r="FA640" s="1326"/>
    </row>
    <row r="641" spans="1:157" ht="12.9" customHeight="1">
      <c r="B641" s="1770" t="s">
        <v>1451</v>
      </c>
      <c r="C641" s="1386"/>
      <c r="D641" s="1386"/>
      <c r="E641" s="1386"/>
      <c r="F641" s="1386"/>
      <c r="G641" s="1386"/>
      <c r="H641" s="1386"/>
      <c r="I641" s="1386"/>
      <c r="J641" s="1386"/>
      <c r="K641" s="1386"/>
      <c r="L641" s="1386"/>
      <c r="M641" s="1386"/>
      <c r="N641" s="1386"/>
      <c r="O641" s="1386"/>
      <c r="P641" s="1386"/>
      <c r="Q641" s="1386"/>
      <c r="R641" s="1386"/>
      <c r="S641" s="1386"/>
      <c r="T641" s="1386"/>
      <c r="U641" s="1386"/>
      <c r="V641" s="1386"/>
      <c r="W641" s="1386"/>
      <c r="X641" s="1386"/>
      <c r="Y641" s="1386"/>
      <c r="Z641" s="1386"/>
      <c r="AA641" s="1386"/>
      <c r="AB641" s="1386"/>
      <c r="AC641" s="1386"/>
      <c r="AD641" s="1386"/>
      <c r="AE641" s="1386"/>
      <c r="AF641" s="1386"/>
      <c r="AG641" s="1386"/>
      <c r="AH641" s="1386"/>
      <c r="AI641" s="1386"/>
      <c r="AJ641" s="1386"/>
      <c r="AK641" s="1386"/>
      <c r="AL641" s="1386"/>
      <c r="AM641" s="1386"/>
      <c r="AN641" s="1771"/>
      <c r="AO641" s="1422">
        <f>AO639+AO640</f>
        <v>88469408</v>
      </c>
      <c r="AP641" s="1423"/>
      <c r="AQ641" s="1423"/>
      <c r="AR641" s="1423"/>
      <c r="AS641" s="1424"/>
      <c r="AV641" s="2"/>
      <c r="AW641" s="2"/>
      <c r="AX641" s="2"/>
      <c r="AY641" s="2"/>
      <c r="AZ641" s="2"/>
      <c r="BA641" s="2"/>
      <c r="BB641" s="2"/>
      <c r="BC641" s="2"/>
      <c r="BD641" s="2"/>
      <c r="BE641" s="2"/>
      <c r="BF641" s="2"/>
      <c r="BG641" s="2"/>
      <c r="BH641" s="2"/>
      <c r="BI641" s="2"/>
      <c r="BJ641" s="2"/>
      <c r="BK641" s="2"/>
      <c r="BL641" s="2"/>
      <c r="BM641" s="2"/>
      <c r="DA641" s="2"/>
      <c r="DB641" s="2"/>
      <c r="DC641" s="2"/>
      <c r="DD641" s="2"/>
      <c r="DE641" s="2"/>
      <c r="DF641" s="2"/>
      <c r="DX641" s="1326" t="e">
        <f t="shared" si="3"/>
        <v>#VALUE!</v>
      </c>
      <c r="DY641" s="1326"/>
      <c r="DZ641" s="1326"/>
      <c r="EA641" s="1326"/>
      <c r="EB641" s="1326"/>
      <c r="EC641" s="1326" t="e">
        <f t="shared" si="4"/>
        <v>#VALUE!</v>
      </c>
      <c r="ED641" s="1326"/>
      <c r="EE641" s="1326"/>
      <c r="EF641" s="1326"/>
      <c r="EG641" s="1326"/>
      <c r="EH641" s="1326">
        <f t="shared" si="5"/>
        <v>180.68571428571428</v>
      </c>
      <c r="EI641" s="1326"/>
      <c r="EJ641" s="1326"/>
      <c r="EK641" s="1326"/>
      <c r="EL641" s="1326"/>
      <c r="EM641" s="1326" t="e">
        <f t="shared" si="6"/>
        <v>#VALUE!</v>
      </c>
      <c r="EN641" s="1326"/>
      <c r="EO641" s="1326"/>
      <c r="EP641" s="1326"/>
      <c r="EQ641" s="1326"/>
      <c r="ER641" s="1326" t="e">
        <f t="shared" si="7"/>
        <v>#VALUE!</v>
      </c>
      <c r="ES641" s="1326"/>
      <c r="ET641" s="1326"/>
      <c r="EU641" s="1326"/>
      <c r="EV641" s="1326"/>
      <c r="EW641" s="1326" t="e">
        <f t="shared" si="8"/>
        <v>#VALUE!</v>
      </c>
      <c r="EX641" s="1326"/>
      <c r="EY641" s="1326"/>
      <c r="EZ641" s="1326"/>
      <c r="FA641" s="1326"/>
    </row>
    <row r="642" spans="1:157" ht="12.9" customHeight="1">
      <c r="B642" s="315"/>
      <c r="K642" s="37"/>
      <c r="L642" s="21"/>
      <c r="M642" s="21"/>
      <c r="N642" s="21"/>
      <c r="O642" s="21"/>
      <c r="P642" s="21"/>
      <c r="Q642" s="21"/>
      <c r="R642" s="21"/>
      <c r="AC642" s="37"/>
      <c r="AD642" s="21"/>
      <c r="AE642" s="21"/>
      <c r="AF642" s="21"/>
      <c r="AG642" s="21"/>
      <c r="AH642" s="21"/>
      <c r="AI642" s="21"/>
      <c r="AJ642" s="21"/>
      <c r="AV642" s="2"/>
      <c r="AW642" s="2"/>
      <c r="AX642" s="2"/>
      <c r="AY642" s="2"/>
      <c r="AZ642" s="2"/>
      <c r="BA642" s="2"/>
      <c r="BB642" s="2"/>
      <c r="BC642" s="2"/>
      <c r="BD642" s="2"/>
      <c r="BE642" s="2"/>
      <c r="BF642" s="2"/>
      <c r="BG642" s="2"/>
      <c r="BH642" s="2"/>
      <c r="BI642" s="2"/>
      <c r="BJ642" s="2"/>
      <c r="BK642" s="2"/>
      <c r="BL642" s="2"/>
      <c r="BM642" s="2"/>
      <c r="DA642" s="2"/>
      <c r="DB642" s="2"/>
      <c r="DC642" s="2"/>
      <c r="DD642" s="2"/>
      <c r="DE642" s="2"/>
      <c r="DF642" s="2"/>
      <c r="DX642" s="1326" t="e">
        <f t="shared" si="3"/>
        <v>#VALUE!</v>
      </c>
      <c r="DY642" s="1326"/>
      <c r="DZ642" s="1326"/>
      <c r="EA642" s="1326"/>
      <c r="EB642" s="1326"/>
      <c r="EC642" s="1326" t="e">
        <f t="shared" si="4"/>
        <v>#VALUE!</v>
      </c>
      <c r="ED642" s="1326"/>
      <c r="EE642" s="1326"/>
      <c r="EF642" s="1326"/>
      <c r="EG642" s="1326"/>
      <c r="EH642" s="1326">
        <f t="shared" si="5"/>
        <v>102.85714285714285</v>
      </c>
      <c r="EI642" s="1326"/>
      <c r="EJ642" s="1326"/>
      <c r="EK642" s="1326"/>
      <c r="EL642" s="1326"/>
      <c r="EM642" s="1326" t="e">
        <f t="shared" si="6"/>
        <v>#VALUE!</v>
      </c>
      <c r="EN642" s="1326"/>
      <c r="EO642" s="1326"/>
      <c r="EP642" s="1326"/>
      <c r="EQ642" s="1326"/>
      <c r="ER642" s="1326" t="e">
        <f t="shared" si="7"/>
        <v>#VALUE!</v>
      </c>
      <c r="ES642" s="1326"/>
      <c r="ET642" s="1326"/>
      <c r="EU642" s="1326"/>
      <c r="EV642" s="1326"/>
      <c r="EW642" s="1326" t="e">
        <f t="shared" si="8"/>
        <v>#VALUE!</v>
      </c>
      <c r="EX642" s="1326"/>
      <c r="EY642" s="1326"/>
      <c r="EZ642" s="1326"/>
      <c r="FA642" s="1326"/>
    </row>
    <row r="643" spans="1:157" ht="12.9" customHeight="1">
      <c r="A643" s="36" t="s">
        <v>18</v>
      </c>
      <c r="B643" t="s">
        <v>1420</v>
      </c>
      <c r="G643" s="1432" t="str">
        <f>C627</f>
        <v>CitiBank Permenant Loan</v>
      </c>
      <c r="H643" s="1432"/>
      <c r="I643" s="1432"/>
      <c r="J643" s="1432"/>
      <c r="K643" s="1432"/>
      <c r="L643" s="1432"/>
      <c r="M643" s="1432"/>
      <c r="N643" s="1432"/>
      <c r="O643" s="1432"/>
      <c r="P643" s="1432"/>
      <c r="Q643" s="1432"/>
      <c r="R643" s="1432"/>
      <c r="S643" s="6"/>
      <c r="T643" s="36" t="s">
        <v>31</v>
      </c>
      <c r="U643" t="s">
        <v>1420</v>
      </c>
      <c r="Z643" s="1432" t="str">
        <f>C628</f>
        <v>Safehold TILoan</v>
      </c>
      <c r="AA643" s="1432"/>
      <c r="AB643" s="1432"/>
      <c r="AC643" s="1432"/>
      <c r="AD643" s="1432"/>
      <c r="AE643" s="1432"/>
      <c r="AF643" s="1432"/>
      <c r="AG643" s="1432"/>
      <c r="AH643" s="1432"/>
      <c r="AI643" s="1432"/>
      <c r="AJ643" s="1432"/>
      <c r="AK643" s="1432"/>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26" t="e">
        <f t="shared" si="3"/>
        <v>#VALUE!</v>
      </c>
      <c r="DY643" s="1326"/>
      <c r="DZ643" s="1326"/>
      <c r="EA643" s="1326"/>
      <c r="EB643" s="1326"/>
      <c r="EC643" s="1326" t="e">
        <f t="shared" si="4"/>
        <v>#VALUE!</v>
      </c>
      <c r="ED643" s="1326"/>
      <c r="EE643" s="1326"/>
      <c r="EF643" s="1326"/>
      <c r="EG643" s="1326"/>
      <c r="EH643" s="1326" t="e">
        <f t="shared" si="5"/>
        <v>#VALUE!</v>
      </c>
      <c r="EI643" s="1326"/>
      <c r="EJ643" s="1326"/>
      <c r="EK643" s="1326"/>
      <c r="EL643" s="1326"/>
      <c r="EM643" s="1326">
        <f t="shared" si="6"/>
        <v>1191.7714285714285</v>
      </c>
      <c r="EN643" s="1326"/>
      <c r="EO643" s="1326"/>
      <c r="EP643" s="1326"/>
      <c r="EQ643" s="1326"/>
      <c r="ER643" s="1326" t="e">
        <f t="shared" si="7"/>
        <v>#VALUE!</v>
      </c>
      <c r="ES643" s="1326"/>
      <c r="ET643" s="1326"/>
      <c r="EU643" s="1326"/>
      <c r="EV643" s="1326"/>
      <c r="EW643" s="1326" t="e">
        <f t="shared" si="8"/>
        <v>#VALUE!</v>
      </c>
      <c r="EX643" s="1326"/>
      <c r="EY643" s="1326"/>
      <c r="EZ643" s="1326"/>
      <c r="FA643" s="1326"/>
    </row>
    <row r="644" spans="1:157" ht="12.9" customHeight="1">
      <c r="A644" s="17"/>
      <c r="B644" t="s">
        <v>1062</v>
      </c>
      <c r="G644" s="1328" t="s">
        <v>1421</v>
      </c>
      <c r="H644" s="1328"/>
      <c r="I644" s="1328"/>
      <c r="J644" s="1328"/>
      <c r="K644" s="1328"/>
      <c r="L644" s="1328"/>
      <c r="M644" s="1328"/>
      <c r="N644" s="1328"/>
      <c r="O644" s="1328"/>
      <c r="P644" s="1328"/>
      <c r="Q644" s="1328"/>
      <c r="R644" s="1328"/>
      <c r="S644" s="6"/>
      <c r="T644" s="17"/>
      <c r="U644" t="s">
        <v>1062</v>
      </c>
      <c r="Z644" s="1383" t="s">
        <v>1430</v>
      </c>
      <c r="AA644" s="1383"/>
      <c r="AB644" s="1383"/>
      <c r="AC644" s="1383"/>
      <c r="AD644" s="1383"/>
      <c r="AE644" s="1383"/>
      <c r="AF644" s="1383"/>
      <c r="AG644" s="1383"/>
      <c r="AH644" s="1383"/>
      <c r="AI644" s="1383"/>
      <c r="AJ644" s="1383"/>
      <c r="AK644" s="1383"/>
      <c r="AV644" s="2"/>
      <c r="AW644" s="2"/>
      <c r="AX644" s="2"/>
      <c r="AY644" s="2"/>
      <c r="AZ644" s="2"/>
      <c r="BA644" s="2"/>
      <c r="BB644" s="2"/>
      <c r="BC644" s="2"/>
      <c r="BD644" s="2"/>
      <c r="BE644" s="2"/>
      <c r="BF644" s="2"/>
      <c r="BG644" s="2"/>
      <c r="BH644" s="2"/>
      <c r="BI644" s="2"/>
      <c r="BJ644" s="2"/>
      <c r="BK644" s="2"/>
      <c r="BL644" s="2"/>
      <c r="BM644" s="2"/>
      <c r="DX644" s="1326" t="e">
        <f t="shared" si="3"/>
        <v>#VALUE!</v>
      </c>
      <c r="DY644" s="1326"/>
      <c r="DZ644" s="1326"/>
      <c r="EA644" s="1326"/>
      <c r="EB644" s="1326"/>
      <c r="EC644" s="1326" t="e">
        <f t="shared" si="4"/>
        <v>#VALUE!</v>
      </c>
      <c r="ED644" s="1326"/>
      <c r="EE644" s="1326"/>
      <c r="EF644" s="1326"/>
      <c r="EG644" s="1326"/>
      <c r="EH644" s="1326" t="e">
        <f t="shared" si="5"/>
        <v>#VALUE!</v>
      </c>
      <c r="EI644" s="1326"/>
      <c r="EJ644" s="1326"/>
      <c r="EK644" s="1326"/>
      <c r="EL644" s="1326"/>
      <c r="EM644" s="1326">
        <f t="shared" si="6"/>
        <v>695.51428571428573</v>
      </c>
      <c r="EN644" s="1326"/>
      <c r="EO644" s="1326"/>
      <c r="EP644" s="1326"/>
      <c r="EQ644" s="1326"/>
      <c r="ER644" s="1326" t="e">
        <f t="shared" si="7"/>
        <v>#VALUE!</v>
      </c>
      <c r="ES644" s="1326"/>
      <c r="ET644" s="1326"/>
      <c r="EU644" s="1326"/>
      <c r="EV644" s="1326"/>
      <c r="EW644" s="1326" t="e">
        <f t="shared" si="8"/>
        <v>#VALUE!</v>
      </c>
      <c r="EX644" s="1326"/>
      <c r="EY644" s="1326"/>
      <c r="EZ644" s="1326"/>
      <c r="FA644" s="1326"/>
    </row>
    <row r="645" spans="1:157" ht="12.9" customHeight="1">
      <c r="A645" s="17"/>
      <c r="B645" t="s">
        <v>930</v>
      </c>
      <c r="G645" s="1328" t="s">
        <v>1422</v>
      </c>
      <c r="H645" s="1328"/>
      <c r="I645" s="1328"/>
      <c r="J645" s="1328"/>
      <c r="K645" s="1328"/>
      <c r="L645" s="1328"/>
      <c r="M645" s="1328"/>
      <c r="N645" s="1328"/>
      <c r="O645" s="1328"/>
      <c r="P645" s="1328"/>
      <c r="Q645" s="1328"/>
      <c r="R645" s="1328"/>
      <c r="T645" s="17"/>
      <c r="U645" t="s">
        <v>930</v>
      </c>
      <c r="Z645" s="1328" t="s">
        <v>1431</v>
      </c>
      <c r="AA645" s="1328"/>
      <c r="AB645" s="1328"/>
      <c r="AC645" s="1328"/>
      <c r="AD645" s="1328"/>
      <c r="AE645" s="1328"/>
      <c r="AF645" s="1328"/>
      <c r="AG645" s="1328"/>
      <c r="AH645" s="1328"/>
      <c r="AI645" s="1328"/>
      <c r="AJ645" s="1328"/>
      <c r="AK645" s="1328"/>
      <c r="AV645" s="2"/>
      <c r="AW645" s="2"/>
      <c r="AX645" s="2"/>
      <c r="AY645" s="2"/>
      <c r="AZ645" s="2"/>
      <c r="BA645" s="2"/>
      <c r="BB645" s="2"/>
      <c r="BC645" s="2"/>
      <c r="BD645" s="2"/>
      <c r="BE645" s="2"/>
      <c r="BF645" s="2"/>
      <c r="BG645" s="2"/>
      <c r="BH645" s="2"/>
      <c r="BI645" s="2"/>
      <c r="BJ645" s="2"/>
      <c r="BK645" s="2"/>
      <c r="BL645" s="2"/>
      <c r="BM645" s="2"/>
      <c r="DX645" s="1326" t="e">
        <f t="shared" si="3"/>
        <v>#VALUE!</v>
      </c>
      <c r="DY645" s="1326"/>
      <c r="DZ645" s="1326"/>
      <c r="EA645" s="1326"/>
      <c r="EB645" s="1326"/>
      <c r="EC645" s="1326" t="e">
        <f t="shared" si="4"/>
        <v>#VALUE!</v>
      </c>
      <c r="ED645" s="1326"/>
      <c r="EE645" s="1326"/>
      <c r="EF645" s="1326"/>
      <c r="EG645" s="1326"/>
      <c r="EH645" s="1326" t="e">
        <f t="shared" si="5"/>
        <v>#VALUE!</v>
      </c>
      <c r="EI645" s="1326"/>
      <c r="EJ645" s="1326"/>
      <c r="EK645" s="1326"/>
      <c r="EL645" s="1326"/>
      <c r="EM645" s="1326">
        <f t="shared" si="6"/>
        <v>207.88571428571427</v>
      </c>
      <c r="EN645" s="1326"/>
      <c r="EO645" s="1326"/>
      <c r="EP645" s="1326"/>
      <c r="EQ645" s="1326"/>
      <c r="ER645" s="1326" t="e">
        <f t="shared" si="7"/>
        <v>#VALUE!</v>
      </c>
      <c r="ES645" s="1326"/>
      <c r="ET645" s="1326"/>
      <c r="EU645" s="1326"/>
      <c r="EV645" s="1326"/>
      <c r="EW645" s="1326" t="e">
        <f t="shared" si="8"/>
        <v>#VALUE!</v>
      </c>
      <c r="EX645" s="1326"/>
      <c r="EY645" s="1326"/>
      <c r="EZ645" s="1326"/>
      <c r="FA645" s="1326"/>
    </row>
    <row r="646" spans="1:157" ht="12.9" customHeight="1">
      <c r="A646" s="17"/>
      <c r="B646" t="s">
        <v>1423</v>
      </c>
      <c r="G646" s="1328" t="s">
        <v>1424</v>
      </c>
      <c r="H646" s="1328"/>
      <c r="I646" s="1328"/>
      <c r="J646" s="1328"/>
      <c r="K646" s="1328"/>
      <c r="L646" s="1328"/>
      <c r="M646" s="1328"/>
      <c r="N646" s="1328"/>
      <c r="O646" s="1328"/>
      <c r="P646" s="1328"/>
      <c r="Q646" s="1328"/>
      <c r="R646" s="1328"/>
      <c r="S646" s="6"/>
      <c r="T646" s="17"/>
      <c r="U646" t="s">
        <v>1423</v>
      </c>
      <c r="Z646" s="1328" t="s">
        <v>1432</v>
      </c>
      <c r="AA646" s="1328"/>
      <c r="AB646" s="1328"/>
      <c r="AC646" s="1328"/>
      <c r="AD646" s="1328"/>
      <c r="AE646" s="1328"/>
      <c r="AF646" s="1328"/>
      <c r="AG646" s="1328"/>
      <c r="AH646" s="1328"/>
      <c r="AI646" s="1328"/>
      <c r="AJ646" s="1328"/>
      <c r="AK646" s="1328"/>
      <c r="AZ646" s="2"/>
      <c r="BA646" s="2"/>
      <c r="BB646" s="2"/>
      <c r="BC646" s="2"/>
      <c r="BD646" s="2"/>
      <c r="BE646" s="2"/>
      <c r="BF646" s="2"/>
      <c r="BG646" s="2"/>
      <c r="BH646" s="2"/>
      <c r="BI646" s="2"/>
      <c r="BJ646" s="2"/>
      <c r="BK646" s="2"/>
      <c r="BL646" s="2"/>
      <c r="BM646" s="2"/>
      <c r="DX646" s="1326" t="e">
        <f t="shared" si="3"/>
        <v>#VALUE!</v>
      </c>
      <c r="DY646" s="1326"/>
      <c r="DZ646" s="1326"/>
      <c r="EA646" s="1326"/>
      <c r="EB646" s="1326"/>
      <c r="EC646" s="1326" t="e">
        <f t="shared" si="4"/>
        <v>#VALUE!</v>
      </c>
      <c r="ED646" s="1326"/>
      <c r="EE646" s="1326"/>
      <c r="EF646" s="1326"/>
      <c r="EG646" s="1326"/>
      <c r="EH646" s="1326" t="e">
        <f t="shared" si="5"/>
        <v>#VALUE!</v>
      </c>
      <c r="EI646" s="1326"/>
      <c r="EJ646" s="1326"/>
      <c r="EK646" s="1326"/>
      <c r="EL646" s="1326"/>
      <c r="EM646" s="1326">
        <f t="shared" si="6"/>
        <v>117.82857142857142</v>
      </c>
      <c r="EN646" s="1326"/>
      <c r="EO646" s="1326"/>
      <c r="EP646" s="1326"/>
      <c r="EQ646" s="1326"/>
      <c r="ER646" s="1326" t="e">
        <f t="shared" si="7"/>
        <v>#VALUE!</v>
      </c>
      <c r="ES646" s="1326"/>
      <c r="ET646" s="1326"/>
      <c r="EU646" s="1326"/>
      <c r="EV646" s="1326"/>
      <c r="EW646" s="1326" t="e">
        <f t="shared" si="8"/>
        <v>#VALUE!</v>
      </c>
      <c r="EX646" s="1326"/>
      <c r="EY646" s="1326"/>
      <c r="EZ646" s="1326"/>
      <c r="FA646" s="1326"/>
    </row>
    <row r="647" spans="1:157" ht="12.9" customHeight="1">
      <c r="A647" s="17"/>
      <c r="B647" t="s">
        <v>823</v>
      </c>
      <c r="G647" s="1445">
        <v>2122391914</v>
      </c>
      <c r="H647" s="1445"/>
      <c r="I647" s="1445"/>
      <c r="J647" s="1445"/>
      <c r="K647" s="1445"/>
      <c r="L647" s="1445"/>
      <c r="O647" s="763" t="s">
        <v>1071</v>
      </c>
      <c r="P647" s="1421"/>
      <c r="Q647" s="1421"/>
      <c r="R647" s="1421"/>
      <c r="S647" s="8"/>
      <c r="T647" s="17"/>
      <c r="U647" t="s">
        <v>823</v>
      </c>
      <c r="Z647" s="1445" t="s">
        <v>1433</v>
      </c>
      <c r="AA647" s="1445"/>
      <c r="AB647" s="1445"/>
      <c r="AC647" s="1445"/>
      <c r="AD647" s="1445"/>
      <c r="AE647" s="1445"/>
      <c r="AH647" s="763" t="s">
        <v>1071</v>
      </c>
      <c r="AI647" s="1421"/>
      <c r="AJ647" s="1421"/>
      <c r="AK647" s="1421"/>
      <c r="AZ647" s="2"/>
      <c r="BA647" s="2"/>
      <c r="BB647" s="2"/>
      <c r="BC647" s="2"/>
      <c r="BD647" s="2"/>
      <c r="BE647" s="2"/>
      <c r="BF647" s="2"/>
      <c r="BG647" s="2"/>
      <c r="BH647" s="2"/>
      <c r="BI647" s="2"/>
      <c r="BJ647" s="2"/>
      <c r="BK647" s="2"/>
      <c r="BL647" s="2"/>
      <c r="BM647" s="2"/>
      <c r="DX647" s="1326" t="e">
        <f t="shared" si="3"/>
        <v>#VALUE!</v>
      </c>
      <c r="DY647" s="1326"/>
      <c r="DZ647" s="1326"/>
      <c r="EA647" s="1326"/>
      <c r="EB647" s="1326"/>
      <c r="EC647" s="1326" t="e">
        <f t="shared" si="4"/>
        <v>#VALUE!</v>
      </c>
      <c r="ED647" s="1326"/>
      <c r="EE647" s="1326"/>
      <c r="EF647" s="1326"/>
      <c r="EG647" s="1326"/>
      <c r="EH647" s="1326" t="e">
        <f t="shared" si="5"/>
        <v>#VALUE!</v>
      </c>
      <c r="EI647" s="1326"/>
      <c r="EJ647" s="1326"/>
      <c r="EK647" s="1326"/>
      <c r="EL647" s="1326"/>
      <c r="EM647" s="1326" t="e">
        <f t="shared" si="6"/>
        <v>#VALUE!</v>
      </c>
      <c r="EN647" s="1326"/>
      <c r="EO647" s="1326"/>
      <c r="EP647" s="1326"/>
      <c r="EQ647" s="1326"/>
      <c r="ER647" s="1326" t="e">
        <f t="shared" si="7"/>
        <v>#VALUE!</v>
      </c>
      <c r="ES647" s="1326"/>
      <c r="ET647" s="1326"/>
      <c r="EU647" s="1326"/>
      <c r="EV647" s="1326"/>
      <c r="EW647" s="1326" t="e">
        <f t="shared" si="8"/>
        <v>#VALUE!</v>
      </c>
      <c r="EX647" s="1326"/>
      <c r="EY647" s="1326"/>
      <c r="EZ647" s="1326"/>
      <c r="FA647" s="1326"/>
    </row>
    <row r="648" spans="1:157" ht="12.9" customHeight="1">
      <c r="A648" s="17"/>
      <c r="B648" t="s">
        <v>1425</v>
      </c>
      <c r="H648" s="1383" t="s">
        <v>1371</v>
      </c>
      <c r="I648" s="1383"/>
      <c r="J648" s="1383"/>
      <c r="K648" s="1383"/>
      <c r="L648" s="1383"/>
      <c r="M648" s="1383"/>
      <c r="N648" s="1383"/>
      <c r="O648" s="1383"/>
      <c r="P648" s="1383"/>
      <c r="Q648" s="1383"/>
      <c r="R648" s="1383"/>
      <c r="S648" s="6"/>
      <c r="T648" s="17"/>
      <c r="U648" t="s">
        <v>1425</v>
      </c>
      <c r="AA648" s="1383" t="s">
        <v>1434</v>
      </c>
      <c r="AB648" s="1383"/>
      <c r="AC648" s="1383"/>
      <c r="AD648" s="1383"/>
      <c r="AE648" s="1383"/>
      <c r="AF648" s="1383"/>
      <c r="AG648" s="1383"/>
      <c r="AH648" s="1383"/>
      <c r="AI648" s="1383"/>
      <c r="AJ648" s="1383"/>
      <c r="AK648" s="1383"/>
      <c r="AZ648" s="2"/>
      <c r="BA648" s="2"/>
      <c r="BB648" s="2"/>
      <c r="BC648" s="2"/>
      <c r="BD648" s="2"/>
      <c r="BE648" s="2"/>
      <c r="BF648" s="2"/>
      <c r="BG648" s="2"/>
      <c r="BH648" s="2"/>
      <c r="BI648" s="2"/>
      <c r="BJ648" s="2"/>
      <c r="BK648" s="2"/>
      <c r="BL648" s="2"/>
      <c r="BM648" s="2"/>
      <c r="DX648" s="1326" t="e">
        <f t="shared" si="3"/>
        <v>#VALUE!</v>
      </c>
      <c r="DY648" s="1326"/>
      <c r="DZ648" s="1326"/>
      <c r="EA648" s="1326"/>
      <c r="EB648" s="1326"/>
      <c r="EC648" s="1326" t="e">
        <f t="shared" si="4"/>
        <v>#VALUE!</v>
      </c>
      <c r="ED648" s="1326"/>
      <c r="EE648" s="1326"/>
      <c r="EF648" s="1326"/>
      <c r="EG648" s="1326"/>
      <c r="EH648" s="1326" t="e">
        <f t="shared" si="5"/>
        <v>#VALUE!</v>
      </c>
      <c r="EI648" s="1326"/>
      <c r="EJ648" s="1326"/>
      <c r="EK648" s="1326"/>
      <c r="EL648" s="1326"/>
      <c r="EM648" s="1326" t="e">
        <f t="shared" si="6"/>
        <v>#VALUE!</v>
      </c>
      <c r="EN648" s="1326"/>
      <c r="EO648" s="1326"/>
      <c r="EP648" s="1326"/>
      <c r="EQ648" s="1326"/>
      <c r="ER648" s="1326" t="e">
        <f t="shared" si="7"/>
        <v>#VALUE!</v>
      </c>
      <c r="ES648" s="1326"/>
      <c r="ET648" s="1326"/>
      <c r="EU648" s="1326"/>
      <c r="EV648" s="1326"/>
      <c r="EW648" s="1326" t="e">
        <f t="shared" si="8"/>
        <v>#VALUE!</v>
      </c>
      <c r="EX648" s="1326"/>
      <c r="EY648" s="1326"/>
      <c r="EZ648" s="1326"/>
      <c r="FA648" s="1326"/>
    </row>
    <row r="649" spans="1:157" ht="12.9" customHeight="1">
      <c r="A649" s="17"/>
      <c r="B649" t="s">
        <v>1428</v>
      </c>
      <c r="N649" s="1440" t="s">
        <v>694</v>
      </c>
      <c r="O649" s="1440"/>
      <c r="T649" s="17"/>
      <c r="U649" t="s">
        <v>1428</v>
      </c>
      <c r="AG649" s="1440" t="s">
        <v>694</v>
      </c>
      <c r="AH649" s="1440"/>
      <c r="AZ649" s="2"/>
      <c r="BA649" s="2"/>
      <c r="BB649" s="2"/>
      <c r="BC649" s="2"/>
      <c r="BD649" s="2"/>
      <c r="BE649" s="2"/>
      <c r="BF649" s="2"/>
      <c r="BG649" s="2"/>
      <c r="BH649" s="2"/>
      <c r="BI649" s="2"/>
      <c r="BJ649" s="2"/>
      <c r="BK649" s="2"/>
      <c r="BL649" s="2"/>
      <c r="BM649" s="2"/>
      <c r="DX649" s="1326" t="e">
        <f t="shared" si="3"/>
        <v>#VALUE!</v>
      </c>
      <c r="DY649" s="1326"/>
      <c r="DZ649" s="1326"/>
      <c r="EA649" s="1326"/>
      <c r="EB649" s="1326"/>
      <c r="EC649" s="1326" t="e">
        <f t="shared" si="4"/>
        <v>#VALUE!</v>
      </c>
      <c r="ED649" s="1326"/>
      <c r="EE649" s="1326"/>
      <c r="EF649" s="1326"/>
      <c r="EG649" s="1326"/>
      <c r="EH649" s="1326" t="e">
        <f t="shared" si="5"/>
        <v>#VALUE!</v>
      </c>
      <c r="EI649" s="1326"/>
      <c r="EJ649" s="1326"/>
      <c r="EK649" s="1326"/>
      <c r="EL649" s="1326"/>
      <c r="EM649" s="1326" t="e">
        <f t="shared" si="6"/>
        <v>#VALUE!</v>
      </c>
      <c r="EN649" s="1326"/>
      <c r="EO649" s="1326"/>
      <c r="EP649" s="1326"/>
      <c r="EQ649" s="1326"/>
      <c r="ER649" s="1326" t="e">
        <f t="shared" si="7"/>
        <v>#VALUE!</v>
      </c>
      <c r="ES649" s="1326"/>
      <c r="ET649" s="1326"/>
      <c r="EU649" s="1326"/>
      <c r="EV649" s="1326"/>
      <c r="EW649" s="1326" t="e">
        <f t="shared" si="8"/>
        <v>#VALUE!</v>
      </c>
      <c r="EX649" s="1326"/>
      <c r="EY649" s="1326"/>
      <c r="EZ649" s="1326"/>
      <c r="FA649" s="1326"/>
    </row>
    <row r="650" spans="1:157" ht="12.9" customHeight="1">
      <c r="A650" s="17"/>
      <c r="T650" s="17"/>
      <c r="AZ650" s="2"/>
      <c r="BA650" s="2"/>
      <c r="BB650" s="2"/>
      <c r="BC650" s="2"/>
      <c r="BD650" s="2"/>
      <c r="BE650" s="2"/>
      <c r="BF650" s="2"/>
      <c r="BG650" s="2"/>
      <c r="BH650" s="2"/>
      <c r="BI650" s="2"/>
      <c r="BJ650" s="2"/>
      <c r="BK650" s="2"/>
      <c r="BL650" s="2"/>
      <c r="BM650" s="2"/>
      <c r="DX650" s="1326" t="e">
        <f t="shared" si="3"/>
        <v>#VALUE!</v>
      </c>
      <c r="DY650" s="1326"/>
      <c r="DZ650" s="1326"/>
      <c r="EA650" s="1326"/>
      <c r="EB650" s="1326"/>
      <c r="EC650" s="1326" t="e">
        <f t="shared" si="4"/>
        <v>#VALUE!</v>
      </c>
      <c r="ED650" s="1326"/>
      <c r="EE650" s="1326"/>
      <c r="EF650" s="1326"/>
      <c r="EG650" s="1326"/>
      <c r="EH650" s="1326" t="e">
        <f t="shared" si="5"/>
        <v>#VALUE!</v>
      </c>
      <c r="EI650" s="1326"/>
      <c r="EJ650" s="1326"/>
      <c r="EK650" s="1326"/>
      <c r="EL650" s="1326"/>
      <c r="EM650" s="1326" t="e">
        <f t="shared" si="6"/>
        <v>#VALUE!</v>
      </c>
      <c r="EN650" s="1326"/>
      <c r="EO650" s="1326"/>
      <c r="EP650" s="1326"/>
      <c r="EQ650" s="1326"/>
      <c r="ER650" s="1326" t="e">
        <f t="shared" si="7"/>
        <v>#VALUE!</v>
      </c>
      <c r="ES650" s="1326"/>
      <c r="ET650" s="1326"/>
      <c r="EU650" s="1326"/>
      <c r="EV650" s="1326"/>
      <c r="EW650" s="1326" t="e">
        <f t="shared" si="8"/>
        <v>#VALUE!</v>
      </c>
      <c r="EX650" s="1326"/>
      <c r="EY650" s="1326"/>
      <c r="EZ650" s="1326"/>
      <c r="FA650" s="1326"/>
    </row>
    <row r="651" spans="1:157" ht="12.9" customHeight="1">
      <c r="A651" s="36" t="s">
        <v>39</v>
      </c>
      <c r="B651" t="s">
        <v>1420</v>
      </c>
      <c r="G651" s="1432" t="str">
        <f>C629</f>
        <v>Deferred Developer Fee</v>
      </c>
      <c r="H651" s="1432"/>
      <c r="I651" s="1432"/>
      <c r="J651" s="1432"/>
      <c r="K651" s="1432"/>
      <c r="L651" s="1432"/>
      <c r="M651" s="1432"/>
      <c r="N651" s="1432"/>
      <c r="O651" s="1432"/>
      <c r="P651" s="1432"/>
      <c r="Q651" s="1432"/>
      <c r="R651" s="1432"/>
      <c r="T651" s="36" t="s">
        <v>82</v>
      </c>
      <c r="U651" t="s">
        <v>1420</v>
      </c>
      <c r="Z651" s="1432">
        <f>C630</f>
        <v>0</v>
      </c>
      <c r="AA651" s="1432"/>
      <c r="AB651" s="1432"/>
      <c r="AC651" s="1432"/>
      <c r="AD651" s="1432"/>
      <c r="AE651" s="1432"/>
      <c r="AF651" s="1432"/>
      <c r="AG651" s="1432"/>
      <c r="AH651" s="1432"/>
      <c r="AI651" s="1432"/>
      <c r="AJ651" s="1432"/>
      <c r="AK651" s="1432"/>
      <c r="AZ651" s="2"/>
      <c r="BA651" s="2"/>
      <c r="BB651" s="2"/>
      <c r="BC651" s="2"/>
      <c r="BD651" s="2"/>
      <c r="BE651" s="2"/>
      <c r="BF651" s="2"/>
      <c r="BG651" s="2"/>
      <c r="BH651" s="2"/>
      <c r="BI651" s="2"/>
      <c r="BJ651" s="2"/>
      <c r="BK651" s="2"/>
      <c r="BL651" s="2"/>
      <c r="BM651" s="2"/>
      <c r="DX651" s="1326" t="e">
        <f t="shared" si="3"/>
        <v>#VALUE!</v>
      </c>
      <c r="DY651" s="1326"/>
      <c r="DZ651" s="1326"/>
      <c r="EA651" s="1326"/>
      <c r="EB651" s="1326"/>
      <c r="EC651" s="1326" t="e">
        <f t="shared" si="4"/>
        <v>#VALUE!</v>
      </c>
      <c r="ED651" s="1326"/>
      <c r="EE651" s="1326"/>
      <c r="EF651" s="1326"/>
      <c r="EG651" s="1326"/>
      <c r="EH651" s="1326" t="e">
        <f t="shared" si="5"/>
        <v>#VALUE!</v>
      </c>
      <c r="EI651" s="1326"/>
      <c r="EJ651" s="1326"/>
      <c r="EK651" s="1326"/>
      <c r="EL651" s="1326"/>
      <c r="EM651" s="1326" t="e">
        <f t="shared" si="6"/>
        <v>#VALUE!</v>
      </c>
      <c r="EN651" s="1326"/>
      <c r="EO651" s="1326"/>
      <c r="EP651" s="1326"/>
      <c r="EQ651" s="1326"/>
      <c r="ER651" s="1326" t="e">
        <f t="shared" si="7"/>
        <v>#VALUE!</v>
      </c>
      <c r="ES651" s="1326"/>
      <c r="ET651" s="1326"/>
      <c r="EU651" s="1326"/>
      <c r="EV651" s="1326"/>
      <c r="EW651" s="1326" t="e">
        <f t="shared" si="8"/>
        <v>#VALUE!</v>
      </c>
      <c r="EX651" s="1326"/>
      <c r="EY651" s="1326"/>
      <c r="EZ651" s="1326"/>
      <c r="FA651" s="1326"/>
    </row>
    <row r="652" spans="1:157" ht="12.9" customHeight="1">
      <c r="A652" s="17"/>
      <c r="B652" t="s">
        <v>1062</v>
      </c>
      <c r="G652" s="1383" t="s">
        <v>1435</v>
      </c>
      <c r="H652" s="1383"/>
      <c r="I652" s="1383"/>
      <c r="J652" s="1383"/>
      <c r="K652" s="1383"/>
      <c r="L652" s="1383"/>
      <c r="M652" s="1383"/>
      <c r="N652" s="1383"/>
      <c r="O652" s="1383"/>
      <c r="P652" s="1383"/>
      <c r="Q652" s="1383"/>
      <c r="R652" s="1383"/>
      <c r="T652" s="17"/>
      <c r="U652" t="s">
        <v>1062</v>
      </c>
      <c r="Z652" s="1383"/>
      <c r="AA652" s="1383"/>
      <c r="AB652" s="1383"/>
      <c r="AC652" s="1383"/>
      <c r="AD652" s="1383"/>
      <c r="AE652" s="1383"/>
      <c r="AF652" s="1383"/>
      <c r="AG652" s="1383"/>
      <c r="AH652" s="1383"/>
      <c r="AI652" s="1383"/>
      <c r="AJ652" s="1383"/>
      <c r="AK652" s="1383"/>
      <c r="AZ652" s="2"/>
      <c r="BA652" s="2"/>
      <c r="BB652" s="2"/>
      <c r="BC652" s="2"/>
      <c r="BD652" s="2"/>
      <c r="BE652" s="2"/>
      <c r="BF652" s="2"/>
      <c r="BG652" s="2"/>
      <c r="BH652" s="2"/>
      <c r="BI652" s="2"/>
      <c r="BJ652" s="2"/>
      <c r="BK652" s="2"/>
      <c r="BL652" s="2"/>
      <c r="BM652" s="2"/>
      <c r="DX652" s="1326" t="e">
        <f t="shared" si="3"/>
        <v>#VALUE!</v>
      </c>
      <c r="DY652" s="1326"/>
      <c r="DZ652" s="1326"/>
      <c r="EA652" s="1326"/>
      <c r="EB652" s="1326"/>
      <c r="EC652" s="1326" t="e">
        <f t="shared" si="4"/>
        <v>#VALUE!</v>
      </c>
      <c r="ED652" s="1326"/>
      <c r="EE652" s="1326"/>
      <c r="EF652" s="1326"/>
      <c r="EG652" s="1326"/>
      <c r="EH652" s="1326" t="e">
        <f t="shared" si="5"/>
        <v>#VALUE!</v>
      </c>
      <c r="EI652" s="1326"/>
      <c r="EJ652" s="1326"/>
      <c r="EK652" s="1326"/>
      <c r="EL652" s="1326"/>
      <c r="EM652" s="1326" t="e">
        <f t="shared" si="6"/>
        <v>#VALUE!</v>
      </c>
      <c r="EN652" s="1326"/>
      <c r="EO652" s="1326"/>
      <c r="EP652" s="1326"/>
      <c r="EQ652" s="1326"/>
      <c r="ER652" s="1326" t="e">
        <f t="shared" si="7"/>
        <v>#VALUE!</v>
      </c>
      <c r="ES652" s="1326"/>
      <c r="ET652" s="1326"/>
      <c r="EU652" s="1326"/>
      <c r="EV652" s="1326"/>
      <c r="EW652" s="1326" t="e">
        <f t="shared" si="8"/>
        <v>#VALUE!</v>
      </c>
      <c r="EX652" s="1326"/>
      <c r="EY652" s="1326"/>
      <c r="EZ652" s="1326"/>
      <c r="FA652" s="1326"/>
    </row>
    <row r="653" spans="1:157" ht="12.9" customHeight="1">
      <c r="A653" s="17"/>
      <c r="B653" t="s">
        <v>930</v>
      </c>
      <c r="G653" s="1328" t="s">
        <v>1127</v>
      </c>
      <c r="H653" s="1328"/>
      <c r="I653" s="1328"/>
      <c r="J653" s="1328"/>
      <c r="K653" s="1328"/>
      <c r="L653" s="1328"/>
      <c r="M653" s="1328"/>
      <c r="N653" s="1328"/>
      <c r="O653" s="1328"/>
      <c r="P653" s="1328"/>
      <c r="Q653" s="1328"/>
      <c r="R653" s="1328"/>
      <c r="T653" s="17"/>
      <c r="U653" t="s">
        <v>930</v>
      </c>
      <c r="Z653" s="1328"/>
      <c r="AA653" s="1328"/>
      <c r="AB653" s="1328"/>
      <c r="AC653" s="1328"/>
      <c r="AD653" s="1328"/>
      <c r="AE653" s="1328"/>
      <c r="AF653" s="1328"/>
      <c r="AG653" s="1328"/>
      <c r="AH653" s="1328"/>
      <c r="AI653" s="1328"/>
      <c r="AJ653" s="1328"/>
      <c r="AK653" s="1328"/>
      <c r="AZ653" s="2"/>
      <c r="BA653" s="2"/>
      <c r="BB653" s="2"/>
      <c r="BC653" s="2"/>
      <c r="BD653" s="2"/>
      <c r="BE653" s="2"/>
      <c r="BF653" s="2"/>
      <c r="BG653" s="2"/>
      <c r="BH653" s="2"/>
      <c r="BI653" s="2"/>
      <c r="BJ653" s="2"/>
      <c r="BK653" s="2"/>
      <c r="BL653" s="2"/>
      <c r="BM653" s="2"/>
      <c r="DX653" s="1326" t="e">
        <f t="shared" si="3"/>
        <v>#VALUE!</v>
      </c>
      <c r="DY653" s="1326"/>
      <c r="DZ653" s="1326"/>
      <c r="EA653" s="1326"/>
      <c r="EB653" s="1326"/>
      <c r="EC653" s="1326" t="e">
        <f t="shared" si="4"/>
        <v>#VALUE!</v>
      </c>
      <c r="ED653" s="1326"/>
      <c r="EE653" s="1326"/>
      <c r="EF653" s="1326"/>
      <c r="EG653" s="1326"/>
      <c r="EH653" s="1326" t="e">
        <f t="shared" si="5"/>
        <v>#VALUE!</v>
      </c>
      <c r="EI653" s="1326"/>
      <c r="EJ653" s="1326"/>
      <c r="EK653" s="1326"/>
      <c r="EL653" s="1326"/>
      <c r="EM653" s="1326" t="e">
        <f t="shared" si="6"/>
        <v>#VALUE!</v>
      </c>
      <c r="EN653" s="1326"/>
      <c r="EO653" s="1326"/>
      <c r="EP653" s="1326"/>
      <c r="EQ653" s="1326"/>
      <c r="ER653" s="1326" t="e">
        <f t="shared" si="7"/>
        <v>#VALUE!</v>
      </c>
      <c r="ES653" s="1326"/>
      <c r="ET653" s="1326"/>
      <c r="EU653" s="1326"/>
      <c r="EV653" s="1326"/>
      <c r="EW653" s="1326" t="e">
        <f t="shared" si="8"/>
        <v>#VALUE!</v>
      </c>
      <c r="EX653" s="1326"/>
      <c r="EY653" s="1326"/>
      <c r="EZ653" s="1326"/>
      <c r="FA653" s="1326"/>
    </row>
    <row r="654" spans="1:157" ht="12.9" customHeight="1">
      <c r="A654" s="17"/>
      <c r="B654" t="s">
        <v>1423</v>
      </c>
      <c r="G654" s="1328" t="s">
        <v>1068</v>
      </c>
      <c r="H654" s="1328"/>
      <c r="I654" s="1328"/>
      <c r="J654" s="1328"/>
      <c r="K654" s="1328"/>
      <c r="L654" s="1328"/>
      <c r="M654" s="1328"/>
      <c r="N654" s="1328"/>
      <c r="O654" s="1328"/>
      <c r="P654" s="1328"/>
      <c r="Q654" s="1328"/>
      <c r="R654" s="1328"/>
      <c r="T654" s="17"/>
      <c r="U654" t="s">
        <v>1423</v>
      </c>
      <c r="Z654" s="1328"/>
      <c r="AA654" s="1328"/>
      <c r="AB654" s="1328"/>
      <c r="AC654" s="1328"/>
      <c r="AD654" s="1328"/>
      <c r="AE654" s="1328"/>
      <c r="AF654" s="1328"/>
      <c r="AG654" s="1328"/>
      <c r="AH654" s="1328"/>
      <c r="AI654" s="1328"/>
      <c r="AJ654" s="1328"/>
      <c r="AK654" s="1328"/>
      <c r="AZ654" s="2"/>
      <c r="BA654" s="2"/>
      <c r="BB654" s="2"/>
      <c r="BC654" s="2"/>
      <c r="BD654" s="2"/>
      <c r="BE654" s="2"/>
      <c r="BF654" s="2"/>
      <c r="BG654" s="2"/>
      <c r="BH654" s="2"/>
      <c r="BI654" s="2"/>
      <c r="BJ654" s="2"/>
      <c r="BK654" s="2"/>
      <c r="BL654" s="2"/>
      <c r="BM654" s="2"/>
      <c r="DX654" s="1326" t="e">
        <f t="shared" si="3"/>
        <v>#VALUE!</v>
      </c>
      <c r="DY654" s="1326"/>
      <c r="DZ654" s="1326"/>
      <c r="EA654" s="1326"/>
      <c r="EB654" s="1326"/>
      <c r="EC654" s="1326" t="e">
        <f t="shared" si="4"/>
        <v>#VALUE!</v>
      </c>
      <c r="ED654" s="1326"/>
      <c r="EE654" s="1326"/>
      <c r="EF654" s="1326"/>
      <c r="EG654" s="1326"/>
      <c r="EH654" s="1326" t="e">
        <f t="shared" si="5"/>
        <v>#VALUE!</v>
      </c>
      <c r="EI654" s="1326"/>
      <c r="EJ654" s="1326"/>
      <c r="EK654" s="1326"/>
      <c r="EL654" s="1326"/>
      <c r="EM654" s="1326" t="e">
        <f t="shared" si="6"/>
        <v>#VALUE!</v>
      </c>
      <c r="EN654" s="1326"/>
      <c r="EO654" s="1326"/>
      <c r="EP654" s="1326"/>
      <c r="EQ654" s="1326"/>
      <c r="ER654" s="1326" t="e">
        <f t="shared" si="7"/>
        <v>#VALUE!</v>
      </c>
      <c r="ES654" s="1326"/>
      <c r="ET654" s="1326"/>
      <c r="EU654" s="1326"/>
      <c r="EV654" s="1326"/>
      <c r="EW654" s="1326" t="e">
        <f t="shared" si="8"/>
        <v>#VALUE!</v>
      </c>
      <c r="EX654" s="1326"/>
      <c r="EY654" s="1326"/>
      <c r="EZ654" s="1326"/>
      <c r="FA654" s="1326"/>
    </row>
    <row r="655" spans="1:157" ht="12.9" customHeight="1">
      <c r="A655" s="17"/>
      <c r="B655" t="s">
        <v>823</v>
      </c>
      <c r="G655" s="1445" t="s">
        <v>1070</v>
      </c>
      <c r="H655" s="1445"/>
      <c r="I655" s="1445"/>
      <c r="J655" s="1445"/>
      <c r="K655" s="1445"/>
      <c r="L655" s="1445"/>
      <c r="O655" s="763" t="s">
        <v>1071</v>
      </c>
      <c r="P655" s="1421"/>
      <c r="Q655" s="1421"/>
      <c r="R655" s="1421"/>
      <c r="T655" s="17"/>
      <c r="U655" t="s">
        <v>823</v>
      </c>
      <c r="Z655" s="1445"/>
      <c r="AA655" s="1445"/>
      <c r="AB655" s="1445"/>
      <c r="AC655" s="1445"/>
      <c r="AD655" s="1445"/>
      <c r="AE655" s="1445"/>
      <c r="AH655" s="763" t="s">
        <v>1071</v>
      </c>
      <c r="AI655" s="1421"/>
      <c r="AJ655" s="1421"/>
      <c r="AK655" s="1421"/>
      <c r="AZ655" s="2"/>
      <c r="BA655" s="2"/>
      <c r="BB655" s="2"/>
      <c r="BC655" s="2"/>
      <c r="BD655" s="2"/>
      <c r="BE655" s="2"/>
      <c r="BF655" s="2"/>
      <c r="BG655" s="2"/>
      <c r="BH655" s="2"/>
      <c r="BI655" s="2"/>
      <c r="BJ655" s="2"/>
      <c r="BK655" s="2"/>
      <c r="BL655" s="2"/>
      <c r="BM655" s="2"/>
      <c r="DX655" s="1326" t="e">
        <f t="shared" si="3"/>
        <v>#VALUE!</v>
      </c>
      <c r="DY655" s="1326"/>
      <c r="DZ655" s="1326"/>
      <c r="EA655" s="1326"/>
      <c r="EB655" s="1326"/>
      <c r="EC655" s="1326" t="e">
        <f t="shared" si="4"/>
        <v>#VALUE!</v>
      </c>
      <c r="ED655" s="1326"/>
      <c r="EE655" s="1326"/>
      <c r="EF655" s="1326"/>
      <c r="EG655" s="1326"/>
      <c r="EH655" s="1326" t="e">
        <f t="shared" si="5"/>
        <v>#VALUE!</v>
      </c>
      <c r="EI655" s="1326"/>
      <c r="EJ655" s="1326"/>
      <c r="EK655" s="1326"/>
      <c r="EL655" s="1326"/>
      <c r="EM655" s="1326" t="e">
        <f t="shared" si="6"/>
        <v>#VALUE!</v>
      </c>
      <c r="EN655" s="1326"/>
      <c r="EO655" s="1326"/>
      <c r="EP655" s="1326"/>
      <c r="EQ655" s="1326"/>
      <c r="ER655" s="1326" t="e">
        <f t="shared" si="7"/>
        <v>#VALUE!</v>
      </c>
      <c r="ES655" s="1326"/>
      <c r="ET655" s="1326"/>
      <c r="EU655" s="1326"/>
      <c r="EV655" s="1326"/>
      <c r="EW655" s="1326" t="e">
        <f t="shared" si="8"/>
        <v>#VALUE!</v>
      </c>
      <c r="EX655" s="1326"/>
      <c r="EY655" s="1326"/>
      <c r="EZ655" s="1326"/>
      <c r="FA655" s="1326"/>
    </row>
    <row r="656" spans="1:157" ht="12.9" customHeight="1">
      <c r="A656" s="17"/>
      <c r="B656" t="s">
        <v>1425</v>
      </c>
      <c r="H656" s="1383" t="s">
        <v>1436</v>
      </c>
      <c r="I656" s="1383"/>
      <c r="J656" s="1383"/>
      <c r="K656" s="1383"/>
      <c r="L656" s="1383"/>
      <c r="M656" s="1383"/>
      <c r="N656" s="1383"/>
      <c r="O656" s="1383"/>
      <c r="P656" s="1383"/>
      <c r="Q656" s="1383"/>
      <c r="R656" s="1383"/>
      <c r="T656" s="17"/>
      <c r="U656" t="s">
        <v>1425</v>
      </c>
      <c r="AA656" s="1383"/>
      <c r="AB656" s="1383"/>
      <c r="AC656" s="1383"/>
      <c r="AD656" s="1383"/>
      <c r="AE656" s="1383"/>
      <c r="AF656" s="1383"/>
      <c r="AG656" s="1383"/>
      <c r="AH656" s="1383"/>
      <c r="AI656" s="1383"/>
      <c r="AJ656" s="1383"/>
      <c r="AK656" s="1383"/>
      <c r="AZ656" s="2"/>
      <c r="BA656" s="2"/>
      <c r="BB656" s="2"/>
      <c r="BC656" s="2"/>
      <c r="BD656" s="2"/>
      <c r="BE656" s="2"/>
      <c r="BF656" s="2"/>
      <c r="BG656" s="2"/>
      <c r="BH656" s="2"/>
      <c r="BI656" s="2"/>
      <c r="BJ656" s="2"/>
      <c r="BK656" s="2"/>
      <c r="BL656" s="2"/>
      <c r="BM656" s="2"/>
      <c r="DX656" s="1326" t="e">
        <f t="shared" si="3"/>
        <v>#VALUE!</v>
      </c>
      <c r="DY656" s="1326"/>
      <c r="DZ656" s="1326"/>
      <c r="EA656" s="1326"/>
      <c r="EB656" s="1326"/>
      <c r="EC656" s="1326" t="e">
        <f t="shared" si="4"/>
        <v>#VALUE!</v>
      </c>
      <c r="ED656" s="1326"/>
      <c r="EE656" s="1326"/>
      <c r="EF656" s="1326"/>
      <c r="EG656" s="1326"/>
      <c r="EH656" s="1326" t="e">
        <f t="shared" si="5"/>
        <v>#VALUE!</v>
      </c>
      <c r="EI656" s="1326"/>
      <c r="EJ656" s="1326"/>
      <c r="EK656" s="1326"/>
      <c r="EL656" s="1326"/>
      <c r="EM656" s="1326" t="e">
        <f t="shared" si="6"/>
        <v>#VALUE!</v>
      </c>
      <c r="EN656" s="1326"/>
      <c r="EO656" s="1326"/>
      <c r="EP656" s="1326"/>
      <c r="EQ656" s="1326"/>
      <c r="ER656" s="1326" t="e">
        <f t="shared" si="7"/>
        <v>#VALUE!</v>
      </c>
      <c r="ES656" s="1326"/>
      <c r="ET656" s="1326"/>
      <c r="EU656" s="1326"/>
      <c r="EV656" s="1326"/>
      <c r="EW656" s="1326" t="e">
        <f t="shared" si="8"/>
        <v>#VALUE!</v>
      </c>
      <c r="EX656" s="1326"/>
      <c r="EY656" s="1326"/>
      <c r="EZ656" s="1326"/>
      <c r="FA656" s="1326"/>
    </row>
    <row r="657" spans="1:157" ht="12.9" customHeight="1">
      <c r="A657" s="17"/>
      <c r="B657" t="s">
        <v>1428</v>
      </c>
      <c r="N657" s="1440" t="s">
        <v>694</v>
      </c>
      <c r="O657" s="1440"/>
      <c r="T657" s="17"/>
      <c r="U657" t="s">
        <v>1428</v>
      </c>
      <c r="AG657" s="1440" t="s">
        <v>843</v>
      </c>
      <c r="AH657" s="1440"/>
      <c r="AZ657" s="2"/>
      <c r="BA657" s="2"/>
      <c r="BB657" s="2"/>
      <c r="BC657" s="2"/>
      <c r="BD657" s="2"/>
      <c r="BE657" s="2"/>
      <c r="BF657" s="2"/>
      <c r="BG657" s="2"/>
      <c r="BH657" s="2"/>
      <c r="BI657" s="2"/>
      <c r="BJ657" s="2"/>
      <c r="BK657" s="2"/>
      <c r="BL657" s="2"/>
      <c r="BM657" s="2"/>
      <c r="DX657" s="1326" t="e">
        <f t="shared" si="3"/>
        <v>#VALUE!</v>
      </c>
      <c r="DY657" s="1326"/>
      <c r="DZ657" s="1326"/>
      <c r="EA657" s="1326"/>
      <c r="EB657" s="1326"/>
      <c r="EC657" s="1326" t="e">
        <f t="shared" si="4"/>
        <v>#VALUE!</v>
      </c>
      <c r="ED657" s="1326"/>
      <c r="EE657" s="1326"/>
      <c r="EF657" s="1326"/>
      <c r="EG657" s="1326"/>
      <c r="EH657" s="1326" t="e">
        <f t="shared" si="5"/>
        <v>#VALUE!</v>
      </c>
      <c r="EI657" s="1326"/>
      <c r="EJ657" s="1326"/>
      <c r="EK657" s="1326"/>
      <c r="EL657" s="1326"/>
      <c r="EM657" s="1326" t="e">
        <f t="shared" si="6"/>
        <v>#VALUE!</v>
      </c>
      <c r="EN657" s="1326"/>
      <c r="EO657" s="1326"/>
      <c r="EP657" s="1326"/>
      <c r="EQ657" s="1326"/>
      <c r="ER657" s="1326" t="e">
        <f t="shared" si="7"/>
        <v>#VALUE!</v>
      </c>
      <c r="ES657" s="1326"/>
      <c r="ET657" s="1326"/>
      <c r="EU657" s="1326"/>
      <c r="EV657" s="1326"/>
      <c r="EW657" s="1326" t="e">
        <f t="shared" si="8"/>
        <v>#VALUE!</v>
      </c>
      <c r="EX657" s="1326"/>
      <c r="EY657" s="1326"/>
      <c r="EZ657" s="1326"/>
      <c r="FA657" s="1326"/>
    </row>
    <row r="658" spans="1:157" ht="12.9" customHeight="1">
      <c r="A658" s="17"/>
      <c r="T658" s="17"/>
      <c r="AZ658" s="2"/>
      <c r="BA658" s="2"/>
      <c r="BB658" s="2"/>
      <c r="BC658" s="2"/>
      <c r="BD658" s="2"/>
      <c r="BE658" s="2"/>
      <c r="BF658" s="2"/>
      <c r="BG658" s="2"/>
      <c r="BH658" s="2"/>
      <c r="BI658" s="2"/>
      <c r="BJ658" s="2"/>
      <c r="BK658" s="2"/>
      <c r="BL658" s="2"/>
      <c r="BM658" s="2"/>
      <c r="DX658" s="1326" t="e">
        <f t="shared" si="3"/>
        <v>#VALUE!</v>
      </c>
      <c r="DY658" s="1326"/>
      <c r="DZ658" s="1326"/>
      <c r="EA658" s="1326"/>
      <c r="EB658" s="1326"/>
      <c r="EC658" s="1326" t="e">
        <f t="shared" si="4"/>
        <v>#VALUE!</v>
      </c>
      <c r="ED658" s="1326"/>
      <c r="EE658" s="1326"/>
      <c r="EF658" s="1326"/>
      <c r="EG658" s="1326"/>
      <c r="EH658" s="1326" t="e">
        <f t="shared" si="5"/>
        <v>#VALUE!</v>
      </c>
      <c r="EI658" s="1326"/>
      <c r="EJ658" s="1326"/>
      <c r="EK658" s="1326"/>
      <c r="EL658" s="1326"/>
      <c r="EM658" s="1326" t="e">
        <f t="shared" si="6"/>
        <v>#VALUE!</v>
      </c>
      <c r="EN658" s="1326"/>
      <c r="EO658" s="1326"/>
      <c r="EP658" s="1326"/>
      <c r="EQ658" s="1326"/>
      <c r="ER658" s="1326" t="e">
        <f t="shared" si="7"/>
        <v>#VALUE!</v>
      </c>
      <c r="ES658" s="1326"/>
      <c r="ET658" s="1326"/>
      <c r="EU658" s="1326"/>
      <c r="EV658" s="1326"/>
      <c r="EW658" s="1326" t="e">
        <f t="shared" si="8"/>
        <v>#VALUE!</v>
      </c>
      <c r="EX658" s="1326"/>
      <c r="EY658" s="1326"/>
      <c r="EZ658" s="1326"/>
      <c r="FA658" s="1326"/>
    </row>
    <row r="659" spans="1:157" ht="12.9" customHeight="1">
      <c r="A659" s="36" t="s">
        <v>86</v>
      </c>
      <c r="B659" t="s">
        <v>1420</v>
      </c>
      <c r="G659" s="1432">
        <f>C631</f>
        <v>0</v>
      </c>
      <c r="H659" s="1432"/>
      <c r="I659" s="1432"/>
      <c r="J659" s="1432"/>
      <c r="K659" s="1432"/>
      <c r="L659" s="1432"/>
      <c r="M659" s="1432"/>
      <c r="N659" s="1432"/>
      <c r="O659" s="1432"/>
      <c r="P659" s="1432"/>
      <c r="Q659" s="1432"/>
      <c r="R659" s="1432"/>
      <c r="T659" s="36" t="s">
        <v>1410</v>
      </c>
      <c r="U659" t="s">
        <v>1420</v>
      </c>
      <c r="Z659" s="1432">
        <f>C632</f>
        <v>0</v>
      </c>
      <c r="AA659" s="1432"/>
      <c r="AB659" s="1432"/>
      <c r="AC659" s="1432"/>
      <c r="AD659" s="1432"/>
      <c r="AE659" s="1432"/>
      <c r="AF659" s="1432"/>
      <c r="AG659" s="1432"/>
      <c r="AH659" s="1432"/>
      <c r="AI659" s="1432"/>
      <c r="AJ659" s="1432"/>
      <c r="AK659" s="1432"/>
      <c r="AZ659" s="2"/>
      <c r="BA659" s="2"/>
      <c r="BB659" s="2"/>
      <c r="BC659" s="2"/>
      <c r="BD659" s="2"/>
      <c r="BE659" s="2"/>
      <c r="BF659" s="2"/>
      <c r="BG659" s="2"/>
      <c r="BH659" s="2"/>
      <c r="BI659" s="2"/>
      <c r="BJ659" s="2"/>
      <c r="BK659" s="2"/>
      <c r="BL659" s="2"/>
      <c r="BM659" s="2"/>
      <c r="DX659" s="1326" t="e">
        <f t="shared" si="3"/>
        <v>#VALUE!</v>
      </c>
      <c r="DY659" s="1326"/>
      <c r="DZ659" s="1326"/>
      <c r="EA659" s="1326"/>
      <c r="EB659" s="1326"/>
      <c r="EC659" s="1326" t="e">
        <f t="shared" si="4"/>
        <v>#VALUE!</v>
      </c>
      <c r="ED659" s="1326"/>
      <c r="EE659" s="1326"/>
      <c r="EF659" s="1326"/>
      <c r="EG659" s="1326"/>
      <c r="EH659" s="1326" t="e">
        <f t="shared" si="5"/>
        <v>#VALUE!</v>
      </c>
      <c r="EI659" s="1326"/>
      <c r="EJ659" s="1326"/>
      <c r="EK659" s="1326"/>
      <c r="EL659" s="1326"/>
      <c r="EM659" s="1326" t="e">
        <f t="shared" si="6"/>
        <v>#VALUE!</v>
      </c>
      <c r="EN659" s="1326"/>
      <c r="EO659" s="1326"/>
      <c r="EP659" s="1326"/>
      <c r="EQ659" s="1326"/>
      <c r="ER659" s="1326" t="e">
        <f t="shared" si="7"/>
        <v>#VALUE!</v>
      </c>
      <c r="ES659" s="1326"/>
      <c r="ET659" s="1326"/>
      <c r="EU659" s="1326"/>
      <c r="EV659" s="1326"/>
      <c r="EW659" s="1326" t="e">
        <f t="shared" si="8"/>
        <v>#VALUE!</v>
      </c>
      <c r="EX659" s="1326"/>
      <c r="EY659" s="1326"/>
      <c r="EZ659" s="1326"/>
      <c r="FA659" s="1326"/>
    </row>
    <row r="660" spans="1:157" ht="12.9" customHeight="1">
      <c r="A660" s="17"/>
      <c r="B660" t="s">
        <v>1062</v>
      </c>
      <c r="G660" s="1383"/>
      <c r="H660" s="1383"/>
      <c r="I660" s="1383"/>
      <c r="J660" s="1383"/>
      <c r="K660" s="1383"/>
      <c r="L660" s="1383"/>
      <c r="M660" s="1383"/>
      <c r="N660" s="1383"/>
      <c r="O660" s="1383"/>
      <c r="P660" s="1383"/>
      <c r="Q660" s="1383"/>
      <c r="R660" s="1383"/>
      <c r="T660" s="17"/>
      <c r="U660" t="s">
        <v>1062</v>
      </c>
      <c r="Z660" s="1383"/>
      <c r="AA660" s="1383"/>
      <c r="AB660" s="1383"/>
      <c r="AC660" s="1383"/>
      <c r="AD660" s="1383"/>
      <c r="AE660" s="1383"/>
      <c r="AF660" s="1383"/>
      <c r="AG660" s="1383"/>
      <c r="AH660" s="1383"/>
      <c r="AI660" s="1383"/>
      <c r="AJ660" s="1383"/>
      <c r="AK660" s="1383"/>
      <c r="AZ660" s="2"/>
      <c r="BA660" s="2"/>
      <c r="BB660" s="2"/>
      <c r="BC660" s="2"/>
      <c r="BD660" s="2"/>
      <c r="BE660" s="2"/>
      <c r="BF660" s="2"/>
      <c r="BG660" s="2"/>
      <c r="BH660" s="2"/>
      <c r="BI660" s="2"/>
      <c r="BJ660" s="2"/>
      <c r="BK660" s="2"/>
      <c r="BL660" s="2"/>
      <c r="BM660" s="2"/>
      <c r="DX660" s="1326" t="e">
        <f t="shared" si="3"/>
        <v>#VALUE!</v>
      </c>
      <c r="DY660" s="1326"/>
      <c r="DZ660" s="1326"/>
      <c r="EA660" s="1326"/>
      <c r="EB660" s="1326"/>
      <c r="EC660" s="1326" t="e">
        <f t="shared" si="4"/>
        <v>#VALUE!</v>
      </c>
      <c r="ED660" s="1326"/>
      <c r="EE660" s="1326"/>
      <c r="EF660" s="1326"/>
      <c r="EG660" s="1326"/>
      <c r="EH660" s="1326" t="e">
        <f t="shared" si="5"/>
        <v>#VALUE!</v>
      </c>
      <c r="EI660" s="1326"/>
      <c r="EJ660" s="1326"/>
      <c r="EK660" s="1326"/>
      <c r="EL660" s="1326"/>
      <c r="EM660" s="1326" t="e">
        <f t="shared" si="6"/>
        <v>#VALUE!</v>
      </c>
      <c r="EN660" s="1326"/>
      <c r="EO660" s="1326"/>
      <c r="EP660" s="1326"/>
      <c r="EQ660" s="1326"/>
      <c r="ER660" s="1326" t="e">
        <f t="shared" si="7"/>
        <v>#VALUE!</v>
      </c>
      <c r="ES660" s="1326"/>
      <c r="ET660" s="1326"/>
      <c r="EU660" s="1326"/>
      <c r="EV660" s="1326"/>
      <c r="EW660" s="1326" t="e">
        <f t="shared" si="8"/>
        <v>#VALUE!</v>
      </c>
      <c r="EX660" s="1326"/>
      <c r="EY660" s="1326"/>
      <c r="EZ660" s="1326"/>
      <c r="FA660" s="1326"/>
    </row>
    <row r="661" spans="1:157" ht="12.9" customHeight="1">
      <c r="A661" s="17"/>
      <c r="B661" t="s">
        <v>930</v>
      </c>
      <c r="G661" s="1383"/>
      <c r="H661" s="1383"/>
      <c r="I661" s="1383"/>
      <c r="J661" s="1383"/>
      <c r="K661" s="1383"/>
      <c r="L661" s="1383"/>
      <c r="M661" s="1383"/>
      <c r="N661" s="1383"/>
      <c r="O661" s="1383"/>
      <c r="P661" s="1383"/>
      <c r="Q661" s="1383"/>
      <c r="R661" s="1383"/>
      <c r="T661" s="17"/>
      <c r="U661" t="s">
        <v>930</v>
      </c>
      <c r="Z661" s="1328"/>
      <c r="AA661" s="1328"/>
      <c r="AB661" s="1328"/>
      <c r="AC661" s="1328"/>
      <c r="AD661" s="1328"/>
      <c r="AE661" s="1328"/>
      <c r="AF661" s="1328"/>
      <c r="AG661" s="1328"/>
      <c r="AH661" s="1328"/>
      <c r="AI661" s="1328"/>
      <c r="AJ661" s="1328"/>
      <c r="AK661" s="1328"/>
      <c r="AZ661" s="2"/>
      <c r="BA661" s="2"/>
      <c r="BB661" s="2"/>
      <c r="BC661" s="2"/>
      <c r="BD661" s="2"/>
      <c r="BE661" s="2"/>
      <c r="BF661" s="2"/>
      <c r="BG661" s="2"/>
      <c r="BH661" s="2"/>
      <c r="BI661" s="2"/>
      <c r="BJ661" s="2"/>
      <c r="BK661" s="2"/>
      <c r="BL661" s="2"/>
      <c r="BM661" s="2"/>
      <c r="DX661" s="1326" t="e">
        <f t="shared" si="3"/>
        <v>#VALUE!</v>
      </c>
      <c r="DY661" s="1326"/>
      <c r="DZ661" s="1326"/>
      <c r="EA661" s="1326"/>
      <c r="EB661" s="1326"/>
      <c r="EC661" s="1326" t="e">
        <f t="shared" si="4"/>
        <v>#VALUE!</v>
      </c>
      <c r="ED661" s="1326"/>
      <c r="EE661" s="1326"/>
      <c r="EF661" s="1326"/>
      <c r="EG661" s="1326"/>
      <c r="EH661" s="1326" t="e">
        <f t="shared" si="5"/>
        <v>#VALUE!</v>
      </c>
      <c r="EI661" s="1326"/>
      <c r="EJ661" s="1326"/>
      <c r="EK661" s="1326"/>
      <c r="EL661" s="1326"/>
      <c r="EM661" s="1326" t="e">
        <f t="shared" si="6"/>
        <v>#VALUE!</v>
      </c>
      <c r="EN661" s="1326"/>
      <c r="EO661" s="1326"/>
      <c r="EP661" s="1326"/>
      <c r="EQ661" s="1326"/>
      <c r="ER661" s="1326" t="e">
        <f t="shared" si="7"/>
        <v>#VALUE!</v>
      </c>
      <c r="ES661" s="1326"/>
      <c r="ET661" s="1326"/>
      <c r="EU661" s="1326"/>
      <c r="EV661" s="1326"/>
      <c r="EW661" s="1326" t="e">
        <f t="shared" si="8"/>
        <v>#VALUE!</v>
      </c>
      <c r="EX661" s="1326"/>
      <c r="EY661" s="1326"/>
      <c r="EZ661" s="1326"/>
      <c r="FA661" s="1326"/>
    </row>
    <row r="662" spans="1:157" ht="12.9" customHeight="1">
      <c r="A662" s="17"/>
      <c r="B662" t="s">
        <v>1423</v>
      </c>
      <c r="G662" s="1383"/>
      <c r="H662" s="1383"/>
      <c r="I662" s="1383"/>
      <c r="J662" s="1383"/>
      <c r="K662" s="1383"/>
      <c r="L662" s="1383"/>
      <c r="M662" s="1383"/>
      <c r="N662" s="1383"/>
      <c r="O662" s="1383"/>
      <c r="P662" s="1383"/>
      <c r="Q662" s="1383"/>
      <c r="R662" s="1383"/>
      <c r="T662" s="17"/>
      <c r="U662" t="s">
        <v>1423</v>
      </c>
      <c r="Z662" s="1328"/>
      <c r="AA662" s="1328"/>
      <c r="AB662" s="1328"/>
      <c r="AC662" s="1328"/>
      <c r="AD662" s="1328"/>
      <c r="AE662" s="1328"/>
      <c r="AF662" s="1328"/>
      <c r="AG662" s="1328"/>
      <c r="AH662" s="1328"/>
      <c r="AI662" s="1328"/>
      <c r="AJ662" s="1328"/>
      <c r="AK662" s="1328"/>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26" t="e">
        <f t="shared" si="3"/>
        <v>#VALUE!</v>
      </c>
      <c r="DY662" s="1326"/>
      <c r="DZ662" s="1326"/>
      <c r="EA662" s="1326"/>
      <c r="EB662" s="1326"/>
      <c r="EC662" s="1326" t="e">
        <f t="shared" si="4"/>
        <v>#VALUE!</v>
      </c>
      <c r="ED662" s="1326"/>
      <c r="EE662" s="1326"/>
      <c r="EF662" s="1326"/>
      <c r="EG662" s="1326"/>
      <c r="EH662" s="1326" t="e">
        <f t="shared" si="5"/>
        <v>#VALUE!</v>
      </c>
      <c r="EI662" s="1326"/>
      <c r="EJ662" s="1326"/>
      <c r="EK662" s="1326"/>
      <c r="EL662" s="1326"/>
      <c r="EM662" s="1326" t="e">
        <f t="shared" si="6"/>
        <v>#VALUE!</v>
      </c>
      <c r="EN662" s="1326"/>
      <c r="EO662" s="1326"/>
      <c r="EP662" s="1326"/>
      <c r="EQ662" s="1326"/>
      <c r="ER662" s="1326" t="e">
        <f t="shared" si="7"/>
        <v>#VALUE!</v>
      </c>
      <c r="ES662" s="1326"/>
      <c r="ET662" s="1326"/>
      <c r="EU662" s="1326"/>
      <c r="EV662" s="1326"/>
      <c r="EW662" s="1326" t="e">
        <f t="shared" si="8"/>
        <v>#VALUE!</v>
      </c>
      <c r="EX662" s="1326"/>
      <c r="EY662" s="1326"/>
      <c r="EZ662" s="1326"/>
      <c r="FA662" s="1326"/>
    </row>
    <row r="663" spans="1:157" ht="12.9" customHeight="1">
      <c r="A663" s="17"/>
      <c r="B663" t="s">
        <v>823</v>
      </c>
      <c r="G663" s="1445"/>
      <c r="H663" s="1445"/>
      <c r="I663" s="1445"/>
      <c r="J663" s="1445"/>
      <c r="K663" s="1445"/>
      <c r="L663" s="1445"/>
      <c r="O663" s="763" t="s">
        <v>1071</v>
      </c>
      <c r="P663" s="1421"/>
      <c r="Q663" s="1421"/>
      <c r="R663" s="1421"/>
      <c r="T663" s="17"/>
      <c r="U663" t="s">
        <v>823</v>
      </c>
      <c r="Z663" s="1445"/>
      <c r="AA663" s="1445"/>
      <c r="AB663" s="1445"/>
      <c r="AC663" s="1445"/>
      <c r="AD663" s="1445"/>
      <c r="AE663" s="1445"/>
      <c r="AH663" s="763" t="s">
        <v>1071</v>
      </c>
      <c r="AI663" s="1421"/>
      <c r="AJ663" s="1421"/>
      <c r="AK663" s="1421"/>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26" t="e">
        <f t="shared" si="3"/>
        <v>#VALUE!</v>
      </c>
      <c r="DY663" s="1326"/>
      <c r="DZ663" s="1326"/>
      <c r="EA663" s="1326"/>
      <c r="EB663" s="1326"/>
      <c r="EC663" s="1326" t="e">
        <f t="shared" si="4"/>
        <v>#VALUE!</v>
      </c>
      <c r="ED663" s="1326"/>
      <c r="EE663" s="1326"/>
      <c r="EF663" s="1326"/>
      <c r="EG663" s="1326"/>
      <c r="EH663" s="1326" t="e">
        <f t="shared" si="5"/>
        <v>#VALUE!</v>
      </c>
      <c r="EI663" s="1326"/>
      <c r="EJ663" s="1326"/>
      <c r="EK663" s="1326"/>
      <c r="EL663" s="1326"/>
      <c r="EM663" s="1326" t="e">
        <f t="shared" si="6"/>
        <v>#VALUE!</v>
      </c>
      <c r="EN663" s="1326"/>
      <c r="EO663" s="1326"/>
      <c r="EP663" s="1326"/>
      <c r="EQ663" s="1326"/>
      <c r="ER663" s="1326" t="e">
        <f t="shared" si="7"/>
        <v>#VALUE!</v>
      </c>
      <c r="ES663" s="1326"/>
      <c r="ET663" s="1326"/>
      <c r="EU663" s="1326"/>
      <c r="EV663" s="1326"/>
      <c r="EW663" s="1326" t="e">
        <f t="shared" si="8"/>
        <v>#VALUE!</v>
      </c>
      <c r="EX663" s="1326"/>
      <c r="EY663" s="1326"/>
      <c r="EZ663" s="1326"/>
      <c r="FA663" s="1326"/>
    </row>
    <row r="664" spans="1:157" ht="12.9" customHeight="1">
      <c r="A664" s="17"/>
      <c r="B664" t="s">
        <v>1425</v>
      </c>
      <c r="H664" s="1383"/>
      <c r="I664" s="1383"/>
      <c r="J664" s="1383"/>
      <c r="K664" s="1383"/>
      <c r="L664" s="1383"/>
      <c r="M664" s="1383"/>
      <c r="N664" s="1383"/>
      <c r="O664" s="1383"/>
      <c r="P664" s="1383"/>
      <c r="Q664" s="1383"/>
      <c r="R664" s="1383"/>
      <c r="T664" s="17"/>
      <c r="U664" t="s">
        <v>1425</v>
      </c>
      <c r="AA664" s="1383"/>
      <c r="AB664" s="1383"/>
      <c r="AC664" s="1383"/>
      <c r="AD664" s="1383"/>
      <c r="AE664" s="1383"/>
      <c r="AF664" s="1383"/>
      <c r="AG664" s="1383"/>
      <c r="AH664" s="1383"/>
      <c r="AI664" s="1383"/>
      <c r="AJ664" s="1383"/>
      <c r="AK664" s="1383"/>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26" t="e">
        <f t="shared" si="3"/>
        <v>#VALUE!</v>
      </c>
      <c r="DY664" s="1326"/>
      <c r="DZ664" s="1326"/>
      <c r="EA664" s="1326"/>
      <c r="EB664" s="1326"/>
      <c r="EC664" s="1326" t="e">
        <f t="shared" si="4"/>
        <v>#VALUE!</v>
      </c>
      <c r="ED664" s="1326"/>
      <c r="EE664" s="1326"/>
      <c r="EF664" s="1326"/>
      <c r="EG664" s="1326"/>
      <c r="EH664" s="1326" t="e">
        <f t="shared" si="5"/>
        <v>#VALUE!</v>
      </c>
      <c r="EI664" s="1326"/>
      <c r="EJ664" s="1326"/>
      <c r="EK664" s="1326"/>
      <c r="EL664" s="1326"/>
      <c r="EM664" s="1326" t="e">
        <f t="shared" si="6"/>
        <v>#VALUE!</v>
      </c>
      <c r="EN664" s="1326"/>
      <c r="EO664" s="1326"/>
      <c r="EP664" s="1326"/>
      <c r="EQ664" s="1326"/>
      <c r="ER664" s="1326" t="e">
        <f t="shared" si="7"/>
        <v>#VALUE!</v>
      </c>
      <c r="ES664" s="1326"/>
      <c r="ET664" s="1326"/>
      <c r="EU664" s="1326"/>
      <c r="EV664" s="1326"/>
      <c r="EW664" s="1326" t="e">
        <f t="shared" si="8"/>
        <v>#VALUE!</v>
      </c>
      <c r="EX664" s="1326"/>
      <c r="EY664" s="1326"/>
      <c r="EZ664" s="1326"/>
      <c r="FA664" s="1326"/>
    </row>
    <row r="665" spans="1:157" ht="12.9" customHeight="1">
      <c r="A665" s="17"/>
      <c r="B665" t="s">
        <v>1428</v>
      </c>
      <c r="N665" s="1440" t="s">
        <v>843</v>
      </c>
      <c r="O665" s="1440"/>
      <c r="T665" s="17"/>
      <c r="U665" t="s">
        <v>1428</v>
      </c>
      <c r="AG665" s="1440" t="s">
        <v>843</v>
      </c>
      <c r="AH665" s="1440"/>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26" t="e">
        <f t="shared" si="3"/>
        <v>#VALUE!</v>
      </c>
      <c r="DY665" s="1326"/>
      <c r="DZ665" s="1326"/>
      <c r="EA665" s="1326"/>
      <c r="EB665" s="1326"/>
      <c r="EC665" s="1326" t="e">
        <f t="shared" si="4"/>
        <v>#VALUE!</v>
      </c>
      <c r="ED665" s="1326"/>
      <c r="EE665" s="1326"/>
      <c r="EF665" s="1326"/>
      <c r="EG665" s="1326"/>
      <c r="EH665" s="1326" t="e">
        <f t="shared" si="5"/>
        <v>#VALUE!</v>
      </c>
      <c r="EI665" s="1326"/>
      <c r="EJ665" s="1326"/>
      <c r="EK665" s="1326"/>
      <c r="EL665" s="1326"/>
      <c r="EM665" s="1326" t="e">
        <f t="shared" si="6"/>
        <v>#VALUE!</v>
      </c>
      <c r="EN665" s="1326"/>
      <c r="EO665" s="1326"/>
      <c r="EP665" s="1326"/>
      <c r="EQ665" s="1326"/>
      <c r="ER665" s="1326" t="e">
        <f t="shared" si="7"/>
        <v>#VALUE!</v>
      </c>
      <c r="ES665" s="1326"/>
      <c r="ET665" s="1326"/>
      <c r="EU665" s="1326"/>
      <c r="EV665" s="1326"/>
      <c r="EW665" s="1326" t="e">
        <f t="shared" si="8"/>
        <v>#VALUE!</v>
      </c>
      <c r="EX665" s="1326"/>
      <c r="EY665" s="1326"/>
      <c r="EZ665" s="1326"/>
      <c r="FA665" s="1326"/>
    </row>
    <row r="666" spans="1:157" ht="12.9" customHeight="1">
      <c r="A666" s="17"/>
      <c r="T666" s="17"/>
      <c r="AZ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26" t="e">
        <f t="shared" si="3"/>
        <v>#VALUE!</v>
      </c>
      <c r="DY666" s="1326"/>
      <c r="DZ666" s="1326"/>
      <c r="EA666" s="1326"/>
      <c r="EB666" s="1326"/>
      <c r="EC666" s="1326" t="e">
        <f t="shared" si="4"/>
        <v>#VALUE!</v>
      </c>
      <c r="ED666" s="1326"/>
      <c r="EE666" s="1326"/>
      <c r="EF666" s="1326"/>
      <c r="EG666" s="1326"/>
      <c r="EH666" s="1326" t="e">
        <f t="shared" si="5"/>
        <v>#VALUE!</v>
      </c>
      <c r="EI666" s="1326"/>
      <c r="EJ666" s="1326"/>
      <c r="EK666" s="1326"/>
      <c r="EL666" s="1326"/>
      <c r="EM666" s="1326" t="e">
        <f t="shared" si="6"/>
        <v>#VALUE!</v>
      </c>
      <c r="EN666" s="1326"/>
      <c r="EO666" s="1326"/>
      <c r="EP666" s="1326"/>
      <c r="EQ666" s="1326"/>
      <c r="ER666" s="1326" t="e">
        <f t="shared" si="7"/>
        <v>#VALUE!</v>
      </c>
      <c r="ES666" s="1326"/>
      <c r="ET666" s="1326"/>
      <c r="EU666" s="1326"/>
      <c r="EV666" s="1326"/>
      <c r="EW666" s="1326" t="e">
        <f t="shared" si="8"/>
        <v>#VALUE!</v>
      </c>
      <c r="EX666" s="1326"/>
      <c r="EY666" s="1326"/>
      <c r="EZ666" s="1326"/>
      <c r="FA666" s="1326"/>
    </row>
    <row r="667" spans="1:157" ht="12.9" customHeight="1">
      <c r="A667" s="36" t="s">
        <v>1412</v>
      </c>
      <c r="B667" t="s">
        <v>1420</v>
      </c>
      <c r="G667" s="1432">
        <f>C633</f>
        <v>0</v>
      </c>
      <c r="H667" s="1432"/>
      <c r="I667" s="1432"/>
      <c r="J667" s="1432"/>
      <c r="K667" s="1432"/>
      <c r="L667" s="1432"/>
      <c r="M667" s="1432"/>
      <c r="N667" s="1432"/>
      <c r="O667" s="1432"/>
      <c r="P667" s="1432"/>
      <c r="Q667" s="1432"/>
      <c r="R667" s="1432"/>
      <c r="T667" s="36" t="s">
        <v>1414</v>
      </c>
      <c r="U667" t="s">
        <v>1420</v>
      </c>
      <c r="Z667" s="1432">
        <f>C634</f>
        <v>0</v>
      </c>
      <c r="AA667" s="1432"/>
      <c r="AB667" s="1432"/>
      <c r="AC667" s="1432"/>
      <c r="AD667" s="1432"/>
      <c r="AE667" s="1432"/>
      <c r="AF667" s="1432"/>
      <c r="AG667" s="1432"/>
      <c r="AH667" s="1432"/>
      <c r="AI667" s="1432"/>
      <c r="AJ667" s="1432"/>
      <c r="AK667" s="1432"/>
      <c r="AZ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26" t="e">
        <f t="shared" si="3"/>
        <v>#VALUE!</v>
      </c>
      <c r="DY667" s="1326"/>
      <c r="DZ667" s="1326"/>
      <c r="EA667" s="1326"/>
      <c r="EB667" s="1326"/>
      <c r="EC667" s="1326" t="e">
        <f t="shared" si="4"/>
        <v>#VALUE!</v>
      </c>
      <c r="ED667" s="1326"/>
      <c r="EE667" s="1326"/>
      <c r="EF667" s="1326"/>
      <c r="EG667" s="1326"/>
      <c r="EH667" s="1326" t="e">
        <f t="shared" si="5"/>
        <v>#VALUE!</v>
      </c>
      <c r="EI667" s="1326"/>
      <c r="EJ667" s="1326"/>
      <c r="EK667" s="1326"/>
      <c r="EL667" s="1326"/>
      <c r="EM667" s="1326" t="e">
        <f t="shared" si="6"/>
        <v>#VALUE!</v>
      </c>
      <c r="EN667" s="1326"/>
      <c r="EO667" s="1326"/>
      <c r="EP667" s="1326"/>
      <c r="EQ667" s="1326"/>
      <c r="ER667" s="1326" t="e">
        <f t="shared" si="7"/>
        <v>#VALUE!</v>
      </c>
      <c r="ES667" s="1326"/>
      <c r="ET667" s="1326"/>
      <c r="EU667" s="1326"/>
      <c r="EV667" s="1326"/>
      <c r="EW667" s="1326" t="e">
        <f t="shared" si="8"/>
        <v>#VALUE!</v>
      </c>
      <c r="EX667" s="1326"/>
      <c r="EY667" s="1326"/>
      <c r="EZ667" s="1326"/>
      <c r="FA667" s="1326"/>
    </row>
    <row r="668" spans="1:157" ht="12.9" customHeight="1">
      <c r="A668" s="17"/>
      <c r="B668" t="s">
        <v>1062</v>
      </c>
      <c r="G668" s="1383"/>
      <c r="H668" s="1383"/>
      <c r="I668" s="1383"/>
      <c r="J668" s="1383"/>
      <c r="K668" s="1383"/>
      <c r="L668" s="1383"/>
      <c r="M668" s="1383"/>
      <c r="N668" s="1383"/>
      <c r="O668" s="1383"/>
      <c r="P668" s="1383"/>
      <c r="Q668" s="1383"/>
      <c r="R668" s="1383"/>
      <c r="T668" s="17"/>
      <c r="U668" t="s">
        <v>1062</v>
      </c>
      <c r="Z668" s="1383"/>
      <c r="AA668" s="1383"/>
      <c r="AB668" s="1383"/>
      <c r="AC668" s="1383"/>
      <c r="AD668" s="1383"/>
      <c r="AE668" s="1383"/>
      <c r="AF668" s="1383"/>
      <c r="AG668" s="1383"/>
      <c r="AH668" s="1383"/>
      <c r="AI668" s="1383"/>
      <c r="AJ668" s="1383"/>
      <c r="AK668" s="1383"/>
      <c r="AZ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26" t="e">
        <f t="shared" si="3"/>
        <v>#VALUE!</v>
      </c>
      <c r="DY668" s="1326"/>
      <c r="DZ668" s="1326"/>
      <c r="EA668" s="1326"/>
      <c r="EB668" s="1326"/>
      <c r="EC668" s="1326" t="e">
        <f t="shared" si="4"/>
        <v>#VALUE!</v>
      </c>
      <c r="ED668" s="1326"/>
      <c r="EE668" s="1326"/>
      <c r="EF668" s="1326"/>
      <c r="EG668" s="1326"/>
      <c r="EH668" s="1326" t="e">
        <f t="shared" si="5"/>
        <v>#VALUE!</v>
      </c>
      <c r="EI668" s="1326"/>
      <c r="EJ668" s="1326"/>
      <c r="EK668" s="1326"/>
      <c r="EL668" s="1326"/>
      <c r="EM668" s="1326" t="e">
        <f t="shared" si="6"/>
        <v>#VALUE!</v>
      </c>
      <c r="EN668" s="1326"/>
      <c r="EO668" s="1326"/>
      <c r="EP668" s="1326"/>
      <c r="EQ668" s="1326"/>
      <c r="ER668" s="1326" t="e">
        <f t="shared" si="7"/>
        <v>#VALUE!</v>
      </c>
      <c r="ES668" s="1326"/>
      <c r="ET668" s="1326"/>
      <c r="EU668" s="1326"/>
      <c r="EV668" s="1326"/>
      <c r="EW668" s="1326" t="e">
        <f t="shared" si="8"/>
        <v>#VALUE!</v>
      </c>
      <c r="EX668" s="1326"/>
      <c r="EY668" s="1326"/>
      <c r="EZ668" s="1326"/>
      <c r="FA668" s="1326"/>
    </row>
    <row r="669" spans="1:157" ht="12.9" customHeight="1">
      <c r="A669" s="17"/>
      <c r="B669" t="s">
        <v>930</v>
      </c>
      <c r="G669" s="1383"/>
      <c r="H669" s="1383"/>
      <c r="I669" s="1383"/>
      <c r="J669" s="1383"/>
      <c r="K669" s="1383"/>
      <c r="L669" s="1383"/>
      <c r="M669" s="1383"/>
      <c r="N669" s="1383"/>
      <c r="O669" s="1383"/>
      <c r="P669" s="1383"/>
      <c r="Q669" s="1383"/>
      <c r="R669" s="1383"/>
      <c r="T669" s="17"/>
      <c r="U669" t="s">
        <v>930</v>
      </c>
      <c r="Z669" s="1328"/>
      <c r="AA669" s="1328"/>
      <c r="AB669" s="1328"/>
      <c r="AC669" s="1328"/>
      <c r="AD669" s="1328"/>
      <c r="AE669" s="1328"/>
      <c r="AF669" s="1328"/>
      <c r="AG669" s="1328"/>
      <c r="AH669" s="1328"/>
      <c r="AI669" s="1328"/>
      <c r="AJ669" s="1328"/>
      <c r="AK669" s="1328"/>
      <c r="AZ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26" t="e">
        <f t="shared" si="3"/>
        <v>#VALUE!</v>
      </c>
      <c r="DY669" s="1326"/>
      <c r="DZ669" s="1326"/>
      <c r="EA669" s="1326"/>
      <c r="EB669" s="1326"/>
      <c r="EC669" s="1326" t="e">
        <f t="shared" si="4"/>
        <v>#VALUE!</v>
      </c>
      <c r="ED669" s="1326"/>
      <c r="EE669" s="1326"/>
      <c r="EF669" s="1326"/>
      <c r="EG669" s="1326"/>
      <c r="EH669" s="1326" t="e">
        <f t="shared" si="5"/>
        <v>#VALUE!</v>
      </c>
      <c r="EI669" s="1326"/>
      <c r="EJ669" s="1326"/>
      <c r="EK669" s="1326"/>
      <c r="EL669" s="1326"/>
      <c r="EM669" s="1326" t="e">
        <f t="shared" si="6"/>
        <v>#VALUE!</v>
      </c>
      <c r="EN669" s="1326"/>
      <c r="EO669" s="1326"/>
      <c r="EP669" s="1326"/>
      <c r="EQ669" s="1326"/>
      <c r="ER669" s="1326" t="e">
        <f t="shared" si="7"/>
        <v>#VALUE!</v>
      </c>
      <c r="ES669" s="1326"/>
      <c r="ET669" s="1326"/>
      <c r="EU669" s="1326"/>
      <c r="EV669" s="1326"/>
      <c r="EW669" s="1326" t="e">
        <f t="shared" si="8"/>
        <v>#VALUE!</v>
      </c>
      <c r="EX669" s="1326"/>
      <c r="EY669" s="1326"/>
      <c r="EZ669" s="1326"/>
      <c r="FA669" s="1326"/>
    </row>
    <row r="670" spans="1:157" ht="12.9" customHeight="1">
      <c r="A670" s="17"/>
      <c r="B670" t="s">
        <v>1423</v>
      </c>
      <c r="G670" s="1383"/>
      <c r="H670" s="1383"/>
      <c r="I670" s="1383"/>
      <c r="J670" s="1383"/>
      <c r="K670" s="1383"/>
      <c r="L670" s="1383"/>
      <c r="M670" s="1383"/>
      <c r="N670" s="1383"/>
      <c r="O670" s="1383"/>
      <c r="P670" s="1383"/>
      <c r="Q670" s="1383"/>
      <c r="R670" s="1383"/>
      <c r="T670" s="17"/>
      <c r="U670" t="s">
        <v>1423</v>
      </c>
      <c r="Z670" s="1328"/>
      <c r="AA670" s="1328"/>
      <c r="AB670" s="1328"/>
      <c r="AC670" s="1328"/>
      <c r="AD670" s="1328"/>
      <c r="AE670" s="1328"/>
      <c r="AF670" s="1328"/>
      <c r="AG670" s="1328"/>
      <c r="AH670" s="1328"/>
      <c r="AI670" s="1328"/>
      <c r="AJ670" s="1328"/>
      <c r="AK670" s="1328"/>
      <c r="AZ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26">
        <f>SUMIF(DX635:EB669,"&gt;0")</f>
        <v>0</v>
      </c>
      <c r="DY670" s="1326"/>
      <c r="DZ670" s="1326"/>
      <c r="EA670" s="1326"/>
      <c r="EB670" s="1326"/>
      <c r="EC670" s="1326">
        <f>SUMIF(EC635:EG669,"&gt;0")</f>
        <v>1597.0350877192982</v>
      </c>
      <c r="ED670" s="1326"/>
      <c r="EE670" s="1326"/>
      <c r="EF670" s="1326"/>
      <c r="EG670" s="1326"/>
      <c r="EH670" s="1326">
        <f>SUMIF(EH635:EL669,"&gt;0")</f>
        <v>1922.1142857142856</v>
      </c>
      <c r="EI670" s="1326"/>
      <c r="EJ670" s="1326"/>
      <c r="EK670" s="1326"/>
      <c r="EL670" s="1326"/>
      <c r="EM670" s="1326">
        <f>SUMIF(EM635:EQ669,"&gt;0")</f>
        <v>2213</v>
      </c>
      <c r="EN670" s="1326"/>
      <c r="EO670" s="1326"/>
      <c r="EP670" s="1326"/>
      <c r="EQ670" s="1326"/>
      <c r="ER670" s="1326">
        <f>SUMIF(ER635:EV669,"&gt;0")</f>
        <v>0</v>
      </c>
      <c r="ES670" s="1326"/>
      <c r="ET670" s="1326"/>
      <c r="EU670" s="1326"/>
      <c r="EV670" s="1326"/>
      <c r="EW670" s="1326">
        <f>SUMIF(EW635:FA669,"&gt;0")</f>
        <v>0</v>
      </c>
      <c r="EX670" s="1326"/>
      <c r="EY670" s="1326"/>
      <c r="EZ670" s="1326"/>
      <c r="FA670" s="1326"/>
    </row>
    <row r="671" spans="1:157" ht="12.9" customHeight="1">
      <c r="A671" s="17"/>
      <c r="B671" t="s">
        <v>823</v>
      </c>
      <c r="G671" s="1445"/>
      <c r="H671" s="1445"/>
      <c r="I671" s="1445"/>
      <c r="J671" s="1445"/>
      <c r="K671" s="1445"/>
      <c r="L671" s="1445"/>
      <c r="O671" s="763" t="s">
        <v>1071</v>
      </c>
      <c r="P671" s="1421"/>
      <c r="Q671" s="1421"/>
      <c r="R671" s="1421"/>
      <c r="T671" s="17"/>
      <c r="U671" t="s">
        <v>823</v>
      </c>
      <c r="Z671" s="1445"/>
      <c r="AA671" s="1445"/>
      <c r="AB671" s="1445"/>
      <c r="AC671" s="1445"/>
      <c r="AD671" s="1445"/>
      <c r="AE671" s="1445"/>
      <c r="AH671" s="763" t="s">
        <v>1071</v>
      </c>
      <c r="AI671" s="1421"/>
      <c r="AJ671" s="1421"/>
      <c r="AK671" s="1421"/>
      <c r="AZ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 customHeight="1">
      <c r="A672" s="17"/>
      <c r="B672" t="s">
        <v>1425</v>
      </c>
      <c r="H672" s="1383"/>
      <c r="I672" s="1383"/>
      <c r="J672" s="1383"/>
      <c r="K672" s="1383"/>
      <c r="L672" s="1383"/>
      <c r="M672" s="1383"/>
      <c r="N672" s="1383"/>
      <c r="O672" s="1383"/>
      <c r="P672" s="1383"/>
      <c r="Q672" s="1383"/>
      <c r="R672" s="1383"/>
      <c r="T672" s="17"/>
      <c r="U672" t="s">
        <v>1425</v>
      </c>
      <c r="AA672" s="1383"/>
      <c r="AB672" s="1383"/>
      <c r="AC672" s="1383"/>
      <c r="AD672" s="1383"/>
      <c r="AE672" s="1383"/>
      <c r="AF672" s="1383"/>
      <c r="AG672" s="1383"/>
      <c r="AH672" s="1383"/>
      <c r="AI672" s="1383"/>
      <c r="AJ672" s="1383"/>
      <c r="AK672" s="1383"/>
      <c r="AZ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52" ht="12.9" customHeight="1">
      <c r="A673" s="17"/>
      <c r="B673" t="s">
        <v>1428</v>
      </c>
      <c r="N673" s="1440" t="s">
        <v>843</v>
      </c>
      <c r="O673" s="1440"/>
      <c r="T673" s="17"/>
      <c r="U673" t="s">
        <v>1428</v>
      </c>
      <c r="AG673" s="1440" t="s">
        <v>843</v>
      </c>
      <c r="AH673" s="1440"/>
      <c r="AZ673" s="2"/>
    </row>
    <row r="674" spans="1:52" ht="12.9" customHeight="1">
      <c r="A674" s="17"/>
      <c r="T674" s="17"/>
      <c r="AZ674" s="2"/>
    </row>
    <row r="675" spans="1:52" ht="12.9" customHeight="1">
      <c r="A675" s="36" t="s">
        <v>1415</v>
      </c>
      <c r="B675" t="s">
        <v>1420</v>
      </c>
      <c r="G675" s="1432">
        <f>C635</f>
        <v>0</v>
      </c>
      <c r="H675" s="1432"/>
      <c r="I675" s="1432"/>
      <c r="J675" s="1432"/>
      <c r="K675" s="1432"/>
      <c r="L675" s="1432"/>
      <c r="M675" s="1432"/>
      <c r="N675" s="1432"/>
      <c r="O675" s="1432"/>
      <c r="P675" s="1432"/>
      <c r="Q675" s="1432"/>
      <c r="R675" s="1432"/>
      <c r="T675" s="36" t="s">
        <v>1416</v>
      </c>
      <c r="U675" t="s">
        <v>1420</v>
      </c>
      <c r="Z675" s="1432">
        <f>C636</f>
        <v>0</v>
      </c>
      <c r="AA675" s="1432"/>
      <c r="AB675" s="1432"/>
      <c r="AC675" s="1432"/>
      <c r="AD675" s="1432"/>
      <c r="AE675" s="1432"/>
      <c r="AF675" s="1432"/>
      <c r="AG675" s="1432"/>
      <c r="AH675" s="1432"/>
      <c r="AI675" s="1432"/>
      <c r="AJ675" s="1432"/>
      <c r="AK675" s="1432"/>
      <c r="AZ675" s="2"/>
    </row>
    <row r="676" spans="1:52" ht="12.9" customHeight="1">
      <c r="A676" s="17"/>
      <c r="B676" t="s">
        <v>1062</v>
      </c>
      <c r="G676" s="1383"/>
      <c r="H676" s="1383"/>
      <c r="I676" s="1383"/>
      <c r="J676" s="1383"/>
      <c r="K676" s="1383"/>
      <c r="L676" s="1383"/>
      <c r="M676" s="1383"/>
      <c r="N676" s="1383"/>
      <c r="O676" s="1383"/>
      <c r="P676" s="1383"/>
      <c r="Q676" s="1383"/>
      <c r="R676" s="1383"/>
      <c r="T676" s="17"/>
      <c r="U676" t="s">
        <v>1062</v>
      </c>
      <c r="Z676" s="1383"/>
      <c r="AA676" s="1383"/>
      <c r="AB676" s="1383"/>
      <c r="AC676" s="1383"/>
      <c r="AD676" s="1383"/>
      <c r="AE676" s="1383"/>
      <c r="AF676" s="1383"/>
      <c r="AG676" s="1383"/>
      <c r="AH676" s="1383"/>
      <c r="AI676" s="1383"/>
      <c r="AJ676" s="1383"/>
      <c r="AK676" s="1383"/>
      <c r="AZ676" s="2"/>
    </row>
    <row r="677" spans="1:52" ht="12.9" customHeight="1">
      <c r="A677" s="17"/>
      <c r="B677" t="s">
        <v>930</v>
      </c>
      <c r="G677" s="1383"/>
      <c r="H677" s="1383"/>
      <c r="I677" s="1383"/>
      <c r="J677" s="1383"/>
      <c r="K677" s="1383"/>
      <c r="L677" s="1383"/>
      <c r="M677" s="1383"/>
      <c r="N677" s="1383"/>
      <c r="O677" s="1383"/>
      <c r="P677" s="1383"/>
      <c r="Q677" s="1383"/>
      <c r="R677" s="1383"/>
      <c r="T677" s="17"/>
      <c r="U677" t="s">
        <v>930</v>
      </c>
      <c r="Z677" s="1328"/>
      <c r="AA677" s="1328"/>
      <c r="AB677" s="1328"/>
      <c r="AC677" s="1328"/>
      <c r="AD677" s="1328"/>
      <c r="AE677" s="1328"/>
      <c r="AF677" s="1328"/>
      <c r="AG677" s="1328"/>
      <c r="AH677" s="1328"/>
      <c r="AI677" s="1328"/>
      <c r="AJ677" s="1328"/>
      <c r="AK677" s="1328"/>
      <c r="AZ677" s="2"/>
    </row>
    <row r="678" spans="1:52" ht="12.9" customHeight="1">
      <c r="A678" s="17"/>
      <c r="B678" t="s">
        <v>1423</v>
      </c>
      <c r="G678" s="1383"/>
      <c r="H678" s="1383"/>
      <c r="I678" s="1383"/>
      <c r="J678" s="1383"/>
      <c r="K678" s="1383"/>
      <c r="L678" s="1383"/>
      <c r="M678" s="1383"/>
      <c r="N678" s="1383"/>
      <c r="O678" s="1383"/>
      <c r="P678" s="1383"/>
      <c r="Q678" s="1383"/>
      <c r="R678" s="1383"/>
      <c r="T678" s="17"/>
      <c r="U678" t="s">
        <v>1423</v>
      </c>
      <c r="Z678" s="1328"/>
      <c r="AA678" s="1328"/>
      <c r="AB678" s="1328"/>
      <c r="AC678" s="1328"/>
      <c r="AD678" s="1328"/>
      <c r="AE678" s="1328"/>
      <c r="AF678" s="1328"/>
      <c r="AG678" s="1328"/>
      <c r="AH678" s="1328"/>
      <c r="AI678" s="1328"/>
      <c r="AJ678" s="1328"/>
      <c r="AK678" s="1328"/>
      <c r="AZ678" s="2"/>
    </row>
    <row r="679" spans="1:52" ht="12.9" customHeight="1">
      <c r="A679" s="17"/>
      <c r="B679" t="s">
        <v>823</v>
      </c>
      <c r="G679" s="1445"/>
      <c r="H679" s="1445"/>
      <c r="I679" s="1445"/>
      <c r="J679" s="1445"/>
      <c r="K679" s="1445"/>
      <c r="L679" s="1445"/>
      <c r="O679" s="763" t="s">
        <v>1071</v>
      </c>
      <c r="P679" s="1421"/>
      <c r="Q679" s="1421"/>
      <c r="R679" s="1421"/>
      <c r="T679" s="17"/>
      <c r="U679" t="s">
        <v>823</v>
      </c>
      <c r="Z679" s="1445"/>
      <c r="AA679" s="1445"/>
      <c r="AB679" s="1445"/>
      <c r="AC679" s="1445"/>
      <c r="AD679" s="1445"/>
      <c r="AE679" s="1445"/>
      <c r="AH679" s="763" t="s">
        <v>1071</v>
      </c>
      <c r="AI679" s="1421"/>
      <c r="AJ679" s="1421"/>
      <c r="AK679" s="1421"/>
      <c r="AZ679" s="2"/>
    </row>
    <row r="680" spans="1:52" ht="12.9" customHeight="1">
      <c r="A680" s="17"/>
      <c r="B680" t="s">
        <v>1425</v>
      </c>
      <c r="H680" s="1383"/>
      <c r="I680" s="1383"/>
      <c r="J680" s="1383"/>
      <c r="K680" s="1383"/>
      <c r="L680" s="1383"/>
      <c r="M680" s="1383"/>
      <c r="N680" s="1383"/>
      <c r="O680" s="1383"/>
      <c r="P680" s="1383"/>
      <c r="Q680" s="1383"/>
      <c r="R680" s="1383"/>
      <c r="T680" s="17"/>
      <c r="U680" t="s">
        <v>1425</v>
      </c>
      <c r="AA680" s="1383"/>
      <c r="AB680" s="1383"/>
      <c r="AC680" s="1383"/>
      <c r="AD680" s="1383"/>
      <c r="AE680" s="1383"/>
      <c r="AF680" s="1383"/>
      <c r="AG680" s="1383"/>
      <c r="AH680" s="1383"/>
      <c r="AI680" s="1383"/>
      <c r="AJ680" s="1383"/>
      <c r="AK680" s="1383"/>
      <c r="AZ680" s="2"/>
    </row>
    <row r="681" spans="1:52" ht="12.9" customHeight="1">
      <c r="A681" s="17"/>
      <c r="B681" t="s">
        <v>1428</v>
      </c>
      <c r="N681" s="1440" t="s">
        <v>843</v>
      </c>
      <c r="O681" s="1440"/>
      <c r="T681" s="17"/>
      <c r="U681" t="s">
        <v>1428</v>
      </c>
      <c r="AG681" s="1440" t="s">
        <v>843</v>
      </c>
      <c r="AH681" s="1440"/>
      <c r="AZ681" s="2"/>
    </row>
    <row r="682" spans="1:52" ht="12.9" customHeight="1">
      <c r="A682" s="17"/>
      <c r="T682" s="17"/>
      <c r="AZ682" s="2"/>
    </row>
    <row r="683" spans="1:52" ht="12.9" customHeight="1">
      <c r="A683" s="36" t="s">
        <v>1417</v>
      </c>
      <c r="B683" t="s">
        <v>1420</v>
      </c>
      <c r="G683" s="1432">
        <f>C637</f>
        <v>0</v>
      </c>
      <c r="H683" s="1432"/>
      <c r="I683" s="1432"/>
      <c r="J683" s="1432"/>
      <c r="K683" s="1432"/>
      <c r="L683" s="1432"/>
      <c r="M683" s="1432"/>
      <c r="N683" s="1432"/>
      <c r="O683" s="1432"/>
      <c r="P683" s="1432"/>
      <c r="Q683" s="1432"/>
      <c r="R683" s="1432"/>
      <c r="T683" s="36" t="s">
        <v>1418</v>
      </c>
      <c r="U683" t="s">
        <v>1420</v>
      </c>
      <c r="Z683" s="1432">
        <f>C638</f>
        <v>0</v>
      </c>
      <c r="AA683" s="1432"/>
      <c r="AB683" s="1432"/>
      <c r="AC683" s="1432"/>
      <c r="AD683" s="1432"/>
      <c r="AE683" s="1432"/>
      <c r="AF683" s="1432"/>
      <c r="AG683" s="1432"/>
      <c r="AH683" s="1432"/>
      <c r="AI683" s="1432"/>
      <c r="AJ683" s="1432"/>
      <c r="AK683" s="1432"/>
      <c r="AZ683" s="2"/>
    </row>
    <row r="684" spans="1:52" ht="12.9" customHeight="1">
      <c r="B684" t="s">
        <v>1062</v>
      </c>
      <c r="G684" s="1383"/>
      <c r="H684" s="1383"/>
      <c r="I684" s="1383"/>
      <c r="J684" s="1383"/>
      <c r="K684" s="1383"/>
      <c r="L684" s="1383"/>
      <c r="M684" s="1383"/>
      <c r="N684" s="1383"/>
      <c r="O684" s="1383"/>
      <c r="P684" s="1383"/>
      <c r="Q684" s="1383"/>
      <c r="R684" s="1383"/>
      <c r="T684" s="17"/>
      <c r="U684" t="s">
        <v>1062</v>
      </c>
      <c r="Z684" s="1383"/>
      <c r="AA684" s="1383"/>
      <c r="AB684" s="1383"/>
      <c r="AC684" s="1383"/>
      <c r="AD684" s="1383"/>
      <c r="AE684" s="1383"/>
      <c r="AF684" s="1383"/>
      <c r="AG684" s="1383"/>
      <c r="AH684" s="1383"/>
      <c r="AI684" s="1383"/>
      <c r="AJ684" s="1383"/>
      <c r="AK684" s="1383"/>
      <c r="AZ684" s="2"/>
    </row>
    <row r="685" spans="1:52" ht="12.9" customHeight="1">
      <c r="B685" t="s">
        <v>930</v>
      </c>
      <c r="G685" s="1383"/>
      <c r="H685" s="1383"/>
      <c r="I685" s="1383"/>
      <c r="J685" s="1383"/>
      <c r="K685" s="1383"/>
      <c r="L685" s="1383"/>
      <c r="M685" s="1383"/>
      <c r="N685" s="1383"/>
      <c r="O685" s="1383"/>
      <c r="P685" s="1383"/>
      <c r="Q685" s="1383"/>
      <c r="R685" s="1383"/>
      <c r="U685" t="s">
        <v>930</v>
      </c>
      <c r="Z685" s="1328"/>
      <c r="AA685" s="1328"/>
      <c r="AB685" s="1328"/>
      <c r="AC685" s="1328"/>
      <c r="AD685" s="1328"/>
      <c r="AE685" s="1328"/>
      <c r="AF685" s="1328"/>
      <c r="AG685" s="1328"/>
      <c r="AH685" s="1328"/>
      <c r="AI685" s="1328"/>
      <c r="AJ685" s="1328"/>
      <c r="AK685" s="1328"/>
      <c r="AZ685" s="2"/>
    </row>
    <row r="686" spans="1:52" ht="12.9" customHeight="1">
      <c r="B686" t="s">
        <v>1423</v>
      </c>
      <c r="G686" s="1383"/>
      <c r="H686" s="1383"/>
      <c r="I686" s="1383"/>
      <c r="J686" s="1383"/>
      <c r="K686" s="1383"/>
      <c r="L686" s="1383"/>
      <c r="M686" s="1383"/>
      <c r="N686" s="1383"/>
      <c r="O686" s="1383"/>
      <c r="P686" s="1383"/>
      <c r="Q686" s="1383"/>
      <c r="R686" s="1383"/>
      <c r="U686" t="s">
        <v>1423</v>
      </c>
      <c r="Z686" s="1328"/>
      <c r="AA686" s="1328"/>
      <c r="AB686" s="1328"/>
      <c r="AC686" s="1328"/>
      <c r="AD686" s="1328"/>
      <c r="AE686" s="1328"/>
      <c r="AF686" s="1328"/>
      <c r="AG686" s="1328"/>
      <c r="AH686" s="1328"/>
      <c r="AI686" s="1328"/>
      <c r="AJ686" s="1328"/>
      <c r="AK686" s="1328"/>
      <c r="AZ686" s="2"/>
    </row>
    <row r="687" spans="1:52" ht="12.9" customHeight="1">
      <c r="B687" t="s">
        <v>823</v>
      </c>
      <c r="G687" s="1445"/>
      <c r="H687" s="1445"/>
      <c r="I687" s="1445"/>
      <c r="J687" s="1445"/>
      <c r="K687" s="1445"/>
      <c r="L687" s="1445"/>
      <c r="O687" s="763" t="s">
        <v>1071</v>
      </c>
      <c r="P687" s="1421"/>
      <c r="Q687" s="1421"/>
      <c r="R687" s="1421"/>
      <c r="U687" t="s">
        <v>823</v>
      </c>
      <c r="Z687" s="1445"/>
      <c r="AA687" s="1445"/>
      <c r="AB687" s="1445"/>
      <c r="AC687" s="1445"/>
      <c r="AD687" s="1445"/>
      <c r="AE687" s="1445"/>
      <c r="AH687" s="763" t="s">
        <v>1071</v>
      </c>
      <c r="AI687" s="1421"/>
      <c r="AJ687" s="1421"/>
      <c r="AK687" s="1421"/>
      <c r="AZ687" s="2"/>
    </row>
    <row r="688" spans="1:52" ht="12.9" customHeight="1">
      <c r="B688" t="s">
        <v>1425</v>
      </c>
      <c r="H688" s="1383"/>
      <c r="I688" s="1383"/>
      <c r="J688" s="1383"/>
      <c r="K688" s="1383"/>
      <c r="L688" s="1383"/>
      <c r="M688" s="1383"/>
      <c r="N688" s="1383"/>
      <c r="O688" s="1383"/>
      <c r="P688" s="1383"/>
      <c r="Q688" s="1383"/>
      <c r="R688" s="1383"/>
      <c r="U688" t="s">
        <v>1425</v>
      </c>
      <c r="AA688" s="1383"/>
      <c r="AB688" s="1383"/>
      <c r="AC688" s="1383"/>
      <c r="AD688" s="1383"/>
      <c r="AE688" s="1383"/>
      <c r="AF688" s="1383"/>
      <c r="AG688" s="1383"/>
      <c r="AH688" s="1383"/>
      <c r="AI688" s="1383"/>
      <c r="AJ688" s="1383"/>
      <c r="AK688" s="1383"/>
      <c r="AZ688" s="2"/>
    </row>
    <row r="689" spans="1:67" ht="12.9" customHeight="1">
      <c r="B689" t="s">
        <v>1428</v>
      </c>
      <c r="N689" s="1440" t="s">
        <v>843</v>
      </c>
      <c r="O689" s="1440"/>
      <c r="U689" t="s">
        <v>1428</v>
      </c>
      <c r="AG689" s="1440" t="s">
        <v>843</v>
      </c>
      <c r="AH689" s="1440"/>
      <c r="AZ689" s="2"/>
    </row>
    <row r="690" spans="1:67" ht="12.9" customHeight="1">
      <c r="AZ690" s="2"/>
    </row>
    <row r="691" spans="1:67" ht="12.9" customHeight="1">
      <c r="A691" s="1" t="s">
        <v>911</v>
      </c>
      <c r="C691" s="1" t="s">
        <v>179</v>
      </c>
      <c r="E691" s="1156"/>
      <c r="F691" s="1156"/>
      <c r="G691" s="1156"/>
      <c r="H691" s="1156"/>
      <c r="AZ691" s="2"/>
    </row>
    <row r="692" spans="1:67" ht="12.9" customHeight="1">
      <c r="B692" s="1168"/>
      <c r="C692" s="1168"/>
      <c r="D692" s="766" t="s">
        <v>1452</v>
      </c>
      <c r="E692" s="1168"/>
      <c r="F692" s="1168"/>
      <c r="G692" s="1168"/>
      <c r="H692" s="1168"/>
      <c r="AZ692" s="2"/>
    </row>
    <row r="693" spans="1:67" ht="12.9" customHeight="1">
      <c r="B693" s="1168"/>
      <c r="C693" s="1168"/>
      <c r="E693" s="766" t="s">
        <v>1453</v>
      </c>
      <c r="F693" s="1168"/>
      <c r="G693" s="1168"/>
      <c r="H693" s="1168"/>
      <c r="AE693" s="1440" t="s">
        <v>694</v>
      </c>
      <c r="AF693" s="1440"/>
      <c r="AZ693" s="2"/>
    </row>
    <row r="694" spans="1:67" ht="12.9" customHeight="1">
      <c r="B694" s="1168"/>
      <c r="C694" s="1168"/>
      <c r="D694" s="766" t="s">
        <v>1454</v>
      </c>
      <c r="E694" s="1168"/>
      <c r="F694" s="1168"/>
      <c r="G694" s="1168"/>
      <c r="H694" s="1168"/>
      <c r="AE694" s="1440" t="s">
        <v>694</v>
      </c>
      <c r="AF694" s="1440"/>
      <c r="AZ694" s="2"/>
    </row>
    <row r="695" spans="1:67" ht="12.9" customHeight="1">
      <c r="B695" s="1168"/>
      <c r="C695" s="1168"/>
      <c r="D695" s="766" t="s">
        <v>1455</v>
      </c>
      <c r="E695" s="1168"/>
      <c r="F695" s="1168"/>
      <c r="G695" s="1168"/>
      <c r="H695" s="1168"/>
      <c r="AE695" s="1448">
        <v>45797</v>
      </c>
      <c r="AF695" s="1448"/>
      <c r="AG695" s="1448"/>
      <c r="AH695" s="1448"/>
      <c r="AI695" s="1448"/>
    </row>
    <row r="696" spans="1:67" ht="12.9" customHeight="1">
      <c r="B696" s="1168"/>
      <c r="C696" s="1168"/>
      <c r="D696" s="174" t="s">
        <v>1456</v>
      </c>
      <c r="E696" s="1168"/>
      <c r="F696" s="1168"/>
      <c r="G696" s="1168"/>
      <c r="H696" s="1168"/>
      <c r="AE696" s="1610">
        <v>45874</v>
      </c>
      <c r="AF696" s="1610"/>
      <c r="AG696" s="1610"/>
      <c r="AH696" s="1610"/>
      <c r="AI696" s="1610"/>
    </row>
    <row r="697" spans="1:67" ht="12.9" customHeight="1">
      <c r="B697" s="1168"/>
      <c r="C697" s="1168"/>
    </row>
    <row r="698" spans="1:67" ht="12.9" customHeight="1">
      <c r="B698" s="1168"/>
      <c r="C698" s="1168"/>
      <c r="D698" s="766" t="s">
        <v>1457</v>
      </c>
      <c r="E698" s="1168"/>
      <c r="F698" s="1168"/>
      <c r="G698" s="1168"/>
      <c r="H698" s="1168"/>
      <c r="AE698" s="1448">
        <v>46054</v>
      </c>
      <c r="AF698" s="1448"/>
      <c r="AG698" s="1448"/>
      <c r="AH698" s="1448"/>
      <c r="AI698" s="1448"/>
    </row>
    <row r="699" spans="1:67" ht="12.9" customHeight="1">
      <c r="B699" s="1168"/>
      <c r="C699" s="1168"/>
      <c r="D699" s="766" t="s">
        <v>1458</v>
      </c>
      <c r="E699" s="1168"/>
      <c r="F699" s="1168"/>
      <c r="G699" s="1168"/>
      <c r="H699" s="1168"/>
      <c r="AE699" s="1630">
        <v>0.51</v>
      </c>
      <c r="AF699" s="1630"/>
      <c r="AG699" s="1630"/>
      <c r="AH699" s="1630"/>
      <c r="AI699" s="1630"/>
    </row>
    <row r="700" spans="1:67" ht="12.9" customHeight="1">
      <c r="B700" s="1168"/>
      <c r="C700" s="1168"/>
      <c r="D700" s="766" t="s">
        <v>1459</v>
      </c>
      <c r="E700" s="1168"/>
      <c r="F700" s="1168"/>
      <c r="G700" s="1168"/>
      <c r="H700" s="1168"/>
      <c r="W700" s="1432" t="str">
        <f>H335</f>
        <v>California Housing Finance Authority</v>
      </c>
      <c r="X700" s="1432"/>
      <c r="Y700" s="1432"/>
      <c r="Z700" s="1432"/>
      <c r="AA700" s="1432"/>
      <c r="AB700" s="1432"/>
      <c r="AC700" s="1432"/>
      <c r="AD700" s="1432"/>
      <c r="AE700" s="1432"/>
      <c r="AF700" s="1432"/>
      <c r="AG700" s="1432"/>
      <c r="AH700" s="1432"/>
      <c r="AI700" s="1432"/>
      <c r="AJ700" s="1432"/>
      <c r="AK700" s="1432"/>
    </row>
    <row r="701" spans="1:67" ht="12.9" customHeight="1">
      <c r="B701" s="1168"/>
      <c r="C701" s="1168"/>
      <c r="D701" s="766"/>
      <c r="E701" s="1168"/>
      <c r="F701" s="1168"/>
      <c r="G701" s="1168"/>
      <c r="H701" s="1168"/>
    </row>
    <row r="702" spans="1:67" ht="12.9" customHeight="1">
      <c r="B702" s="1168"/>
      <c r="C702" s="1168"/>
      <c r="D702" s="766" t="s">
        <v>1460</v>
      </c>
      <c r="E702" s="1168"/>
      <c r="F702" s="1168"/>
      <c r="G702" s="1168"/>
      <c r="H702" s="1168"/>
      <c r="AE702" s="1440" t="s">
        <v>843</v>
      </c>
      <c r="AF702" s="1440"/>
      <c r="AZ702" s="2" t="s">
        <v>829</v>
      </c>
    </row>
    <row r="703" spans="1:67" ht="12.9" customHeight="1">
      <c r="B703" s="1168"/>
      <c r="C703" s="1168"/>
      <c r="D703" s="766" t="s">
        <v>1461</v>
      </c>
      <c r="E703" s="1168"/>
      <c r="F703" s="1168"/>
      <c r="G703" s="1168"/>
      <c r="H703" s="1168"/>
      <c r="W703" s="1383"/>
      <c r="X703" s="1383"/>
      <c r="Y703" s="1383"/>
      <c r="Z703" s="1383"/>
      <c r="AA703" s="1383"/>
      <c r="AB703" s="1383"/>
      <c r="AC703" s="1383"/>
      <c r="AD703" s="1383"/>
      <c r="AE703" s="1383"/>
      <c r="AF703" s="1383"/>
      <c r="AG703" s="1383"/>
      <c r="AH703" s="1383"/>
      <c r="AI703" s="1383"/>
      <c r="AJ703" s="1383"/>
      <c r="AK703" s="1383"/>
      <c r="AZ703" s="2" t="s">
        <v>830</v>
      </c>
    </row>
    <row r="704" spans="1:67" ht="12.9" customHeight="1">
      <c r="B704" s="1168"/>
      <c r="C704" s="1168"/>
      <c r="D704" s="766" t="s">
        <v>1067</v>
      </c>
      <c r="E704" s="1168"/>
      <c r="F704" s="1168"/>
      <c r="G704" s="1168"/>
      <c r="H704" s="1168"/>
      <c r="J704" s="1383"/>
      <c r="K704" s="1383"/>
      <c r="L704" s="1383"/>
      <c r="M704" s="1383"/>
      <c r="N704" s="1383"/>
      <c r="O704" s="1383"/>
      <c r="P704" s="1383"/>
      <c r="Q704" s="1383"/>
      <c r="R704" s="1383"/>
      <c r="S704" s="1383"/>
      <c r="T704" s="1383"/>
      <c r="U704" s="1383"/>
      <c r="V704" s="1383"/>
      <c r="W704" s="1383"/>
      <c r="X704" s="1383"/>
      <c r="AZ704" s="2" t="s">
        <v>831</v>
      </c>
      <c r="BB704" s="2"/>
      <c r="BC704" s="2"/>
      <c r="BD704" s="2"/>
      <c r="BE704" s="2"/>
      <c r="BF704" s="2"/>
      <c r="BJ704" s="2"/>
      <c r="BK704" s="2"/>
      <c r="BL704" s="2"/>
      <c r="BM704" s="2"/>
      <c r="BN704" s="2"/>
      <c r="BO704" s="2"/>
    </row>
    <row r="705" spans="1:185" ht="12.9" customHeight="1">
      <c r="B705" s="1168"/>
      <c r="C705" s="1168"/>
      <c r="D705" s="766" t="s">
        <v>1069</v>
      </c>
      <c r="J705" s="1445"/>
      <c r="K705" s="1445"/>
      <c r="L705" s="1445"/>
      <c r="M705" s="1445"/>
      <c r="N705" s="1445"/>
      <c r="O705" s="1445"/>
      <c r="P705" s="2" t="s">
        <v>1071</v>
      </c>
      <c r="Q705" s="2"/>
      <c r="R705" s="1421"/>
      <c r="S705" s="1421"/>
      <c r="T705" s="1421"/>
      <c r="AZ705" s="2" t="s">
        <v>832</v>
      </c>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85" ht="12.9" customHeight="1">
      <c r="B706" s="1168"/>
      <c r="C706" s="1168"/>
      <c r="D706" s="766" t="s">
        <v>1462</v>
      </c>
      <c r="W706" s="1383" t="s">
        <v>547</v>
      </c>
      <c r="X706" s="1383"/>
      <c r="Y706" s="1383"/>
      <c r="Z706" s="1383"/>
      <c r="AA706" s="1383"/>
      <c r="AB706" s="1383"/>
      <c r="AC706" s="1383"/>
      <c r="AD706" s="1383"/>
      <c r="AE706" s="1383"/>
      <c r="AF706" s="1383"/>
      <c r="AG706" s="1383"/>
      <c r="AH706" s="1383"/>
      <c r="AI706" s="1383"/>
      <c r="AJ706" s="1383"/>
      <c r="AK706" s="1383"/>
      <c r="AZ706" s="2" t="s">
        <v>833</v>
      </c>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85" ht="12.9" customHeight="1">
      <c r="B707" s="1168"/>
      <c r="C707" s="1168"/>
      <c r="D707" s="766"/>
      <c r="E707" s="1383" t="s">
        <v>1349</v>
      </c>
      <c r="F707" s="1383"/>
      <c r="G707" s="1383"/>
      <c r="H707" s="1383"/>
      <c r="I707" s="1383"/>
      <c r="J707" s="1383"/>
      <c r="K707" s="1383"/>
      <c r="L707" s="1383"/>
      <c r="M707" s="1383"/>
      <c r="N707" s="1383"/>
      <c r="O707" s="1383"/>
      <c r="P707" s="1383"/>
      <c r="Q707" s="1383"/>
      <c r="R707" s="1383"/>
      <c r="S707" s="1383"/>
      <c r="T707" s="1383"/>
      <c r="U707" s="1383"/>
      <c r="V707" s="1383"/>
      <c r="W707" s="1383"/>
      <c r="X707" s="1383"/>
      <c r="Y707" s="1383"/>
      <c r="Z707" s="1383"/>
      <c r="AA707" s="1383"/>
      <c r="AB707" s="1383"/>
      <c r="AC707" s="1383"/>
      <c r="AD707" s="1383"/>
      <c r="AE707" s="1383"/>
      <c r="AF707" s="1383"/>
      <c r="AG707" s="1383"/>
      <c r="AH707" s="1383"/>
      <c r="AI707" s="1383"/>
      <c r="AJ707" s="1383"/>
      <c r="AK707" s="1383"/>
      <c r="AZ707" s="2" t="s">
        <v>834</v>
      </c>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85" ht="12.9"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85" ht="12.9" customHeight="1">
      <c r="A709" s="1233" t="s">
        <v>1463</v>
      </c>
      <c r="B709" s="1233"/>
      <c r="C709" s="1233"/>
      <c r="D709" s="1233"/>
      <c r="E709" s="1233"/>
      <c r="F709" s="1233"/>
      <c r="G709" s="1233"/>
      <c r="H709" s="1233"/>
      <c r="I709" s="1233"/>
      <c r="J709" s="1233"/>
      <c r="K709" s="1233"/>
      <c r="L709" s="1233"/>
      <c r="M709" s="1233"/>
      <c r="N709" s="1233"/>
      <c r="O709" s="1233"/>
      <c r="P709" s="1233"/>
      <c r="Q709" s="1233"/>
      <c r="R709" s="1233"/>
      <c r="S709" s="1233"/>
      <c r="T709" s="1233"/>
      <c r="U709" s="1233"/>
      <c r="V709" s="1233"/>
      <c r="W709" s="1233"/>
      <c r="X709" s="1233"/>
      <c r="Y709" s="1233"/>
      <c r="Z709" s="1233"/>
      <c r="AA709" s="1233"/>
      <c r="AB709" s="1233"/>
      <c r="AC709" s="1233"/>
      <c r="AD709" s="1233"/>
      <c r="AE709" s="1233"/>
      <c r="AF709" s="1233"/>
      <c r="AG709" s="1233"/>
      <c r="AH709" s="1233"/>
      <c r="AI709" s="1233"/>
      <c r="AJ709" s="1233"/>
      <c r="AK709" s="1233"/>
      <c r="AL709" s="1233"/>
      <c r="AM709" s="1233"/>
      <c r="AN709" s="1233"/>
      <c r="AO709" s="1233"/>
      <c r="AP709" s="1233"/>
      <c r="AQ709" s="1233"/>
      <c r="AR709" s="1233"/>
      <c r="AS709" s="1233"/>
      <c r="AT709" s="1233"/>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85" ht="12.9" customHeight="1">
      <c r="A710" s="1233"/>
      <c r="B710" s="1233"/>
      <c r="C710" s="1233"/>
      <c r="D710" s="1233"/>
      <c r="E710" s="1233"/>
      <c r="F710" s="1233"/>
      <c r="G710" s="1233"/>
      <c r="H710" s="1233"/>
      <c r="I710" s="1233"/>
      <c r="J710" s="1233"/>
      <c r="K710" s="1233"/>
      <c r="L710" s="1233"/>
      <c r="M710" s="1233"/>
      <c r="N710" s="1233"/>
      <c r="O710" s="1233"/>
      <c r="P710" s="1233"/>
      <c r="Q710" s="1233"/>
      <c r="R710" s="1233"/>
      <c r="S710" s="1233"/>
      <c r="T710" s="1233"/>
      <c r="U710" s="1233"/>
      <c r="V710" s="1233"/>
      <c r="W710" s="1233"/>
      <c r="X710" s="1233"/>
      <c r="Y710" s="1233"/>
      <c r="Z710" s="1233"/>
      <c r="AA710" s="1233"/>
      <c r="AB710" s="1233"/>
      <c r="AC710" s="1233"/>
      <c r="AD710" s="1233"/>
      <c r="AE710" s="1233"/>
      <c r="AF710" s="1233"/>
      <c r="AG710" s="1233"/>
      <c r="AH710" s="1233"/>
      <c r="AI710" s="1233"/>
      <c r="AJ710" s="1233"/>
      <c r="AK710" s="1233"/>
      <c r="AL710" s="1233"/>
      <c r="AM710" s="1233"/>
      <c r="AN710" s="1233"/>
      <c r="AO710" s="1233"/>
      <c r="AP710" s="1233"/>
      <c r="AQ710" s="1233"/>
      <c r="AR710" s="1233"/>
      <c r="AS710" s="1233"/>
      <c r="AT710" s="1233"/>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85" ht="12.9" customHeight="1">
      <c r="A711" s="1233"/>
      <c r="B711" s="1233"/>
      <c r="C711" s="1233"/>
      <c r="D711" s="1233"/>
      <c r="E711" s="1233"/>
      <c r="F711" s="1233"/>
      <c r="G711" s="1233"/>
      <c r="H711" s="1233"/>
      <c r="I711" s="1233"/>
      <c r="J711" s="1233"/>
      <c r="K711" s="1233"/>
      <c r="L711" s="1233"/>
      <c r="M711" s="1233"/>
      <c r="N711" s="1233"/>
      <c r="O711" s="1233"/>
      <c r="P711" s="1233"/>
      <c r="Q711" s="1233"/>
      <c r="R711" s="1233"/>
      <c r="S711" s="1233"/>
      <c r="T711" s="1233"/>
      <c r="U711" s="1233"/>
      <c r="V711" s="1233"/>
      <c r="W711" s="1233"/>
      <c r="X711" s="1233"/>
      <c r="Y711" s="1233"/>
      <c r="Z711" s="1233"/>
      <c r="AA711" s="1233"/>
      <c r="AB711" s="1233"/>
      <c r="AC711" s="1233"/>
      <c r="AD711" s="1233"/>
      <c r="AE711" s="1233"/>
      <c r="AF711" s="1233"/>
      <c r="AG711" s="1233"/>
      <c r="AH711" s="1233"/>
      <c r="AI711" s="1233"/>
      <c r="AJ711" s="1233"/>
      <c r="AK711" s="1233"/>
      <c r="AL711" s="1233"/>
      <c r="AM711" s="1233"/>
      <c r="AN711" s="1233"/>
      <c r="AO711" s="1233"/>
      <c r="AP711" s="1233"/>
      <c r="AQ711" s="1233"/>
      <c r="AR711" s="1233"/>
      <c r="AS711" s="1233"/>
      <c r="AT711" s="1233"/>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85" ht="12.9" customHeight="1">
      <c r="A712" s="1" t="s">
        <v>870</v>
      </c>
      <c r="B712" s="1"/>
      <c r="C712" s="1" t="s">
        <v>1464</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85" ht="12.9" customHeight="1">
      <c r="A713" s="1"/>
      <c r="B713" s="315"/>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85" ht="12.9" customHeight="1">
      <c r="B714" s="1449" t="s">
        <v>1465</v>
      </c>
      <c r="C714" s="1450"/>
      <c r="D714" s="1450"/>
      <c r="E714" s="1450"/>
      <c r="F714" s="1451"/>
      <c r="G714" s="1449" t="s">
        <v>1466</v>
      </c>
      <c r="H714" s="1450"/>
      <c r="I714" s="1450"/>
      <c r="J714" s="1451"/>
      <c r="K714" s="1458" t="s">
        <v>1467</v>
      </c>
      <c r="L714" s="1459"/>
      <c r="M714" s="1459"/>
      <c r="N714" s="1460"/>
      <c r="O714" s="1449" t="s">
        <v>1468</v>
      </c>
      <c r="P714" s="1450"/>
      <c r="Q714" s="1450"/>
      <c r="R714" s="1450"/>
      <c r="S714" s="1451"/>
      <c r="T714" s="1449" t="s">
        <v>1469</v>
      </c>
      <c r="U714" s="1450"/>
      <c r="V714" s="1450"/>
      <c r="W714" s="1451"/>
      <c r="X714" s="1449" t="s">
        <v>1470</v>
      </c>
      <c r="Y714" s="1450"/>
      <c r="Z714" s="1450"/>
      <c r="AA714" s="1450"/>
      <c r="AB714" s="1451"/>
      <c r="AC714" s="1449" t="s">
        <v>1471</v>
      </c>
      <c r="AD714" s="1450"/>
      <c r="AE714" s="1450"/>
      <c r="AF714" s="1450"/>
      <c r="AG714" s="1451"/>
      <c r="AH714" s="1449" t="s">
        <v>1472</v>
      </c>
      <c r="AI714" s="1450"/>
      <c r="AJ714" s="1451"/>
      <c r="AK714" s="1449" t="s">
        <v>1473</v>
      </c>
      <c r="AL714" s="1450"/>
      <c r="AM714" s="1450"/>
      <c r="AN714" s="1450"/>
      <c r="AO714" s="1451"/>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85" ht="12.9" customHeight="1">
      <c r="B715" s="1452"/>
      <c r="C715" s="1453"/>
      <c r="D715" s="1453"/>
      <c r="E715" s="1453"/>
      <c r="F715" s="1454"/>
      <c r="G715" s="1452"/>
      <c r="H715" s="1453"/>
      <c r="I715" s="1453"/>
      <c r="J715" s="1454"/>
      <c r="K715" s="1461"/>
      <c r="L715" s="1462"/>
      <c r="M715" s="1462"/>
      <c r="N715" s="1463"/>
      <c r="O715" s="1452"/>
      <c r="P715" s="1453"/>
      <c r="Q715" s="1453"/>
      <c r="R715" s="1453"/>
      <c r="S715" s="1454"/>
      <c r="T715" s="1452"/>
      <c r="U715" s="1453"/>
      <c r="V715" s="1453"/>
      <c r="W715" s="1454"/>
      <c r="X715" s="1452"/>
      <c r="Y715" s="1453"/>
      <c r="Z715" s="1453"/>
      <c r="AA715" s="1453"/>
      <c r="AB715" s="1454"/>
      <c r="AC715" s="1452"/>
      <c r="AD715" s="1453"/>
      <c r="AE715" s="1453"/>
      <c r="AF715" s="1453"/>
      <c r="AG715" s="1454"/>
      <c r="AH715" s="1452"/>
      <c r="AI715" s="1453"/>
      <c r="AJ715" s="1454"/>
      <c r="AK715" s="1452"/>
      <c r="AL715" s="1453"/>
      <c r="AM715" s="1453"/>
      <c r="AN715" s="1453"/>
      <c r="AO715" s="1454"/>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85" ht="12.9" customHeight="1">
      <c r="A716" s="2"/>
      <c r="B716" s="1452"/>
      <c r="C716" s="1453"/>
      <c r="D716" s="1453"/>
      <c r="E716" s="1453"/>
      <c r="F716" s="1454"/>
      <c r="G716" s="1452"/>
      <c r="H716" s="1453"/>
      <c r="I716" s="1453"/>
      <c r="J716" s="1454"/>
      <c r="K716" s="1461"/>
      <c r="L716" s="1462"/>
      <c r="M716" s="1462"/>
      <c r="N716" s="1463"/>
      <c r="O716" s="1452"/>
      <c r="P716" s="1453"/>
      <c r="Q716" s="1453"/>
      <c r="R716" s="1453"/>
      <c r="S716" s="1454"/>
      <c r="T716" s="1452"/>
      <c r="U716" s="1453"/>
      <c r="V716" s="1453"/>
      <c r="W716" s="1454"/>
      <c r="X716" s="1452"/>
      <c r="Y716" s="1453"/>
      <c r="Z716" s="1453"/>
      <c r="AA716" s="1453"/>
      <c r="AB716" s="1454"/>
      <c r="AC716" s="1452"/>
      <c r="AD716" s="1453"/>
      <c r="AE716" s="1453"/>
      <c r="AF716" s="1453"/>
      <c r="AG716" s="1454"/>
      <c r="AH716" s="1452"/>
      <c r="AI716" s="1453"/>
      <c r="AJ716" s="1454"/>
      <c r="AK716" s="1452"/>
      <c r="AL716" s="1453"/>
      <c r="AM716" s="1453"/>
      <c r="AN716" s="1453"/>
      <c r="AO716" s="1454"/>
      <c r="AP716" s="2"/>
      <c r="AQ716" s="2"/>
      <c r="AR716" s="2"/>
      <c r="AS716" s="2"/>
      <c r="BA716" s="2"/>
      <c r="BB716" s="2"/>
      <c r="BC716" s="2"/>
      <c r="BD716" s="2"/>
      <c r="BE716" s="107"/>
      <c r="BF716" s="108" t="s">
        <v>1474</v>
      </c>
      <c r="BG716" s="107"/>
      <c r="BH716" s="107"/>
      <c r="BI716" s="2"/>
      <c r="BJ716" s="2"/>
      <c r="BK716" s="2"/>
      <c r="BL716" s="2"/>
      <c r="BM716" s="2"/>
      <c r="BN716" s="2"/>
      <c r="BS716" s="108" t="s">
        <v>1475</v>
      </c>
      <c r="BT716" s="107"/>
      <c r="BU716" s="107"/>
      <c r="CC716" s="2"/>
      <c r="CD716" s="2"/>
      <c r="CE716" s="2"/>
      <c r="CF716" s="2"/>
      <c r="CG716" s="2"/>
      <c r="CH716" s="2"/>
      <c r="CI716" s="2"/>
      <c r="CJ716" s="2"/>
      <c r="CK716" s="2"/>
      <c r="CL716" s="2"/>
      <c r="CM716" s="2"/>
      <c r="CN716" s="2"/>
      <c r="CO716" s="2"/>
      <c r="CP716" s="2" t="s">
        <v>1476</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1477</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1478</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2.9" customHeight="1">
      <c r="A717" s="2"/>
      <c r="B717" s="1455"/>
      <c r="C717" s="1456"/>
      <c r="D717" s="1456"/>
      <c r="E717" s="1456"/>
      <c r="F717" s="1457"/>
      <c r="G717" s="1455"/>
      <c r="H717" s="1456"/>
      <c r="I717" s="1456"/>
      <c r="J717" s="1457"/>
      <c r="K717" s="1461"/>
      <c r="L717" s="1462"/>
      <c r="M717" s="1462"/>
      <c r="N717" s="1463"/>
      <c r="O717" s="1455"/>
      <c r="P717" s="1456"/>
      <c r="Q717" s="1456"/>
      <c r="R717" s="1456"/>
      <c r="S717" s="1457"/>
      <c r="T717" s="1455"/>
      <c r="U717" s="1456"/>
      <c r="V717" s="1456"/>
      <c r="W717" s="1457"/>
      <c r="X717" s="1455"/>
      <c r="Y717" s="1456"/>
      <c r="Z717" s="1456"/>
      <c r="AA717" s="1456"/>
      <c r="AB717" s="1457"/>
      <c r="AC717" s="1455"/>
      <c r="AD717" s="1456"/>
      <c r="AE717" s="1456"/>
      <c r="AF717" s="1456"/>
      <c r="AG717" s="1457"/>
      <c r="AH717" s="1455"/>
      <c r="AI717" s="1456"/>
      <c r="AJ717" s="1457"/>
      <c r="AK717" s="1455"/>
      <c r="AL717" s="1456"/>
      <c r="AM717" s="1456"/>
      <c r="AN717" s="1456"/>
      <c r="AO717" s="1457"/>
      <c r="AP717" s="2"/>
      <c r="AQ717" s="2"/>
      <c r="AR717" s="2"/>
      <c r="AS717" s="2"/>
      <c r="AZ717" s="57" t="s">
        <v>1479</v>
      </c>
      <c r="BA717" s="2"/>
      <c r="BB717" s="2"/>
      <c r="BC717" s="2"/>
      <c r="BD717" s="2"/>
      <c r="BE717" s="107"/>
      <c r="BF717" s="155" t="s">
        <v>1480</v>
      </c>
      <c r="BG717" s="159" t="s">
        <v>1481</v>
      </c>
      <c r="BH717" s="158" t="s">
        <v>1482</v>
      </c>
      <c r="BI717" s="2"/>
      <c r="BJ717" s="2"/>
      <c r="BK717" s="2"/>
      <c r="BL717" s="2"/>
      <c r="BM717" s="2"/>
      <c r="BN717" s="2"/>
      <c r="BS717" s="155" t="s">
        <v>1480</v>
      </c>
      <c r="BT717" s="159" t="s">
        <v>1481</v>
      </c>
      <c r="BU717" s="158" t="s">
        <v>1482</v>
      </c>
      <c r="CC717" s="2"/>
      <c r="CD717" s="2"/>
      <c r="CE717" s="2"/>
      <c r="CF717" s="2"/>
      <c r="CG717" s="967" t="s">
        <v>1483</v>
      </c>
      <c r="CH717" s="969"/>
      <c r="CI717" s="1298"/>
      <c r="CJ717" s="1300"/>
      <c r="CK717" s="967" t="s">
        <v>1484</v>
      </c>
      <c r="CL717" s="969"/>
      <c r="CM717" s="1298"/>
      <c r="CN717" s="1300"/>
      <c r="CO717" s="2"/>
      <c r="CP717" s="1734" t="s">
        <v>835</v>
      </c>
      <c r="CQ717" s="1735"/>
      <c r="CR717" s="1735"/>
      <c r="CS717" s="1735"/>
      <c r="CT717" s="1736"/>
      <c r="CU717" s="1446" t="s">
        <v>830</v>
      </c>
      <c r="CV717" s="1446"/>
      <c r="CW717" s="1446"/>
      <c r="CX717" s="1446"/>
      <c r="CY717" s="1446"/>
      <c r="CZ717" s="1446" t="s">
        <v>831</v>
      </c>
      <c r="DA717" s="1446"/>
      <c r="DB717" s="1446"/>
      <c r="DC717" s="1446"/>
      <c r="DD717" s="1446"/>
      <c r="DE717" s="1446" t="s">
        <v>832</v>
      </c>
      <c r="DF717" s="1446"/>
      <c r="DG717" s="1446"/>
      <c r="DH717" s="1446"/>
      <c r="DI717" s="1446"/>
      <c r="DJ717" s="1446" t="s">
        <v>836</v>
      </c>
      <c r="DK717" s="1446"/>
      <c r="DL717" s="1446"/>
      <c r="DM717" s="1446"/>
      <c r="DN717" s="1446"/>
      <c r="DO717" s="1446" t="s">
        <v>834</v>
      </c>
      <c r="DP717" s="1446"/>
      <c r="DQ717" s="1446"/>
      <c r="DR717" s="1446"/>
      <c r="DS717" s="1446"/>
      <c r="DT717" s="1171"/>
      <c r="DU717" s="1446" t="s">
        <v>835</v>
      </c>
      <c r="DV717" s="1446"/>
      <c r="DW717" s="1446"/>
      <c r="DX717" s="1446"/>
      <c r="DY717" s="1446"/>
      <c r="DZ717" s="1446" t="s">
        <v>830</v>
      </c>
      <c r="EA717" s="1446"/>
      <c r="EB717" s="1446"/>
      <c r="EC717" s="1446"/>
      <c r="ED717" s="1446"/>
      <c r="EE717" s="1446" t="s">
        <v>831</v>
      </c>
      <c r="EF717" s="1446"/>
      <c r="EG717" s="1446"/>
      <c r="EH717" s="1446"/>
      <c r="EI717" s="1446"/>
      <c r="EJ717" s="1446" t="s">
        <v>832</v>
      </c>
      <c r="EK717" s="1446"/>
      <c r="EL717" s="1446"/>
      <c r="EM717" s="1446"/>
      <c r="EN717" s="1446"/>
      <c r="EO717" s="1446" t="s">
        <v>836</v>
      </c>
      <c r="EP717" s="1446"/>
      <c r="EQ717" s="1446"/>
      <c r="ER717" s="1446"/>
      <c r="ES717" s="1446"/>
      <c r="ET717" s="1446" t="s">
        <v>834</v>
      </c>
      <c r="EU717" s="1446"/>
      <c r="EV717" s="1446"/>
      <c r="EW717" s="1446"/>
      <c r="EX717" s="1446"/>
      <c r="EY717" s="2"/>
      <c r="EZ717" s="1446" t="s">
        <v>835</v>
      </c>
      <c r="FA717" s="1446"/>
      <c r="FB717" s="1446"/>
      <c r="FC717" s="1446"/>
      <c r="FD717" s="1446"/>
      <c r="FE717" s="1446" t="s">
        <v>830</v>
      </c>
      <c r="FF717" s="1446"/>
      <c r="FG717" s="1446"/>
      <c r="FH717" s="1446"/>
      <c r="FI717" s="1446"/>
      <c r="FJ717" s="1446" t="s">
        <v>831</v>
      </c>
      <c r="FK717" s="1446"/>
      <c r="FL717" s="1446"/>
      <c r="FM717" s="1446"/>
      <c r="FN717" s="1446"/>
      <c r="FO717" s="1446" t="s">
        <v>832</v>
      </c>
      <c r="FP717" s="1446"/>
      <c r="FQ717" s="1446"/>
      <c r="FR717" s="1446"/>
      <c r="FS717" s="1446"/>
      <c r="FT717" s="1446" t="s">
        <v>836</v>
      </c>
      <c r="FU717" s="1446"/>
      <c r="FV717" s="1446"/>
      <c r="FW717" s="1446"/>
      <c r="FX717" s="1446"/>
      <c r="FY717" s="1446" t="s">
        <v>834</v>
      </c>
      <c r="FZ717" s="1446"/>
      <c r="GA717" s="1446"/>
      <c r="GB717" s="1446"/>
      <c r="GC717" s="1446"/>
    </row>
    <row r="718" spans="1:185" ht="12.9" customHeight="1">
      <c r="A718" s="2"/>
      <c r="B718" s="1312" t="s">
        <v>830</v>
      </c>
      <c r="C718" s="1313"/>
      <c r="D718" s="1313"/>
      <c r="E718" s="1313"/>
      <c r="F718" s="1314"/>
      <c r="G718" s="1321">
        <v>22</v>
      </c>
      <c r="H718" s="1322"/>
      <c r="I718" s="1322"/>
      <c r="J718" s="1323"/>
      <c r="K718" s="1551">
        <v>567</v>
      </c>
      <c r="L718" s="1552"/>
      <c r="M718" s="1552"/>
      <c r="N718" s="1553"/>
      <c r="O718" s="1418">
        <v>1891</v>
      </c>
      <c r="P718" s="1419"/>
      <c r="Q718" s="1419"/>
      <c r="R718" s="1419"/>
      <c r="S718" s="1420"/>
      <c r="T718" s="1418">
        <v>97</v>
      </c>
      <c r="U718" s="1419"/>
      <c r="V718" s="1419"/>
      <c r="W718" s="1420"/>
      <c r="X718" s="1315">
        <f t="shared" ref="X718:X741" si="9">O718+T718</f>
        <v>1988</v>
      </c>
      <c r="Y718" s="1316"/>
      <c r="Z718" s="1316"/>
      <c r="AA718" s="1316"/>
      <c r="AB718" s="1317"/>
      <c r="AC718" s="1560">
        <v>0.7</v>
      </c>
      <c r="AD718" s="1561"/>
      <c r="AE718" s="1561"/>
      <c r="AF718" s="1561"/>
      <c r="AG718" s="1562"/>
      <c r="AH718" s="1318">
        <f>IF($AC718&gt;0,($X718/$AZ718), "")</f>
        <v>0.7</v>
      </c>
      <c r="AI718" s="1319"/>
      <c r="AJ718" s="1320"/>
      <c r="AK718" s="1312" t="s">
        <v>809</v>
      </c>
      <c r="AL718" s="1313"/>
      <c r="AM718" s="1313"/>
      <c r="AN718" s="1313"/>
      <c r="AO718" s="1314"/>
      <c r="AP718" s="2"/>
      <c r="AQ718" s="2"/>
      <c r="AR718" s="2"/>
      <c r="AS718" s="2"/>
      <c r="AZ718" s="68">
        <f t="shared" ref="AZ718:AZ752" si="10">IF($G718=0,"N/A",VLOOKUP($T$189,TC_Rent,(MATCH($B718,bedrooms,FALSE)),FALSE))</f>
        <v>2840</v>
      </c>
      <c r="BA718" s="2"/>
      <c r="BB718" s="2"/>
      <c r="BC718" s="2"/>
      <c r="BD718" s="2"/>
      <c r="BE718" s="107"/>
      <c r="BF718" s="156">
        <f t="shared" ref="BF718:BF752" si="11">G718</f>
        <v>22</v>
      </c>
      <c r="BG718" s="160">
        <f t="shared" ref="BG718:BG752" si="12">IF($BF$753=0,0,BF718/$BF$753)</f>
        <v>0.17322834645669291</v>
      </c>
      <c r="BH718" s="161">
        <f t="shared" ref="BH718:BH752" si="13">IF(BG718=0,"",BG718*AC718)</f>
        <v>0.12125984251968502</v>
      </c>
      <c r="BI718" s="2"/>
      <c r="BJ718" s="2"/>
      <c r="BK718" s="2"/>
      <c r="BL718" s="2"/>
      <c r="BM718" s="2"/>
      <c r="BN718" s="2"/>
      <c r="BS718" s="156">
        <f t="shared" ref="BS718:BS752" si="14">G718</f>
        <v>22</v>
      </c>
      <c r="BT718" s="160">
        <f t="shared" ref="BT718:BT752" si="15">IF($BS$753=0,0,BS718/$BS$753)</f>
        <v>0.17322834645669291</v>
      </c>
      <c r="BU718" s="161">
        <f t="shared" ref="BU718:BU752" si="16">IF(BT718=0,"",BT718*AH718)</f>
        <v>0.12125984251968502</v>
      </c>
      <c r="CC718" s="2"/>
      <c r="CD718" s="2"/>
      <c r="CE718" s="2"/>
      <c r="CF718" s="2"/>
      <c r="CG718" s="1298">
        <f>IF(AND(AC718&lt;=0.5,AC718&gt;=0.36),1,0)</f>
        <v>0</v>
      </c>
      <c r="CH718" s="1300"/>
      <c r="CI718" s="1298">
        <f>IF(CG718=1,G718,0)</f>
        <v>0</v>
      </c>
      <c r="CJ718" s="1300"/>
      <c r="CK718" s="1298">
        <f t="shared" ref="CK718:CK752" si="17">IF(AND(AC718&lt;=0.35,AC718&gt;0),1,0)</f>
        <v>0</v>
      </c>
      <c r="CL718" s="1300"/>
      <c r="CM718" s="1298">
        <f t="shared" ref="CM718:CM752" si="18">IF(CK718=1,G718,0)</f>
        <v>0</v>
      </c>
      <c r="CN718" s="1300"/>
      <c r="CO718" s="2"/>
      <c r="CP718" s="1295">
        <f t="shared" ref="CP718:CP752" si="19">IF(B718="SRO/Studio",G718,0)</f>
        <v>0</v>
      </c>
      <c r="CQ718" s="1296"/>
      <c r="CR718" s="1296"/>
      <c r="CS718" s="1296"/>
      <c r="CT718" s="1297"/>
      <c r="CU718" s="1311">
        <f t="shared" ref="CU718:CU752" si="20">IF(B718="1 Bedroom",G718,0)</f>
        <v>22</v>
      </c>
      <c r="CV718" s="1311"/>
      <c r="CW718" s="1311"/>
      <c r="CX718" s="1311"/>
      <c r="CY718" s="1311"/>
      <c r="CZ718" s="1311">
        <f t="shared" ref="CZ718:CZ752" si="21">IF(B718="2 Bedrooms",G718,0)</f>
        <v>0</v>
      </c>
      <c r="DA718" s="1311"/>
      <c r="DB718" s="1311"/>
      <c r="DC718" s="1311"/>
      <c r="DD718" s="1311"/>
      <c r="DE718" s="1311">
        <f t="shared" ref="DE718:DE752" si="22">IF(B718="3 Bedrooms",G718,0)</f>
        <v>0</v>
      </c>
      <c r="DF718" s="1311"/>
      <c r="DG718" s="1311"/>
      <c r="DH718" s="1311"/>
      <c r="DI718" s="1311"/>
      <c r="DJ718" s="1311">
        <f t="shared" ref="DJ718:DJ752" si="23">IF(B718="4 Bedrooms",G718,0)</f>
        <v>0</v>
      </c>
      <c r="DK718" s="1311"/>
      <c r="DL718" s="1311"/>
      <c r="DM718" s="1311"/>
      <c r="DN718" s="1311"/>
      <c r="DO718" s="1311">
        <f t="shared" ref="DO718:DO752" si="24">IF(B718="5 Bedrooms",G718,0)</f>
        <v>0</v>
      </c>
      <c r="DP718" s="1311"/>
      <c r="DQ718" s="1311"/>
      <c r="DR718" s="1311"/>
      <c r="DS718" s="1311"/>
      <c r="DT718" s="1152"/>
      <c r="DU718" s="1325">
        <f t="shared" ref="DU718:DU752" si="25">IF(AND(B718="SRO/Studio",AC718&lt;=0.3),G718,0)</f>
        <v>0</v>
      </c>
      <c r="DV718" s="1325"/>
      <c r="DW718" s="1325"/>
      <c r="DX718" s="1325"/>
      <c r="DY718" s="1325"/>
      <c r="DZ718" s="1325">
        <f t="shared" ref="DZ718:DZ752" si="26">IF(AND(B718="1 Bedroom",AC718&lt;=0.3),G718,0)</f>
        <v>0</v>
      </c>
      <c r="EA718" s="1325"/>
      <c r="EB718" s="1325"/>
      <c r="EC718" s="1325"/>
      <c r="ED718" s="1325"/>
      <c r="EE718" s="1325">
        <f t="shared" ref="EE718:EE752" si="27">IF(AND(B718="2 Bedrooms",AC718&lt;=0.3),G718,0)</f>
        <v>0</v>
      </c>
      <c r="EF718" s="1325"/>
      <c r="EG718" s="1325"/>
      <c r="EH718" s="1325"/>
      <c r="EI718" s="1325"/>
      <c r="EJ718" s="1325">
        <f t="shared" ref="EJ718:EJ752" si="28">IF(AND(B718="3 Bedrooms",AC718&lt;=0.3),G718,0)</f>
        <v>0</v>
      </c>
      <c r="EK718" s="1325"/>
      <c r="EL718" s="1325"/>
      <c r="EM718" s="1325"/>
      <c r="EN718" s="1325"/>
      <c r="EO718" s="1325">
        <f t="shared" ref="EO718:EO752" si="29">IF(AND(B718="4 Bedrooms",AC718&lt;=0.3),G718,0)</f>
        <v>0</v>
      </c>
      <c r="EP718" s="1325"/>
      <c r="EQ718" s="1325"/>
      <c r="ER718" s="1325"/>
      <c r="ES718" s="1325"/>
      <c r="ET718" s="1325">
        <f t="shared" ref="ET718:ET752" si="30">IF(AND(B718="5 Bedrooms",AC718&lt;=0.3),G718,0)</f>
        <v>0</v>
      </c>
      <c r="EU718" s="1325"/>
      <c r="EV718" s="1325"/>
      <c r="EW718" s="1325"/>
      <c r="EX718" s="1325"/>
      <c r="EY718" s="2"/>
      <c r="EZ718" s="1298" t="str">
        <f t="shared" ref="EZ718:EZ752" si="31">IF(CP718&gt;0,O718,"")</f>
        <v/>
      </c>
      <c r="FA718" s="1299"/>
      <c r="FB718" s="1299"/>
      <c r="FC718" s="1299"/>
      <c r="FD718" s="1300"/>
      <c r="FE718" s="1298">
        <f t="shared" ref="FE718:FE752" si="32">IF(CU718&gt;0,O718,"")</f>
        <v>1891</v>
      </c>
      <c r="FF718" s="1299"/>
      <c r="FG718" s="1299"/>
      <c r="FH718" s="1299"/>
      <c r="FI718" s="1300"/>
      <c r="FJ718" s="1298" t="str">
        <f t="shared" ref="FJ718:FJ752" si="33">IF(CZ718&gt;0,O718,"")</f>
        <v/>
      </c>
      <c r="FK718" s="1299"/>
      <c r="FL718" s="1299"/>
      <c r="FM718" s="1299"/>
      <c r="FN718" s="1300"/>
      <c r="FO718" s="1298" t="str">
        <f t="shared" ref="FO718:FO752" si="34">IF(DE718&gt;0,O718,"")</f>
        <v/>
      </c>
      <c r="FP718" s="1299"/>
      <c r="FQ718" s="1299"/>
      <c r="FR718" s="1299"/>
      <c r="FS718" s="1300"/>
      <c r="FT718" s="1298" t="str">
        <f t="shared" ref="FT718:FT752" si="35">IF(DJ718&gt;0,O718,"")</f>
        <v/>
      </c>
      <c r="FU718" s="1299"/>
      <c r="FV718" s="1299"/>
      <c r="FW718" s="1299"/>
      <c r="FX718" s="1300"/>
      <c r="FY718" s="1298" t="str">
        <f t="shared" ref="FY718:FY752" si="36">IF(DO718&gt;0,O718,"")</f>
        <v/>
      </c>
      <c r="FZ718" s="1299"/>
      <c r="GA718" s="1299"/>
      <c r="GB718" s="1299"/>
      <c r="GC718" s="1300"/>
    </row>
    <row r="719" spans="1:185" ht="12.9" customHeight="1">
      <c r="A719" s="2"/>
      <c r="B719" s="1312" t="s">
        <v>830</v>
      </c>
      <c r="C719" s="1313"/>
      <c r="D719" s="1313"/>
      <c r="E719" s="1313"/>
      <c r="F719" s="1314"/>
      <c r="G719" s="1321">
        <v>23</v>
      </c>
      <c r="H719" s="1322"/>
      <c r="I719" s="1322"/>
      <c r="J719" s="1323"/>
      <c r="K719" s="1551">
        <v>567</v>
      </c>
      <c r="L719" s="1552"/>
      <c r="M719" s="1552"/>
      <c r="N719" s="1553"/>
      <c r="O719" s="1418">
        <v>1607</v>
      </c>
      <c r="P719" s="1419"/>
      <c r="Q719" s="1419"/>
      <c r="R719" s="1419"/>
      <c r="S719" s="1420"/>
      <c r="T719" s="1418">
        <v>97</v>
      </c>
      <c r="U719" s="1419"/>
      <c r="V719" s="1419"/>
      <c r="W719" s="1420"/>
      <c r="X719" s="1315">
        <f t="shared" si="9"/>
        <v>1704</v>
      </c>
      <c r="Y719" s="1316"/>
      <c r="Z719" s="1316"/>
      <c r="AA719" s="1316"/>
      <c r="AB719" s="1317"/>
      <c r="AC719" s="1560">
        <v>0.6</v>
      </c>
      <c r="AD719" s="1561"/>
      <c r="AE719" s="1561"/>
      <c r="AF719" s="1561"/>
      <c r="AG719" s="1562"/>
      <c r="AH719" s="1318">
        <f t="shared" ref="AH719:AH752" si="37">IF($AC719&gt;0,($X719/$AZ719), "")</f>
        <v>0.6</v>
      </c>
      <c r="AI719" s="1319"/>
      <c r="AJ719" s="1320"/>
      <c r="AK719" s="1312" t="s">
        <v>809</v>
      </c>
      <c r="AL719" s="1313"/>
      <c r="AM719" s="1313"/>
      <c r="AN719" s="1313"/>
      <c r="AO719" s="1314"/>
      <c r="AP719" s="2"/>
      <c r="AQ719" s="2"/>
      <c r="AR719" s="2"/>
      <c r="AS719" s="2"/>
      <c r="AZ719" s="68">
        <f t="shared" si="10"/>
        <v>2840</v>
      </c>
      <c r="BA719" s="2"/>
      <c r="BB719" s="2"/>
      <c r="BC719" s="2"/>
      <c r="BD719" s="2"/>
      <c r="BE719" s="107"/>
      <c r="BF719" s="157">
        <f t="shared" si="11"/>
        <v>23</v>
      </c>
      <c r="BG719" s="160">
        <f t="shared" si="12"/>
        <v>0.18110236220472442</v>
      </c>
      <c r="BH719" s="161">
        <f t="shared" si="13"/>
        <v>0.10866141732283464</v>
      </c>
      <c r="BI719" s="2"/>
      <c r="BJ719" s="2"/>
      <c r="BK719" s="2"/>
      <c r="BL719" s="2"/>
      <c r="BM719" s="2"/>
      <c r="BN719" s="2"/>
      <c r="BS719" s="157">
        <f t="shared" si="14"/>
        <v>23</v>
      </c>
      <c r="BT719" s="160">
        <f t="shared" si="15"/>
        <v>0.18110236220472442</v>
      </c>
      <c r="BU719" s="161">
        <f t="shared" si="16"/>
        <v>0.10866141732283464</v>
      </c>
      <c r="CC719" s="2"/>
      <c r="CD719" s="2"/>
      <c r="CE719" s="2"/>
      <c r="CF719" s="2"/>
      <c r="CG719" s="1298">
        <f t="shared" ref="CG719:CG752" si="38">IF(AND(AC719&lt;=0.5,AC719&gt;=0.36),1,0)</f>
        <v>0</v>
      </c>
      <c r="CH719" s="1300"/>
      <c r="CI719" s="1298">
        <f t="shared" ref="CI719:CI752" si="39">IF(CG719=1,G719,0)</f>
        <v>0</v>
      </c>
      <c r="CJ719" s="1300"/>
      <c r="CK719" s="1298">
        <f t="shared" si="17"/>
        <v>0</v>
      </c>
      <c r="CL719" s="1300"/>
      <c r="CM719" s="1298">
        <f t="shared" si="18"/>
        <v>0</v>
      </c>
      <c r="CN719" s="1300"/>
      <c r="CO719" s="2"/>
      <c r="CP719" s="1295">
        <f t="shared" si="19"/>
        <v>0</v>
      </c>
      <c r="CQ719" s="1296"/>
      <c r="CR719" s="1296"/>
      <c r="CS719" s="1296"/>
      <c r="CT719" s="1297"/>
      <c r="CU719" s="1311">
        <f t="shared" si="20"/>
        <v>23</v>
      </c>
      <c r="CV719" s="1311"/>
      <c r="CW719" s="1311"/>
      <c r="CX719" s="1311"/>
      <c r="CY719" s="1311"/>
      <c r="CZ719" s="1311">
        <f t="shared" si="21"/>
        <v>0</v>
      </c>
      <c r="DA719" s="1311"/>
      <c r="DB719" s="1311"/>
      <c r="DC719" s="1311"/>
      <c r="DD719" s="1311"/>
      <c r="DE719" s="1311">
        <f t="shared" si="22"/>
        <v>0</v>
      </c>
      <c r="DF719" s="1311"/>
      <c r="DG719" s="1311"/>
      <c r="DH719" s="1311"/>
      <c r="DI719" s="1311"/>
      <c r="DJ719" s="1311">
        <f t="shared" si="23"/>
        <v>0</v>
      </c>
      <c r="DK719" s="1311"/>
      <c r="DL719" s="1311"/>
      <c r="DM719" s="1311"/>
      <c r="DN719" s="1311"/>
      <c r="DO719" s="1311">
        <f t="shared" si="24"/>
        <v>0</v>
      </c>
      <c r="DP719" s="1311"/>
      <c r="DQ719" s="1311"/>
      <c r="DR719" s="1311"/>
      <c r="DS719" s="1311"/>
      <c r="DT719" s="1152"/>
      <c r="DU719" s="1325">
        <f t="shared" si="25"/>
        <v>0</v>
      </c>
      <c r="DV719" s="1325"/>
      <c r="DW719" s="1325"/>
      <c r="DX719" s="1325"/>
      <c r="DY719" s="1325"/>
      <c r="DZ719" s="1325">
        <f t="shared" si="26"/>
        <v>0</v>
      </c>
      <c r="EA719" s="1325"/>
      <c r="EB719" s="1325"/>
      <c r="EC719" s="1325"/>
      <c r="ED719" s="1325"/>
      <c r="EE719" s="1325">
        <f t="shared" si="27"/>
        <v>0</v>
      </c>
      <c r="EF719" s="1325"/>
      <c r="EG719" s="1325"/>
      <c r="EH719" s="1325"/>
      <c r="EI719" s="1325"/>
      <c r="EJ719" s="1325">
        <f t="shared" si="28"/>
        <v>0</v>
      </c>
      <c r="EK719" s="1325"/>
      <c r="EL719" s="1325"/>
      <c r="EM719" s="1325"/>
      <c r="EN719" s="1325"/>
      <c r="EO719" s="1325">
        <f t="shared" si="29"/>
        <v>0</v>
      </c>
      <c r="EP719" s="1325"/>
      <c r="EQ719" s="1325"/>
      <c r="ER719" s="1325"/>
      <c r="ES719" s="1325"/>
      <c r="ET719" s="1325">
        <f t="shared" si="30"/>
        <v>0</v>
      </c>
      <c r="EU719" s="1325"/>
      <c r="EV719" s="1325"/>
      <c r="EW719" s="1325"/>
      <c r="EX719" s="1325"/>
      <c r="EY719" s="2"/>
      <c r="EZ719" s="1298" t="str">
        <f t="shared" si="31"/>
        <v/>
      </c>
      <c r="FA719" s="1299"/>
      <c r="FB719" s="1299"/>
      <c r="FC719" s="1299"/>
      <c r="FD719" s="1300"/>
      <c r="FE719" s="1298">
        <f t="shared" si="32"/>
        <v>1607</v>
      </c>
      <c r="FF719" s="1299"/>
      <c r="FG719" s="1299"/>
      <c r="FH719" s="1299"/>
      <c r="FI719" s="1300"/>
      <c r="FJ719" s="1298" t="str">
        <f t="shared" si="33"/>
        <v/>
      </c>
      <c r="FK719" s="1299"/>
      <c r="FL719" s="1299"/>
      <c r="FM719" s="1299"/>
      <c r="FN719" s="1300"/>
      <c r="FO719" s="1298" t="str">
        <f t="shared" si="34"/>
        <v/>
      </c>
      <c r="FP719" s="1299"/>
      <c r="FQ719" s="1299"/>
      <c r="FR719" s="1299"/>
      <c r="FS719" s="1300"/>
      <c r="FT719" s="1298" t="str">
        <f t="shared" si="35"/>
        <v/>
      </c>
      <c r="FU719" s="1299"/>
      <c r="FV719" s="1299"/>
      <c r="FW719" s="1299"/>
      <c r="FX719" s="1300"/>
      <c r="FY719" s="1298" t="str">
        <f t="shared" si="36"/>
        <v/>
      </c>
      <c r="FZ719" s="1299"/>
      <c r="GA719" s="1299"/>
      <c r="GB719" s="1299"/>
      <c r="GC719" s="1300"/>
    </row>
    <row r="720" spans="1:185" ht="12.9" customHeight="1">
      <c r="A720" s="2"/>
      <c r="B720" s="1312" t="s">
        <v>830</v>
      </c>
      <c r="C720" s="1313"/>
      <c r="D720" s="1313"/>
      <c r="E720" s="1313"/>
      <c r="F720" s="1314"/>
      <c r="G720" s="1321">
        <v>6</v>
      </c>
      <c r="H720" s="1322"/>
      <c r="I720" s="1322"/>
      <c r="J720" s="1323"/>
      <c r="K720" s="1551">
        <v>567</v>
      </c>
      <c r="L720" s="1552"/>
      <c r="M720" s="1552"/>
      <c r="N720" s="1553"/>
      <c r="O720" s="1418">
        <v>1323</v>
      </c>
      <c r="P720" s="1419"/>
      <c r="Q720" s="1419"/>
      <c r="R720" s="1419"/>
      <c r="S720" s="1420"/>
      <c r="T720" s="1418">
        <v>97</v>
      </c>
      <c r="U720" s="1419"/>
      <c r="V720" s="1419"/>
      <c r="W720" s="1420"/>
      <c r="X720" s="1315">
        <f t="shared" si="9"/>
        <v>1420</v>
      </c>
      <c r="Y720" s="1316"/>
      <c r="Z720" s="1316"/>
      <c r="AA720" s="1316"/>
      <c r="AB720" s="1317"/>
      <c r="AC720" s="1560">
        <v>0.5</v>
      </c>
      <c r="AD720" s="1561"/>
      <c r="AE720" s="1561"/>
      <c r="AF720" s="1561"/>
      <c r="AG720" s="1562"/>
      <c r="AH720" s="1318">
        <f t="shared" si="37"/>
        <v>0.5</v>
      </c>
      <c r="AI720" s="1319"/>
      <c r="AJ720" s="1320"/>
      <c r="AK720" s="1312" t="s">
        <v>809</v>
      </c>
      <c r="AL720" s="1313"/>
      <c r="AM720" s="1313"/>
      <c r="AN720" s="1313"/>
      <c r="AO720" s="1314"/>
      <c r="AP720" s="2"/>
      <c r="AQ720" s="2"/>
      <c r="AR720" s="2"/>
      <c r="AS720" s="2"/>
      <c r="AZ720" s="68">
        <f t="shared" si="10"/>
        <v>2840</v>
      </c>
      <c r="BA720" s="2"/>
      <c r="BB720" s="2"/>
      <c r="BC720" s="2"/>
      <c r="BD720" s="2"/>
      <c r="BE720" s="107"/>
      <c r="BF720" s="157">
        <f t="shared" si="11"/>
        <v>6</v>
      </c>
      <c r="BG720" s="160">
        <f t="shared" si="12"/>
        <v>4.7244094488188976E-2</v>
      </c>
      <c r="BH720" s="161">
        <f t="shared" si="13"/>
        <v>2.3622047244094488E-2</v>
      </c>
      <c r="BI720" s="2"/>
      <c r="BJ720" s="2"/>
      <c r="BK720" s="2"/>
      <c r="BL720" s="2"/>
      <c r="BM720" s="2"/>
      <c r="BN720" s="2"/>
      <c r="BS720" s="157">
        <f t="shared" si="14"/>
        <v>6</v>
      </c>
      <c r="BT720" s="160">
        <f t="shared" si="15"/>
        <v>4.7244094488188976E-2</v>
      </c>
      <c r="BU720" s="161">
        <f t="shared" si="16"/>
        <v>2.3622047244094488E-2</v>
      </c>
      <c r="CC720" s="2"/>
      <c r="CD720" s="2"/>
      <c r="CE720" s="2"/>
      <c r="CF720" s="2"/>
      <c r="CG720" s="1298">
        <f t="shared" si="38"/>
        <v>1</v>
      </c>
      <c r="CH720" s="1300"/>
      <c r="CI720" s="1298">
        <f t="shared" si="39"/>
        <v>6</v>
      </c>
      <c r="CJ720" s="1300"/>
      <c r="CK720" s="1298">
        <f t="shared" si="17"/>
        <v>0</v>
      </c>
      <c r="CL720" s="1300"/>
      <c r="CM720" s="1298">
        <f t="shared" si="18"/>
        <v>0</v>
      </c>
      <c r="CN720" s="1300"/>
      <c r="CO720" s="2"/>
      <c r="CP720" s="1295">
        <f t="shared" si="19"/>
        <v>0</v>
      </c>
      <c r="CQ720" s="1296"/>
      <c r="CR720" s="1296"/>
      <c r="CS720" s="1296"/>
      <c r="CT720" s="1297"/>
      <c r="CU720" s="1311">
        <f t="shared" si="20"/>
        <v>6</v>
      </c>
      <c r="CV720" s="1311"/>
      <c r="CW720" s="1311"/>
      <c r="CX720" s="1311"/>
      <c r="CY720" s="1311"/>
      <c r="CZ720" s="1311">
        <f t="shared" si="21"/>
        <v>0</v>
      </c>
      <c r="DA720" s="1311"/>
      <c r="DB720" s="1311"/>
      <c r="DC720" s="1311"/>
      <c r="DD720" s="1311"/>
      <c r="DE720" s="1311">
        <f t="shared" si="22"/>
        <v>0</v>
      </c>
      <c r="DF720" s="1311"/>
      <c r="DG720" s="1311"/>
      <c r="DH720" s="1311"/>
      <c r="DI720" s="1311"/>
      <c r="DJ720" s="1311">
        <f t="shared" si="23"/>
        <v>0</v>
      </c>
      <c r="DK720" s="1311"/>
      <c r="DL720" s="1311"/>
      <c r="DM720" s="1311"/>
      <c r="DN720" s="1311"/>
      <c r="DO720" s="1311">
        <f t="shared" si="24"/>
        <v>0</v>
      </c>
      <c r="DP720" s="1311"/>
      <c r="DQ720" s="1311"/>
      <c r="DR720" s="1311"/>
      <c r="DS720" s="1311"/>
      <c r="DT720" s="1152"/>
      <c r="DU720" s="1325">
        <f t="shared" si="25"/>
        <v>0</v>
      </c>
      <c r="DV720" s="1325"/>
      <c r="DW720" s="1325"/>
      <c r="DX720" s="1325"/>
      <c r="DY720" s="1325"/>
      <c r="DZ720" s="1325">
        <f t="shared" si="26"/>
        <v>0</v>
      </c>
      <c r="EA720" s="1325"/>
      <c r="EB720" s="1325"/>
      <c r="EC720" s="1325"/>
      <c r="ED720" s="1325"/>
      <c r="EE720" s="1325">
        <f t="shared" si="27"/>
        <v>0</v>
      </c>
      <c r="EF720" s="1325"/>
      <c r="EG720" s="1325"/>
      <c r="EH720" s="1325"/>
      <c r="EI720" s="1325"/>
      <c r="EJ720" s="1325">
        <f t="shared" si="28"/>
        <v>0</v>
      </c>
      <c r="EK720" s="1325"/>
      <c r="EL720" s="1325"/>
      <c r="EM720" s="1325"/>
      <c r="EN720" s="1325"/>
      <c r="EO720" s="1325">
        <f t="shared" si="29"/>
        <v>0</v>
      </c>
      <c r="EP720" s="1325"/>
      <c r="EQ720" s="1325"/>
      <c r="ER720" s="1325"/>
      <c r="ES720" s="1325"/>
      <c r="ET720" s="1325">
        <f t="shared" si="30"/>
        <v>0</v>
      </c>
      <c r="EU720" s="1325"/>
      <c r="EV720" s="1325"/>
      <c r="EW720" s="1325"/>
      <c r="EX720" s="1325"/>
      <c r="EZ720" s="1298" t="str">
        <f t="shared" si="31"/>
        <v/>
      </c>
      <c r="FA720" s="1299"/>
      <c r="FB720" s="1299"/>
      <c r="FC720" s="1299"/>
      <c r="FD720" s="1300"/>
      <c r="FE720" s="1298">
        <f t="shared" si="32"/>
        <v>1323</v>
      </c>
      <c r="FF720" s="1299"/>
      <c r="FG720" s="1299"/>
      <c r="FH720" s="1299"/>
      <c r="FI720" s="1300"/>
      <c r="FJ720" s="1298" t="str">
        <f t="shared" si="33"/>
        <v/>
      </c>
      <c r="FK720" s="1299"/>
      <c r="FL720" s="1299"/>
      <c r="FM720" s="1299"/>
      <c r="FN720" s="1300"/>
      <c r="FO720" s="1298" t="str">
        <f t="shared" si="34"/>
        <v/>
      </c>
      <c r="FP720" s="1299"/>
      <c r="FQ720" s="1299"/>
      <c r="FR720" s="1299"/>
      <c r="FS720" s="1300"/>
      <c r="FT720" s="1298" t="str">
        <f t="shared" si="35"/>
        <v/>
      </c>
      <c r="FU720" s="1299"/>
      <c r="FV720" s="1299"/>
      <c r="FW720" s="1299"/>
      <c r="FX720" s="1300"/>
      <c r="FY720" s="1298" t="str">
        <f t="shared" si="36"/>
        <v/>
      </c>
      <c r="FZ720" s="1299"/>
      <c r="GA720" s="1299"/>
      <c r="GB720" s="1299"/>
      <c r="GC720" s="1300"/>
    </row>
    <row r="721" spans="1:185" ht="12.9" customHeight="1">
      <c r="B721" s="1312" t="s">
        <v>830</v>
      </c>
      <c r="C721" s="1313"/>
      <c r="D721" s="1313"/>
      <c r="E721" s="1313"/>
      <c r="F721" s="1314"/>
      <c r="G721" s="1321">
        <v>6</v>
      </c>
      <c r="H721" s="1322"/>
      <c r="I721" s="1322"/>
      <c r="J721" s="1323"/>
      <c r="K721" s="1551">
        <v>567</v>
      </c>
      <c r="L721" s="1552"/>
      <c r="M721" s="1552"/>
      <c r="N721" s="1553"/>
      <c r="O721" s="1418">
        <v>755</v>
      </c>
      <c r="P721" s="1419"/>
      <c r="Q721" s="1419"/>
      <c r="R721" s="1419"/>
      <c r="S721" s="1420"/>
      <c r="T721" s="1418">
        <v>97</v>
      </c>
      <c r="U721" s="1419"/>
      <c r="V721" s="1419"/>
      <c r="W721" s="1420"/>
      <c r="X721" s="1315">
        <f t="shared" si="9"/>
        <v>852</v>
      </c>
      <c r="Y721" s="1316"/>
      <c r="Z721" s="1316"/>
      <c r="AA721" s="1316"/>
      <c r="AB721" s="1317"/>
      <c r="AC721" s="1560">
        <v>0.3</v>
      </c>
      <c r="AD721" s="1561"/>
      <c r="AE721" s="1561"/>
      <c r="AF721" s="1561"/>
      <c r="AG721" s="1562"/>
      <c r="AH721" s="1318">
        <f t="shared" si="37"/>
        <v>0.3</v>
      </c>
      <c r="AI721" s="1319"/>
      <c r="AJ721" s="1320"/>
      <c r="AK721" s="1312" t="s">
        <v>809</v>
      </c>
      <c r="AL721" s="1313"/>
      <c r="AM721" s="1313"/>
      <c r="AN721" s="1313"/>
      <c r="AO721" s="1314"/>
      <c r="AP721" s="2"/>
      <c r="AQ721" s="2"/>
      <c r="AR721" s="2"/>
      <c r="AS721" s="2"/>
      <c r="AY721" s="69"/>
      <c r="AZ721" s="68">
        <f t="shared" si="10"/>
        <v>2840</v>
      </c>
      <c r="BA721" s="2"/>
      <c r="BB721" s="2"/>
      <c r="BC721" s="2"/>
      <c r="BD721" s="2"/>
      <c r="BE721" s="107"/>
      <c r="BF721" s="157">
        <f t="shared" si="11"/>
        <v>6</v>
      </c>
      <c r="BG721" s="160">
        <f t="shared" si="12"/>
        <v>4.7244094488188976E-2</v>
      </c>
      <c r="BH721" s="161">
        <f t="shared" si="13"/>
        <v>1.4173228346456693E-2</v>
      </c>
      <c r="BI721" s="2"/>
      <c r="BJ721" s="2"/>
      <c r="BK721" s="2"/>
      <c r="BL721" s="2"/>
      <c r="BM721" s="2"/>
      <c r="BN721" s="2"/>
      <c r="BS721" s="157">
        <f t="shared" si="14"/>
        <v>6</v>
      </c>
      <c r="BT721" s="160">
        <f t="shared" si="15"/>
        <v>4.7244094488188976E-2</v>
      </c>
      <c r="BU721" s="161">
        <f t="shared" si="16"/>
        <v>1.4173228346456693E-2</v>
      </c>
      <c r="CC721" s="2"/>
      <c r="CD721" s="2"/>
      <c r="CE721" s="2"/>
      <c r="CF721" s="2"/>
      <c r="CG721" s="1298">
        <f t="shared" si="38"/>
        <v>0</v>
      </c>
      <c r="CH721" s="1300"/>
      <c r="CI721" s="1298">
        <f t="shared" si="39"/>
        <v>0</v>
      </c>
      <c r="CJ721" s="1300"/>
      <c r="CK721" s="1298">
        <f t="shared" si="17"/>
        <v>1</v>
      </c>
      <c r="CL721" s="1300"/>
      <c r="CM721" s="1298">
        <f t="shared" si="18"/>
        <v>6</v>
      </c>
      <c r="CN721" s="1300"/>
      <c r="CO721" s="2"/>
      <c r="CP721" s="1295">
        <f t="shared" si="19"/>
        <v>0</v>
      </c>
      <c r="CQ721" s="1296"/>
      <c r="CR721" s="1296"/>
      <c r="CS721" s="1296"/>
      <c r="CT721" s="1297"/>
      <c r="CU721" s="1311">
        <f t="shared" si="20"/>
        <v>6</v>
      </c>
      <c r="CV721" s="1311"/>
      <c r="CW721" s="1311"/>
      <c r="CX721" s="1311"/>
      <c r="CY721" s="1311"/>
      <c r="CZ721" s="1311">
        <f t="shared" si="21"/>
        <v>0</v>
      </c>
      <c r="DA721" s="1311"/>
      <c r="DB721" s="1311"/>
      <c r="DC721" s="1311"/>
      <c r="DD721" s="1311"/>
      <c r="DE721" s="1311">
        <f t="shared" si="22"/>
        <v>0</v>
      </c>
      <c r="DF721" s="1311"/>
      <c r="DG721" s="1311"/>
      <c r="DH721" s="1311"/>
      <c r="DI721" s="1311"/>
      <c r="DJ721" s="1311">
        <f t="shared" si="23"/>
        <v>0</v>
      </c>
      <c r="DK721" s="1311"/>
      <c r="DL721" s="1311"/>
      <c r="DM721" s="1311"/>
      <c r="DN721" s="1311"/>
      <c r="DO721" s="1311">
        <f t="shared" si="24"/>
        <v>0</v>
      </c>
      <c r="DP721" s="1311"/>
      <c r="DQ721" s="1311"/>
      <c r="DR721" s="1311"/>
      <c r="DS721" s="1311"/>
      <c r="DT721" s="1152"/>
      <c r="DU721" s="1325">
        <f t="shared" si="25"/>
        <v>0</v>
      </c>
      <c r="DV721" s="1325"/>
      <c r="DW721" s="1325"/>
      <c r="DX721" s="1325"/>
      <c r="DY721" s="1325"/>
      <c r="DZ721" s="1325">
        <f t="shared" si="26"/>
        <v>6</v>
      </c>
      <c r="EA721" s="1325"/>
      <c r="EB721" s="1325"/>
      <c r="EC721" s="1325"/>
      <c r="ED721" s="1325"/>
      <c r="EE721" s="1325">
        <f t="shared" si="27"/>
        <v>0</v>
      </c>
      <c r="EF721" s="1325"/>
      <c r="EG721" s="1325"/>
      <c r="EH721" s="1325"/>
      <c r="EI721" s="1325"/>
      <c r="EJ721" s="1325">
        <f t="shared" si="28"/>
        <v>0</v>
      </c>
      <c r="EK721" s="1325"/>
      <c r="EL721" s="1325"/>
      <c r="EM721" s="1325"/>
      <c r="EN721" s="1325"/>
      <c r="EO721" s="1325">
        <f t="shared" si="29"/>
        <v>0</v>
      </c>
      <c r="EP721" s="1325"/>
      <c r="EQ721" s="1325"/>
      <c r="ER721" s="1325"/>
      <c r="ES721" s="1325"/>
      <c r="ET721" s="1325">
        <f t="shared" si="30"/>
        <v>0</v>
      </c>
      <c r="EU721" s="1325"/>
      <c r="EV721" s="1325"/>
      <c r="EW721" s="1325"/>
      <c r="EX721" s="1325"/>
      <c r="EZ721" s="1298" t="str">
        <f t="shared" si="31"/>
        <v/>
      </c>
      <c r="FA721" s="1299"/>
      <c r="FB721" s="1299"/>
      <c r="FC721" s="1299"/>
      <c r="FD721" s="1300"/>
      <c r="FE721" s="1298">
        <f t="shared" si="32"/>
        <v>755</v>
      </c>
      <c r="FF721" s="1299"/>
      <c r="FG721" s="1299"/>
      <c r="FH721" s="1299"/>
      <c r="FI721" s="1300"/>
      <c r="FJ721" s="1298" t="str">
        <f t="shared" si="33"/>
        <v/>
      </c>
      <c r="FK721" s="1299"/>
      <c r="FL721" s="1299"/>
      <c r="FM721" s="1299"/>
      <c r="FN721" s="1300"/>
      <c r="FO721" s="1298" t="str">
        <f t="shared" si="34"/>
        <v/>
      </c>
      <c r="FP721" s="1299"/>
      <c r="FQ721" s="1299"/>
      <c r="FR721" s="1299"/>
      <c r="FS721" s="1300"/>
      <c r="FT721" s="1298" t="str">
        <f t="shared" si="35"/>
        <v/>
      </c>
      <c r="FU721" s="1299"/>
      <c r="FV721" s="1299"/>
      <c r="FW721" s="1299"/>
      <c r="FX721" s="1300"/>
      <c r="FY721" s="1298" t="str">
        <f t="shared" si="36"/>
        <v/>
      </c>
      <c r="FZ721" s="1299"/>
      <c r="GA721" s="1299"/>
      <c r="GB721" s="1299"/>
      <c r="GC721" s="1300"/>
    </row>
    <row r="722" spans="1:185" ht="12.9" customHeight="1">
      <c r="B722" s="1312" t="s">
        <v>831</v>
      </c>
      <c r="C722" s="1313"/>
      <c r="D722" s="1313"/>
      <c r="E722" s="1313"/>
      <c r="F722" s="1314"/>
      <c r="G722" s="1321">
        <v>16</v>
      </c>
      <c r="H722" s="1322"/>
      <c r="I722" s="1322"/>
      <c r="J722" s="1323"/>
      <c r="K722" s="1551">
        <v>790</v>
      </c>
      <c r="L722" s="1552"/>
      <c r="M722" s="1552"/>
      <c r="N722" s="1553"/>
      <c r="O722" s="1418">
        <v>2263</v>
      </c>
      <c r="P722" s="1419"/>
      <c r="Q722" s="1419"/>
      <c r="R722" s="1419"/>
      <c r="S722" s="1420"/>
      <c r="T722" s="1418">
        <v>122</v>
      </c>
      <c r="U722" s="1419"/>
      <c r="V722" s="1419"/>
      <c r="W722" s="1420"/>
      <c r="X722" s="1315">
        <f t="shared" si="9"/>
        <v>2385</v>
      </c>
      <c r="Y722" s="1316"/>
      <c r="Z722" s="1316"/>
      <c r="AA722" s="1316"/>
      <c r="AB722" s="1317"/>
      <c r="AC722" s="1560">
        <v>0.7</v>
      </c>
      <c r="AD722" s="1561"/>
      <c r="AE722" s="1561"/>
      <c r="AF722" s="1561"/>
      <c r="AG722" s="1562"/>
      <c r="AH722" s="1318">
        <f t="shared" si="37"/>
        <v>0.70023487962419262</v>
      </c>
      <c r="AI722" s="1319"/>
      <c r="AJ722" s="1320"/>
      <c r="AK722" s="1312" t="s">
        <v>809</v>
      </c>
      <c r="AL722" s="1313"/>
      <c r="AM722" s="1313"/>
      <c r="AN722" s="1313"/>
      <c r="AO722" s="1314"/>
      <c r="AP722" s="2"/>
      <c r="AQ722" s="2"/>
      <c r="AR722" s="2"/>
      <c r="AS722" s="2"/>
      <c r="AY722" s="69"/>
      <c r="AZ722" s="68">
        <f t="shared" si="10"/>
        <v>3406</v>
      </c>
      <c r="BA722" s="2"/>
      <c r="BB722" s="2"/>
      <c r="BC722" s="2"/>
      <c r="BD722" s="2"/>
      <c r="BE722" s="107"/>
      <c r="BF722" s="157">
        <f t="shared" si="11"/>
        <v>16</v>
      </c>
      <c r="BG722" s="160">
        <f t="shared" si="12"/>
        <v>0.12598425196850394</v>
      </c>
      <c r="BH722" s="161">
        <f t="shared" si="13"/>
        <v>8.8188976377952755E-2</v>
      </c>
      <c r="BI722" s="2"/>
      <c r="BJ722" s="2"/>
      <c r="BK722" s="2"/>
      <c r="BL722" s="2"/>
      <c r="BM722" s="2"/>
      <c r="BN722" s="2"/>
      <c r="BS722" s="157">
        <f t="shared" si="14"/>
        <v>16</v>
      </c>
      <c r="BT722" s="160">
        <f t="shared" si="15"/>
        <v>0.12598425196850394</v>
      </c>
      <c r="BU722" s="161">
        <f t="shared" si="16"/>
        <v>8.8218567511709312E-2</v>
      </c>
      <c r="CC722" s="2"/>
      <c r="CD722" s="2"/>
      <c r="CE722" s="2"/>
      <c r="CF722" s="2"/>
      <c r="CG722" s="1298">
        <f t="shared" si="38"/>
        <v>0</v>
      </c>
      <c r="CH722" s="1300"/>
      <c r="CI722" s="1298">
        <f t="shared" si="39"/>
        <v>0</v>
      </c>
      <c r="CJ722" s="1300"/>
      <c r="CK722" s="1298">
        <f t="shared" si="17"/>
        <v>0</v>
      </c>
      <c r="CL722" s="1300"/>
      <c r="CM722" s="1298">
        <f t="shared" si="18"/>
        <v>0</v>
      </c>
      <c r="CN722" s="1300"/>
      <c r="CO722" s="2"/>
      <c r="CP722" s="1295">
        <f t="shared" si="19"/>
        <v>0</v>
      </c>
      <c r="CQ722" s="1296"/>
      <c r="CR722" s="1296"/>
      <c r="CS722" s="1296"/>
      <c r="CT722" s="1297"/>
      <c r="CU722" s="1311">
        <f t="shared" si="20"/>
        <v>0</v>
      </c>
      <c r="CV722" s="1311"/>
      <c r="CW722" s="1311"/>
      <c r="CX722" s="1311"/>
      <c r="CY722" s="1311"/>
      <c r="CZ722" s="1311">
        <f t="shared" si="21"/>
        <v>16</v>
      </c>
      <c r="DA722" s="1311"/>
      <c r="DB722" s="1311"/>
      <c r="DC722" s="1311"/>
      <c r="DD722" s="1311"/>
      <c r="DE722" s="1311">
        <f t="shared" si="22"/>
        <v>0</v>
      </c>
      <c r="DF722" s="1311"/>
      <c r="DG722" s="1311"/>
      <c r="DH722" s="1311"/>
      <c r="DI722" s="1311"/>
      <c r="DJ722" s="1311">
        <f t="shared" si="23"/>
        <v>0</v>
      </c>
      <c r="DK722" s="1311"/>
      <c r="DL722" s="1311"/>
      <c r="DM722" s="1311"/>
      <c r="DN722" s="1311"/>
      <c r="DO722" s="1311">
        <f t="shared" si="24"/>
        <v>0</v>
      </c>
      <c r="DP722" s="1311"/>
      <c r="DQ722" s="1311"/>
      <c r="DR722" s="1311"/>
      <c r="DS722" s="1311"/>
      <c r="DT722" s="1152"/>
      <c r="DU722" s="1325">
        <f t="shared" si="25"/>
        <v>0</v>
      </c>
      <c r="DV722" s="1325"/>
      <c r="DW722" s="1325"/>
      <c r="DX722" s="1325"/>
      <c r="DY722" s="1325"/>
      <c r="DZ722" s="1325">
        <f t="shared" si="26"/>
        <v>0</v>
      </c>
      <c r="EA722" s="1325"/>
      <c r="EB722" s="1325"/>
      <c r="EC722" s="1325"/>
      <c r="ED722" s="1325"/>
      <c r="EE722" s="1325">
        <f t="shared" si="27"/>
        <v>0</v>
      </c>
      <c r="EF722" s="1325"/>
      <c r="EG722" s="1325"/>
      <c r="EH722" s="1325"/>
      <c r="EI722" s="1325"/>
      <c r="EJ722" s="1325">
        <f t="shared" si="28"/>
        <v>0</v>
      </c>
      <c r="EK722" s="1325"/>
      <c r="EL722" s="1325"/>
      <c r="EM722" s="1325"/>
      <c r="EN722" s="1325"/>
      <c r="EO722" s="1325">
        <f t="shared" si="29"/>
        <v>0</v>
      </c>
      <c r="EP722" s="1325"/>
      <c r="EQ722" s="1325"/>
      <c r="ER722" s="1325"/>
      <c r="ES722" s="1325"/>
      <c r="ET722" s="1325">
        <f t="shared" si="30"/>
        <v>0</v>
      </c>
      <c r="EU722" s="1325"/>
      <c r="EV722" s="1325"/>
      <c r="EW722" s="1325"/>
      <c r="EX722" s="1325"/>
      <c r="EZ722" s="1298" t="str">
        <f t="shared" si="31"/>
        <v/>
      </c>
      <c r="FA722" s="1299"/>
      <c r="FB722" s="1299"/>
      <c r="FC722" s="1299"/>
      <c r="FD722" s="1300"/>
      <c r="FE722" s="1298" t="str">
        <f t="shared" si="32"/>
        <v/>
      </c>
      <c r="FF722" s="1299"/>
      <c r="FG722" s="1299"/>
      <c r="FH722" s="1299"/>
      <c r="FI722" s="1300"/>
      <c r="FJ722" s="1298">
        <f t="shared" si="33"/>
        <v>2263</v>
      </c>
      <c r="FK722" s="1299"/>
      <c r="FL722" s="1299"/>
      <c r="FM722" s="1299"/>
      <c r="FN722" s="1300"/>
      <c r="FO722" s="1298" t="str">
        <f t="shared" si="34"/>
        <v/>
      </c>
      <c r="FP722" s="1299"/>
      <c r="FQ722" s="1299"/>
      <c r="FR722" s="1299"/>
      <c r="FS722" s="1300"/>
      <c r="FT722" s="1298" t="str">
        <f t="shared" si="35"/>
        <v/>
      </c>
      <c r="FU722" s="1299"/>
      <c r="FV722" s="1299"/>
      <c r="FW722" s="1299"/>
      <c r="FX722" s="1300"/>
      <c r="FY722" s="1298" t="str">
        <f t="shared" si="36"/>
        <v/>
      </c>
      <c r="FZ722" s="1299"/>
      <c r="GA722" s="1299"/>
      <c r="GB722" s="1299"/>
      <c r="GC722" s="1300"/>
    </row>
    <row r="723" spans="1:185" ht="12.9" customHeight="1">
      <c r="B723" s="1312" t="s">
        <v>831</v>
      </c>
      <c r="C723" s="1313"/>
      <c r="D723" s="1313"/>
      <c r="E723" s="1313"/>
      <c r="F723" s="1314"/>
      <c r="G723" s="1321">
        <v>11</v>
      </c>
      <c r="H723" s="1322"/>
      <c r="I723" s="1322"/>
      <c r="J723" s="1323"/>
      <c r="K723" s="1551">
        <v>790</v>
      </c>
      <c r="L723" s="1552"/>
      <c r="M723" s="1552"/>
      <c r="N723" s="1553"/>
      <c r="O723" s="1418">
        <v>1922</v>
      </c>
      <c r="P723" s="1419"/>
      <c r="Q723" s="1419"/>
      <c r="R723" s="1419"/>
      <c r="S723" s="1420"/>
      <c r="T723" s="1418">
        <v>122</v>
      </c>
      <c r="U723" s="1419"/>
      <c r="V723" s="1419"/>
      <c r="W723" s="1420"/>
      <c r="X723" s="1315">
        <f t="shared" si="9"/>
        <v>2044</v>
      </c>
      <c r="Y723" s="1316"/>
      <c r="Z723" s="1316"/>
      <c r="AA723" s="1316"/>
      <c r="AB723" s="1317"/>
      <c r="AC723" s="1560">
        <v>0.6</v>
      </c>
      <c r="AD723" s="1561"/>
      <c r="AE723" s="1561"/>
      <c r="AF723" s="1561"/>
      <c r="AG723" s="1562"/>
      <c r="AH723" s="1318">
        <f t="shared" si="37"/>
        <v>0.60011743981209631</v>
      </c>
      <c r="AI723" s="1319"/>
      <c r="AJ723" s="1320"/>
      <c r="AK723" s="1312" t="s">
        <v>809</v>
      </c>
      <c r="AL723" s="1313"/>
      <c r="AM723" s="1313"/>
      <c r="AN723" s="1313"/>
      <c r="AO723" s="1314"/>
      <c r="AP723" s="2"/>
      <c r="AQ723" s="2"/>
      <c r="AR723" s="2"/>
      <c r="AS723" s="2"/>
      <c r="AY723" s="69"/>
      <c r="AZ723" s="68">
        <f t="shared" si="10"/>
        <v>3406</v>
      </c>
      <c r="BA723" s="2"/>
      <c r="BB723" s="2"/>
      <c r="BC723" s="2"/>
      <c r="BD723" s="2"/>
      <c r="BE723" s="107"/>
      <c r="BF723" s="157">
        <f t="shared" si="11"/>
        <v>11</v>
      </c>
      <c r="BG723" s="160">
        <f t="shared" si="12"/>
        <v>8.6614173228346455E-2</v>
      </c>
      <c r="BH723" s="161">
        <f t="shared" si="13"/>
        <v>5.1968503937007873E-2</v>
      </c>
      <c r="BI723" s="2"/>
      <c r="BJ723" s="2"/>
      <c r="BK723" s="2"/>
      <c r="BL723" s="2"/>
      <c r="BM723" s="2"/>
      <c r="BN723" s="2"/>
      <c r="BS723" s="157">
        <f t="shared" si="14"/>
        <v>11</v>
      </c>
      <c r="BT723" s="160">
        <f t="shared" si="15"/>
        <v>8.6614173228346455E-2</v>
      </c>
      <c r="BU723" s="161">
        <f t="shared" si="16"/>
        <v>5.1978675889236686E-2</v>
      </c>
      <c r="CC723" s="2"/>
      <c r="CD723" s="2"/>
      <c r="CE723" s="2"/>
      <c r="CF723" s="2"/>
      <c r="CG723" s="1298">
        <f t="shared" si="38"/>
        <v>0</v>
      </c>
      <c r="CH723" s="1300"/>
      <c r="CI723" s="1298">
        <f t="shared" si="39"/>
        <v>0</v>
      </c>
      <c r="CJ723" s="1300"/>
      <c r="CK723" s="1298">
        <f t="shared" si="17"/>
        <v>0</v>
      </c>
      <c r="CL723" s="1300"/>
      <c r="CM723" s="1298">
        <f t="shared" si="18"/>
        <v>0</v>
      </c>
      <c r="CN723" s="1300"/>
      <c r="CO723" s="2"/>
      <c r="CP723" s="1295">
        <f t="shared" si="19"/>
        <v>0</v>
      </c>
      <c r="CQ723" s="1296"/>
      <c r="CR723" s="1296"/>
      <c r="CS723" s="1296"/>
      <c r="CT723" s="1297"/>
      <c r="CU723" s="1311">
        <f t="shared" si="20"/>
        <v>0</v>
      </c>
      <c r="CV723" s="1311"/>
      <c r="CW723" s="1311"/>
      <c r="CX723" s="1311"/>
      <c r="CY723" s="1311"/>
      <c r="CZ723" s="1311">
        <f t="shared" si="21"/>
        <v>11</v>
      </c>
      <c r="DA723" s="1311"/>
      <c r="DB723" s="1311"/>
      <c r="DC723" s="1311"/>
      <c r="DD723" s="1311"/>
      <c r="DE723" s="1311">
        <f t="shared" si="22"/>
        <v>0</v>
      </c>
      <c r="DF723" s="1311"/>
      <c r="DG723" s="1311"/>
      <c r="DH723" s="1311"/>
      <c r="DI723" s="1311"/>
      <c r="DJ723" s="1311">
        <f t="shared" si="23"/>
        <v>0</v>
      </c>
      <c r="DK723" s="1311"/>
      <c r="DL723" s="1311"/>
      <c r="DM723" s="1311"/>
      <c r="DN723" s="1311"/>
      <c r="DO723" s="1311">
        <f t="shared" si="24"/>
        <v>0</v>
      </c>
      <c r="DP723" s="1311"/>
      <c r="DQ723" s="1311"/>
      <c r="DR723" s="1311"/>
      <c r="DS723" s="1311"/>
      <c r="DT723" s="1152"/>
      <c r="DU723" s="1325">
        <f t="shared" si="25"/>
        <v>0</v>
      </c>
      <c r="DV723" s="1325"/>
      <c r="DW723" s="1325"/>
      <c r="DX723" s="1325"/>
      <c r="DY723" s="1325"/>
      <c r="DZ723" s="1325">
        <f t="shared" si="26"/>
        <v>0</v>
      </c>
      <c r="EA723" s="1325"/>
      <c r="EB723" s="1325"/>
      <c r="EC723" s="1325"/>
      <c r="ED723" s="1325"/>
      <c r="EE723" s="1325">
        <f t="shared" si="27"/>
        <v>0</v>
      </c>
      <c r="EF723" s="1325"/>
      <c r="EG723" s="1325"/>
      <c r="EH723" s="1325"/>
      <c r="EI723" s="1325"/>
      <c r="EJ723" s="1325">
        <f t="shared" si="28"/>
        <v>0</v>
      </c>
      <c r="EK723" s="1325"/>
      <c r="EL723" s="1325"/>
      <c r="EM723" s="1325"/>
      <c r="EN723" s="1325"/>
      <c r="EO723" s="1325">
        <f t="shared" si="29"/>
        <v>0</v>
      </c>
      <c r="EP723" s="1325"/>
      <c r="EQ723" s="1325"/>
      <c r="ER723" s="1325"/>
      <c r="ES723" s="1325"/>
      <c r="ET723" s="1325">
        <f t="shared" si="30"/>
        <v>0</v>
      </c>
      <c r="EU723" s="1325"/>
      <c r="EV723" s="1325"/>
      <c r="EW723" s="1325"/>
      <c r="EX723" s="1325"/>
      <c r="EZ723" s="1298" t="str">
        <f t="shared" si="31"/>
        <v/>
      </c>
      <c r="FA723" s="1299"/>
      <c r="FB723" s="1299"/>
      <c r="FC723" s="1299"/>
      <c r="FD723" s="1300"/>
      <c r="FE723" s="1298" t="str">
        <f t="shared" si="32"/>
        <v/>
      </c>
      <c r="FF723" s="1299"/>
      <c r="FG723" s="1299"/>
      <c r="FH723" s="1299"/>
      <c r="FI723" s="1300"/>
      <c r="FJ723" s="1298">
        <f t="shared" si="33"/>
        <v>1922</v>
      </c>
      <c r="FK723" s="1299"/>
      <c r="FL723" s="1299"/>
      <c r="FM723" s="1299"/>
      <c r="FN723" s="1300"/>
      <c r="FO723" s="1298" t="str">
        <f t="shared" si="34"/>
        <v/>
      </c>
      <c r="FP723" s="1299"/>
      <c r="FQ723" s="1299"/>
      <c r="FR723" s="1299"/>
      <c r="FS723" s="1300"/>
      <c r="FT723" s="1298" t="str">
        <f t="shared" si="35"/>
        <v/>
      </c>
      <c r="FU723" s="1299"/>
      <c r="FV723" s="1299"/>
      <c r="FW723" s="1299"/>
      <c r="FX723" s="1300"/>
      <c r="FY723" s="1298" t="str">
        <f t="shared" si="36"/>
        <v/>
      </c>
      <c r="FZ723" s="1299"/>
      <c r="GA723" s="1299"/>
      <c r="GB723" s="1299"/>
      <c r="GC723" s="1300"/>
    </row>
    <row r="724" spans="1:185" ht="12.9" customHeight="1">
      <c r="B724" s="1312" t="s">
        <v>831</v>
      </c>
      <c r="C724" s="1313"/>
      <c r="D724" s="1313"/>
      <c r="E724" s="1313"/>
      <c r="F724" s="1314"/>
      <c r="G724" s="1321">
        <v>4</v>
      </c>
      <c r="H724" s="1322"/>
      <c r="I724" s="1322"/>
      <c r="J724" s="1323"/>
      <c r="K724" s="1551">
        <v>790</v>
      </c>
      <c r="L724" s="1552"/>
      <c r="M724" s="1552"/>
      <c r="N724" s="1553"/>
      <c r="O724" s="1418">
        <v>1581</v>
      </c>
      <c r="P724" s="1419"/>
      <c r="Q724" s="1419"/>
      <c r="R724" s="1419"/>
      <c r="S724" s="1420"/>
      <c r="T724" s="1418">
        <v>122</v>
      </c>
      <c r="U724" s="1419"/>
      <c r="V724" s="1419"/>
      <c r="W724" s="1420"/>
      <c r="X724" s="1315">
        <f t="shared" si="9"/>
        <v>1703</v>
      </c>
      <c r="Y724" s="1316"/>
      <c r="Z724" s="1316"/>
      <c r="AA724" s="1316"/>
      <c r="AB724" s="1317"/>
      <c r="AC724" s="1560">
        <v>0.5</v>
      </c>
      <c r="AD724" s="1561"/>
      <c r="AE724" s="1561"/>
      <c r="AF724" s="1561"/>
      <c r="AG724" s="1562"/>
      <c r="AH724" s="1318">
        <f t="shared" si="37"/>
        <v>0.5</v>
      </c>
      <c r="AI724" s="1319"/>
      <c r="AJ724" s="1320"/>
      <c r="AK724" s="1312" t="s">
        <v>809</v>
      </c>
      <c r="AL724" s="1313"/>
      <c r="AM724" s="1313"/>
      <c r="AN724" s="1313"/>
      <c r="AO724" s="1314"/>
      <c r="AP724" s="2"/>
      <c r="AQ724" s="2"/>
      <c r="AR724" s="2"/>
      <c r="AS724" s="2"/>
      <c r="AY724" s="69"/>
      <c r="AZ724" s="68">
        <f t="shared" si="10"/>
        <v>3406</v>
      </c>
      <c r="BA724" s="2"/>
      <c r="BB724" s="2"/>
      <c r="BC724" s="2"/>
      <c r="BD724" s="2"/>
      <c r="BE724" s="107"/>
      <c r="BF724" s="157">
        <f t="shared" si="11"/>
        <v>4</v>
      </c>
      <c r="BG724" s="160">
        <f t="shared" si="12"/>
        <v>3.1496062992125984E-2</v>
      </c>
      <c r="BH724" s="161">
        <f t="shared" si="13"/>
        <v>1.5748031496062992E-2</v>
      </c>
      <c r="BI724" s="2"/>
      <c r="BJ724" s="2"/>
      <c r="BK724" s="2"/>
      <c r="BL724" s="2"/>
      <c r="BM724" s="2"/>
      <c r="BN724" s="2"/>
      <c r="BS724" s="157">
        <f t="shared" si="14"/>
        <v>4</v>
      </c>
      <c r="BT724" s="160">
        <f t="shared" si="15"/>
        <v>3.1496062992125984E-2</v>
      </c>
      <c r="BU724" s="161">
        <f t="shared" si="16"/>
        <v>1.5748031496062992E-2</v>
      </c>
      <c r="CC724" s="2"/>
      <c r="CE724" s="2"/>
      <c r="CF724" s="2"/>
      <c r="CG724" s="1298">
        <f t="shared" si="38"/>
        <v>1</v>
      </c>
      <c r="CH724" s="1300"/>
      <c r="CI724" s="1298">
        <f t="shared" si="39"/>
        <v>4</v>
      </c>
      <c r="CJ724" s="1300"/>
      <c r="CK724" s="1298">
        <f t="shared" si="17"/>
        <v>0</v>
      </c>
      <c r="CL724" s="1300"/>
      <c r="CM724" s="1298">
        <f t="shared" si="18"/>
        <v>0</v>
      </c>
      <c r="CN724" s="1300"/>
      <c r="CO724" s="2"/>
      <c r="CP724" s="1295">
        <f t="shared" si="19"/>
        <v>0</v>
      </c>
      <c r="CQ724" s="1296"/>
      <c r="CR724" s="1296"/>
      <c r="CS724" s="1296"/>
      <c r="CT724" s="1297"/>
      <c r="CU724" s="1311">
        <f t="shared" si="20"/>
        <v>0</v>
      </c>
      <c r="CV724" s="1311"/>
      <c r="CW724" s="1311"/>
      <c r="CX724" s="1311"/>
      <c r="CY724" s="1311"/>
      <c r="CZ724" s="1311">
        <f t="shared" si="21"/>
        <v>4</v>
      </c>
      <c r="DA724" s="1311"/>
      <c r="DB724" s="1311"/>
      <c r="DC724" s="1311"/>
      <c r="DD724" s="1311"/>
      <c r="DE724" s="1311">
        <f t="shared" si="22"/>
        <v>0</v>
      </c>
      <c r="DF724" s="1311"/>
      <c r="DG724" s="1311"/>
      <c r="DH724" s="1311"/>
      <c r="DI724" s="1311"/>
      <c r="DJ724" s="1311">
        <f t="shared" si="23"/>
        <v>0</v>
      </c>
      <c r="DK724" s="1311"/>
      <c r="DL724" s="1311"/>
      <c r="DM724" s="1311"/>
      <c r="DN724" s="1311"/>
      <c r="DO724" s="1311">
        <f t="shared" si="24"/>
        <v>0</v>
      </c>
      <c r="DP724" s="1311"/>
      <c r="DQ724" s="1311"/>
      <c r="DR724" s="1311"/>
      <c r="DS724" s="1311"/>
      <c r="DT724" s="1152"/>
      <c r="DU724" s="1325">
        <f t="shared" si="25"/>
        <v>0</v>
      </c>
      <c r="DV724" s="1325"/>
      <c r="DW724" s="1325"/>
      <c r="DX724" s="1325"/>
      <c r="DY724" s="1325"/>
      <c r="DZ724" s="1325">
        <f t="shared" si="26"/>
        <v>0</v>
      </c>
      <c r="EA724" s="1325"/>
      <c r="EB724" s="1325"/>
      <c r="EC724" s="1325"/>
      <c r="ED724" s="1325"/>
      <c r="EE724" s="1325">
        <f t="shared" si="27"/>
        <v>0</v>
      </c>
      <c r="EF724" s="1325"/>
      <c r="EG724" s="1325"/>
      <c r="EH724" s="1325"/>
      <c r="EI724" s="1325"/>
      <c r="EJ724" s="1325">
        <f t="shared" si="28"/>
        <v>0</v>
      </c>
      <c r="EK724" s="1325"/>
      <c r="EL724" s="1325"/>
      <c r="EM724" s="1325"/>
      <c r="EN724" s="1325"/>
      <c r="EO724" s="1325">
        <f t="shared" si="29"/>
        <v>0</v>
      </c>
      <c r="EP724" s="1325"/>
      <c r="EQ724" s="1325"/>
      <c r="ER724" s="1325"/>
      <c r="ES724" s="1325"/>
      <c r="ET724" s="1325">
        <f t="shared" si="30"/>
        <v>0</v>
      </c>
      <c r="EU724" s="1325"/>
      <c r="EV724" s="1325"/>
      <c r="EW724" s="1325"/>
      <c r="EX724" s="1325"/>
      <c r="EZ724" s="1298" t="str">
        <f t="shared" si="31"/>
        <v/>
      </c>
      <c r="FA724" s="1299"/>
      <c r="FB724" s="1299"/>
      <c r="FC724" s="1299"/>
      <c r="FD724" s="1300"/>
      <c r="FE724" s="1298" t="str">
        <f t="shared" si="32"/>
        <v/>
      </c>
      <c r="FF724" s="1299"/>
      <c r="FG724" s="1299"/>
      <c r="FH724" s="1299"/>
      <c r="FI724" s="1300"/>
      <c r="FJ724" s="1298">
        <f t="shared" si="33"/>
        <v>1581</v>
      </c>
      <c r="FK724" s="1299"/>
      <c r="FL724" s="1299"/>
      <c r="FM724" s="1299"/>
      <c r="FN724" s="1300"/>
      <c r="FO724" s="1298" t="str">
        <f t="shared" si="34"/>
        <v/>
      </c>
      <c r="FP724" s="1299"/>
      <c r="FQ724" s="1299"/>
      <c r="FR724" s="1299"/>
      <c r="FS724" s="1300"/>
      <c r="FT724" s="1298" t="str">
        <f t="shared" si="35"/>
        <v/>
      </c>
      <c r="FU724" s="1299"/>
      <c r="FV724" s="1299"/>
      <c r="FW724" s="1299"/>
      <c r="FX724" s="1300"/>
      <c r="FY724" s="1298" t="str">
        <f t="shared" si="36"/>
        <v/>
      </c>
      <c r="FZ724" s="1299"/>
      <c r="GA724" s="1299"/>
      <c r="GB724" s="1299"/>
      <c r="GC724" s="1300"/>
    </row>
    <row r="725" spans="1:185" ht="12.9" customHeight="1">
      <c r="B725" s="1312" t="s">
        <v>831</v>
      </c>
      <c r="C725" s="1313"/>
      <c r="D725" s="1313"/>
      <c r="E725" s="1313"/>
      <c r="F725" s="1314"/>
      <c r="G725" s="1321">
        <v>4</v>
      </c>
      <c r="H725" s="1322"/>
      <c r="I725" s="1322"/>
      <c r="J725" s="1323"/>
      <c r="K725" s="1551">
        <v>790</v>
      </c>
      <c r="L725" s="1552"/>
      <c r="M725" s="1552"/>
      <c r="N725" s="1553"/>
      <c r="O725" s="1418">
        <v>900</v>
      </c>
      <c r="P725" s="1419"/>
      <c r="Q725" s="1419"/>
      <c r="R725" s="1419"/>
      <c r="S725" s="1420"/>
      <c r="T725" s="1418">
        <v>122</v>
      </c>
      <c r="U725" s="1419"/>
      <c r="V725" s="1419"/>
      <c r="W725" s="1420"/>
      <c r="X725" s="1315">
        <f t="shared" si="9"/>
        <v>1022</v>
      </c>
      <c r="Y725" s="1316"/>
      <c r="Z725" s="1316"/>
      <c r="AA725" s="1316"/>
      <c r="AB725" s="1317"/>
      <c r="AC725" s="1560">
        <v>0.3</v>
      </c>
      <c r="AD725" s="1561"/>
      <c r="AE725" s="1561"/>
      <c r="AF725" s="1561"/>
      <c r="AG725" s="1562"/>
      <c r="AH725" s="1318">
        <f t="shared" si="37"/>
        <v>0.30005871990604815</v>
      </c>
      <c r="AI725" s="1319"/>
      <c r="AJ725" s="1320"/>
      <c r="AK725" s="1312" t="s">
        <v>809</v>
      </c>
      <c r="AL725" s="1313"/>
      <c r="AM725" s="1313"/>
      <c r="AN725" s="1313"/>
      <c r="AO725" s="1314"/>
      <c r="AP725" s="2"/>
      <c r="AQ725" s="2"/>
      <c r="AR725" s="2"/>
      <c r="AS725" s="2"/>
      <c r="AY725" s="711"/>
      <c r="AZ725" s="68">
        <f t="shared" si="10"/>
        <v>3406</v>
      </c>
      <c r="BA725" s="2"/>
      <c r="BB725" s="2"/>
      <c r="BC725" s="2"/>
      <c r="BD725" s="2"/>
      <c r="BE725" s="107"/>
      <c r="BF725" s="157">
        <f t="shared" si="11"/>
        <v>4</v>
      </c>
      <c r="BG725" s="160">
        <f t="shared" si="12"/>
        <v>3.1496062992125984E-2</v>
      </c>
      <c r="BH725" s="161">
        <f t="shared" si="13"/>
        <v>9.4488188976377951E-3</v>
      </c>
      <c r="BI725" s="2"/>
      <c r="BJ725" s="2"/>
      <c r="BK725" s="2"/>
      <c r="BL725" s="2"/>
      <c r="BM725" s="2"/>
      <c r="BN725" s="2"/>
      <c r="BS725" s="157">
        <f t="shared" si="14"/>
        <v>4</v>
      </c>
      <c r="BT725" s="160">
        <f t="shared" si="15"/>
        <v>3.1496062992125984E-2</v>
      </c>
      <c r="BU725" s="161">
        <f t="shared" si="16"/>
        <v>9.4506683434975799E-3</v>
      </c>
      <c r="BV725" s="1002"/>
      <c r="BW725" s="2"/>
      <c r="BX725" s="2"/>
      <c r="BY725" s="2"/>
      <c r="BZ725" s="2"/>
      <c r="CA725" s="2"/>
      <c r="CB725" s="2"/>
      <c r="CC725" s="2"/>
      <c r="CE725" s="2"/>
      <c r="CF725" s="2"/>
      <c r="CG725" s="1298">
        <f t="shared" si="38"/>
        <v>0</v>
      </c>
      <c r="CH725" s="1300"/>
      <c r="CI725" s="1298">
        <f t="shared" si="39"/>
        <v>0</v>
      </c>
      <c r="CJ725" s="1300"/>
      <c r="CK725" s="1298">
        <f t="shared" si="17"/>
        <v>1</v>
      </c>
      <c r="CL725" s="1300"/>
      <c r="CM725" s="1298">
        <f t="shared" si="18"/>
        <v>4</v>
      </c>
      <c r="CN725" s="1300"/>
      <c r="CO725" s="2"/>
      <c r="CP725" s="1295">
        <f t="shared" si="19"/>
        <v>0</v>
      </c>
      <c r="CQ725" s="1296"/>
      <c r="CR725" s="1296"/>
      <c r="CS725" s="1296"/>
      <c r="CT725" s="1297"/>
      <c r="CU725" s="1311">
        <f t="shared" si="20"/>
        <v>0</v>
      </c>
      <c r="CV725" s="1311"/>
      <c r="CW725" s="1311"/>
      <c r="CX725" s="1311"/>
      <c r="CY725" s="1311"/>
      <c r="CZ725" s="1311">
        <f t="shared" si="21"/>
        <v>4</v>
      </c>
      <c r="DA725" s="1311"/>
      <c r="DB725" s="1311"/>
      <c r="DC725" s="1311"/>
      <c r="DD725" s="1311"/>
      <c r="DE725" s="1311">
        <f t="shared" si="22"/>
        <v>0</v>
      </c>
      <c r="DF725" s="1311"/>
      <c r="DG725" s="1311"/>
      <c r="DH725" s="1311"/>
      <c r="DI725" s="1311"/>
      <c r="DJ725" s="1311">
        <f t="shared" si="23"/>
        <v>0</v>
      </c>
      <c r="DK725" s="1311"/>
      <c r="DL725" s="1311"/>
      <c r="DM725" s="1311"/>
      <c r="DN725" s="1311"/>
      <c r="DO725" s="1311">
        <f t="shared" si="24"/>
        <v>0</v>
      </c>
      <c r="DP725" s="1311"/>
      <c r="DQ725" s="1311"/>
      <c r="DR725" s="1311"/>
      <c r="DS725" s="1311"/>
      <c r="DT725" s="1152"/>
      <c r="DU725" s="1325">
        <f t="shared" si="25"/>
        <v>0</v>
      </c>
      <c r="DV725" s="1325"/>
      <c r="DW725" s="1325"/>
      <c r="DX725" s="1325"/>
      <c r="DY725" s="1325"/>
      <c r="DZ725" s="1325">
        <f t="shared" si="26"/>
        <v>0</v>
      </c>
      <c r="EA725" s="1325"/>
      <c r="EB725" s="1325"/>
      <c r="EC725" s="1325"/>
      <c r="ED725" s="1325"/>
      <c r="EE725" s="1325">
        <f t="shared" si="27"/>
        <v>4</v>
      </c>
      <c r="EF725" s="1325"/>
      <c r="EG725" s="1325"/>
      <c r="EH725" s="1325"/>
      <c r="EI725" s="1325"/>
      <c r="EJ725" s="1325">
        <f t="shared" si="28"/>
        <v>0</v>
      </c>
      <c r="EK725" s="1325"/>
      <c r="EL725" s="1325"/>
      <c r="EM725" s="1325"/>
      <c r="EN725" s="1325"/>
      <c r="EO725" s="1325">
        <f t="shared" si="29"/>
        <v>0</v>
      </c>
      <c r="EP725" s="1325"/>
      <c r="EQ725" s="1325"/>
      <c r="ER725" s="1325"/>
      <c r="ES725" s="1325"/>
      <c r="ET725" s="1325">
        <f t="shared" si="30"/>
        <v>0</v>
      </c>
      <c r="EU725" s="1325"/>
      <c r="EV725" s="1325"/>
      <c r="EW725" s="1325"/>
      <c r="EX725" s="1325"/>
      <c r="EZ725" s="1298" t="str">
        <f t="shared" si="31"/>
        <v/>
      </c>
      <c r="FA725" s="1299"/>
      <c r="FB725" s="1299"/>
      <c r="FC725" s="1299"/>
      <c r="FD725" s="1300"/>
      <c r="FE725" s="1298" t="str">
        <f t="shared" si="32"/>
        <v/>
      </c>
      <c r="FF725" s="1299"/>
      <c r="FG725" s="1299"/>
      <c r="FH725" s="1299"/>
      <c r="FI725" s="1300"/>
      <c r="FJ725" s="1298">
        <f t="shared" si="33"/>
        <v>900</v>
      </c>
      <c r="FK725" s="1299"/>
      <c r="FL725" s="1299"/>
      <c r="FM725" s="1299"/>
      <c r="FN725" s="1300"/>
      <c r="FO725" s="1298" t="str">
        <f t="shared" si="34"/>
        <v/>
      </c>
      <c r="FP725" s="1299"/>
      <c r="FQ725" s="1299"/>
      <c r="FR725" s="1299"/>
      <c r="FS725" s="1300"/>
      <c r="FT725" s="1298" t="str">
        <f t="shared" si="35"/>
        <v/>
      </c>
      <c r="FU725" s="1299"/>
      <c r="FV725" s="1299"/>
      <c r="FW725" s="1299"/>
      <c r="FX725" s="1300"/>
      <c r="FY725" s="1298" t="str">
        <f t="shared" si="36"/>
        <v/>
      </c>
      <c r="FZ725" s="1299"/>
      <c r="GA725" s="1299"/>
      <c r="GB725" s="1299"/>
      <c r="GC725" s="1300"/>
    </row>
    <row r="726" spans="1:185" ht="12.9" customHeight="1">
      <c r="B726" s="1312" t="s">
        <v>832</v>
      </c>
      <c r="C726" s="1313"/>
      <c r="D726" s="1313"/>
      <c r="E726" s="1313"/>
      <c r="F726" s="1314"/>
      <c r="G726" s="1321">
        <v>16</v>
      </c>
      <c r="H726" s="1322"/>
      <c r="I726" s="1322"/>
      <c r="J726" s="1323"/>
      <c r="K726" s="1551">
        <v>1043</v>
      </c>
      <c r="L726" s="1552"/>
      <c r="M726" s="1552"/>
      <c r="N726" s="1553"/>
      <c r="O726" s="1418">
        <v>2607</v>
      </c>
      <c r="P726" s="1419"/>
      <c r="Q726" s="1419"/>
      <c r="R726" s="1419"/>
      <c r="S726" s="1420"/>
      <c r="T726" s="1418">
        <v>150</v>
      </c>
      <c r="U726" s="1419"/>
      <c r="V726" s="1419"/>
      <c r="W726" s="1420"/>
      <c r="X726" s="1315">
        <f t="shared" si="9"/>
        <v>2757</v>
      </c>
      <c r="Y726" s="1316"/>
      <c r="Z726" s="1316"/>
      <c r="AA726" s="1316"/>
      <c r="AB726" s="1317"/>
      <c r="AC726" s="1560">
        <v>0.7</v>
      </c>
      <c r="AD726" s="1561"/>
      <c r="AE726" s="1561"/>
      <c r="AF726" s="1561"/>
      <c r="AG726" s="1562"/>
      <c r="AH726" s="1318">
        <f t="shared" si="37"/>
        <v>0.70010157440325038</v>
      </c>
      <c r="AI726" s="1319"/>
      <c r="AJ726" s="1320"/>
      <c r="AK726" s="1312" t="s">
        <v>809</v>
      </c>
      <c r="AL726" s="1313"/>
      <c r="AM726" s="1313"/>
      <c r="AN726" s="1313"/>
      <c r="AO726" s="1314"/>
      <c r="AP726" s="2"/>
      <c r="AQ726" s="2"/>
      <c r="AR726" s="2"/>
      <c r="AS726" s="2"/>
      <c r="AY726" s="711"/>
      <c r="AZ726" s="68">
        <f t="shared" si="10"/>
        <v>3938</v>
      </c>
      <c r="BA726" s="2"/>
      <c r="BB726" s="2"/>
      <c r="BC726" s="2"/>
      <c r="BD726" s="2"/>
      <c r="BE726" s="107"/>
      <c r="BF726" s="157">
        <f t="shared" si="11"/>
        <v>16</v>
      </c>
      <c r="BG726" s="160">
        <f t="shared" si="12"/>
        <v>0.12598425196850394</v>
      </c>
      <c r="BH726" s="161">
        <f t="shared" si="13"/>
        <v>8.8188976377952755E-2</v>
      </c>
      <c r="BI726" s="2"/>
      <c r="BJ726" s="2"/>
      <c r="BK726" s="2"/>
      <c r="BL726" s="2"/>
      <c r="BM726" s="2"/>
      <c r="BN726" s="2"/>
      <c r="BS726" s="157">
        <f t="shared" si="14"/>
        <v>16</v>
      </c>
      <c r="BT726" s="160">
        <f t="shared" si="15"/>
        <v>0.12598425196850394</v>
      </c>
      <c r="BU726" s="161">
        <f t="shared" si="16"/>
        <v>8.8201773153165408E-2</v>
      </c>
      <c r="BV726" s="2"/>
      <c r="BW726" s="2"/>
      <c r="BX726" s="2"/>
      <c r="BY726" s="2"/>
      <c r="BZ726" s="2"/>
      <c r="CA726" s="2"/>
      <c r="CB726" s="2"/>
      <c r="CC726" s="2"/>
      <c r="CE726" s="2"/>
      <c r="CF726" s="2"/>
      <c r="CG726" s="1298">
        <f t="shared" si="38"/>
        <v>0</v>
      </c>
      <c r="CH726" s="1300"/>
      <c r="CI726" s="1298">
        <f t="shared" si="39"/>
        <v>0</v>
      </c>
      <c r="CJ726" s="1300"/>
      <c r="CK726" s="1298">
        <f t="shared" si="17"/>
        <v>0</v>
      </c>
      <c r="CL726" s="1300"/>
      <c r="CM726" s="1298">
        <f t="shared" si="18"/>
        <v>0</v>
      </c>
      <c r="CN726" s="1300"/>
      <c r="CO726" s="2"/>
      <c r="CP726" s="1295">
        <f t="shared" si="19"/>
        <v>0</v>
      </c>
      <c r="CQ726" s="1296"/>
      <c r="CR726" s="1296"/>
      <c r="CS726" s="1296"/>
      <c r="CT726" s="1297"/>
      <c r="CU726" s="1311">
        <f t="shared" si="20"/>
        <v>0</v>
      </c>
      <c r="CV726" s="1311"/>
      <c r="CW726" s="1311"/>
      <c r="CX726" s="1311"/>
      <c r="CY726" s="1311"/>
      <c r="CZ726" s="1311">
        <f t="shared" si="21"/>
        <v>0</v>
      </c>
      <c r="DA726" s="1311"/>
      <c r="DB726" s="1311"/>
      <c r="DC726" s="1311"/>
      <c r="DD726" s="1311"/>
      <c r="DE726" s="1311">
        <f t="shared" si="22"/>
        <v>16</v>
      </c>
      <c r="DF726" s="1311"/>
      <c r="DG726" s="1311"/>
      <c r="DH726" s="1311"/>
      <c r="DI726" s="1311"/>
      <c r="DJ726" s="1311">
        <f t="shared" si="23"/>
        <v>0</v>
      </c>
      <c r="DK726" s="1311"/>
      <c r="DL726" s="1311"/>
      <c r="DM726" s="1311"/>
      <c r="DN726" s="1311"/>
      <c r="DO726" s="1311">
        <f t="shared" si="24"/>
        <v>0</v>
      </c>
      <c r="DP726" s="1311"/>
      <c r="DQ726" s="1311"/>
      <c r="DR726" s="1311"/>
      <c r="DS726" s="1311"/>
      <c r="DT726" s="1152"/>
      <c r="DU726" s="1325">
        <f t="shared" si="25"/>
        <v>0</v>
      </c>
      <c r="DV726" s="1325"/>
      <c r="DW726" s="1325"/>
      <c r="DX726" s="1325"/>
      <c r="DY726" s="1325"/>
      <c r="DZ726" s="1325">
        <f t="shared" si="26"/>
        <v>0</v>
      </c>
      <c r="EA726" s="1325"/>
      <c r="EB726" s="1325"/>
      <c r="EC726" s="1325"/>
      <c r="ED726" s="1325"/>
      <c r="EE726" s="1325">
        <f t="shared" si="27"/>
        <v>0</v>
      </c>
      <c r="EF726" s="1325"/>
      <c r="EG726" s="1325"/>
      <c r="EH726" s="1325"/>
      <c r="EI726" s="1325"/>
      <c r="EJ726" s="1325">
        <f t="shared" si="28"/>
        <v>0</v>
      </c>
      <c r="EK726" s="1325"/>
      <c r="EL726" s="1325"/>
      <c r="EM726" s="1325"/>
      <c r="EN726" s="1325"/>
      <c r="EO726" s="1325">
        <f t="shared" si="29"/>
        <v>0</v>
      </c>
      <c r="EP726" s="1325"/>
      <c r="EQ726" s="1325"/>
      <c r="ER726" s="1325"/>
      <c r="ES726" s="1325"/>
      <c r="ET726" s="1325">
        <f t="shared" si="30"/>
        <v>0</v>
      </c>
      <c r="EU726" s="1325"/>
      <c r="EV726" s="1325"/>
      <c r="EW726" s="1325"/>
      <c r="EX726" s="1325"/>
      <c r="EY726" s="2"/>
      <c r="EZ726" s="1298" t="str">
        <f t="shared" si="31"/>
        <v/>
      </c>
      <c r="FA726" s="1299"/>
      <c r="FB726" s="1299"/>
      <c r="FC726" s="1299"/>
      <c r="FD726" s="1300"/>
      <c r="FE726" s="1298" t="str">
        <f t="shared" si="32"/>
        <v/>
      </c>
      <c r="FF726" s="1299"/>
      <c r="FG726" s="1299"/>
      <c r="FH726" s="1299"/>
      <c r="FI726" s="1300"/>
      <c r="FJ726" s="1298" t="str">
        <f t="shared" si="33"/>
        <v/>
      </c>
      <c r="FK726" s="1299"/>
      <c r="FL726" s="1299"/>
      <c r="FM726" s="1299"/>
      <c r="FN726" s="1300"/>
      <c r="FO726" s="1298">
        <f t="shared" si="34"/>
        <v>2607</v>
      </c>
      <c r="FP726" s="1299"/>
      <c r="FQ726" s="1299"/>
      <c r="FR726" s="1299"/>
      <c r="FS726" s="1300"/>
      <c r="FT726" s="1298" t="str">
        <f t="shared" si="35"/>
        <v/>
      </c>
      <c r="FU726" s="1299"/>
      <c r="FV726" s="1299"/>
      <c r="FW726" s="1299"/>
      <c r="FX726" s="1300"/>
      <c r="FY726" s="1298" t="str">
        <f t="shared" si="36"/>
        <v/>
      </c>
      <c r="FZ726" s="1299"/>
      <c r="GA726" s="1299"/>
      <c r="GB726" s="1299"/>
      <c r="GC726" s="1300"/>
    </row>
    <row r="727" spans="1:185" ht="12.9" customHeight="1">
      <c r="A727" s="2"/>
      <c r="B727" s="1312" t="s">
        <v>832</v>
      </c>
      <c r="C727" s="1313"/>
      <c r="D727" s="1313"/>
      <c r="E727" s="1313"/>
      <c r="F727" s="1314"/>
      <c r="G727" s="1321">
        <v>11</v>
      </c>
      <c r="H727" s="1322"/>
      <c r="I727" s="1322"/>
      <c r="J727" s="1323"/>
      <c r="K727" s="1551">
        <v>1043</v>
      </c>
      <c r="L727" s="1552"/>
      <c r="M727" s="1552"/>
      <c r="N727" s="1553"/>
      <c r="O727" s="1418">
        <v>2213</v>
      </c>
      <c r="P727" s="1419"/>
      <c r="Q727" s="1419"/>
      <c r="R727" s="1419"/>
      <c r="S727" s="1420"/>
      <c r="T727" s="1418">
        <v>150</v>
      </c>
      <c r="U727" s="1419"/>
      <c r="V727" s="1419"/>
      <c r="W727" s="1420"/>
      <c r="X727" s="1315">
        <f t="shared" si="9"/>
        <v>2363</v>
      </c>
      <c r="Y727" s="1316"/>
      <c r="Z727" s="1316"/>
      <c r="AA727" s="1316"/>
      <c r="AB727" s="1317"/>
      <c r="AC727" s="1560">
        <v>0.6</v>
      </c>
      <c r="AD727" s="1561"/>
      <c r="AE727" s="1561"/>
      <c r="AF727" s="1561"/>
      <c r="AG727" s="1562"/>
      <c r="AH727" s="1318">
        <f t="shared" si="37"/>
        <v>0.60005078720162519</v>
      </c>
      <c r="AI727" s="1319"/>
      <c r="AJ727" s="1320"/>
      <c r="AK727" s="1312" t="s">
        <v>809</v>
      </c>
      <c r="AL727" s="1313"/>
      <c r="AM727" s="1313"/>
      <c r="AN727" s="1313"/>
      <c r="AO727" s="1314"/>
      <c r="AP727" s="2"/>
      <c r="AQ727" s="2"/>
      <c r="AR727" s="2"/>
      <c r="AS727" s="2"/>
      <c r="AY727" s="711"/>
      <c r="AZ727" s="68">
        <f t="shared" si="10"/>
        <v>3938</v>
      </c>
      <c r="BA727" s="2"/>
      <c r="BB727" s="2"/>
      <c r="BC727" s="2"/>
      <c r="BD727" s="2"/>
      <c r="BE727" s="107"/>
      <c r="BF727" s="157">
        <f t="shared" si="11"/>
        <v>11</v>
      </c>
      <c r="BG727" s="160">
        <f t="shared" si="12"/>
        <v>8.6614173228346455E-2</v>
      </c>
      <c r="BH727" s="161">
        <f t="shared" si="13"/>
        <v>5.1968503937007873E-2</v>
      </c>
      <c r="BI727" s="2"/>
      <c r="BJ727" s="2"/>
      <c r="BK727" s="2"/>
      <c r="BL727" s="2"/>
      <c r="BM727" s="2"/>
      <c r="BN727" s="2"/>
      <c r="BS727" s="157">
        <f t="shared" si="14"/>
        <v>11</v>
      </c>
      <c r="BT727" s="160">
        <f t="shared" si="15"/>
        <v>8.6614173228346455E-2</v>
      </c>
      <c r="BU727" s="161">
        <f t="shared" si="16"/>
        <v>5.1972902828487218E-2</v>
      </c>
      <c r="BV727" s="2"/>
      <c r="BW727" s="2"/>
      <c r="BX727" s="2"/>
      <c r="BY727" s="2"/>
      <c r="BZ727" s="2"/>
      <c r="CA727" s="2"/>
      <c r="CB727" s="2"/>
      <c r="CC727" s="2"/>
      <c r="CE727" s="2"/>
      <c r="CF727" s="2"/>
      <c r="CG727" s="1298">
        <f t="shared" si="38"/>
        <v>0</v>
      </c>
      <c r="CH727" s="1300"/>
      <c r="CI727" s="1298">
        <f t="shared" si="39"/>
        <v>0</v>
      </c>
      <c r="CJ727" s="1300"/>
      <c r="CK727" s="1298">
        <f t="shared" si="17"/>
        <v>0</v>
      </c>
      <c r="CL727" s="1300"/>
      <c r="CM727" s="1298">
        <f t="shared" si="18"/>
        <v>0</v>
      </c>
      <c r="CN727" s="1300"/>
      <c r="CO727" s="2"/>
      <c r="CP727" s="1295">
        <f t="shared" si="19"/>
        <v>0</v>
      </c>
      <c r="CQ727" s="1296"/>
      <c r="CR727" s="1296"/>
      <c r="CS727" s="1296"/>
      <c r="CT727" s="1297"/>
      <c r="CU727" s="1311">
        <f t="shared" si="20"/>
        <v>0</v>
      </c>
      <c r="CV727" s="1311"/>
      <c r="CW727" s="1311"/>
      <c r="CX727" s="1311"/>
      <c r="CY727" s="1311"/>
      <c r="CZ727" s="1311">
        <f t="shared" si="21"/>
        <v>0</v>
      </c>
      <c r="DA727" s="1311"/>
      <c r="DB727" s="1311"/>
      <c r="DC727" s="1311"/>
      <c r="DD727" s="1311"/>
      <c r="DE727" s="1311">
        <f t="shared" si="22"/>
        <v>11</v>
      </c>
      <c r="DF727" s="1311"/>
      <c r="DG727" s="1311"/>
      <c r="DH727" s="1311"/>
      <c r="DI727" s="1311"/>
      <c r="DJ727" s="1311">
        <f t="shared" si="23"/>
        <v>0</v>
      </c>
      <c r="DK727" s="1311"/>
      <c r="DL727" s="1311"/>
      <c r="DM727" s="1311"/>
      <c r="DN727" s="1311"/>
      <c r="DO727" s="1311">
        <f t="shared" si="24"/>
        <v>0</v>
      </c>
      <c r="DP727" s="1311"/>
      <c r="DQ727" s="1311"/>
      <c r="DR727" s="1311"/>
      <c r="DS727" s="1311"/>
      <c r="DT727" s="1152"/>
      <c r="DU727" s="1325">
        <f t="shared" si="25"/>
        <v>0</v>
      </c>
      <c r="DV727" s="1325"/>
      <c r="DW727" s="1325"/>
      <c r="DX727" s="1325"/>
      <c r="DY727" s="1325"/>
      <c r="DZ727" s="1325">
        <f t="shared" si="26"/>
        <v>0</v>
      </c>
      <c r="EA727" s="1325"/>
      <c r="EB727" s="1325"/>
      <c r="EC727" s="1325"/>
      <c r="ED727" s="1325"/>
      <c r="EE727" s="1325">
        <f t="shared" si="27"/>
        <v>0</v>
      </c>
      <c r="EF727" s="1325"/>
      <c r="EG727" s="1325"/>
      <c r="EH727" s="1325"/>
      <c r="EI727" s="1325"/>
      <c r="EJ727" s="1325">
        <f t="shared" si="28"/>
        <v>0</v>
      </c>
      <c r="EK727" s="1325"/>
      <c r="EL727" s="1325"/>
      <c r="EM727" s="1325"/>
      <c r="EN727" s="1325"/>
      <c r="EO727" s="1325">
        <f t="shared" si="29"/>
        <v>0</v>
      </c>
      <c r="EP727" s="1325"/>
      <c r="EQ727" s="1325"/>
      <c r="ER727" s="1325"/>
      <c r="ES727" s="1325"/>
      <c r="ET727" s="1325">
        <f t="shared" si="30"/>
        <v>0</v>
      </c>
      <c r="EU727" s="1325"/>
      <c r="EV727" s="1325"/>
      <c r="EW727" s="1325"/>
      <c r="EX727" s="1325"/>
      <c r="EY727" s="2"/>
      <c r="EZ727" s="1298" t="str">
        <f t="shared" si="31"/>
        <v/>
      </c>
      <c r="FA727" s="1299"/>
      <c r="FB727" s="1299"/>
      <c r="FC727" s="1299"/>
      <c r="FD727" s="1300"/>
      <c r="FE727" s="1298" t="str">
        <f t="shared" si="32"/>
        <v/>
      </c>
      <c r="FF727" s="1299"/>
      <c r="FG727" s="1299"/>
      <c r="FH727" s="1299"/>
      <c r="FI727" s="1300"/>
      <c r="FJ727" s="1298" t="str">
        <f t="shared" si="33"/>
        <v/>
      </c>
      <c r="FK727" s="1299"/>
      <c r="FL727" s="1299"/>
      <c r="FM727" s="1299"/>
      <c r="FN727" s="1300"/>
      <c r="FO727" s="1298">
        <f t="shared" si="34"/>
        <v>2213</v>
      </c>
      <c r="FP727" s="1299"/>
      <c r="FQ727" s="1299"/>
      <c r="FR727" s="1299"/>
      <c r="FS727" s="1300"/>
      <c r="FT727" s="1298" t="str">
        <f t="shared" si="35"/>
        <v/>
      </c>
      <c r="FU727" s="1299"/>
      <c r="FV727" s="1299"/>
      <c r="FW727" s="1299"/>
      <c r="FX727" s="1300"/>
      <c r="FY727" s="1298" t="str">
        <f t="shared" si="36"/>
        <v/>
      </c>
      <c r="FZ727" s="1299"/>
      <c r="GA727" s="1299"/>
      <c r="GB727" s="1299"/>
      <c r="GC727" s="1300"/>
    </row>
    <row r="728" spans="1:185" ht="12.9" customHeight="1">
      <c r="A728" s="2"/>
      <c r="B728" s="1312" t="s">
        <v>832</v>
      </c>
      <c r="C728" s="1313"/>
      <c r="D728" s="1313"/>
      <c r="E728" s="1313"/>
      <c r="F728" s="1314"/>
      <c r="G728" s="1321">
        <v>4</v>
      </c>
      <c r="H728" s="1322"/>
      <c r="I728" s="1322"/>
      <c r="J728" s="1323"/>
      <c r="K728" s="1551">
        <v>1043</v>
      </c>
      <c r="L728" s="1552"/>
      <c r="M728" s="1552"/>
      <c r="N728" s="1553"/>
      <c r="O728" s="1418">
        <v>1819</v>
      </c>
      <c r="P728" s="1419"/>
      <c r="Q728" s="1419"/>
      <c r="R728" s="1419"/>
      <c r="S728" s="1420"/>
      <c r="T728" s="1418">
        <v>150</v>
      </c>
      <c r="U728" s="1419"/>
      <c r="V728" s="1419"/>
      <c r="W728" s="1420"/>
      <c r="X728" s="1315">
        <f t="shared" si="9"/>
        <v>1969</v>
      </c>
      <c r="Y728" s="1316"/>
      <c r="Z728" s="1316"/>
      <c r="AA728" s="1316"/>
      <c r="AB728" s="1317"/>
      <c r="AC728" s="1560">
        <v>0.5</v>
      </c>
      <c r="AD728" s="1561"/>
      <c r="AE728" s="1561"/>
      <c r="AF728" s="1561"/>
      <c r="AG728" s="1562"/>
      <c r="AH728" s="1318">
        <f t="shared" si="37"/>
        <v>0.5</v>
      </c>
      <c r="AI728" s="1319"/>
      <c r="AJ728" s="1320"/>
      <c r="AK728" s="1312" t="s">
        <v>809</v>
      </c>
      <c r="AL728" s="1313"/>
      <c r="AM728" s="1313"/>
      <c r="AN728" s="1313"/>
      <c r="AO728" s="1314"/>
      <c r="AP728" s="2"/>
      <c r="AQ728" s="2"/>
      <c r="AR728" s="2"/>
      <c r="AS728" s="2"/>
      <c r="AY728" s="711"/>
      <c r="AZ728" s="68">
        <f t="shared" si="10"/>
        <v>3938</v>
      </c>
      <c r="BA728" s="2"/>
      <c r="BB728" s="2"/>
      <c r="BC728" s="2"/>
      <c r="BD728" s="2"/>
      <c r="BE728" s="107"/>
      <c r="BF728" s="157">
        <f t="shared" si="11"/>
        <v>4</v>
      </c>
      <c r="BG728" s="160">
        <f t="shared" si="12"/>
        <v>3.1496062992125984E-2</v>
      </c>
      <c r="BH728" s="161">
        <f t="shared" si="13"/>
        <v>1.5748031496062992E-2</v>
      </c>
      <c r="BI728" s="2"/>
      <c r="BJ728" s="2"/>
      <c r="BK728" s="2"/>
      <c r="BL728" s="2"/>
      <c r="BM728" s="2"/>
      <c r="BN728" s="2"/>
      <c r="BS728" s="157">
        <f t="shared" si="14"/>
        <v>4</v>
      </c>
      <c r="BT728" s="160">
        <f t="shared" si="15"/>
        <v>3.1496062992125984E-2</v>
      </c>
      <c r="BU728" s="161">
        <f t="shared" si="16"/>
        <v>1.5748031496062992E-2</v>
      </c>
      <c r="BV728" s="2"/>
      <c r="BW728" s="2"/>
      <c r="BX728" s="2"/>
      <c r="BY728" s="2"/>
      <c r="BZ728" s="2"/>
      <c r="CA728" s="2"/>
      <c r="CB728" s="2"/>
      <c r="CC728" s="2"/>
      <c r="CE728" s="2"/>
      <c r="CF728" s="2"/>
      <c r="CG728" s="1298">
        <f t="shared" si="38"/>
        <v>1</v>
      </c>
      <c r="CH728" s="1300"/>
      <c r="CI728" s="1298">
        <f t="shared" si="39"/>
        <v>4</v>
      </c>
      <c r="CJ728" s="1300"/>
      <c r="CK728" s="1298">
        <f t="shared" si="17"/>
        <v>0</v>
      </c>
      <c r="CL728" s="1300"/>
      <c r="CM728" s="1298">
        <f t="shared" si="18"/>
        <v>0</v>
      </c>
      <c r="CN728" s="1300"/>
      <c r="CO728" s="2"/>
      <c r="CP728" s="1295">
        <f t="shared" si="19"/>
        <v>0</v>
      </c>
      <c r="CQ728" s="1296"/>
      <c r="CR728" s="1296"/>
      <c r="CS728" s="1296"/>
      <c r="CT728" s="1297"/>
      <c r="CU728" s="1311">
        <f t="shared" si="20"/>
        <v>0</v>
      </c>
      <c r="CV728" s="1311"/>
      <c r="CW728" s="1311"/>
      <c r="CX728" s="1311"/>
      <c r="CY728" s="1311"/>
      <c r="CZ728" s="1311">
        <f t="shared" si="21"/>
        <v>0</v>
      </c>
      <c r="DA728" s="1311"/>
      <c r="DB728" s="1311"/>
      <c r="DC728" s="1311"/>
      <c r="DD728" s="1311"/>
      <c r="DE728" s="1311">
        <f t="shared" si="22"/>
        <v>4</v>
      </c>
      <c r="DF728" s="1311"/>
      <c r="DG728" s="1311"/>
      <c r="DH728" s="1311"/>
      <c r="DI728" s="1311"/>
      <c r="DJ728" s="1311">
        <f t="shared" si="23"/>
        <v>0</v>
      </c>
      <c r="DK728" s="1311"/>
      <c r="DL728" s="1311"/>
      <c r="DM728" s="1311"/>
      <c r="DN728" s="1311"/>
      <c r="DO728" s="1311">
        <f t="shared" si="24"/>
        <v>0</v>
      </c>
      <c r="DP728" s="1311"/>
      <c r="DQ728" s="1311"/>
      <c r="DR728" s="1311"/>
      <c r="DS728" s="1311"/>
      <c r="DT728" s="1152"/>
      <c r="DU728" s="1325">
        <f t="shared" si="25"/>
        <v>0</v>
      </c>
      <c r="DV728" s="1325"/>
      <c r="DW728" s="1325"/>
      <c r="DX728" s="1325"/>
      <c r="DY728" s="1325"/>
      <c r="DZ728" s="1325">
        <f t="shared" si="26"/>
        <v>0</v>
      </c>
      <c r="EA728" s="1325"/>
      <c r="EB728" s="1325"/>
      <c r="EC728" s="1325"/>
      <c r="ED728" s="1325"/>
      <c r="EE728" s="1325">
        <f t="shared" si="27"/>
        <v>0</v>
      </c>
      <c r="EF728" s="1325"/>
      <c r="EG728" s="1325"/>
      <c r="EH728" s="1325"/>
      <c r="EI728" s="1325"/>
      <c r="EJ728" s="1325">
        <f t="shared" si="28"/>
        <v>0</v>
      </c>
      <c r="EK728" s="1325"/>
      <c r="EL728" s="1325"/>
      <c r="EM728" s="1325"/>
      <c r="EN728" s="1325"/>
      <c r="EO728" s="1325">
        <f t="shared" si="29"/>
        <v>0</v>
      </c>
      <c r="EP728" s="1325"/>
      <c r="EQ728" s="1325"/>
      <c r="ER728" s="1325"/>
      <c r="ES728" s="1325"/>
      <c r="ET728" s="1325">
        <f t="shared" si="30"/>
        <v>0</v>
      </c>
      <c r="EU728" s="1325"/>
      <c r="EV728" s="1325"/>
      <c r="EW728" s="1325"/>
      <c r="EX728" s="1325"/>
      <c r="EY728" s="2"/>
      <c r="EZ728" s="1298" t="str">
        <f t="shared" si="31"/>
        <v/>
      </c>
      <c r="FA728" s="1299"/>
      <c r="FB728" s="1299"/>
      <c r="FC728" s="1299"/>
      <c r="FD728" s="1300"/>
      <c r="FE728" s="1298" t="str">
        <f t="shared" si="32"/>
        <v/>
      </c>
      <c r="FF728" s="1299"/>
      <c r="FG728" s="1299"/>
      <c r="FH728" s="1299"/>
      <c r="FI728" s="1300"/>
      <c r="FJ728" s="1298" t="str">
        <f t="shared" si="33"/>
        <v/>
      </c>
      <c r="FK728" s="1299"/>
      <c r="FL728" s="1299"/>
      <c r="FM728" s="1299"/>
      <c r="FN728" s="1300"/>
      <c r="FO728" s="1298">
        <f t="shared" si="34"/>
        <v>1819</v>
      </c>
      <c r="FP728" s="1299"/>
      <c r="FQ728" s="1299"/>
      <c r="FR728" s="1299"/>
      <c r="FS728" s="1300"/>
      <c r="FT728" s="1298" t="str">
        <f t="shared" si="35"/>
        <v/>
      </c>
      <c r="FU728" s="1299"/>
      <c r="FV728" s="1299"/>
      <c r="FW728" s="1299"/>
      <c r="FX728" s="1300"/>
      <c r="FY728" s="1298" t="str">
        <f t="shared" si="36"/>
        <v/>
      </c>
      <c r="FZ728" s="1299"/>
      <c r="GA728" s="1299"/>
      <c r="GB728" s="1299"/>
      <c r="GC728" s="1300"/>
    </row>
    <row r="729" spans="1:185" ht="12.9" customHeight="1">
      <c r="A729" s="2"/>
      <c r="B729" s="1312" t="s">
        <v>832</v>
      </c>
      <c r="C729" s="1313"/>
      <c r="D729" s="1313"/>
      <c r="E729" s="1313"/>
      <c r="F729" s="1314"/>
      <c r="G729" s="1321">
        <v>4</v>
      </c>
      <c r="H729" s="1322"/>
      <c r="I729" s="1322"/>
      <c r="J729" s="1323"/>
      <c r="K729" s="1551">
        <v>1043</v>
      </c>
      <c r="L729" s="1552"/>
      <c r="M729" s="1552"/>
      <c r="N729" s="1553"/>
      <c r="O729" s="1418">
        <v>1031</v>
      </c>
      <c r="P729" s="1419"/>
      <c r="Q729" s="1419"/>
      <c r="R729" s="1419"/>
      <c r="S729" s="1420"/>
      <c r="T729" s="1418">
        <v>150</v>
      </c>
      <c r="U729" s="1419"/>
      <c r="V729" s="1419"/>
      <c r="W729" s="1420"/>
      <c r="X729" s="1315">
        <f t="shared" si="9"/>
        <v>1181</v>
      </c>
      <c r="Y729" s="1316"/>
      <c r="Z729" s="1316"/>
      <c r="AA729" s="1316"/>
      <c r="AB729" s="1317"/>
      <c r="AC729" s="1560">
        <v>0.3</v>
      </c>
      <c r="AD729" s="1561"/>
      <c r="AE729" s="1561"/>
      <c r="AF729" s="1561"/>
      <c r="AG729" s="1562"/>
      <c r="AH729" s="1318">
        <f t="shared" si="37"/>
        <v>0.29989842559674962</v>
      </c>
      <c r="AI729" s="1319"/>
      <c r="AJ729" s="1320"/>
      <c r="AK729" s="1312" t="s">
        <v>809</v>
      </c>
      <c r="AL729" s="1313"/>
      <c r="AM729" s="1313"/>
      <c r="AN729" s="1313"/>
      <c r="AO729" s="1314"/>
      <c r="AP729" s="2"/>
      <c r="AQ729" s="2"/>
      <c r="AR729" s="2"/>
      <c r="AS729" s="2"/>
      <c r="AY729" s="711"/>
      <c r="AZ729" s="68">
        <f t="shared" si="10"/>
        <v>3938</v>
      </c>
      <c r="BA729" s="2"/>
      <c r="BB729" s="2"/>
      <c r="BC729" s="2"/>
      <c r="BD729" s="2"/>
      <c r="BE729" s="107"/>
      <c r="BF729" s="157">
        <f t="shared" si="11"/>
        <v>4</v>
      </c>
      <c r="BG729" s="160">
        <f t="shared" si="12"/>
        <v>3.1496062992125984E-2</v>
      </c>
      <c r="BH729" s="161">
        <f t="shared" si="13"/>
        <v>9.4488188976377951E-3</v>
      </c>
      <c r="BI729" s="2"/>
      <c r="BJ729" s="2"/>
      <c r="BK729" s="2"/>
      <c r="BL729" s="2"/>
      <c r="BM729" s="2"/>
      <c r="BN729" s="2"/>
      <c r="BS729" s="157">
        <f t="shared" si="14"/>
        <v>4</v>
      </c>
      <c r="BT729" s="160">
        <f t="shared" si="15"/>
        <v>3.1496062992125984E-2</v>
      </c>
      <c r="BU729" s="161">
        <f t="shared" si="16"/>
        <v>9.4456197038346335E-3</v>
      </c>
      <c r="BV729" s="2"/>
      <c r="BW729" s="2"/>
      <c r="BX729" s="2"/>
      <c r="BY729" s="2"/>
      <c r="BZ729" s="2"/>
      <c r="CA729" s="2"/>
      <c r="CB729" s="2"/>
      <c r="CC729" s="2"/>
      <c r="CE729" s="2"/>
      <c r="CF729" s="2"/>
      <c r="CG729" s="1298">
        <f t="shared" si="38"/>
        <v>0</v>
      </c>
      <c r="CH729" s="1300"/>
      <c r="CI729" s="1298">
        <f t="shared" si="39"/>
        <v>0</v>
      </c>
      <c r="CJ729" s="1300"/>
      <c r="CK729" s="1298">
        <f t="shared" si="17"/>
        <v>1</v>
      </c>
      <c r="CL729" s="1300"/>
      <c r="CM729" s="1298">
        <f t="shared" si="18"/>
        <v>4</v>
      </c>
      <c r="CN729" s="1300"/>
      <c r="CO729" s="2"/>
      <c r="CP729" s="1295">
        <f t="shared" si="19"/>
        <v>0</v>
      </c>
      <c r="CQ729" s="1296"/>
      <c r="CR729" s="1296"/>
      <c r="CS729" s="1296"/>
      <c r="CT729" s="1297"/>
      <c r="CU729" s="1311">
        <f t="shared" si="20"/>
        <v>0</v>
      </c>
      <c r="CV729" s="1311"/>
      <c r="CW729" s="1311"/>
      <c r="CX729" s="1311"/>
      <c r="CY729" s="1311"/>
      <c r="CZ729" s="1311">
        <f t="shared" si="21"/>
        <v>0</v>
      </c>
      <c r="DA729" s="1311"/>
      <c r="DB729" s="1311"/>
      <c r="DC729" s="1311"/>
      <c r="DD729" s="1311"/>
      <c r="DE729" s="1311">
        <f t="shared" si="22"/>
        <v>4</v>
      </c>
      <c r="DF729" s="1311"/>
      <c r="DG729" s="1311"/>
      <c r="DH729" s="1311"/>
      <c r="DI729" s="1311"/>
      <c r="DJ729" s="1311">
        <f t="shared" si="23"/>
        <v>0</v>
      </c>
      <c r="DK729" s="1311"/>
      <c r="DL729" s="1311"/>
      <c r="DM729" s="1311"/>
      <c r="DN729" s="1311"/>
      <c r="DO729" s="1311">
        <f t="shared" si="24"/>
        <v>0</v>
      </c>
      <c r="DP729" s="1311"/>
      <c r="DQ729" s="1311"/>
      <c r="DR729" s="1311"/>
      <c r="DS729" s="1311"/>
      <c r="DT729" s="1152"/>
      <c r="DU729" s="1325">
        <f t="shared" si="25"/>
        <v>0</v>
      </c>
      <c r="DV729" s="1325"/>
      <c r="DW729" s="1325"/>
      <c r="DX729" s="1325"/>
      <c r="DY729" s="1325"/>
      <c r="DZ729" s="1325">
        <f t="shared" si="26"/>
        <v>0</v>
      </c>
      <c r="EA729" s="1325"/>
      <c r="EB729" s="1325"/>
      <c r="EC729" s="1325"/>
      <c r="ED729" s="1325"/>
      <c r="EE729" s="1325">
        <f t="shared" si="27"/>
        <v>0</v>
      </c>
      <c r="EF729" s="1325"/>
      <c r="EG729" s="1325"/>
      <c r="EH729" s="1325"/>
      <c r="EI729" s="1325"/>
      <c r="EJ729" s="1325">
        <f t="shared" si="28"/>
        <v>4</v>
      </c>
      <c r="EK729" s="1325"/>
      <c r="EL729" s="1325"/>
      <c r="EM729" s="1325"/>
      <c r="EN729" s="1325"/>
      <c r="EO729" s="1325">
        <f t="shared" si="29"/>
        <v>0</v>
      </c>
      <c r="EP729" s="1325"/>
      <c r="EQ729" s="1325"/>
      <c r="ER729" s="1325"/>
      <c r="ES729" s="1325"/>
      <c r="ET729" s="1325">
        <f t="shared" si="30"/>
        <v>0</v>
      </c>
      <c r="EU729" s="1325"/>
      <c r="EV729" s="1325"/>
      <c r="EW729" s="1325"/>
      <c r="EX729" s="1325"/>
      <c r="EZ729" s="1298" t="str">
        <f t="shared" si="31"/>
        <v/>
      </c>
      <c r="FA729" s="1299"/>
      <c r="FB729" s="1299"/>
      <c r="FC729" s="1299"/>
      <c r="FD729" s="1300"/>
      <c r="FE729" s="1298" t="str">
        <f t="shared" si="32"/>
        <v/>
      </c>
      <c r="FF729" s="1299"/>
      <c r="FG729" s="1299"/>
      <c r="FH729" s="1299"/>
      <c r="FI729" s="1300"/>
      <c r="FJ729" s="1298" t="str">
        <f t="shared" si="33"/>
        <v/>
      </c>
      <c r="FK729" s="1299"/>
      <c r="FL729" s="1299"/>
      <c r="FM729" s="1299"/>
      <c r="FN729" s="1300"/>
      <c r="FO729" s="1298">
        <f t="shared" si="34"/>
        <v>1031</v>
      </c>
      <c r="FP729" s="1299"/>
      <c r="FQ729" s="1299"/>
      <c r="FR729" s="1299"/>
      <c r="FS729" s="1300"/>
      <c r="FT729" s="1298" t="str">
        <f t="shared" si="35"/>
        <v/>
      </c>
      <c r="FU729" s="1299"/>
      <c r="FV729" s="1299"/>
      <c r="FW729" s="1299"/>
      <c r="FX729" s="1300"/>
      <c r="FY729" s="1298" t="str">
        <f t="shared" si="36"/>
        <v/>
      </c>
      <c r="FZ729" s="1299"/>
      <c r="GA729" s="1299"/>
      <c r="GB729" s="1299"/>
      <c r="GC729" s="1300"/>
    </row>
    <row r="730" spans="1:185" ht="12.9" customHeight="1">
      <c r="B730" s="1312"/>
      <c r="C730" s="1313"/>
      <c r="D730" s="1313"/>
      <c r="E730" s="1313"/>
      <c r="F730" s="1314"/>
      <c r="G730" s="1321"/>
      <c r="H730" s="1322"/>
      <c r="I730" s="1322"/>
      <c r="J730" s="1323"/>
      <c r="K730" s="1551"/>
      <c r="L730" s="1552"/>
      <c r="M730" s="1552"/>
      <c r="N730" s="1553"/>
      <c r="O730" s="1418"/>
      <c r="P730" s="1419"/>
      <c r="Q730" s="1419"/>
      <c r="R730" s="1419"/>
      <c r="S730" s="1420"/>
      <c r="T730" s="1418"/>
      <c r="U730" s="1419"/>
      <c r="V730" s="1419"/>
      <c r="W730" s="1420"/>
      <c r="X730" s="1315">
        <f t="shared" si="9"/>
        <v>0</v>
      </c>
      <c r="Y730" s="1316"/>
      <c r="Z730" s="1316"/>
      <c r="AA730" s="1316"/>
      <c r="AB730" s="1317"/>
      <c r="AC730" s="1560"/>
      <c r="AD730" s="1561"/>
      <c r="AE730" s="1561"/>
      <c r="AF730" s="1561"/>
      <c r="AG730" s="1562"/>
      <c r="AH730" s="1318" t="str">
        <f t="shared" si="37"/>
        <v/>
      </c>
      <c r="AI730" s="1319"/>
      <c r="AJ730" s="1320"/>
      <c r="AK730" s="1312" t="s">
        <v>809</v>
      </c>
      <c r="AL730" s="1313"/>
      <c r="AM730" s="1313"/>
      <c r="AN730" s="1313"/>
      <c r="AO730" s="1314"/>
      <c r="AP730" s="2"/>
      <c r="AQ730" s="2"/>
      <c r="AR730" s="2"/>
      <c r="AS730" s="2"/>
      <c r="AY730" s="711"/>
      <c r="AZ730" s="68" t="str">
        <f t="shared" si="10"/>
        <v>N/A</v>
      </c>
      <c r="BA730" s="2"/>
      <c r="BB730" s="2"/>
      <c r="BC730" s="2"/>
      <c r="BD730" s="2"/>
      <c r="BE730" s="107"/>
      <c r="BF730" s="157">
        <f t="shared" si="11"/>
        <v>0</v>
      </c>
      <c r="BG730" s="160">
        <f t="shared" si="12"/>
        <v>0</v>
      </c>
      <c r="BH730" s="161" t="str">
        <f t="shared" si="13"/>
        <v/>
      </c>
      <c r="BI730" s="2"/>
      <c r="BJ730" s="2"/>
      <c r="BK730" s="2"/>
      <c r="BL730" s="2"/>
      <c r="BM730" s="2"/>
      <c r="BN730" s="2"/>
      <c r="BS730" s="157">
        <f t="shared" si="14"/>
        <v>0</v>
      </c>
      <c r="BT730" s="160">
        <f t="shared" si="15"/>
        <v>0</v>
      </c>
      <c r="BU730" s="161" t="str">
        <f t="shared" si="16"/>
        <v/>
      </c>
      <c r="BV730" s="2"/>
      <c r="BW730" s="2"/>
      <c r="BX730" s="2"/>
      <c r="BY730" s="2"/>
      <c r="BZ730" s="2"/>
      <c r="CA730" s="2"/>
      <c r="CB730" s="2"/>
      <c r="CC730" s="2"/>
      <c r="CE730" s="2"/>
      <c r="CF730" s="2"/>
      <c r="CG730" s="1298">
        <f t="shared" si="38"/>
        <v>0</v>
      </c>
      <c r="CH730" s="1300"/>
      <c r="CI730" s="1298">
        <f t="shared" si="39"/>
        <v>0</v>
      </c>
      <c r="CJ730" s="1300"/>
      <c r="CK730" s="1298">
        <f t="shared" si="17"/>
        <v>0</v>
      </c>
      <c r="CL730" s="1300"/>
      <c r="CM730" s="1298">
        <f t="shared" si="18"/>
        <v>0</v>
      </c>
      <c r="CN730" s="1300"/>
      <c r="CO730" s="2"/>
      <c r="CP730" s="1295">
        <f t="shared" si="19"/>
        <v>0</v>
      </c>
      <c r="CQ730" s="1296"/>
      <c r="CR730" s="1296"/>
      <c r="CS730" s="1296"/>
      <c r="CT730" s="1297"/>
      <c r="CU730" s="1311">
        <f t="shared" si="20"/>
        <v>0</v>
      </c>
      <c r="CV730" s="1311"/>
      <c r="CW730" s="1311"/>
      <c r="CX730" s="1311"/>
      <c r="CY730" s="1311"/>
      <c r="CZ730" s="1311">
        <f t="shared" si="21"/>
        <v>0</v>
      </c>
      <c r="DA730" s="1311"/>
      <c r="DB730" s="1311"/>
      <c r="DC730" s="1311"/>
      <c r="DD730" s="1311"/>
      <c r="DE730" s="1311">
        <f t="shared" si="22"/>
        <v>0</v>
      </c>
      <c r="DF730" s="1311"/>
      <c r="DG730" s="1311"/>
      <c r="DH730" s="1311"/>
      <c r="DI730" s="1311"/>
      <c r="DJ730" s="1311">
        <f t="shared" si="23"/>
        <v>0</v>
      </c>
      <c r="DK730" s="1311"/>
      <c r="DL730" s="1311"/>
      <c r="DM730" s="1311"/>
      <c r="DN730" s="1311"/>
      <c r="DO730" s="1311">
        <f t="shared" si="24"/>
        <v>0</v>
      </c>
      <c r="DP730" s="1311"/>
      <c r="DQ730" s="1311"/>
      <c r="DR730" s="1311"/>
      <c r="DS730" s="1311"/>
      <c r="DT730" s="1152"/>
      <c r="DU730" s="1325">
        <f t="shared" si="25"/>
        <v>0</v>
      </c>
      <c r="DV730" s="1325"/>
      <c r="DW730" s="1325"/>
      <c r="DX730" s="1325"/>
      <c r="DY730" s="1325"/>
      <c r="DZ730" s="1325">
        <f t="shared" si="26"/>
        <v>0</v>
      </c>
      <c r="EA730" s="1325"/>
      <c r="EB730" s="1325"/>
      <c r="EC730" s="1325"/>
      <c r="ED730" s="1325"/>
      <c r="EE730" s="1325">
        <f t="shared" si="27"/>
        <v>0</v>
      </c>
      <c r="EF730" s="1325"/>
      <c r="EG730" s="1325"/>
      <c r="EH730" s="1325"/>
      <c r="EI730" s="1325"/>
      <c r="EJ730" s="1325">
        <f t="shared" si="28"/>
        <v>0</v>
      </c>
      <c r="EK730" s="1325"/>
      <c r="EL730" s="1325"/>
      <c r="EM730" s="1325"/>
      <c r="EN730" s="1325"/>
      <c r="EO730" s="1325">
        <f t="shared" si="29"/>
        <v>0</v>
      </c>
      <c r="EP730" s="1325"/>
      <c r="EQ730" s="1325"/>
      <c r="ER730" s="1325"/>
      <c r="ES730" s="1325"/>
      <c r="ET730" s="1325">
        <f t="shared" si="30"/>
        <v>0</v>
      </c>
      <c r="EU730" s="1325"/>
      <c r="EV730" s="1325"/>
      <c r="EW730" s="1325"/>
      <c r="EX730" s="1325"/>
      <c r="EZ730" s="1298" t="str">
        <f t="shared" si="31"/>
        <v/>
      </c>
      <c r="FA730" s="1299"/>
      <c r="FB730" s="1299"/>
      <c r="FC730" s="1299"/>
      <c r="FD730" s="1300"/>
      <c r="FE730" s="1298" t="str">
        <f t="shared" si="32"/>
        <v/>
      </c>
      <c r="FF730" s="1299"/>
      <c r="FG730" s="1299"/>
      <c r="FH730" s="1299"/>
      <c r="FI730" s="1300"/>
      <c r="FJ730" s="1298" t="str">
        <f t="shared" si="33"/>
        <v/>
      </c>
      <c r="FK730" s="1299"/>
      <c r="FL730" s="1299"/>
      <c r="FM730" s="1299"/>
      <c r="FN730" s="1300"/>
      <c r="FO730" s="1298" t="str">
        <f t="shared" si="34"/>
        <v/>
      </c>
      <c r="FP730" s="1299"/>
      <c r="FQ730" s="1299"/>
      <c r="FR730" s="1299"/>
      <c r="FS730" s="1300"/>
      <c r="FT730" s="1298" t="str">
        <f t="shared" si="35"/>
        <v/>
      </c>
      <c r="FU730" s="1299"/>
      <c r="FV730" s="1299"/>
      <c r="FW730" s="1299"/>
      <c r="FX730" s="1300"/>
      <c r="FY730" s="1298" t="str">
        <f t="shared" si="36"/>
        <v/>
      </c>
      <c r="FZ730" s="1299"/>
      <c r="GA730" s="1299"/>
      <c r="GB730" s="1299"/>
      <c r="GC730" s="1300"/>
    </row>
    <row r="731" spans="1:185" ht="12.9" customHeight="1">
      <c r="B731" s="1312"/>
      <c r="C731" s="1313"/>
      <c r="D731" s="1313"/>
      <c r="E731" s="1313"/>
      <c r="F731" s="1314"/>
      <c r="G731" s="1321"/>
      <c r="H731" s="1322"/>
      <c r="I731" s="1322"/>
      <c r="J731" s="1323"/>
      <c r="K731" s="1551"/>
      <c r="L731" s="1552"/>
      <c r="M731" s="1552"/>
      <c r="N731" s="1553"/>
      <c r="O731" s="1418"/>
      <c r="P731" s="1419"/>
      <c r="Q731" s="1419"/>
      <c r="R731" s="1419"/>
      <c r="S731" s="1420"/>
      <c r="T731" s="1418"/>
      <c r="U731" s="1419"/>
      <c r="V731" s="1419"/>
      <c r="W731" s="1420"/>
      <c r="X731" s="1315">
        <f t="shared" si="9"/>
        <v>0</v>
      </c>
      <c r="Y731" s="1316"/>
      <c r="Z731" s="1316"/>
      <c r="AA731" s="1316"/>
      <c r="AB731" s="1317"/>
      <c r="AC731" s="1560"/>
      <c r="AD731" s="1561"/>
      <c r="AE731" s="1561"/>
      <c r="AF731" s="1561"/>
      <c r="AG731" s="1562"/>
      <c r="AH731" s="1318" t="str">
        <f t="shared" si="37"/>
        <v/>
      </c>
      <c r="AI731" s="1319"/>
      <c r="AJ731" s="1320"/>
      <c r="AK731" s="1312" t="s">
        <v>809</v>
      </c>
      <c r="AL731" s="1313"/>
      <c r="AM731" s="1313"/>
      <c r="AN731" s="1313"/>
      <c r="AO731" s="1314"/>
      <c r="AP731" s="2"/>
      <c r="AQ731" s="2"/>
      <c r="AR731" s="2"/>
      <c r="AS731" s="2"/>
      <c r="AY731" s="711"/>
      <c r="AZ731" s="68" t="str">
        <f t="shared" si="10"/>
        <v>N/A</v>
      </c>
      <c r="BA731" s="2"/>
      <c r="BB731" s="2"/>
      <c r="BC731" s="2"/>
      <c r="BD731" s="2"/>
      <c r="BE731" s="107"/>
      <c r="BF731" s="157">
        <f t="shared" si="11"/>
        <v>0</v>
      </c>
      <c r="BG731" s="160">
        <f t="shared" si="12"/>
        <v>0</v>
      </c>
      <c r="BH731" s="161" t="str">
        <f t="shared" si="13"/>
        <v/>
      </c>
      <c r="BI731" s="2"/>
      <c r="BJ731" s="2"/>
      <c r="BK731" s="2"/>
      <c r="BL731" s="2"/>
      <c r="BM731" s="2"/>
      <c r="BN731" s="2"/>
      <c r="BS731" s="157">
        <f t="shared" si="14"/>
        <v>0</v>
      </c>
      <c r="BT731" s="160">
        <f t="shared" si="15"/>
        <v>0</v>
      </c>
      <c r="BU731" s="161" t="str">
        <f t="shared" si="16"/>
        <v/>
      </c>
      <c r="BV731" s="2"/>
      <c r="BW731" s="2"/>
      <c r="BX731" s="2"/>
      <c r="BY731" s="2"/>
      <c r="BZ731" s="2"/>
      <c r="CA731" s="2"/>
      <c r="CB731" s="2"/>
      <c r="CC731" s="2"/>
      <c r="CE731" s="2"/>
      <c r="CF731" s="2"/>
      <c r="CG731" s="1298">
        <f t="shared" si="38"/>
        <v>0</v>
      </c>
      <c r="CH731" s="1300"/>
      <c r="CI731" s="1298">
        <f t="shared" si="39"/>
        <v>0</v>
      </c>
      <c r="CJ731" s="1300"/>
      <c r="CK731" s="1298">
        <f t="shared" si="17"/>
        <v>0</v>
      </c>
      <c r="CL731" s="1300"/>
      <c r="CM731" s="1298">
        <f t="shared" si="18"/>
        <v>0</v>
      </c>
      <c r="CN731" s="1300"/>
      <c r="CO731" s="2"/>
      <c r="CP731" s="1295">
        <f t="shared" si="19"/>
        <v>0</v>
      </c>
      <c r="CQ731" s="1296"/>
      <c r="CR731" s="1296"/>
      <c r="CS731" s="1296"/>
      <c r="CT731" s="1297"/>
      <c r="CU731" s="1311">
        <f t="shared" si="20"/>
        <v>0</v>
      </c>
      <c r="CV731" s="1311"/>
      <c r="CW731" s="1311"/>
      <c r="CX731" s="1311"/>
      <c r="CY731" s="1311"/>
      <c r="CZ731" s="1311">
        <f t="shared" si="21"/>
        <v>0</v>
      </c>
      <c r="DA731" s="1311"/>
      <c r="DB731" s="1311"/>
      <c r="DC731" s="1311"/>
      <c r="DD731" s="1311"/>
      <c r="DE731" s="1311">
        <f t="shared" si="22"/>
        <v>0</v>
      </c>
      <c r="DF731" s="1311"/>
      <c r="DG731" s="1311"/>
      <c r="DH731" s="1311"/>
      <c r="DI731" s="1311"/>
      <c r="DJ731" s="1311">
        <f t="shared" si="23"/>
        <v>0</v>
      </c>
      <c r="DK731" s="1311"/>
      <c r="DL731" s="1311"/>
      <c r="DM731" s="1311"/>
      <c r="DN731" s="1311"/>
      <c r="DO731" s="1311">
        <f t="shared" si="24"/>
        <v>0</v>
      </c>
      <c r="DP731" s="1311"/>
      <c r="DQ731" s="1311"/>
      <c r="DR731" s="1311"/>
      <c r="DS731" s="1311"/>
      <c r="DT731" s="1152"/>
      <c r="DU731" s="1325">
        <f t="shared" si="25"/>
        <v>0</v>
      </c>
      <c r="DV731" s="1325"/>
      <c r="DW731" s="1325"/>
      <c r="DX731" s="1325"/>
      <c r="DY731" s="1325"/>
      <c r="DZ731" s="1325">
        <f t="shared" si="26"/>
        <v>0</v>
      </c>
      <c r="EA731" s="1325"/>
      <c r="EB731" s="1325"/>
      <c r="EC731" s="1325"/>
      <c r="ED731" s="1325"/>
      <c r="EE731" s="1325">
        <f t="shared" si="27"/>
        <v>0</v>
      </c>
      <c r="EF731" s="1325"/>
      <c r="EG731" s="1325"/>
      <c r="EH731" s="1325"/>
      <c r="EI731" s="1325"/>
      <c r="EJ731" s="1325">
        <f t="shared" si="28"/>
        <v>0</v>
      </c>
      <c r="EK731" s="1325"/>
      <c r="EL731" s="1325"/>
      <c r="EM731" s="1325"/>
      <c r="EN731" s="1325"/>
      <c r="EO731" s="1325">
        <f t="shared" si="29"/>
        <v>0</v>
      </c>
      <c r="EP731" s="1325"/>
      <c r="EQ731" s="1325"/>
      <c r="ER731" s="1325"/>
      <c r="ES731" s="1325"/>
      <c r="ET731" s="1325">
        <f t="shared" si="30"/>
        <v>0</v>
      </c>
      <c r="EU731" s="1325"/>
      <c r="EV731" s="1325"/>
      <c r="EW731" s="1325"/>
      <c r="EX731" s="1325"/>
      <c r="EZ731" s="1298" t="str">
        <f t="shared" si="31"/>
        <v/>
      </c>
      <c r="FA731" s="1299"/>
      <c r="FB731" s="1299"/>
      <c r="FC731" s="1299"/>
      <c r="FD731" s="1300"/>
      <c r="FE731" s="1298" t="str">
        <f t="shared" si="32"/>
        <v/>
      </c>
      <c r="FF731" s="1299"/>
      <c r="FG731" s="1299"/>
      <c r="FH731" s="1299"/>
      <c r="FI731" s="1300"/>
      <c r="FJ731" s="1298" t="str">
        <f t="shared" si="33"/>
        <v/>
      </c>
      <c r="FK731" s="1299"/>
      <c r="FL731" s="1299"/>
      <c r="FM731" s="1299"/>
      <c r="FN731" s="1300"/>
      <c r="FO731" s="1298" t="str">
        <f t="shared" si="34"/>
        <v/>
      </c>
      <c r="FP731" s="1299"/>
      <c r="FQ731" s="1299"/>
      <c r="FR731" s="1299"/>
      <c r="FS731" s="1300"/>
      <c r="FT731" s="1298" t="str">
        <f t="shared" si="35"/>
        <v/>
      </c>
      <c r="FU731" s="1299"/>
      <c r="FV731" s="1299"/>
      <c r="FW731" s="1299"/>
      <c r="FX731" s="1300"/>
      <c r="FY731" s="1298" t="str">
        <f t="shared" si="36"/>
        <v/>
      </c>
      <c r="FZ731" s="1299"/>
      <c r="GA731" s="1299"/>
      <c r="GB731" s="1299"/>
      <c r="GC731" s="1300"/>
    </row>
    <row r="732" spans="1:185" ht="12.9" customHeight="1">
      <c r="B732" s="1312"/>
      <c r="C732" s="1313"/>
      <c r="D732" s="1313"/>
      <c r="E732" s="1313"/>
      <c r="F732" s="1314"/>
      <c r="G732" s="1321"/>
      <c r="H732" s="1322"/>
      <c r="I732" s="1322"/>
      <c r="J732" s="1323"/>
      <c r="K732" s="1551"/>
      <c r="L732" s="1552"/>
      <c r="M732" s="1552"/>
      <c r="N732" s="1553"/>
      <c r="O732" s="1418"/>
      <c r="P732" s="1419"/>
      <c r="Q732" s="1419"/>
      <c r="R732" s="1419"/>
      <c r="S732" s="1420"/>
      <c r="T732" s="1418"/>
      <c r="U732" s="1419"/>
      <c r="V732" s="1419"/>
      <c r="W732" s="1420"/>
      <c r="X732" s="1315">
        <f t="shared" si="9"/>
        <v>0</v>
      </c>
      <c r="Y732" s="1316"/>
      <c r="Z732" s="1316"/>
      <c r="AA732" s="1316"/>
      <c r="AB732" s="1317"/>
      <c r="AC732" s="1560"/>
      <c r="AD732" s="1561"/>
      <c r="AE732" s="1561"/>
      <c r="AF732" s="1561"/>
      <c r="AG732" s="1562"/>
      <c r="AH732" s="1318" t="str">
        <f t="shared" si="37"/>
        <v/>
      </c>
      <c r="AI732" s="1319"/>
      <c r="AJ732" s="1320"/>
      <c r="AK732" s="1312" t="s">
        <v>809</v>
      </c>
      <c r="AL732" s="1313"/>
      <c r="AM732" s="1313"/>
      <c r="AN732" s="1313"/>
      <c r="AO732" s="1314"/>
      <c r="AP732" s="2"/>
      <c r="AQ732" s="2"/>
      <c r="AR732" s="2"/>
      <c r="AS732" s="2"/>
      <c r="AY732" s="711"/>
      <c r="AZ732" s="68" t="str">
        <f t="shared" si="10"/>
        <v>N/A</v>
      </c>
      <c r="BA732" s="2"/>
      <c r="BB732" s="2"/>
      <c r="BC732" s="2"/>
      <c r="BD732" s="2"/>
      <c r="BE732" s="107"/>
      <c r="BF732" s="157">
        <f t="shared" si="11"/>
        <v>0</v>
      </c>
      <c r="BG732" s="160">
        <f t="shared" si="12"/>
        <v>0</v>
      </c>
      <c r="BH732" s="161" t="str">
        <f t="shared" si="13"/>
        <v/>
      </c>
      <c r="BI732" s="2"/>
      <c r="BJ732" s="2"/>
      <c r="BK732" s="2"/>
      <c r="BL732" s="2"/>
      <c r="BM732" s="2"/>
      <c r="BN732" s="2"/>
      <c r="BS732" s="157">
        <f t="shared" si="14"/>
        <v>0</v>
      </c>
      <c r="BT732" s="160">
        <f t="shared" si="15"/>
        <v>0</v>
      </c>
      <c r="BU732" s="161" t="str">
        <f t="shared" si="16"/>
        <v/>
      </c>
      <c r="BV732" s="2"/>
      <c r="BW732" s="2"/>
      <c r="BX732" s="2"/>
      <c r="BY732" s="2"/>
      <c r="BZ732" s="2"/>
      <c r="CA732" s="2"/>
      <c r="CB732" s="2"/>
      <c r="CC732" s="2"/>
      <c r="CE732" s="2"/>
      <c r="CF732" s="2"/>
      <c r="CG732" s="1298">
        <f t="shared" si="38"/>
        <v>0</v>
      </c>
      <c r="CH732" s="1300"/>
      <c r="CI732" s="1298">
        <f t="shared" si="39"/>
        <v>0</v>
      </c>
      <c r="CJ732" s="1300"/>
      <c r="CK732" s="1298">
        <f t="shared" si="17"/>
        <v>0</v>
      </c>
      <c r="CL732" s="1300"/>
      <c r="CM732" s="1298">
        <f t="shared" si="18"/>
        <v>0</v>
      </c>
      <c r="CN732" s="1300"/>
      <c r="CO732" s="2"/>
      <c r="CP732" s="1295">
        <f t="shared" si="19"/>
        <v>0</v>
      </c>
      <c r="CQ732" s="1296"/>
      <c r="CR732" s="1296"/>
      <c r="CS732" s="1296"/>
      <c r="CT732" s="1297"/>
      <c r="CU732" s="1311">
        <f t="shared" si="20"/>
        <v>0</v>
      </c>
      <c r="CV732" s="1311"/>
      <c r="CW732" s="1311"/>
      <c r="CX732" s="1311"/>
      <c r="CY732" s="1311"/>
      <c r="CZ732" s="1311">
        <f t="shared" si="21"/>
        <v>0</v>
      </c>
      <c r="DA732" s="1311"/>
      <c r="DB732" s="1311"/>
      <c r="DC732" s="1311"/>
      <c r="DD732" s="1311"/>
      <c r="DE732" s="1311">
        <f t="shared" si="22"/>
        <v>0</v>
      </c>
      <c r="DF732" s="1311"/>
      <c r="DG732" s="1311"/>
      <c r="DH732" s="1311"/>
      <c r="DI732" s="1311"/>
      <c r="DJ732" s="1311">
        <f t="shared" si="23"/>
        <v>0</v>
      </c>
      <c r="DK732" s="1311"/>
      <c r="DL732" s="1311"/>
      <c r="DM732" s="1311"/>
      <c r="DN732" s="1311"/>
      <c r="DO732" s="1311">
        <f t="shared" si="24"/>
        <v>0</v>
      </c>
      <c r="DP732" s="1311"/>
      <c r="DQ732" s="1311"/>
      <c r="DR732" s="1311"/>
      <c r="DS732" s="1311"/>
      <c r="DT732" s="1152"/>
      <c r="DU732" s="1325">
        <f t="shared" si="25"/>
        <v>0</v>
      </c>
      <c r="DV732" s="1325"/>
      <c r="DW732" s="1325"/>
      <c r="DX732" s="1325"/>
      <c r="DY732" s="1325"/>
      <c r="DZ732" s="1325">
        <f t="shared" si="26"/>
        <v>0</v>
      </c>
      <c r="EA732" s="1325"/>
      <c r="EB732" s="1325"/>
      <c r="EC732" s="1325"/>
      <c r="ED732" s="1325"/>
      <c r="EE732" s="1325">
        <f t="shared" si="27"/>
        <v>0</v>
      </c>
      <c r="EF732" s="1325"/>
      <c r="EG732" s="1325"/>
      <c r="EH732" s="1325"/>
      <c r="EI732" s="1325"/>
      <c r="EJ732" s="1325">
        <f t="shared" si="28"/>
        <v>0</v>
      </c>
      <c r="EK732" s="1325"/>
      <c r="EL732" s="1325"/>
      <c r="EM732" s="1325"/>
      <c r="EN732" s="1325"/>
      <c r="EO732" s="1325">
        <f t="shared" si="29"/>
        <v>0</v>
      </c>
      <c r="EP732" s="1325"/>
      <c r="EQ732" s="1325"/>
      <c r="ER732" s="1325"/>
      <c r="ES732" s="1325"/>
      <c r="ET732" s="1325">
        <f t="shared" si="30"/>
        <v>0</v>
      </c>
      <c r="EU732" s="1325"/>
      <c r="EV732" s="1325"/>
      <c r="EW732" s="1325"/>
      <c r="EX732" s="1325"/>
      <c r="EZ732" s="1298" t="str">
        <f t="shared" si="31"/>
        <v/>
      </c>
      <c r="FA732" s="1299"/>
      <c r="FB732" s="1299"/>
      <c r="FC732" s="1299"/>
      <c r="FD732" s="1300"/>
      <c r="FE732" s="1298" t="str">
        <f t="shared" si="32"/>
        <v/>
      </c>
      <c r="FF732" s="1299"/>
      <c r="FG732" s="1299"/>
      <c r="FH732" s="1299"/>
      <c r="FI732" s="1300"/>
      <c r="FJ732" s="1298" t="str">
        <f t="shared" si="33"/>
        <v/>
      </c>
      <c r="FK732" s="1299"/>
      <c r="FL732" s="1299"/>
      <c r="FM732" s="1299"/>
      <c r="FN732" s="1300"/>
      <c r="FO732" s="1298" t="str">
        <f t="shared" si="34"/>
        <v/>
      </c>
      <c r="FP732" s="1299"/>
      <c r="FQ732" s="1299"/>
      <c r="FR732" s="1299"/>
      <c r="FS732" s="1300"/>
      <c r="FT732" s="1298" t="str">
        <f t="shared" si="35"/>
        <v/>
      </c>
      <c r="FU732" s="1299"/>
      <c r="FV732" s="1299"/>
      <c r="FW732" s="1299"/>
      <c r="FX732" s="1300"/>
      <c r="FY732" s="1298" t="str">
        <f t="shared" si="36"/>
        <v/>
      </c>
      <c r="FZ732" s="1299"/>
      <c r="GA732" s="1299"/>
      <c r="GB732" s="1299"/>
      <c r="GC732" s="1300"/>
    </row>
    <row r="733" spans="1:185" ht="12.9" customHeight="1">
      <c r="B733" s="1312"/>
      <c r="C733" s="1313"/>
      <c r="D733" s="1313"/>
      <c r="E733" s="1313"/>
      <c r="F733" s="1314"/>
      <c r="G733" s="1321"/>
      <c r="H733" s="1322"/>
      <c r="I733" s="1322"/>
      <c r="J733" s="1323"/>
      <c r="K733" s="1551"/>
      <c r="L733" s="1552"/>
      <c r="M733" s="1552"/>
      <c r="N733" s="1553"/>
      <c r="O733" s="1418"/>
      <c r="P733" s="1419"/>
      <c r="Q733" s="1419"/>
      <c r="R733" s="1419"/>
      <c r="S733" s="1420"/>
      <c r="T733" s="1418"/>
      <c r="U733" s="1419"/>
      <c r="V733" s="1419"/>
      <c r="W733" s="1420"/>
      <c r="X733" s="1315">
        <f t="shared" si="9"/>
        <v>0</v>
      </c>
      <c r="Y733" s="1316"/>
      <c r="Z733" s="1316"/>
      <c r="AA733" s="1316"/>
      <c r="AB733" s="1317"/>
      <c r="AC733" s="1560"/>
      <c r="AD733" s="1561"/>
      <c r="AE733" s="1561"/>
      <c r="AF733" s="1561"/>
      <c r="AG733" s="1562"/>
      <c r="AH733" s="1318" t="str">
        <f t="shared" si="37"/>
        <v/>
      </c>
      <c r="AI733" s="1319"/>
      <c r="AJ733" s="1320"/>
      <c r="AK733" s="1312" t="s">
        <v>809</v>
      </c>
      <c r="AL733" s="1313"/>
      <c r="AM733" s="1313"/>
      <c r="AN733" s="1313"/>
      <c r="AO733" s="1314"/>
      <c r="AP733" s="2"/>
      <c r="AQ733" s="2"/>
      <c r="AR733" s="2"/>
      <c r="AS733" s="2"/>
      <c r="AY733" s="711"/>
      <c r="AZ733" s="68" t="str">
        <f t="shared" si="10"/>
        <v>N/A</v>
      </c>
      <c r="BA733" s="2"/>
      <c r="BB733" s="2"/>
      <c r="BC733" s="2"/>
      <c r="BD733" s="2"/>
      <c r="BE733" s="107"/>
      <c r="BF733" s="157">
        <f t="shared" si="11"/>
        <v>0</v>
      </c>
      <c r="BG733" s="160">
        <f t="shared" si="12"/>
        <v>0</v>
      </c>
      <c r="BH733" s="161" t="str">
        <f t="shared" si="13"/>
        <v/>
      </c>
      <c r="BI733" s="2"/>
      <c r="BJ733" s="2"/>
      <c r="BK733" s="2"/>
      <c r="BL733" s="2"/>
      <c r="BM733" s="2"/>
      <c r="BN733" s="2"/>
      <c r="BS733" s="157">
        <f t="shared" si="14"/>
        <v>0</v>
      </c>
      <c r="BT733" s="160">
        <f t="shared" si="15"/>
        <v>0</v>
      </c>
      <c r="BU733" s="161" t="str">
        <f t="shared" si="16"/>
        <v/>
      </c>
      <c r="BV733" s="2"/>
      <c r="BW733" s="2"/>
      <c r="BX733" s="2"/>
      <c r="BY733" s="2"/>
      <c r="BZ733" s="2"/>
      <c r="CA733" s="2"/>
      <c r="CB733" s="2"/>
      <c r="CC733" s="2"/>
      <c r="CE733" s="2"/>
      <c r="CF733" s="2"/>
      <c r="CG733" s="1298">
        <f t="shared" si="38"/>
        <v>0</v>
      </c>
      <c r="CH733" s="1300"/>
      <c r="CI733" s="1298">
        <f t="shared" si="39"/>
        <v>0</v>
      </c>
      <c r="CJ733" s="1300"/>
      <c r="CK733" s="1298">
        <f t="shared" si="17"/>
        <v>0</v>
      </c>
      <c r="CL733" s="1300"/>
      <c r="CM733" s="1298">
        <f t="shared" si="18"/>
        <v>0</v>
      </c>
      <c r="CN733" s="1300"/>
      <c r="CO733" s="2"/>
      <c r="CP733" s="1295">
        <f t="shared" si="19"/>
        <v>0</v>
      </c>
      <c r="CQ733" s="1296"/>
      <c r="CR733" s="1296"/>
      <c r="CS733" s="1296"/>
      <c r="CT733" s="1297"/>
      <c r="CU733" s="1311">
        <f t="shared" si="20"/>
        <v>0</v>
      </c>
      <c r="CV733" s="1311"/>
      <c r="CW733" s="1311"/>
      <c r="CX733" s="1311"/>
      <c r="CY733" s="1311"/>
      <c r="CZ733" s="1311">
        <f t="shared" si="21"/>
        <v>0</v>
      </c>
      <c r="DA733" s="1311"/>
      <c r="DB733" s="1311"/>
      <c r="DC733" s="1311"/>
      <c r="DD733" s="1311"/>
      <c r="DE733" s="1311">
        <f t="shared" si="22"/>
        <v>0</v>
      </c>
      <c r="DF733" s="1311"/>
      <c r="DG733" s="1311"/>
      <c r="DH733" s="1311"/>
      <c r="DI733" s="1311"/>
      <c r="DJ733" s="1311">
        <f t="shared" si="23"/>
        <v>0</v>
      </c>
      <c r="DK733" s="1311"/>
      <c r="DL733" s="1311"/>
      <c r="DM733" s="1311"/>
      <c r="DN733" s="1311"/>
      <c r="DO733" s="1311">
        <f t="shared" si="24"/>
        <v>0</v>
      </c>
      <c r="DP733" s="1311"/>
      <c r="DQ733" s="1311"/>
      <c r="DR733" s="1311"/>
      <c r="DS733" s="1311"/>
      <c r="DT733" s="1152"/>
      <c r="DU733" s="1325">
        <f t="shared" si="25"/>
        <v>0</v>
      </c>
      <c r="DV733" s="1325"/>
      <c r="DW733" s="1325"/>
      <c r="DX733" s="1325"/>
      <c r="DY733" s="1325"/>
      <c r="DZ733" s="1325">
        <f t="shared" si="26"/>
        <v>0</v>
      </c>
      <c r="EA733" s="1325"/>
      <c r="EB733" s="1325"/>
      <c r="EC733" s="1325"/>
      <c r="ED733" s="1325"/>
      <c r="EE733" s="1325">
        <f t="shared" si="27"/>
        <v>0</v>
      </c>
      <c r="EF733" s="1325"/>
      <c r="EG733" s="1325"/>
      <c r="EH733" s="1325"/>
      <c r="EI733" s="1325"/>
      <c r="EJ733" s="1325">
        <f t="shared" si="28"/>
        <v>0</v>
      </c>
      <c r="EK733" s="1325"/>
      <c r="EL733" s="1325"/>
      <c r="EM733" s="1325"/>
      <c r="EN733" s="1325"/>
      <c r="EO733" s="1325">
        <f t="shared" si="29"/>
        <v>0</v>
      </c>
      <c r="EP733" s="1325"/>
      <c r="EQ733" s="1325"/>
      <c r="ER733" s="1325"/>
      <c r="ES733" s="1325"/>
      <c r="ET733" s="1325">
        <f t="shared" si="30"/>
        <v>0</v>
      </c>
      <c r="EU733" s="1325"/>
      <c r="EV733" s="1325"/>
      <c r="EW733" s="1325"/>
      <c r="EX733" s="1325"/>
      <c r="EZ733" s="1298" t="str">
        <f t="shared" si="31"/>
        <v/>
      </c>
      <c r="FA733" s="1299"/>
      <c r="FB733" s="1299"/>
      <c r="FC733" s="1299"/>
      <c r="FD733" s="1300"/>
      <c r="FE733" s="1298" t="str">
        <f t="shared" si="32"/>
        <v/>
      </c>
      <c r="FF733" s="1299"/>
      <c r="FG733" s="1299"/>
      <c r="FH733" s="1299"/>
      <c r="FI733" s="1300"/>
      <c r="FJ733" s="1298" t="str">
        <f t="shared" si="33"/>
        <v/>
      </c>
      <c r="FK733" s="1299"/>
      <c r="FL733" s="1299"/>
      <c r="FM733" s="1299"/>
      <c r="FN733" s="1300"/>
      <c r="FO733" s="1298" t="str">
        <f t="shared" si="34"/>
        <v/>
      </c>
      <c r="FP733" s="1299"/>
      <c r="FQ733" s="1299"/>
      <c r="FR733" s="1299"/>
      <c r="FS733" s="1300"/>
      <c r="FT733" s="1298" t="str">
        <f t="shared" si="35"/>
        <v/>
      </c>
      <c r="FU733" s="1299"/>
      <c r="FV733" s="1299"/>
      <c r="FW733" s="1299"/>
      <c r="FX733" s="1300"/>
      <c r="FY733" s="1298" t="str">
        <f t="shared" si="36"/>
        <v/>
      </c>
      <c r="FZ733" s="1299"/>
      <c r="GA733" s="1299"/>
      <c r="GB733" s="1299"/>
      <c r="GC733" s="1300"/>
    </row>
    <row r="734" spans="1:185" ht="12.9" customHeight="1">
      <c r="B734" s="1312"/>
      <c r="C734" s="1313"/>
      <c r="D734" s="1313"/>
      <c r="E734" s="1313"/>
      <c r="F734" s="1314"/>
      <c r="G734" s="1321"/>
      <c r="H734" s="1322"/>
      <c r="I734" s="1322"/>
      <c r="J734" s="1323"/>
      <c r="K734" s="1551"/>
      <c r="L734" s="1552"/>
      <c r="M734" s="1552"/>
      <c r="N734" s="1553"/>
      <c r="O734" s="1418"/>
      <c r="P734" s="1419"/>
      <c r="Q734" s="1419"/>
      <c r="R734" s="1419"/>
      <c r="S734" s="1420"/>
      <c r="T734" s="1418"/>
      <c r="U734" s="1419"/>
      <c r="V734" s="1419"/>
      <c r="W734" s="1420"/>
      <c r="X734" s="1315">
        <f t="shared" si="9"/>
        <v>0</v>
      </c>
      <c r="Y734" s="1316"/>
      <c r="Z734" s="1316"/>
      <c r="AA734" s="1316"/>
      <c r="AB734" s="1317"/>
      <c r="AC734" s="1560"/>
      <c r="AD734" s="1561"/>
      <c r="AE734" s="1561"/>
      <c r="AF734" s="1561"/>
      <c r="AG734" s="1562"/>
      <c r="AH734" s="1318" t="str">
        <f t="shared" si="37"/>
        <v/>
      </c>
      <c r="AI734" s="1319"/>
      <c r="AJ734" s="1320"/>
      <c r="AK734" s="1312" t="s">
        <v>809</v>
      </c>
      <c r="AL734" s="1313"/>
      <c r="AM734" s="1313"/>
      <c r="AN734" s="1313"/>
      <c r="AO734" s="1314"/>
      <c r="AP734" s="2"/>
      <c r="AQ734" s="2"/>
      <c r="AR734" s="2"/>
      <c r="AS734" s="2"/>
      <c r="AY734" s="711"/>
      <c r="AZ734" s="68" t="str">
        <f t="shared" si="10"/>
        <v>N/A</v>
      </c>
      <c r="BA734" s="2"/>
      <c r="BB734" s="2"/>
      <c r="BC734" s="2"/>
      <c r="BD734" s="2"/>
      <c r="BE734" s="107"/>
      <c r="BF734" s="157">
        <f t="shared" si="11"/>
        <v>0</v>
      </c>
      <c r="BG734" s="160">
        <f t="shared" si="12"/>
        <v>0</v>
      </c>
      <c r="BH734" s="161" t="str">
        <f t="shared" si="13"/>
        <v/>
      </c>
      <c r="BI734" s="2"/>
      <c r="BJ734" s="2"/>
      <c r="BK734" s="2"/>
      <c r="BL734" s="2"/>
      <c r="BM734" s="2"/>
      <c r="BN734" s="2"/>
      <c r="BS734" s="157">
        <f t="shared" si="14"/>
        <v>0</v>
      </c>
      <c r="BT734" s="160">
        <f t="shared" si="15"/>
        <v>0</v>
      </c>
      <c r="BU734" s="161" t="str">
        <f t="shared" si="16"/>
        <v/>
      </c>
      <c r="BV734" s="2"/>
      <c r="BW734" s="2"/>
      <c r="BX734" s="2"/>
      <c r="BY734" s="2"/>
      <c r="BZ734" s="2"/>
      <c r="CA734" s="2"/>
      <c r="CB734" s="2"/>
      <c r="CC734" s="2"/>
      <c r="CE734" s="2"/>
      <c r="CF734" s="2"/>
      <c r="CG734" s="1298">
        <f t="shared" si="38"/>
        <v>0</v>
      </c>
      <c r="CH734" s="1300"/>
      <c r="CI734" s="1298">
        <f t="shared" si="39"/>
        <v>0</v>
      </c>
      <c r="CJ734" s="1300"/>
      <c r="CK734" s="1298">
        <f t="shared" si="17"/>
        <v>0</v>
      </c>
      <c r="CL734" s="1300"/>
      <c r="CM734" s="1298">
        <f t="shared" si="18"/>
        <v>0</v>
      </c>
      <c r="CN734" s="1300"/>
      <c r="CO734" s="2"/>
      <c r="CP734" s="1295">
        <f t="shared" si="19"/>
        <v>0</v>
      </c>
      <c r="CQ734" s="1296"/>
      <c r="CR734" s="1296"/>
      <c r="CS734" s="1296"/>
      <c r="CT734" s="1297"/>
      <c r="CU734" s="1311">
        <f t="shared" si="20"/>
        <v>0</v>
      </c>
      <c r="CV734" s="1311"/>
      <c r="CW734" s="1311"/>
      <c r="CX734" s="1311"/>
      <c r="CY734" s="1311"/>
      <c r="CZ734" s="1311">
        <f t="shared" si="21"/>
        <v>0</v>
      </c>
      <c r="DA734" s="1311"/>
      <c r="DB734" s="1311"/>
      <c r="DC734" s="1311"/>
      <c r="DD734" s="1311"/>
      <c r="DE734" s="1311">
        <f t="shared" si="22"/>
        <v>0</v>
      </c>
      <c r="DF734" s="1311"/>
      <c r="DG734" s="1311"/>
      <c r="DH734" s="1311"/>
      <c r="DI734" s="1311"/>
      <c r="DJ734" s="1311">
        <f t="shared" si="23"/>
        <v>0</v>
      </c>
      <c r="DK734" s="1311"/>
      <c r="DL734" s="1311"/>
      <c r="DM734" s="1311"/>
      <c r="DN734" s="1311"/>
      <c r="DO734" s="1311">
        <f t="shared" si="24"/>
        <v>0</v>
      </c>
      <c r="DP734" s="1311"/>
      <c r="DQ734" s="1311"/>
      <c r="DR734" s="1311"/>
      <c r="DS734" s="1311"/>
      <c r="DT734" s="1152"/>
      <c r="DU734" s="1325">
        <f t="shared" si="25"/>
        <v>0</v>
      </c>
      <c r="DV734" s="1325"/>
      <c r="DW734" s="1325"/>
      <c r="DX734" s="1325"/>
      <c r="DY734" s="1325"/>
      <c r="DZ734" s="1325">
        <f t="shared" si="26"/>
        <v>0</v>
      </c>
      <c r="EA734" s="1325"/>
      <c r="EB734" s="1325"/>
      <c r="EC734" s="1325"/>
      <c r="ED734" s="1325"/>
      <c r="EE734" s="1325">
        <f t="shared" si="27"/>
        <v>0</v>
      </c>
      <c r="EF734" s="1325"/>
      <c r="EG734" s="1325"/>
      <c r="EH734" s="1325"/>
      <c r="EI734" s="1325"/>
      <c r="EJ734" s="1325">
        <f t="shared" si="28"/>
        <v>0</v>
      </c>
      <c r="EK734" s="1325"/>
      <c r="EL734" s="1325"/>
      <c r="EM734" s="1325"/>
      <c r="EN734" s="1325"/>
      <c r="EO734" s="1325">
        <f t="shared" si="29"/>
        <v>0</v>
      </c>
      <c r="EP734" s="1325"/>
      <c r="EQ734" s="1325"/>
      <c r="ER734" s="1325"/>
      <c r="ES734" s="1325"/>
      <c r="ET734" s="1325">
        <f t="shared" si="30"/>
        <v>0</v>
      </c>
      <c r="EU734" s="1325"/>
      <c r="EV734" s="1325"/>
      <c r="EW734" s="1325"/>
      <c r="EX734" s="1325"/>
      <c r="EZ734" s="1298" t="str">
        <f t="shared" si="31"/>
        <v/>
      </c>
      <c r="FA734" s="1299"/>
      <c r="FB734" s="1299"/>
      <c r="FC734" s="1299"/>
      <c r="FD734" s="1300"/>
      <c r="FE734" s="1298" t="str">
        <f t="shared" si="32"/>
        <v/>
      </c>
      <c r="FF734" s="1299"/>
      <c r="FG734" s="1299"/>
      <c r="FH734" s="1299"/>
      <c r="FI734" s="1300"/>
      <c r="FJ734" s="1298" t="str">
        <f t="shared" si="33"/>
        <v/>
      </c>
      <c r="FK734" s="1299"/>
      <c r="FL734" s="1299"/>
      <c r="FM734" s="1299"/>
      <c r="FN734" s="1300"/>
      <c r="FO734" s="1298" t="str">
        <f t="shared" si="34"/>
        <v/>
      </c>
      <c r="FP734" s="1299"/>
      <c r="FQ734" s="1299"/>
      <c r="FR734" s="1299"/>
      <c r="FS734" s="1300"/>
      <c r="FT734" s="1298" t="str">
        <f t="shared" si="35"/>
        <v/>
      </c>
      <c r="FU734" s="1299"/>
      <c r="FV734" s="1299"/>
      <c r="FW734" s="1299"/>
      <c r="FX734" s="1300"/>
      <c r="FY734" s="1298" t="str">
        <f t="shared" si="36"/>
        <v/>
      </c>
      <c r="FZ734" s="1299"/>
      <c r="GA734" s="1299"/>
      <c r="GB734" s="1299"/>
      <c r="GC734" s="1300"/>
    </row>
    <row r="735" spans="1:185" ht="12.9" customHeight="1">
      <c r="B735" s="1312"/>
      <c r="C735" s="1313"/>
      <c r="D735" s="1313"/>
      <c r="E735" s="1313"/>
      <c r="F735" s="1314"/>
      <c r="G735" s="1321"/>
      <c r="H735" s="1322"/>
      <c r="I735" s="1322"/>
      <c r="J735" s="1323"/>
      <c r="K735" s="1551"/>
      <c r="L735" s="1552"/>
      <c r="M735" s="1552"/>
      <c r="N735" s="1553"/>
      <c r="O735" s="1418"/>
      <c r="P735" s="1419"/>
      <c r="Q735" s="1419"/>
      <c r="R735" s="1419"/>
      <c r="S735" s="1420"/>
      <c r="T735" s="1418"/>
      <c r="U735" s="1419"/>
      <c r="V735" s="1419"/>
      <c r="W735" s="1420"/>
      <c r="X735" s="1315">
        <f t="shared" si="9"/>
        <v>0</v>
      </c>
      <c r="Y735" s="1316"/>
      <c r="Z735" s="1316"/>
      <c r="AA735" s="1316"/>
      <c r="AB735" s="1317"/>
      <c r="AC735" s="1560"/>
      <c r="AD735" s="1561"/>
      <c r="AE735" s="1561"/>
      <c r="AF735" s="1561"/>
      <c r="AG735" s="1562"/>
      <c r="AH735" s="1318" t="str">
        <f t="shared" si="37"/>
        <v/>
      </c>
      <c r="AI735" s="1319"/>
      <c r="AJ735" s="1320"/>
      <c r="AK735" s="1312" t="s">
        <v>809</v>
      </c>
      <c r="AL735" s="1313"/>
      <c r="AM735" s="1313"/>
      <c r="AN735" s="1313"/>
      <c r="AO735" s="1314"/>
      <c r="AP735" s="2"/>
      <c r="AQ735" s="2"/>
      <c r="AR735" s="2"/>
      <c r="AS735" s="2"/>
      <c r="AY735" s="711"/>
      <c r="AZ735" s="68" t="str">
        <f t="shared" si="10"/>
        <v>N/A</v>
      </c>
      <c r="BA735" s="2"/>
      <c r="BB735" s="2"/>
      <c r="BC735" s="2"/>
      <c r="BD735" s="2"/>
      <c r="BE735" s="107"/>
      <c r="BF735" s="157">
        <f t="shared" si="11"/>
        <v>0</v>
      </c>
      <c r="BG735" s="160">
        <f t="shared" si="12"/>
        <v>0</v>
      </c>
      <c r="BH735" s="161" t="str">
        <f t="shared" si="13"/>
        <v/>
      </c>
      <c r="BI735" s="2"/>
      <c r="BJ735" s="2"/>
      <c r="BK735" s="2"/>
      <c r="BL735" s="2"/>
      <c r="BM735" s="2"/>
      <c r="BN735" s="2"/>
      <c r="BS735" s="157">
        <f t="shared" si="14"/>
        <v>0</v>
      </c>
      <c r="BT735" s="160">
        <f t="shared" si="15"/>
        <v>0</v>
      </c>
      <c r="BU735" s="161" t="str">
        <f t="shared" si="16"/>
        <v/>
      </c>
      <c r="BV735" s="2"/>
      <c r="BW735" s="2"/>
      <c r="BX735" s="2"/>
      <c r="BY735" s="2"/>
      <c r="BZ735" s="2"/>
      <c r="CA735" s="2"/>
      <c r="CB735" s="2"/>
      <c r="CC735" s="2"/>
      <c r="CE735" s="2"/>
      <c r="CF735" s="2"/>
      <c r="CG735" s="1298">
        <f t="shared" si="38"/>
        <v>0</v>
      </c>
      <c r="CH735" s="1300"/>
      <c r="CI735" s="1298">
        <f t="shared" si="39"/>
        <v>0</v>
      </c>
      <c r="CJ735" s="1300"/>
      <c r="CK735" s="1298">
        <f t="shared" si="17"/>
        <v>0</v>
      </c>
      <c r="CL735" s="1300"/>
      <c r="CM735" s="1298">
        <f t="shared" si="18"/>
        <v>0</v>
      </c>
      <c r="CN735" s="1300"/>
      <c r="CO735" s="2"/>
      <c r="CP735" s="1295">
        <f t="shared" si="19"/>
        <v>0</v>
      </c>
      <c r="CQ735" s="1296"/>
      <c r="CR735" s="1296"/>
      <c r="CS735" s="1296"/>
      <c r="CT735" s="1297"/>
      <c r="CU735" s="1311">
        <f t="shared" si="20"/>
        <v>0</v>
      </c>
      <c r="CV735" s="1311"/>
      <c r="CW735" s="1311"/>
      <c r="CX735" s="1311"/>
      <c r="CY735" s="1311"/>
      <c r="CZ735" s="1311">
        <f t="shared" si="21"/>
        <v>0</v>
      </c>
      <c r="DA735" s="1311"/>
      <c r="DB735" s="1311"/>
      <c r="DC735" s="1311"/>
      <c r="DD735" s="1311"/>
      <c r="DE735" s="1311">
        <f t="shared" si="22"/>
        <v>0</v>
      </c>
      <c r="DF735" s="1311"/>
      <c r="DG735" s="1311"/>
      <c r="DH735" s="1311"/>
      <c r="DI735" s="1311"/>
      <c r="DJ735" s="1311">
        <f t="shared" si="23"/>
        <v>0</v>
      </c>
      <c r="DK735" s="1311"/>
      <c r="DL735" s="1311"/>
      <c r="DM735" s="1311"/>
      <c r="DN735" s="1311"/>
      <c r="DO735" s="1311">
        <f t="shared" si="24"/>
        <v>0</v>
      </c>
      <c r="DP735" s="1311"/>
      <c r="DQ735" s="1311"/>
      <c r="DR735" s="1311"/>
      <c r="DS735" s="1311"/>
      <c r="DT735" s="1152"/>
      <c r="DU735" s="1325">
        <f t="shared" si="25"/>
        <v>0</v>
      </c>
      <c r="DV735" s="1325"/>
      <c r="DW735" s="1325"/>
      <c r="DX735" s="1325"/>
      <c r="DY735" s="1325"/>
      <c r="DZ735" s="1325">
        <f t="shared" si="26"/>
        <v>0</v>
      </c>
      <c r="EA735" s="1325"/>
      <c r="EB735" s="1325"/>
      <c r="EC735" s="1325"/>
      <c r="ED735" s="1325"/>
      <c r="EE735" s="1325">
        <f t="shared" si="27"/>
        <v>0</v>
      </c>
      <c r="EF735" s="1325"/>
      <c r="EG735" s="1325"/>
      <c r="EH735" s="1325"/>
      <c r="EI735" s="1325"/>
      <c r="EJ735" s="1325">
        <f t="shared" si="28"/>
        <v>0</v>
      </c>
      <c r="EK735" s="1325"/>
      <c r="EL735" s="1325"/>
      <c r="EM735" s="1325"/>
      <c r="EN735" s="1325"/>
      <c r="EO735" s="1325">
        <f t="shared" si="29"/>
        <v>0</v>
      </c>
      <c r="EP735" s="1325"/>
      <c r="EQ735" s="1325"/>
      <c r="ER735" s="1325"/>
      <c r="ES735" s="1325"/>
      <c r="ET735" s="1325">
        <f t="shared" si="30"/>
        <v>0</v>
      </c>
      <c r="EU735" s="1325"/>
      <c r="EV735" s="1325"/>
      <c r="EW735" s="1325"/>
      <c r="EX735" s="1325"/>
      <c r="EZ735" s="1298" t="str">
        <f t="shared" si="31"/>
        <v/>
      </c>
      <c r="FA735" s="1299"/>
      <c r="FB735" s="1299"/>
      <c r="FC735" s="1299"/>
      <c r="FD735" s="1300"/>
      <c r="FE735" s="1298" t="str">
        <f t="shared" si="32"/>
        <v/>
      </c>
      <c r="FF735" s="1299"/>
      <c r="FG735" s="1299"/>
      <c r="FH735" s="1299"/>
      <c r="FI735" s="1300"/>
      <c r="FJ735" s="1298" t="str">
        <f t="shared" si="33"/>
        <v/>
      </c>
      <c r="FK735" s="1299"/>
      <c r="FL735" s="1299"/>
      <c r="FM735" s="1299"/>
      <c r="FN735" s="1300"/>
      <c r="FO735" s="1298" t="str">
        <f t="shared" si="34"/>
        <v/>
      </c>
      <c r="FP735" s="1299"/>
      <c r="FQ735" s="1299"/>
      <c r="FR735" s="1299"/>
      <c r="FS735" s="1300"/>
      <c r="FT735" s="1298" t="str">
        <f t="shared" si="35"/>
        <v/>
      </c>
      <c r="FU735" s="1299"/>
      <c r="FV735" s="1299"/>
      <c r="FW735" s="1299"/>
      <c r="FX735" s="1300"/>
      <c r="FY735" s="1298" t="str">
        <f t="shared" si="36"/>
        <v/>
      </c>
      <c r="FZ735" s="1299"/>
      <c r="GA735" s="1299"/>
      <c r="GB735" s="1299"/>
      <c r="GC735" s="1300"/>
    </row>
    <row r="736" spans="1:185" ht="12.9" customHeight="1">
      <c r="B736" s="1312"/>
      <c r="C736" s="1313"/>
      <c r="D736" s="1313"/>
      <c r="E736" s="1313"/>
      <c r="F736" s="1314"/>
      <c r="G736" s="1321"/>
      <c r="H736" s="1322"/>
      <c r="I736" s="1322"/>
      <c r="J736" s="1323"/>
      <c r="K736" s="1551"/>
      <c r="L736" s="1552"/>
      <c r="M736" s="1552"/>
      <c r="N736" s="1553"/>
      <c r="O736" s="1418"/>
      <c r="P736" s="1419"/>
      <c r="Q736" s="1419"/>
      <c r="R736" s="1419"/>
      <c r="S736" s="1420"/>
      <c r="T736" s="1418"/>
      <c r="U736" s="1419"/>
      <c r="V736" s="1419"/>
      <c r="W736" s="1420"/>
      <c r="X736" s="1315">
        <f t="shared" si="9"/>
        <v>0</v>
      </c>
      <c r="Y736" s="1316"/>
      <c r="Z736" s="1316"/>
      <c r="AA736" s="1316"/>
      <c r="AB736" s="1317"/>
      <c r="AC736" s="1560"/>
      <c r="AD736" s="1561"/>
      <c r="AE736" s="1561"/>
      <c r="AF736" s="1561"/>
      <c r="AG736" s="1562"/>
      <c r="AH736" s="1318" t="str">
        <f t="shared" si="37"/>
        <v/>
      </c>
      <c r="AI736" s="1319"/>
      <c r="AJ736" s="1320"/>
      <c r="AK736" s="1312" t="s">
        <v>809</v>
      </c>
      <c r="AL736" s="1313"/>
      <c r="AM736" s="1313"/>
      <c r="AN736" s="1313"/>
      <c r="AO736" s="1314"/>
      <c r="AP736" s="2"/>
      <c r="AQ736" s="2"/>
      <c r="AR736" s="2"/>
      <c r="AS736" s="2"/>
      <c r="AY736" s="711"/>
      <c r="AZ736" s="68" t="str">
        <f t="shared" si="10"/>
        <v>N/A</v>
      </c>
      <c r="BA736" s="2"/>
      <c r="BB736" s="2"/>
      <c r="BC736" s="2"/>
      <c r="BD736" s="2"/>
      <c r="BE736" s="107"/>
      <c r="BF736" s="157">
        <f t="shared" si="11"/>
        <v>0</v>
      </c>
      <c r="BG736" s="160">
        <f t="shared" si="12"/>
        <v>0</v>
      </c>
      <c r="BH736" s="161" t="str">
        <f t="shared" si="13"/>
        <v/>
      </c>
      <c r="BI736" s="2"/>
      <c r="BJ736" s="2"/>
      <c r="BK736" s="2"/>
      <c r="BL736" s="2"/>
      <c r="BM736" s="2"/>
      <c r="BN736" s="2"/>
      <c r="BS736" s="157">
        <f t="shared" si="14"/>
        <v>0</v>
      </c>
      <c r="BT736" s="160">
        <f t="shared" si="15"/>
        <v>0</v>
      </c>
      <c r="BU736" s="161" t="str">
        <f t="shared" si="16"/>
        <v/>
      </c>
      <c r="BV736" s="2"/>
      <c r="BW736" s="2"/>
      <c r="BX736" s="2"/>
      <c r="BY736" s="2"/>
      <c r="BZ736" s="2"/>
      <c r="CA736" s="2"/>
      <c r="CB736" s="2"/>
      <c r="CC736" s="2"/>
      <c r="CE736" s="2"/>
      <c r="CF736" s="2"/>
      <c r="CG736" s="1298">
        <f t="shared" si="38"/>
        <v>0</v>
      </c>
      <c r="CH736" s="1300"/>
      <c r="CI736" s="1298">
        <f t="shared" si="39"/>
        <v>0</v>
      </c>
      <c r="CJ736" s="1300"/>
      <c r="CK736" s="1298">
        <f t="shared" si="17"/>
        <v>0</v>
      </c>
      <c r="CL736" s="1300"/>
      <c r="CM736" s="1298">
        <f t="shared" si="18"/>
        <v>0</v>
      </c>
      <c r="CN736" s="1300"/>
      <c r="CO736" s="2"/>
      <c r="CP736" s="1295">
        <f t="shared" si="19"/>
        <v>0</v>
      </c>
      <c r="CQ736" s="1296"/>
      <c r="CR736" s="1296"/>
      <c r="CS736" s="1296"/>
      <c r="CT736" s="1297"/>
      <c r="CU736" s="1311">
        <f t="shared" si="20"/>
        <v>0</v>
      </c>
      <c r="CV736" s="1311"/>
      <c r="CW736" s="1311"/>
      <c r="CX736" s="1311"/>
      <c r="CY736" s="1311"/>
      <c r="CZ736" s="1311">
        <f t="shared" si="21"/>
        <v>0</v>
      </c>
      <c r="DA736" s="1311"/>
      <c r="DB736" s="1311"/>
      <c r="DC736" s="1311"/>
      <c r="DD736" s="1311"/>
      <c r="DE736" s="1311">
        <f t="shared" si="22"/>
        <v>0</v>
      </c>
      <c r="DF736" s="1311"/>
      <c r="DG736" s="1311"/>
      <c r="DH736" s="1311"/>
      <c r="DI736" s="1311"/>
      <c r="DJ736" s="1311">
        <f t="shared" si="23"/>
        <v>0</v>
      </c>
      <c r="DK736" s="1311"/>
      <c r="DL736" s="1311"/>
      <c r="DM736" s="1311"/>
      <c r="DN736" s="1311"/>
      <c r="DO736" s="1311">
        <f t="shared" si="24"/>
        <v>0</v>
      </c>
      <c r="DP736" s="1311"/>
      <c r="DQ736" s="1311"/>
      <c r="DR736" s="1311"/>
      <c r="DS736" s="1311"/>
      <c r="DT736" s="1152"/>
      <c r="DU736" s="1325">
        <f t="shared" si="25"/>
        <v>0</v>
      </c>
      <c r="DV736" s="1325"/>
      <c r="DW736" s="1325"/>
      <c r="DX736" s="1325"/>
      <c r="DY736" s="1325"/>
      <c r="DZ736" s="1325">
        <f t="shared" si="26"/>
        <v>0</v>
      </c>
      <c r="EA736" s="1325"/>
      <c r="EB736" s="1325"/>
      <c r="EC736" s="1325"/>
      <c r="ED736" s="1325"/>
      <c r="EE736" s="1325">
        <f t="shared" si="27"/>
        <v>0</v>
      </c>
      <c r="EF736" s="1325"/>
      <c r="EG736" s="1325"/>
      <c r="EH736" s="1325"/>
      <c r="EI736" s="1325"/>
      <c r="EJ736" s="1325">
        <f t="shared" si="28"/>
        <v>0</v>
      </c>
      <c r="EK736" s="1325"/>
      <c r="EL736" s="1325"/>
      <c r="EM736" s="1325"/>
      <c r="EN736" s="1325"/>
      <c r="EO736" s="1325">
        <f t="shared" si="29"/>
        <v>0</v>
      </c>
      <c r="EP736" s="1325"/>
      <c r="EQ736" s="1325"/>
      <c r="ER736" s="1325"/>
      <c r="ES736" s="1325"/>
      <c r="ET736" s="1325">
        <f t="shared" si="30"/>
        <v>0</v>
      </c>
      <c r="EU736" s="1325"/>
      <c r="EV736" s="1325"/>
      <c r="EW736" s="1325"/>
      <c r="EX736" s="1325"/>
      <c r="EZ736" s="1298" t="str">
        <f t="shared" si="31"/>
        <v/>
      </c>
      <c r="FA736" s="1299"/>
      <c r="FB736" s="1299"/>
      <c r="FC736" s="1299"/>
      <c r="FD736" s="1300"/>
      <c r="FE736" s="1298" t="str">
        <f t="shared" si="32"/>
        <v/>
      </c>
      <c r="FF736" s="1299"/>
      <c r="FG736" s="1299"/>
      <c r="FH736" s="1299"/>
      <c r="FI736" s="1300"/>
      <c r="FJ736" s="1298" t="str">
        <f t="shared" si="33"/>
        <v/>
      </c>
      <c r="FK736" s="1299"/>
      <c r="FL736" s="1299"/>
      <c r="FM736" s="1299"/>
      <c r="FN736" s="1300"/>
      <c r="FO736" s="1298" t="str">
        <f t="shared" si="34"/>
        <v/>
      </c>
      <c r="FP736" s="1299"/>
      <c r="FQ736" s="1299"/>
      <c r="FR736" s="1299"/>
      <c r="FS736" s="1300"/>
      <c r="FT736" s="1298" t="str">
        <f t="shared" si="35"/>
        <v/>
      </c>
      <c r="FU736" s="1299"/>
      <c r="FV736" s="1299"/>
      <c r="FW736" s="1299"/>
      <c r="FX736" s="1300"/>
      <c r="FY736" s="1298" t="str">
        <f t="shared" si="36"/>
        <v/>
      </c>
      <c r="FZ736" s="1299"/>
      <c r="GA736" s="1299"/>
      <c r="GB736" s="1299"/>
      <c r="GC736" s="1300"/>
    </row>
    <row r="737" spans="1:185" ht="12.9" customHeight="1">
      <c r="B737" s="1312"/>
      <c r="C737" s="1313"/>
      <c r="D737" s="1313"/>
      <c r="E737" s="1313"/>
      <c r="F737" s="1314"/>
      <c r="G737" s="1321"/>
      <c r="H737" s="1322"/>
      <c r="I737" s="1322"/>
      <c r="J737" s="1323"/>
      <c r="K737" s="1551"/>
      <c r="L737" s="1552"/>
      <c r="M737" s="1552"/>
      <c r="N737" s="1553"/>
      <c r="O737" s="1418"/>
      <c r="P737" s="1419"/>
      <c r="Q737" s="1419"/>
      <c r="R737" s="1419"/>
      <c r="S737" s="1420"/>
      <c r="T737" s="1418"/>
      <c r="U737" s="1419"/>
      <c r="V737" s="1419"/>
      <c r="W737" s="1420"/>
      <c r="X737" s="1315">
        <f t="shared" si="9"/>
        <v>0</v>
      </c>
      <c r="Y737" s="1316"/>
      <c r="Z737" s="1316"/>
      <c r="AA737" s="1316"/>
      <c r="AB737" s="1317"/>
      <c r="AC737" s="1560"/>
      <c r="AD737" s="1561"/>
      <c r="AE737" s="1561"/>
      <c r="AF737" s="1561"/>
      <c r="AG737" s="1562"/>
      <c r="AH737" s="1318" t="str">
        <f t="shared" si="37"/>
        <v/>
      </c>
      <c r="AI737" s="1319"/>
      <c r="AJ737" s="1320"/>
      <c r="AK737" s="1312" t="s">
        <v>809</v>
      </c>
      <c r="AL737" s="1313"/>
      <c r="AM737" s="1313"/>
      <c r="AN737" s="1313"/>
      <c r="AO737" s="1314"/>
      <c r="AP737" s="2"/>
      <c r="AQ737" s="2"/>
      <c r="AR737" s="2"/>
      <c r="AS737" s="2"/>
      <c r="AY737" s="711"/>
      <c r="AZ737" s="68" t="str">
        <f t="shared" si="10"/>
        <v>N/A</v>
      </c>
      <c r="BA737" s="2"/>
      <c r="BB737" s="2"/>
      <c r="BC737" s="2"/>
      <c r="BD737" s="2"/>
      <c r="BE737" s="107"/>
      <c r="BF737" s="157">
        <f t="shared" si="11"/>
        <v>0</v>
      </c>
      <c r="BG737" s="160">
        <f t="shared" si="12"/>
        <v>0</v>
      </c>
      <c r="BH737" s="161" t="str">
        <f t="shared" si="13"/>
        <v/>
      </c>
      <c r="BI737" s="2"/>
      <c r="BJ737" s="2"/>
      <c r="BK737" s="2"/>
      <c r="BL737" s="2"/>
      <c r="BM737" s="2"/>
      <c r="BN737" s="2"/>
      <c r="BS737" s="157">
        <f t="shared" si="14"/>
        <v>0</v>
      </c>
      <c r="BT737" s="160">
        <f t="shared" si="15"/>
        <v>0</v>
      </c>
      <c r="BU737" s="161" t="str">
        <f t="shared" si="16"/>
        <v/>
      </c>
      <c r="BV737" s="2"/>
      <c r="BW737" s="2"/>
      <c r="BX737" s="2"/>
      <c r="BY737" s="2"/>
      <c r="BZ737" s="2"/>
      <c r="CA737" s="2"/>
      <c r="CB737" s="2"/>
      <c r="CC737" s="2"/>
      <c r="CE737" s="2"/>
      <c r="CF737" s="2"/>
      <c r="CG737" s="1298">
        <f t="shared" si="38"/>
        <v>0</v>
      </c>
      <c r="CH737" s="1300"/>
      <c r="CI737" s="1298">
        <f t="shared" si="39"/>
        <v>0</v>
      </c>
      <c r="CJ737" s="1300"/>
      <c r="CK737" s="1298">
        <f t="shared" si="17"/>
        <v>0</v>
      </c>
      <c r="CL737" s="1300"/>
      <c r="CM737" s="1298">
        <f t="shared" si="18"/>
        <v>0</v>
      </c>
      <c r="CN737" s="1300"/>
      <c r="CO737" s="2"/>
      <c r="CP737" s="1295">
        <f t="shared" si="19"/>
        <v>0</v>
      </c>
      <c r="CQ737" s="1296"/>
      <c r="CR737" s="1296"/>
      <c r="CS737" s="1296"/>
      <c r="CT737" s="1297"/>
      <c r="CU737" s="1311">
        <f t="shared" si="20"/>
        <v>0</v>
      </c>
      <c r="CV737" s="1311"/>
      <c r="CW737" s="1311"/>
      <c r="CX737" s="1311"/>
      <c r="CY737" s="1311"/>
      <c r="CZ737" s="1311">
        <f t="shared" si="21"/>
        <v>0</v>
      </c>
      <c r="DA737" s="1311"/>
      <c r="DB737" s="1311"/>
      <c r="DC737" s="1311"/>
      <c r="DD737" s="1311"/>
      <c r="DE737" s="1311">
        <f t="shared" si="22"/>
        <v>0</v>
      </c>
      <c r="DF737" s="1311"/>
      <c r="DG737" s="1311"/>
      <c r="DH737" s="1311"/>
      <c r="DI737" s="1311"/>
      <c r="DJ737" s="1311">
        <f t="shared" si="23"/>
        <v>0</v>
      </c>
      <c r="DK737" s="1311"/>
      <c r="DL737" s="1311"/>
      <c r="DM737" s="1311"/>
      <c r="DN737" s="1311"/>
      <c r="DO737" s="1311">
        <f t="shared" si="24"/>
        <v>0</v>
      </c>
      <c r="DP737" s="1311"/>
      <c r="DQ737" s="1311"/>
      <c r="DR737" s="1311"/>
      <c r="DS737" s="1311"/>
      <c r="DT737" s="1152"/>
      <c r="DU737" s="1325">
        <f t="shared" si="25"/>
        <v>0</v>
      </c>
      <c r="DV737" s="1325"/>
      <c r="DW737" s="1325"/>
      <c r="DX737" s="1325"/>
      <c r="DY737" s="1325"/>
      <c r="DZ737" s="1325">
        <f t="shared" si="26"/>
        <v>0</v>
      </c>
      <c r="EA737" s="1325"/>
      <c r="EB737" s="1325"/>
      <c r="EC737" s="1325"/>
      <c r="ED737" s="1325"/>
      <c r="EE737" s="1325">
        <f t="shared" si="27"/>
        <v>0</v>
      </c>
      <c r="EF737" s="1325"/>
      <c r="EG737" s="1325"/>
      <c r="EH737" s="1325"/>
      <c r="EI737" s="1325"/>
      <c r="EJ737" s="1325">
        <f t="shared" si="28"/>
        <v>0</v>
      </c>
      <c r="EK737" s="1325"/>
      <c r="EL737" s="1325"/>
      <c r="EM737" s="1325"/>
      <c r="EN737" s="1325"/>
      <c r="EO737" s="1325">
        <f t="shared" si="29"/>
        <v>0</v>
      </c>
      <c r="EP737" s="1325"/>
      <c r="EQ737" s="1325"/>
      <c r="ER737" s="1325"/>
      <c r="ES737" s="1325"/>
      <c r="ET737" s="1325">
        <f t="shared" si="30"/>
        <v>0</v>
      </c>
      <c r="EU737" s="1325"/>
      <c r="EV737" s="1325"/>
      <c r="EW737" s="1325"/>
      <c r="EX737" s="1325"/>
      <c r="EZ737" s="1298" t="str">
        <f t="shared" si="31"/>
        <v/>
      </c>
      <c r="FA737" s="1299"/>
      <c r="FB737" s="1299"/>
      <c r="FC737" s="1299"/>
      <c r="FD737" s="1300"/>
      <c r="FE737" s="1298" t="str">
        <f t="shared" si="32"/>
        <v/>
      </c>
      <c r="FF737" s="1299"/>
      <c r="FG737" s="1299"/>
      <c r="FH737" s="1299"/>
      <c r="FI737" s="1300"/>
      <c r="FJ737" s="1298" t="str">
        <f t="shared" si="33"/>
        <v/>
      </c>
      <c r="FK737" s="1299"/>
      <c r="FL737" s="1299"/>
      <c r="FM737" s="1299"/>
      <c r="FN737" s="1300"/>
      <c r="FO737" s="1298" t="str">
        <f t="shared" si="34"/>
        <v/>
      </c>
      <c r="FP737" s="1299"/>
      <c r="FQ737" s="1299"/>
      <c r="FR737" s="1299"/>
      <c r="FS737" s="1300"/>
      <c r="FT737" s="1298" t="str">
        <f t="shared" si="35"/>
        <v/>
      </c>
      <c r="FU737" s="1299"/>
      <c r="FV737" s="1299"/>
      <c r="FW737" s="1299"/>
      <c r="FX737" s="1300"/>
      <c r="FY737" s="1298" t="str">
        <f t="shared" si="36"/>
        <v/>
      </c>
      <c r="FZ737" s="1299"/>
      <c r="GA737" s="1299"/>
      <c r="GB737" s="1299"/>
      <c r="GC737" s="1300"/>
    </row>
    <row r="738" spans="1:185" ht="12.9" customHeight="1">
      <c r="B738" s="1312"/>
      <c r="C738" s="1313"/>
      <c r="D738" s="1313"/>
      <c r="E738" s="1313"/>
      <c r="F738" s="1314"/>
      <c r="G738" s="1321"/>
      <c r="H738" s="1322"/>
      <c r="I738" s="1322"/>
      <c r="J738" s="1323"/>
      <c r="K738" s="1551"/>
      <c r="L738" s="1552"/>
      <c r="M738" s="1552"/>
      <c r="N738" s="1553"/>
      <c r="O738" s="1418"/>
      <c r="P738" s="1419"/>
      <c r="Q738" s="1419"/>
      <c r="R738" s="1419"/>
      <c r="S738" s="1420"/>
      <c r="T738" s="1418"/>
      <c r="U738" s="1419"/>
      <c r="V738" s="1419"/>
      <c r="W738" s="1420"/>
      <c r="X738" s="1315">
        <f t="shared" si="9"/>
        <v>0</v>
      </c>
      <c r="Y738" s="1316"/>
      <c r="Z738" s="1316"/>
      <c r="AA738" s="1316"/>
      <c r="AB738" s="1317"/>
      <c r="AC738" s="1560"/>
      <c r="AD738" s="1561"/>
      <c r="AE738" s="1561"/>
      <c r="AF738" s="1561"/>
      <c r="AG738" s="1562"/>
      <c r="AH738" s="1318" t="str">
        <f t="shared" si="37"/>
        <v/>
      </c>
      <c r="AI738" s="1319"/>
      <c r="AJ738" s="1320"/>
      <c r="AK738" s="1312" t="s">
        <v>809</v>
      </c>
      <c r="AL738" s="1313"/>
      <c r="AM738" s="1313"/>
      <c r="AN738" s="1313"/>
      <c r="AO738" s="1314"/>
      <c r="AP738" s="2"/>
      <c r="AQ738" s="2"/>
      <c r="AR738" s="2"/>
      <c r="AS738" s="2"/>
      <c r="AY738" s="711"/>
      <c r="AZ738" s="68" t="str">
        <f t="shared" si="10"/>
        <v>N/A</v>
      </c>
      <c r="BA738" s="2"/>
      <c r="BE738" s="107"/>
      <c r="BF738" s="157">
        <f t="shared" si="11"/>
        <v>0</v>
      </c>
      <c r="BG738" s="160">
        <f t="shared" si="12"/>
        <v>0</v>
      </c>
      <c r="BH738" s="161" t="str">
        <f t="shared" si="13"/>
        <v/>
      </c>
      <c r="BK738" s="2"/>
      <c r="BL738" s="2"/>
      <c r="BM738" s="2"/>
      <c r="BN738" s="2"/>
      <c r="BS738" s="157">
        <f t="shared" si="14"/>
        <v>0</v>
      </c>
      <c r="BT738" s="160">
        <f t="shared" si="15"/>
        <v>0</v>
      </c>
      <c r="BU738" s="161" t="str">
        <f t="shared" si="16"/>
        <v/>
      </c>
      <c r="BV738" s="2"/>
      <c r="BW738" s="2"/>
      <c r="BX738" s="2"/>
      <c r="BY738" s="2"/>
      <c r="BZ738" s="2"/>
      <c r="CA738" s="2"/>
      <c r="CB738" s="2"/>
      <c r="CC738" s="2"/>
      <c r="CE738" s="2"/>
      <c r="CF738" s="2"/>
      <c r="CG738" s="1298">
        <f t="shared" si="38"/>
        <v>0</v>
      </c>
      <c r="CH738" s="1300"/>
      <c r="CI738" s="1298">
        <f t="shared" si="39"/>
        <v>0</v>
      </c>
      <c r="CJ738" s="1300"/>
      <c r="CK738" s="1298">
        <f t="shared" si="17"/>
        <v>0</v>
      </c>
      <c r="CL738" s="1300"/>
      <c r="CM738" s="1298">
        <f t="shared" si="18"/>
        <v>0</v>
      </c>
      <c r="CN738" s="1300"/>
      <c r="CO738" s="2"/>
      <c r="CP738" s="1295">
        <f t="shared" si="19"/>
        <v>0</v>
      </c>
      <c r="CQ738" s="1296"/>
      <c r="CR738" s="1296"/>
      <c r="CS738" s="1296"/>
      <c r="CT738" s="1297"/>
      <c r="CU738" s="1311">
        <f t="shared" si="20"/>
        <v>0</v>
      </c>
      <c r="CV738" s="1311"/>
      <c r="CW738" s="1311"/>
      <c r="CX738" s="1311"/>
      <c r="CY738" s="1311"/>
      <c r="CZ738" s="1311">
        <f t="shared" si="21"/>
        <v>0</v>
      </c>
      <c r="DA738" s="1311"/>
      <c r="DB738" s="1311"/>
      <c r="DC738" s="1311"/>
      <c r="DD738" s="1311"/>
      <c r="DE738" s="1311">
        <f t="shared" si="22"/>
        <v>0</v>
      </c>
      <c r="DF738" s="1311"/>
      <c r="DG738" s="1311"/>
      <c r="DH738" s="1311"/>
      <c r="DI738" s="1311"/>
      <c r="DJ738" s="1311">
        <f t="shared" si="23"/>
        <v>0</v>
      </c>
      <c r="DK738" s="1311"/>
      <c r="DL738" s="1311"/>
      <c r="DM738" s="1311"/>
      <c r="DN738" s="1311"/>
      <c r="DO738" s="1311">
        <f t="shared" si="24"/>
        <v>0</v>
      </c>
      <c r="DP738" s="1311"/>
      <c r="DQ738" s="1311"/>
      <c r="DR738" s="1311"/>
      <c r="DS738" s="1311"/>
      <c r="DT738" s="1152"/>
      <c r="DU738" s="1325">
        <f t="shared" si="25"/>
        <v>0</v>
      </c>
      <c r="DV738" s="1325"/>
      <c r="DW738" s="1325"/>
      <c r="DX738" s="1325"/>
      <c r="DY738" s="1325"/>
      <c r="DZ738" s="1325">
        <f t="shared" si="26"/>
        <v>0</v>
      </c>
      <c r="EA738" s="1325"/>
      <c r="EB738" s="1325"/>
      <c r="EC738" s="1325"/>
      <c r="ED738" s="1325"/>
      <c r="EE738" s="1325">
        <f t="shared" si="27"/>
        <v>0</v>
      </c>
      <c r="EF738" s="1325"/>
      <c r="EG738" s="1325"/>
      <c r="EH738" s="1325"/>
      <c r="EI738" s="1325"/>
      <c r="EJ738" s="1325">
        <f t="shared" si="28"/>
        <v>0</v>
      </c>
      <c r="EK738" s="1325"/>
      <c r="EL738" s="1325"/>
      <c r="EM738" s="1325"/>
      <c r="EN738" s="1325"/>
      <c r="EO738" s="1325">
        <f t="shared" si="29"/>
        <v>0</v>
      </c>
      <c r="EP738" s="1325"/>
      <c r="EQ738" s="1325"/>
      <c r="ER738" s="1325"/>
      <c r="ES738" s="1325"/>
      <c r="ET738" s="1325">
        <f t="shared" si="30"/>
        <v>0</v>
      </c>
      <c r="EU738" s="1325"/>
      <c r="EV738" s="1325"/>
      <c r="EW738" s="1325"/>
      <c r="EX738" s="1325"/>
      <c r="EZ738" s="1298" t="str">
        <f t="shared" si="31"/>
        <v/>
      </c>
      <c r="FA738" s="1299"/>
      <c r="FB738" s="1299"/>
      <c r="FC738" s="1299"/>
      <c r="FD738" s="1300"/>
      <c r="FE738" s="1298" t="str">
        <f t="shared" si="32"/>
        <v/>
      </c>
      <c r="FF738" s="1299"/>
      <c r="FG738" s="1299"/>
      <c r="FH738" s="1299"/>
      <c r="FI738" s="1300"/>
      <c r="FJ738" s="1298" t="str">
        <f t="shared" si="33"/>
        <v/>
      </c>
      <c r="FK738" s="1299"/>
      <c r="FL738" s="1299"/>
      <c r="FM738" s="1299"/>
      <c r="FN738" s="1300"/>
      <c r="FO738" s="1298" t="str">
        <f t="shared" si="34"/>
        <v/>
      </c>
      <c r="FP738" s="1299"/>
      <c r="FQ738" s="1299"/>
      <c r="FR738" s="1299"/>
      <c r="FS738" s="1300"/>
      <c r="FT738" s="1298" t="str">
        <f t="shared" si="35"/>
        <v/>
      </c>
      <c r="FU738" s="1299"/>
      <c r="FV738" s="1299"/>
      <c r="FW738" s="1299"/>
      <c r="FX738" s="1300"/>
      <c r="FY738" s="1298" t="str">
        <f t="shared" si="36"/>
        <v/>
      </c>
      <c r="FZ738" s="1299"/>
      <c r="GA738" s="1299"/>
      <c r="GB738" s="1299"/>
      <c r="GC738" s="1300"/>
    </row>
    <row r="739" spans="1:185" ht="12.9" customHeight="1">
      <c r="B739" s="1312"/>
      <c r="C739" s="1313"/>
      <c r="D739" s="1313"/>
      <c r="E739" s="1313"/>
      <c r="F739" s="1314"/>
      <c r="G739" s="1321"/>
      <c r="H739" s="1322"/>
      <c r="I739" s="1322"/>
      <c r="J739" s="1323"/>
      <c r="K739" s="1551"/>
      <c r="L739" s="1552"/>
      <c r="M739" s="1552"/>
      <c r="N739" s="1553"/>
      <c r="O739" s="1418"/>
      <c r="P739" s="1419"/>
      <c r="Q739" s="1419"/>
      <c r="R739" s="1419"/>
      <c r="S739" s="1420"/>
      <c r="T739" s="1418"/>
      <c r="U739" s="1419"/>
      <c r="V739" s="1419"/>
      <c r="W739" s="1420"/>
      <c r="X739" s="1315">
        <f t="shared" si="9"/>
        <v>0</v>
      </c>
      <c r="Y739" s="1316"/>
      <c r="Z739" s="1316"/>
      <c r="AA739" s="1316"/>
      <c r="AB739" s="1317"/>
      <c r="AC739" s="1560"/>
      <c r="AD739" s="1561"/>
      <c r="AE739" s="1561"/>
      <c r="AF739" s="1561"/>
      <c r="AG739" s="1562"/>
      <c r="AH739" s="1318" t="str">
        <f t="shared" si="37"/>
        <v/>
      </c>
      <c r="AI739" s="1319"/>
      <c r="AJ739" s="1320"/>
      <c r="AK739" s="1312" t="s">
        <v>809</v>
      </c>
      <c r="AL739" s="1313"/>
      <c r="AM739" s="1313"/>
      <c r="AN739" s="1313"/>
      <c r="AO739" s="1314"/>
      <c r="AP739" s="2"/>
      <c r="AQ739" s="2"/>
      <c r="AR739" s="2"/>
      <c r="AS739" s="2"/>
      <c r="AY739" s="711"/>
      <c r="AZ739" s="68" t="str">
        <f t="shared" si="10"/>
        <v>N/A</v>
      </c>
      <c r="BA739" s="2"/>
      <c r="BE739" s="107"/>
      <c r="BF739" s="157">
        <f t="shared" si="11"/>
        <v>0</v>
      </c>
      <c r="BG739" s="160">
        <f t="shared" si="12"/>
        <v>0</v>
      </c>
      <c r="BH739" s="161" t="str">
        <f t="shared" si="13"/>
        <v/>
      </c>
      <c r="BK739" s="2"/>
      <c r="BL739" s="2"/>
      <c r="BM739" s="2"/>
      <c r="BN739" s="2"/>
      <c r="BS739" s="157">
        <f t="shared" si="14"/>
        <v>0</v>
      </c>
      <c r="BT739" s="160">
        <f t="shared" si="15"/>
        <v>0</v>
      </c>
      <c r="BU739" s="161" t="str">
        <f t="shared" si="16"/>
        <v/>
      </c>
      <c r="BV739" s="2"/>
      <c r="BW739" s="2"/>
      <c r="BX739" s="2"/>
      <c r="BY739" s="2"/>
      <c r="BZ739" s="2"/>
      <c r="CA739" s="2"/>
      <c r="CB739" s="2"/>
      <c r="CC739" s="2"/>
      <c r="CE739" s="2"/>
      <c r="CF739" s="2"/>
      <c r="CG739" s="1298">
        <f t="shared" si="38"/>
        <v>0</v>
      </c>
      <c r="CH739" s="1300"/>
      <c r="CI739" s="1298">
        <f t="shared" si="39"/>
        <v>0</v>
      </c>
      <c r="CJ739" s="1300"/>
      <c r="CK739" s="1298">
        <f t="shared" si="17"/>
        <v>0</v>
      </c>
      <c r="CL739" s="1300"/>
      <c r="CM739" s="1298">
        <f t="shared" si="18"/>
        <v>0</v>
      </c>
      <c r="CN739" s="1300"/>
      <c r="CO739" s="2"/>
      <c r="CP739" s="1295">
        <f t="shared" si="19"/>
        <v>0</v>
      </c>
      <c r="CQ739" s="1296"/>
      <c r="CR739" s="1296"/>
      <c r="CS739" s="1296"/>
      <c r="CT739" s="1297"/>
      <c r="CU739" s="1311">
        <f t="shared" si="20"/>
        <v>0</v>
      </c>
      <c r="CV739" s="1311"/>
      <c r="CW739" s="1311"/>
      <c r="CX739" s="1311"/>
      <c r="CY739" s="1311"/>
      <c r="CZ739" s="1311">
        <f t="shared" si="21"/>
        <v>0</v>
      </c>
      <c r="DA739" s="1311"/>
      <c r="DB739" s="1311"/>
      <c r="DC739" s="1311"/>
      <c r="DD739" s="1311"/>
      <c r="DE739" s="1311">
        <f t="shared" si="22"/>
        <v>0</v>
      </c>
      <c r="DF739" s="1311"/>
      <c r="DG739" s="1311"/>
      <c r="DH739" s="1311"/>
      <c r="DI739" s="1311"/>
      <c r="DJ739" s="1311">
        <f t="shared" si="23"/>
        <v>0</v>
      </c>
      <c r="DK739" s="1311"/>
      <c r="DL739" s="1311"/>
      <c r="DM739" s="1311"/>
      <c r="DN739" s="1311"/>
      <c r="DO739" s="1311">
        <f t="shared" si="24"/>
        <v>0</v>
      </c>
      <c r="DP739" s="1311"/>
      <c r="DQ739" s="1311"/>
      <c r="DR739" s="1311"/>
      <c r="DS739" s="1311"/>
      <c r="DT739" s="1152"/>
      <c r="DU739" s="1325">
        <f t="shared" si="25"/>
        <v>0</v>
      </c>
      <c r="DV739" s="1325"/>
      <c r="DW739" s="1325"/>
      <c r="DX739" s="1325"/>
      <c r="DY739" s="1325"/>
      <c r="DZ739" s="1325">
        <f t="shared" si="26"/>
        <v>0</v>
      </c>
      <c r="EA739" s="1325"/>
      <c r="EB739" s="1325"/>
      <c r="EC739" s="1325"/>
      <c r="ED739" s="1325"/>
      <c r="EE739" s="1325">
        <f t="shared" si="27"/>
        <v>0</v>
      </c>
      <c r="EF739" s="1325"/>
      <c r="EG739" s="1325"/>
      <c r="EH739" s="1325"/>
      <c r="EI739" s="1325"/>
      <c r="EJ739" s="1325">
        <f t="shared" si="28"/>
        <v>0</v>
      </c>
      <c r="EK739" s="1325"/>
      <c r="EL739" s="1325"/>
      <c r="EM739" s="1325"/>
      <c r="EN739" s="1325"/>
      <c r="EO739" s="1325">
        <f t="shared" si="29"/>
        <v>0</v>
      </c>
      <c r="EP739" s="1325"/>
      <c r="EQ739" s="1325"/>
      <c r="ER739" s="1325"/>
      <c r="ES739" s="1325"/>
      <c r="ET739" s="1325">
        <f t="shared" si="30"/>
        <v>0</v>
      </c>
      <c r="EU739" s="1325"/>
      <c r="EV739" s="1325"/>
      <c r="EW739" s="1325"/>
      <c r="EX739" s="1325"/>
      <c r="EZ739" s="1298" t="str">
        <f t="shared" si="31"/>
        <v/>
      </c>
      <c r="FA739" s="1299"/>
      <c r="FB739" s="1299"/>
      <c r="FC739" s="1299"/>
      <c r="FD739" s="1300"/>
      <c r="FE739" s="1298" t="str">
        <f t="shared" si="32"/>
        <v/>
      </c>
      <c r="FF739" s="1299"/>
      <c r="FG739" s="1299"/>
      <c r="FH739" s="1299"/>
      <c r="FI739" s="1300"/>
      <c r="FJ739" s="1298" t="str">
        <f t="shared" si="33"/>
        <v/>
      </c>
      <c r="FK739" s="1299"/>
      <c r="FL739" s="1299"/>
      <c r="FM739" s="1299"/>
      <c r="FN739" s="1300"/>
      <c r="FO739" s="1298" t="str">
        <f t="shared" si="34"/>
        <v/>
      </c>
      <c r="FP739" s="1299"/>
      <c r="FQ739" s="1299"/>
      <c r="FR739" s="1299"/>
      <c r="FS739" s="1300"/>
      <c r="FT739" s="1298" t="str">
        <f t="shared" si="35"/>
        <v/>
      </c>
      <c r="FU739" s="1299"/>
      <c r="FV739" s="1299"/>
      <c r="FW739" s="1299"/>
      <c r="FX739" s="1300"/>
      <c r="FY739" s="1298" t="str">
        <f t="shared" si="36"/>
        <v/>
      </c>
      <c r="FZ739" s="1299"/>
      <c r="GA739" s="1299"/>
      <c r="GB739" s="1299"/>
      <c r="GC739" s="1300"/>
    </row>
    <row r="740" spans="1:185" ht="12.9" customHeight="1">
      <c r="B740" s="1312"/>
      <c r="C740" s="1313"/>
      <c r="D740" s="1313"/>
      <c r="E740" s="1313"/>
      <c r="F740" s="1314"/>
      <c r="G740" s="1321"/>
      <c r="H740" s="1322"/>
      <c r="I740" s="1322"/>
      <c r="J740" s="1323"/>
      <c r="K740" s="1551"/>
      <c r="L740" s="1552"/>
      <c r="M740" s="1552"/>
      <c r="N740" s="1553"/>
      <c r="O740" s="1418"/>
      <c r="P740" s="1419"/>
      <c r="Q740" s="1419"/>
      <c r="R740" s="1419"/>
      <c r="S740" s="1420"/>
      <c r="T740" s="1418"/>
      <c r="U740" s="1419"/>
      <c r="V740" s="1419"/>
      <c r="W740" s="1420"/>
      <c r="X740" s="1315">
        <f t="shared" si="9"/>
        <v>0</v>
      </c>
      <c r="Y740" s="1316"/>
      <c r="Z740" s="1316"/>
      <c r="AA740" s="1316"/>
      <c r="AB740" s="1317"/>
      <c r="AC740" s="1560"/>
      <c r="AD740" s="1561"/>
      <c r="AE740" s="1561"/>
      <c r="AF740" s="1561"/>
      <c r="AG740" s="1562"/>
      <c r="AH740" s="1318" t="str">
        <f t="shared" si="37"/>
        <v/>
      </c>
      <c r="AI740" s="1319"/>
      <c r="AJ740" s="1320"/>
      <c r="AK740" s="1312" t="s">
        <v>809</v>
      </c>
      <c r="AL740" s="1313"/>
      <c r="AM740" s="1313"/>
      <c r="AN740" s="1313"/>
      <c r="AO740" s="1314"/>
      <c r="AP740" s="2"/>
      <c r="AQ740" s="2"/>
      <c r="AR740" s="2"/>
      <c r="AS740" s="2"/>
      <c r="AY740" s="711"/>
      <c r="AZ740" s="68" t="str">
        <f t="shared" si="10"/>
        <v>N/A</v>
      </c>
      <c r="BA740" s="2"/>
      <c r="BE740" s="107"/>
      <c r="BF740" s="157">
        <f t="shared" si="11"/>
        <v>0</v>
      </c>
      <c r="BG740" s="160">
        <f t="shared" si="12"/>
        <v>0</v>
      </c>
      <c r="BH740" s="161" t="str">
        <f t="shared" si="13"/>
        <v/>
      </c>
      <c r="BK740" s="2"/>
      <c r="BL740" s="2"/>
      <c r="BM740" s="2"/>
      <c r="BN740" s="2"/>
      <c r="BS740" s="157">
        <f t="shared" si="14"/>
        <v>0</v>
      </c>
      <c r="BT740" s="160">
        <f t="shared" si="15"/>
        <v>0</v>
      </c>
      <c r="BU740" s="161" t="str">
        <f t="shared" si="16"/>
        <v/>
      </c>
      <c r="BV740" s="2"/>
      <c r="BW740" s="2"/>
      <c r="BX740" s="2"/>
      <c r="BY740" s="2"/>
      <c r="BZ740" s="2"/>
      <c r="CA740" s="2"/>
      <c r="CB740" s="2"/>
      <c r="CC740" s="2"/>
      <c r="CE740" s="2"/>
      <c r="CF740" s="2"/>
      <c r="CG740" s="1298">
        <f t="shared" si="38"/>
        <v>0</v>
      </c>
      <c r="CH740" s="1300"/>
      <c r="CI740" s="1298">
        <f t="shared" si="39"/>
        <v>0</v>
      </c>
      <c r="CJ740" s="1300"/>
      <c r="CK740" s="1298">
        <f t="shared" si="17"/>
        <v>0</v>
      </c>
      <c r="CL740" s="1300"/>
      <c r="CM740" s="1298">
        <f t="shared" si="18"/>
        <v>0</v>
      </c>
      <c r="CN740" s="1300"/>
      <c r="CO740" s="2"/>
      <c r="CP740" s="1295">
        <f t="shared" si="19"/>
        <v>0</v>
      </c>
      <c r="CQ740" s="1296"/>
      <c r="CR740" s="1296"/>
      <c r="CS740" s="1296"/>
      <c r="CT740" s="1297"/>
      <c r="CU740" s="1311">
        <f t="shared" si="20"/>
        <v>0</v>
      </c>
      <c r="CV740" s="1311"/>
      <c r="CW740" s="1311"/>
      <c r="CX740" s="1311"/>
      <c r="CY740" s="1311"/>
      <c r="CZ740" s="1311">
        <f t="shared" si="21"/>
        <v>0</v>
      </c>
      <c r="DA740" s="1311"/>
      <c r="DB740" s="1311"/>
      <c r="DC740" s="1311"/>
      <c r="DD740" s="1311"/>
      <c r="DE740" s="1311">
        <f t="shared" si="22"/>
        <v>0</v>
      </c>
      <c r="DF740" s="1311"/>
      <c r="DG740" s="1311"/>
      <c r="DH740" s="1311"/>
      <c r="DI740" s="1311"/>
      <c r="DJ740" s="1311">
        <f t="shared" si="23"/>
        <v>0</v>
      </c>
      <c r="DK740" s="1311"/>
      <c r="DL740" s="1311"/>
      <c r="DM740" s="1311"/>
      <c r="DN740" s="1311"/>
      <c r="DO740" s="1311">
        <f t="shared" si="24"/>
        <v>0</v>
      </c>
      <c r="DP740" s="1311"/>
      <c r="DQ740" s="1311"/>
      <c r="DR740" s="1311"/>
      <c r="DS740" s="1311"/>
      <c r="DT740" s="1152"/>
      <c r="DU740" s="1325">
        <f t="shared" si="25"/>
        <v>0</v>
      </c>
      <c r="DV740" s="1325"/>
      <c r="DW740" s="1325"/>
      <c r="DX740" s="1325"/>
      <c r="DY740" s="1325"/>
      <c r="DZ740" s="1325">
        <f t="shared" si="26"/>
        <v>0</v>
      </c>
      <c r="EA740" s="1325"/>
      <c r="EB740" s="1325"/>
      <c r="EC740" s="1325"/>
      <c r="ED740" s="1325"/>
      <c r="EE740" s="1325">
        <f t="shared" si="27"/>
        <v>0</v>
      </c>
      <c r="EF740" s="1325"/>
      <c r="EG740" s="1325"/>
      <c r="EH740" s="1325"/>
      <c r="EI740" s="1325"/>
      <c r="EJ740" s="1325">
        <f t="shared" si="28"/>
        <v>0</v>
      </c>
      <c r="EK740" s="1325"/>
      <c r="EL740" s="1325"/>
      <c r="EM740" s="1325"/>
      <c r="EN740" s="1325"/>
      <c r="EO740" s="1325">
        <f t="shared" si="29"/>
        <v>0</v>
      </c>
      <c r="EP740" s="1325"/>
      <c r="EQ740" s="1325"/>
      <c r="ER740" s="1325"/>
      <c r="ES740" s="1325"/>
      <c r="ET740" s="1325">
        <f t="shared" si="30"/>
        <v>0</v>
      </c>
      <c r="EU740" s="1325"/>
      <c r="EV740" s="1325"/>
      <c r="EW740" s="1325"/>
      <c r="EX740" s="1325"/>
      <c r="EZ740" s="1298" t="str">
        <f t="shared" si="31"/>
        <v/>
      </c>
      <c r="FA740" s="1299"/>
      <c r="FB740" s="1299"/>
      <c r="FC740" s="1299"/>
      <c r="FD740" s="1300"/>
      <c r="FE740" s="1298" t="str">
        <f t="shared" si="32"/>
        <v/>
      </c>
      <c r="FF740" s="1299"/>
      <c r="FG740" s="1299"/>
      <c r="FH740" s="1299"/>
      <c r="FI740" s="1300"/>
      <c r="FJ740" s="1298" t="str">
        <f t="shared" si="33"/>
        <v/>
      </c>
      <c r="FK740" s="1299"/>
      <c r="FL740" s="1299"/>
      <c r="FM740" s="1299"/>
      <c r="FN740" s="1300"/>
      <c r="FO740" s="1298" t="str">
        <f t="shared" si="34"/>
        <v/>
      </c>
      <c r="FP740" s="1299"/>
      <c r="FQ740" s="1299"/>
      <c r="FR740" s="1299"/>
      <c r="FS740" s="1300"/>
      <c r="FT740" s="1298" t="str">
        <f t="shared" si="35"/>
        <v/>
      </c>
      <c r="FU740" s="1299"/>
      <c r="FV740" s="1299"/>
      <c r="FW740" s="1299"/>
      <c r="FX740" s="1300"/>
      <c r="FY740" s="1298" t="str">
        <f t="shared" si="36"/>
        <v/>
      </c>
      <c r="FZ740" s="1299"/>
      <c r="GA740" s="1299"/>
      <c r="GB740" s="1299"/>
      <c r="GC740" s="1300"/>
    </row>
    <row r="741" spans="1:185" ht="12.9" customHeight="1">
      <c r="B741" s="1312"/>
      <c r="C741" s="1313"/>
      <c r="D741" s="1313"/>
      <c r="E741" s="1313"/>
      <c r="F741" s="1314"/>
      <c r="G741" s="1321"/>
      <c r="H741" s="1322"/>
      <c r="I741" s="1322"/>
      <c r="J741" s="1323"/>
      <c r="K741" s="1551"/>
      <c r="L741" s="1552"/>
      <c r="M741" s="1552"/>
      <c r="N741" s="1553"/>
      <c r="O741" s="1418"/>
      <c r="P741" s="1419"/>
      <c r="Q741" s="1419"/>
      <c r="R741" s="1419"/>
      <c r="S741" s="1420"/>
      <c r="T741" s="1418"/>
      <c r="U741" s="1419"/>
      <c r="V741" s="1419"/>
      <c r="W741" s="1420"/>
      <c r="X741" s="1315">
        <f t="shared" si="9"/>
        <v>0</v>
      </c>
      <c r="Y741" s="1316"/>
      <c r="Z741" s="1316"/>
      <c r="AA741" s="1316"/>
      <c r="AB741" s="1317"/>
      <c r="AC741" s="1560"/>
      <c r="AD741" s="1561"/>
      <c r="AE741" s="1561"/>
      <c r="AF741" s="1561"/>
      <c r="AG741" s="1562"/>
      <c r="AH741" s="1318" t="str">
        <f t="shared" si="37"/>
        <v/>
      </c>
      <c r="AI741" s="1319"/>
      <c r="AJ741" s="1320"/>
      <c r="AK741" s="1312" t="s">
        <v>809</v>
      </c>
      <c r="AL741" s="1313"/>
      <c r="AM741" s="1313"/>
      <c r="AN741" s="1313"/>
      <c r="AO741" s="1314"/>
      <c r="AP741" s="2"/>
      <c r="AQ741" s="2"/>
      <c r="AR741" s="2"/>
      <c r="AS741" s="2"/>
      <c r="AY741" s="711"/>
      <c r="AZ741" s="68" t="str">
        <f t="shared" si="10"/>
        <v>N/A</v>
      </c>
      <c r="BA741" s="2"/>
      <c r="BE741" s="107"/>
      <c r="BF741" s="157">
        <f t="shared" si="11"/>
        <v>0</v>
      </c>
      <c r="BG741" s="160">
        <f t="shared" si="12"/>
        <v>0</v>
      </c>
      <c r="BH741" s="161" t="str">
        <f t="shared" si="13"/>
        <v/>
      </c>
      <c r="BK741" s="2"/>
      <c r="BL741" s="2"/>
      <c r="BM741" s="2"/>
      <c r="BN741" s="2"/>
      <c r="BS741" s="157">
        <f t="shared" si="14"/>
        <v>0</v>
      </c>
      <c r="BT741" s="160">
        <f t="shared" si="15"/>
        <v>0</v>
      </c>
      <c r="BU741" s="161" t="str">
        <f t="shared" si="16"/>
        <v/>
      </c>
      <c r="BV741" s="2"/>
      <c r="BW741" s="2"/>
      <c r="BX741" s="2"/>
      <c r="BY741" s="2"/>
      <c r="BZ741" s="2"/>
      <c r="CA741" s="2"/>
      <c r="CB741" s="2"/>
      <c r="CC741" s="2"/>
      <c r="CE741" s="2"/>
      <c r="CF741" s="2"/>
      <c r="CG741" s="1298">
        <f t="shared" si="38"/>
        <v>0</v>
      </c>
      <c r="CH741" s="1300"/>
      <c r="CI741" s="1298">
        <f t="shared" si="39"/>
        <v>0</v>
      </c>
      <c r="CJ741" s="1300"/>
      <c r="CK741" s="1298">
        <f t="shared" si="17"/>
        <v>0</v>
      </c>
      <c r="CL741" s="1300"/>
      <c r="CM741" s="1298">
        <f t="shared" si="18"/>
        <v>0</v>
      </c>
      <c r="CN741" s="1300"/>
      <c r="CO741" s="2"/>
      <c r="CP741" s="1295">
        <f t="shared" si="19"/>
        <v>0</v>
      </c>
      <c r="CQ741" s="1296"/>
      <c r="CR741" s="1296"/>
      <c r="CS741" s="1296"/>
      <c r="CT741" s="1297"/>
      <c r="CU741" s="1311">
        <f t="shared" si="20"/>
        <v>0</v>
      </c>
      <c r="CV741" s="1311"/>
      <c r="CW741" s="1311"/>
      <c r="CX741" s="1311"/>
      <c r="CY741" s="1311"/>
      <c r="CZ741" s="1311">
        <f t="shared" si="21"/>
        <v>0</v>
      </c>
      <c r="DA741" s="1311"/>
      <c r="DB741" s="1311"/>
      <c r="DC741" s="1311"/>
      <c r="DD741" s="1311"/>
      <c r="DE741" s="1311">
        <f t="shared" si="22"/>
        <v>0</v>
      </c>
      <c r="DF741" s="1311"/>
      <c r="DG741" s="1311"/>
      <c r="DH741" s="1311"/>
      <c r="DI741" s="1311"/>
      <c r="DJ741" s="1311">
        <f t="shared" si="23"/>
        <v>0</v>
      </c>
      <c r="DK741" s="1311"/>
      <c r="DL741" s="1311"/>
      <c r="DM741" s="1311"/>
      <c r="DN741" s="1311"/>
      <c r="DO741" s="1311">
        <f t="shared" si="24"/>
        <v>0</v>
      </c>
      <c r="DP741" s="1311"/>
      <c r="DQ741" s="1311"/>
      <c r="DR741" s="1311"/>
      <c r="DS741" s="1311"/>
      <c r="DT741" s="1152"/>
      <c r="DU741" s="1325">
        <f t="shared" si="25"/>
        <v>0</v>
      </c>
      <c r="DV741" s="1325"/>
      <c r="DW741" s="1325"/>
      <c r="DX741" s="1325"/>
      <c r="DY741" s="1325"/>
      <c r="DZ741" s="1325">
        <f t="shared" si="26"/>
        <v>0</v>
      </c>
      <c r="EA741" s="1325"/>
      <c r="EB741" s="1325"/>
      <c r="EC741" s="1325"/>
      <c r="ED741" s="1325"/>
      <c r="EE741" s="1325">
        <f t="shared" si="27"/>
        <v>0</v>
      </c>
      <c r="EF741" s="1325"/>
      <c r="EG741" s="1325"/>
      <c r="EH741" s="1325"/>
      <c r="EI741" s="1325"/>
      <c r="EJ741" s="1325">
        <f t="shared" si="28"/>
        <v>0</v>
      </c>
      <c r="EK741" s="1325"/>
      <c r="EL741" s="1325"/>
      <c r="EM741" s="1325"/>
      <c r="EN741" s="1325"/>
      <c r="EO741" s="1325">
        <f t="shared" si="29"/>
        <v>0</v>
      </c>
      <c r="EP741" s="1325"/>
      <c r="EQ741" s="1325"/>
      <c r="ER741" s="1325"/>
      <c r="ES741" s="1325"/>
      <c r="ET741" s="1325">
        <f t="shared" si="30"/>
        <v>0</v>
      </c>
      <c r="EU741" s="1325"/>
      <c r="EV741" s="1325"/>
      <c r="EW741" s="1325"/>
      <c r="EX741" s="1325"/>
      <c r="EZ741" s="1298" t="str">
        <f t="shared" si="31"/>
        <v/>
      </c>
      <c r="FA741" s="1299"/>
      <c r="FB741" s="1299"/>
      <c r="FC741" s="1299"/>
      <c r="FD741" s="1300"/>
      <c r="FE741" s="1298" t="str">
        <f t="shared" si="32"/>
        <v/>
      </c>
      <c r="FF741" s="1299"/>
      <c r="FG741" s="1299"/>
      <c r="FH741" s="1299"/>
      <c r="FI741" s="1300"/>
      <c r="FJ741" s="1298" t="str">
        <f t="shared" si="33"/>
        <v/>
      </c>
      <c r="FK741" s="1299"/>
      <c r="FL741" s="1299"/>
      <c r="FM741" s="1299"/>
      <c r="FN741" s="1300"/>
      <c r="FO741" s="1298" t="str">
        <f t="shared" si="34"/>
        <v/>
      </c>
      <c r="FP741" s="1299"/>
      <c r="FQ741" s="1299"/>
      <c r="FR741" s="1299"/>
      <c r="FS741" s="1300"/>
      <c r="FT741" s="1298" t="str">
        <f t="shared" si="35"/>
        <v/>
      </c>
      <c r="FU741" s="1299"/>
      <c r="FV741" s="1299"/>
      <c r="FW741" s="1299"/>
      <c r="FX741" s="1300"/>
      <c r="FY741" s="1298" t="str">
        <f t="shared" si="36"/>
        <v/>
      </c>
      <c r="FZ741" s="1299"/>
      <c r="GA741" s="1299"/>
      <c r="GB741" s="1299"/>
      <c r="GC741" s="1300"/>
    </row>
    <row r="742" spans="1:185" ht="12.9" customHeight="1">
      <c r="B742" s="1312"/>
      <c r="C742" s="1313"/>
      <c r="D742" s="1313"/>
      <c r="E742" s="1313"/>
      <c r="F742" s="1314"/>
      <c r="G742" s="1321"/>
      <c r="H742" s="1322"/>
      <c r="I742" s="1322"/>
      <c r="J742" s="1323"/>
      <c r="K742" s="1551"/>
      <c r="L742" s="1552"/>
      <c r="M742" s="1552"/>
      <c r="N742" s="1553"/>
      <c r="O742" s="1418"/>
      <c r="P742" s="1419"/>
      <c r="Q742" s="1419"/>
      <c r="R742" s="1419"/>
      <c r="S742" s="1420"/>
      <c r="T742" s="1418"/>
      <c r="U742" s="1419"/>
      <c r="V742" s="1419"/>
      <c r="W742" s="1420"/>
      <c r="X742" s="1315">
        <f t="shared" ref="X742:X751" si="40">O742+T742</f>
        <v>0</v>
      </c>
      <c r="Y742" s="1316"/>
      <c r="Z742" s="1316"/>
      <c r="AA742" s="1316"/>
      <c r="AB742" s="1317"/>
      <c r="AC742" s="1560"/>
      <c r="AD742" s="1561"/>
      <c r="AE742" s="1561"/>
      <c r="AF742" s="1561"/>
      <c r="AG742" s="1562"/>
      <c r="AH742" s="1318" t="str">
        <f t="shared" si="37"/>
        <v/>
      </c>
      <c r="AI742" s="1319"/>
      <c r="AJ742" s="1320"/>
      <c r="AK742" s="1312" t="s">
        <v>809</v>
      </c>
      <c r="AL742" s="1313"/>
      <c r="AM742" s="1313"/>
      <c r="AN742" s="1313"/>
      <c r="AO742" s="1314"/>
      <c r="AP742" s="2"/>
      <c r="AQ742" s="2"/>
      <c r="AR742" s="2"/>
      <c r="AS742" s="2"/>
      <c r="AY742" s="711"/>
      <c r="AZ742" s="68" t="str">
        <f t="shared" si="10"/>
        <v>N/A</v>
      </c>
      <c r="BA742" s="2"/>
      <c r="BB742" s="2"/>
      <c r="BE742" s="107"/>
      <c r="BF742" s="157">
        <f t="shared" si="11"/>
        <v>0</v>
      </c>
      <c r="BG742" s="160">
        <f t="shared" si="12"/>
        <v>0</v>
      </c>
      <c r="BH742" s="161" t="str">
        <f t="shared" si="13"/>
        <v/>
      </c>
      <c r="BL742" s="2"/>
      <c r="BM742" s="2"/>
      <c r="BN742" s="2"/>
      <c r="BS742" s="157">
        <f t="shared" si="14"/>
        <v>0</v>
      </c>
      <c r="BT742" s="160">
        <f t="shared" si="15"/>
        <v>0</v>
      </c>
      <c r="BU742" s="161" t="str">
        <f t="shared" si="16"/>
        <v/>
      </c>
      <c r="BV742" s="2"/>
      <c r="BW742" s="2"/>
      <c r="BX742" s="2"/>
      <c r="BY742" s="2"/>
      <c r="BZ742" s="2"/>
      <c r="CA742" s="2"/>
      <c r="CB742" s="2"/>
      <c r="CC742" s="2"/>
      <c r="CE742" s="2"/>
      <c r="CF742" s="2"/>
      <c r="CG742" s="1298">
        <f t="shared" si="38"/>
        <v>0</v>
      </c>
      <c r="CH742" s="1300"/>
      <c r="CI742" s="1298">
        <f t="shared" si="39"/>
        <v>0</v>
      </c>
      <c r="CJ742" s="1300"/>
      <c r="CK742" s="1298">
        <f t="shared" si="17"/>
        <v>0</v>
      </c>
      <c r="CL742" s="1300"/>
      <c r="CM742" s="1298">
        <f t="shared" si="18"/>
        <v>0</v>
      </c>
      <c r="CN742" s="1300"/>
      <c r="CO742" s="2"/>
      <c r="CP742" s="1295">
        <f t="shared" si="19"/>
        <v>0</v>
      </c>
      <c r="CQ742" s="1296"/>
      <c r="CR742" s="1296"/>
      <c r="CS742" s="1296"/>
      <c r="CT742" s="1297"/>
      <c r="CU742" s="1311">
        <f t="shared" si="20"/>
        <v>0</v>
      </c>
      <c r="CV742" s="1311"/>
      <c r="CW742" s="1311"/>
      <c r="CX742" s="1311"/>
      <c r="CY742" s="1311"/>
      <c r="CZ742" s="1311">
        <f t="shared" si="21"/>
        <v>0</v>
      </c>
      <c r="DA742" s="1311"/>
      <c r="DB742" s="1311"/>
      <c r="DC742" s="1311"/>
      <c r="DD742" s="1311"/>
      <c r="DE742" s="1311">
        <f t="shared" si="22"/>
        <v>0</v>
      </c>
      <c r="DF742" s="1311"/>
      <c r="DG742" s="1311"/>
      <c r="DH742" s="1311"/>
      <c r="DI742" s="1311"/>
      <c r="DJ742" s="1311">
        <f t="shared" si="23"/>
        <v>0</v>
      </c>
      <c r="DK742" s="1311"/>
      <c r="DL742" s="1311"/>
      <c r="DM742" s="1311"/>
      <c r="DN742" s="1311"/>
      <c r="DO742" s="1311">
        <f t="shared" si="24"/>
        <v>0</v>
      </c>
      <c r="DP742" s="1311"/>
      <c r="DQ742" s="1311"/>
      <c r="DR742" s="1311"/>
      <c r="DS742" s="1311"/>
      <c r="DT742" s="1152"/>
      <c r="DU742" s="1325">
        <f t="shared" si="25"/>
        <v>0</v>
      </c>
      <c r="DV742" s="1325"/>
      <c r="DW742" s="1325"/>
      <c r="DX742" s="1325"/>
      <c r="DY742" s="1325"/>
      <c r="DZ742" s="1325">
        <f t="shared" si="26"/>
        <v>0</v>
      </c>
      <c r="EA742" s="1325"/>
      <c r="EB742" s="1325"/>
      <c r="EC742" s="1325"/>
      <c r="ED742" s="1325"/>
      <c r="EE742" s="1325">
        <f t="shared" si="27"/>
        <v>0</v>
      </c>
      <c r="EF742" s="1325"/>
      <c r="EG742" s="1325"/>
      <c r="EH742" s="1325"/>
      <c r="EI742" s="1325"/>
      <c r="EJ742" s="1325">
        <f t="shared" si="28"/>
        <v>0</v>
      </c>
      <c r="EK742" s="1325"/>
      <c r="EL742" s="1325"/>
      <c r="EM742" s="1325"/>
      <c r="EN742" s="1325"/>
      <c r="EO742" s="1325">
        <f t="shared" si="29"/>
        <v>0</v>
      </c>
      <c r="EP742" s="1325"/>
      <c r="EQ742" s="1325"/>
      <c r="ER742" s="1325"/>
      <c r="ES742" s="1325"/>
      <c r="ET742" s="1325">
        <f t="shared" si="30"/>
        <v>0</v>
      </c>
      <c r="EU742" s="1325"/>
      <c r="EV742" s="1325"/>
      <c r="EW742" s="1325"/>
      <c r="EX742" s="1325"/>
      <c r="EZ742" s="1298" t="str">
        <f t="shared" si="31"/>
        <v/>
      </c>
      <c r="FA742" s="1299"/>
      <c r="FB742" s="1299"/>
      <c r="FC742" s="1299"/>
      <c r="FD742" s="1300"/>
      <c r="FE742" s="1298" t="str">
        <f t="shared" si="32"/>
        <v/>
      </c>
      <c r="FF742" s="1299"/>
      <c r="FG742" s="1299"/>
      <c r="FH742" s="1299"/>
      <c r="FI742" s="1300"/>
      <c r="FJ742" s="1298" t="str">
        <f t="shared" si="33"/>
        <v/>
      </c>
      <c r="FK742" s="1299"/>
      <c r="FL742" s="1299"/>
      <c r="FM742" s="1299"/>
      <c r="FN742" s="1300"/>
      <c r="FO742" s="1298" t="str">
        <f t="shared" si="34"/>
        <v/>
      </c>
      <c r="FP742" s="1299"/>
      <c r="FQ742" s="1299"/>
      <c r="FR742" s="1299"/>
      <c r="FS742" s="1300"/>
      <c r="FT742" s="1298" t="str">
        <f t="shared" si="35"/>
        <v/>
      </c>
      <c r="FU742" s="1299"/>
      <c r="FV742" s="1299"/>
      <c r="FW742" s="1299"/>
      <c r="FX742" s="1300"/>
      <c r="FY742" s="1298" t="str">
        <f t="shared" si="36"/>
        <v/>
      </c>
      <c r="FZ742" s="1299"/>
      <c r="GA742" s="1299"/>
      <c r="GB742" s="1299"/>
      <c r="GC742" s="1300"/>
    </row>
    <row r="743" spans="1:185" s="2" customFormat="1" ht="12.9" customHeight="1">
      <c r="A743"/>
      <c r="B743" s="1312"/>
      <c r="C743" s="1313"/>
      <c r="D743" s="1313"/>
      <c r="E743" s="1313"/>
      <c r="F743" s="1314"/>
      <c r="G743" s="1321"/>
      <c r="H743" s="1322"/>
      <c r="I743" s="1322"/>
      <c r="J743" s="1323"/>
      <c r="K743" s="1551"/>
      <c r="L743" s="1552"/>
      <c r="M743" s="1552"/>
      <c r="N743" s="1553"/>
      <c r="O743" s="1418"/>
      <c r="P743" s="1419"/>
      <c r="Q743" s="1419"/>
      <c r="R743" s="1419"/>
      <c r="S743" s="1420"/>
      <c r="T743" s="1418"/>
      <c r="U743" s="1419"/>
      <c r="V743" s="1419"/>
      <c r="W743" s="1420"/>
      <c r="X743" s="1315">
        <f t="shared" si="40"/>
        <v>0</v>
      </c>
      <c r="Y743" s="1316"/>
      <c r="Z743" s="1316"/>
      <c r="AA743" s="1316"/>
      <c r="AB743" s="1317"/>
      <c r="AC743" s="1560"/>
      <c r="AD743" s="1561"/>
      <c r="AE743" s="1561"/>
      <c r="AF743" s="1561"/>
      <c r="AG743" s="1562"/>
      <c r="AH743" s="1318" t="str">
        <f t="shared" si="37"/>
        <v/>
      </c>
      <c r="AI743" s="1319"/>
      <c r="AJ743" s="1320"/>
      <c r="AK743" s="1312" t="s">
        <v>809</v>
      </c>
      <c r="AL743" s="1313"/>
      <c r="AM743" s="1313"/>
      <c r="AN743" s="1313"/>
      <c r="AO743" s="1314"/>
      <c r="AT743"/>
      <c r="AU743"/>
      <c r="AV743"/>
      <c r="AW743"/>
      <c r="AX743"/>
      <c r="AY743" s="711"/>
      <c r="AZ743" s="68" t="str">
        <f t="shared" si="10"/>
        <v>N/A</v>
      </c>
      <c r="BD743"/>
      <c r="BE743"/>
      <c r="BF743" s="157">
        <f t="shared" si="11"/>
        <v>0</v>
      </c>
      <c r="BG743" s="160">
        <f t="shared" si="12"/>
        <v>0</v>
      </c>
      <c r="BH743" s="161" t="str">
        <f t="shared" si="13"/>
        <v/>
      </c>
      <c r="BI743"/>
      <c r="BJ743"/>
      <c r="BK743"/>
      <c r="BL743"/>
      <c r="BM743"/>
      <c r="BN743"/>
      <c r="BO743"/>
      <c r="BP743"/>
      <c r="BQ743"/>
      <c r="BR743"/>
      <c r="BS743" s="157">
        <f t="shared" si="14"/>
        <v>0</v>
      </c>
      <c r="BT743" s="160">
        <f t="shared" si="15"/>
        <v>0</v>
      </c>
      <c r="BU743" s="161" t="str">
        <f t="shared" si="16"/>
        <v/>
      </c>
      <c r="CD743"/>
      <c r="CG743" s="1298">
        <f t="shared" si="38"/>
        <v>0</v>
      </c>
      <c r="CH743" s="1300"/>
      <c r="CI743" s="1298">
        <f t="shared" si="39"/>
        <v>0</v>
      </c>
      <c r="CJ743" s="1300"/>
      <c r="CK743" s="1298">
        <f t="shared" si="17"/>
        <v>0</v>
      </c>
      <c r="CL743" s="1300"/>
      <c r="CM743" s="1298">
        <f t="shared" si="18"/>
        <v>0</v>
      </c>
      <c r="CN743" s="1300"/>
      <c r="CP743" s="1295">
        <f t="shared" si="19"/>
        <v>0</v>
      </c>
      <c r="CQ743" s="1296"/>
      <c r="CR743" s="1296"/>
      <c r="CS743" s="1296"/>
      <c r="CT743" s="1297"/>
      <c r="CU743" s="1311">
        <f t="shared" si="20"/>
        <v>0</v>
      </c>
      <c r="CV743" s="1311"/>
      <c r="CW743" s="1311"/>
      <c r="CX743" s="1311"/>
      <c r="CY743" s="1311"/>
      <c r="CZ743" s="1311">
        <f t="shared" si="21"/>
        <v>0</v>
      </c>
      <c r="DA743" s="1311"/>
      <c r="DB743" s="1311"/>
      <c r="DC743" s="1311"/>
      <c r="DD743" s="1311"/>
      <c r="DE743" s="1311">
        <f t="shared" si="22"/>
        <v>0</v>
      </c>
      <c r="DF743" s="1311"/>
      <c r="DG743" s="1311"/>
      <c r="DH743" s="1311"/>
      <c r="DI743" s="1311"/>
      <c r="DJ743" s="1311">
        <f t="shared" si="23"/>
        <v>0</v>
      </c>
      <c r="DK743" s="1311"/>
      <c r="DL743" s="1311"/>
      <c r="DM743" s="1311"/>
      <c r="DN743" s="1311"/>
      <c r="DO743" s="1311">
        <f t="shared" si="24"/>
        <v>0</v>
      </c>
      <c r="DP743" s="1311"/>
      <c r="DQ743" s="1311"/>
      <c r="DR743" s="1311"/>
      <c r="DS743" s="1311"/>
      <c r="DT743" s="1152"/>
      <c r="DU743" s="1325">
        <f t="shared" si="25"/>
        <v>0</v>
      </c>
      <c r="DV743" s="1325"/>
      <c r="DW743" s="1325"/>
      <c r="DX743" s="1325"/>
      <c r="DY743" s="1325"/>
      <c r="DZ743" s="1325">
        <f t="shared" si="26"/>
        <v>0</v>
      </c>
      <c r="EA743" s="1325"/>
      <c r="EB743" s="1325"/>
      <c r="EC743" s="1325"/>
      <c r="ED743" s="1325"/>
      <c r="EE743" s="1325">
        <f t="shared" si="27"/>
        <v>0</v>
      </c>
      <c r="EF743" s="1325"/>
      <c r="EG743" s="1325"/>
      <c r="EH743" s="1325"/>
      <c r="EI743" s="1325"/>
      <c r="EJ743" s="1325">
        <f t="shared" si="28"/>
        <v>0</v>
      </c>
      <c r="EK743" s="1325"/>
      <c r="EL743" s="1325"/>
      <c r="EM743" s="1325"/>
      <c r="EN743" s="1325"/>
      <c r="EO743" s="1325">
        <f t="shared" si="29"/>
        <v>0</v>
      </c>
      <c r="EP743" s="1325"/>
      <c r="EQ743" s="1325"/>
      <c r="ER743" s="1325"/>
      <c r="ES743" s="1325"/>
      <c r="ET743" s="1325">
        <f t="shared" si="30"/>
        <v>0</v>
      </c>
      <c r="EU743" s="1325"/>
      <c r="EV743" s="1325"/>
      <c r="EW743" s="1325"/>
      <c r="EX743" s="1325"/>
      <c r="EY743"/>
      <c r="EZ743" s="1298" t="str">
        <f t="shared" si="31"/>
        <v/>
      </c>
      <c r="FA743" s="1299"/>
      <c r="FB743" s="1299"/>
      <c r="FC743" s="1299"/>
      <c r="FD743" s="1300"/>
      <c r="FE743" s="1298" t="str">
        <f t="shared" si="32"/>
        <v/>
      </c>
      <c r="FF743" s="1299"/>
      <c r="FG743" s="1299"/>
      <c r="FH743" s="1299"/>
      <c r="FI743" s="1300"/>
      <c r="FJ743" s="1298" t="str">
        <f t="shared" si="33"/>
        <v/>
      </c>
      <c r="FK743" s="1299"/>
      <c r="FL743" s="1299"/>
      <c r="FM743" s="1299"/>
      <c r="FN743" s="1300"/>
      <c r="FO743" s="1298" t="str">
        <f t="shared" si="34"/>
        <v/>
      </c>
      <c r="FP743" s="1299"/>
      <c r="FQ743" s="1299"/>
      <c r="FR743" s="1299"/>
      <c r="FS743" s="1300"/>
      <c r="FT743" s="1298" t="str">
        <f t="shared" si="35"/>
        <v/>
      </c>
      <c r="FU743" s="1299"/>
      <c r="FV743" s="1299"/>
      <c r="FW743" s="1299"/>
      <c r="FX743" s="1300"/>
      <c r="FY743" s="1298" t="str">
        <f t="shared" si="36"/>
        <v/>
      </c>
      <c r="FZ743" s="1299"/>
      <c r="GA743" s="1299"/>
      <c r="GB743" s="1299"/>
      <c r="GC743" s="1300"/>
    </row>
    <row r="744" spans="1:185" ht="12.9" customHeight="1">
      <c r="B744" s="1312"/>
      <c r="C744" s="1313"/>
      <c r="D744" s="1313"/>
      <c r="E744" s="1313"/>
      <c r="F744" s="1314"/>
      <c r="G744" s="1321"/>
      <c r="H744" s="1322"/>
      <c r="I744" s="1322"/>
      <c r="J744" s="1323"/>
      <c r="K744" s="1551"/>
      <c r="L744" s="1552"/>
      <c r="M744" s="1552"/>
      <c r="N744" s="1553"/>
      <c r="O744" s="1418"/>
      <c r="P744" s="1419"/>
      <c r="Q744" s="1419"/>
      <c r="R744" s="1419"/>
      <c r="S744" s="1420"/>
      <c r="T744" s="1418"/>
      <c r="U744" s="1419"/>
      <c r="V744" s="1419"/>
      <c r="W744" s="1420"/>
      <c r="X744" s="1315">
        <f t="shared" si="40"/>
        <v>0</v>
      </c>
      <c r="Y744" s="1316"/>
      <c r="Z744" s="1316"/>
      <c r="AA744" s="1316"/>
      <c r="AB744" s="1317"/>
      <c r="AC744" s="1560"/>
      <c r="AD744" s="1561"/>
      <c r="AE744" s="1561"/>
      <c r="AF744" s="1561"/>
      <c r="AG744" s="1562"/>
      <c r="AH744" s="1318" t="str">
        <f t="shared" si="37"/>
        <v/>
      </c>
      <c r="AI744" s="1319"/>
      <c r="AJ744" s="1320"/>
      <c r="AK744" s="1312" t="s">
        <v>809</v>
      </c>
      <c r="AL744" s="1313"/>
      <c r="AM744" s="1313"/>
      <c r="AN744" s="1313"/>
      <c r="AO744" s="1314"/>
      <c r="AP744" s="2"/>
      <c r="AQ744" s="2"/>
      <c r="AR744" s="2"/>
      <c r="AS744" s="2"/>
      <c r="AY744" s="711"/>
      <c r="AZ744" s="68" t="str">
        <f t="shared" si="10"/>
        <v>N/A</v>
      </c>
      <c r="BA744" s="2"/>
      <c r="BB744" s="2"/>
      <c r="BC744" s="2"/>
      <c r="BD744" s="2"/>
      <c r="BE744" s="2"/>
      <c r="BF744" s="157">
        <f t="shared" si="11"/>
        <v>0</v>
      </c>
      <c r="BG744" s="160">
        <f t="shared" si="12"/>
        <v>0</v>
      </c>
      <c r="BH744" s="161" t="str">
        <f t="shared" si="13"/>
        <v/>
      </c>
      <c r="BI744" s="2"/>
      <c r="BJ744" s="2"/>
      <c r="BK744" s="2"/>
      <c r="BL744" s="2"/>
      <c r="BM744" s="2"/>
      <c r="BN744" s="2"/>
      <c r="BS744" s="157">
        <f t="shared" si="14"/>
        <v>0</v>
      </c>
      <c r="BT744" s="160">
        <f t="shared" si="15"/>
        <v>0</v>
      </c>
      <c r="BU744" s="161" t="str">
        <f t="shared" si="16"/>
        <v/>
      </c>
      <c r="BV744" s="2"/>
      <c r="BW744" s="2"/>
      <c r="BX744" s="2"/>
      <c r="BY744" s="2"/>
      <c r="BZ744" s="2"/>
      <c r="CA744" s="2"/>
      <c r="CB744" s="2"/>
      <c r="CC744" s="2"/>
      <c r="CE744" s="2"/>
      <c r="CF744" s="2"/>
      <c r="CG744" s="1298">
        <f t="shared" si="38"/>
        <v>0</v>
      </c>
      <c r="CH744" s="1300"/>
      <c r="CI744" s="1298">
        <f t="shared" si="39"/>
        <v>0</v>
      </c>
      <c r="CJ744" s="1300"/>
      <c r="CK744" s="1298">
        <f t="shared" si="17"/>
        <v>0</v>
      </c>
      <c r="CL744" s="1300"/>
      <c r="CM744" s="1298">
        <f t="shared" si="18"/>
        <v>0</v>
      </c>
      <c r="CN744" s="1300"/>
      <c r="CO744" s="2"/>
      <c r="CP744" s="1295">
        <f t="shared" si="19"/>
        <v>0</v>
      </c>
      <c r="CQ744" s="1296"/>
      <c r="CR744" s="1296"/>
      <c r="CS744" s="1296"/>
      <c r="CT744" s="1297"/>
      <c r="CU744" s="1311">
        <f t="shared" si="20"/>
        <v>0</v>
      </c>
      <c r="CV744" s="1311"/>
      <c r="CW744" s="1311"/>
      <c r="CX744" s="1311"/>
      <c r="CY744" s="1311"/>
      <c r="CZ744" s="1311">
        <f t="shared" si="21"/>
        <v>0</v>
      </c>
      <c r="DA744" s="1311"/>
      <c r="DB744" s="1311"/>
      <c r="DC744" s="1311"/>
      <c r="DD744" s="1311"/>
      <c r="DE744" s="1311">
        <f t="shared" si="22"/>
        <v>0</v>
      </c>
      <c r="DF744" s="1311"/>
      <c r="DG744" s="1311"/>
      <c r="DH744" s="1311"/>
      <c r="DI744" s="1311"/>
      <c r="DJ744" s="1311">
        <f t="shared" si="23"/>
        <v>0</v>
      </c>
      <c r="DK744" s="1311"/>
      <c r="DL744" s="1311"/>
      <c r="DM744" s="1311"/>
      <c r="DN744" s="1311"/>
      <c r="DO744" s="1311">
        <f t="shared" si="24"/>
        <v>0</v>
      </c>
      <c r="DP744" s="1311"/>
      <c r="DQ744" s="1311"/>
      <c r="DR744" s="1311"/>
      <c r="DS744" s="1311"/>
      <c r="DT744" s="1152"/>
      <c r="DU744" s="1325">
        <f t="shared" si="25"/>
        <v>0</v>
      </c>
      <c r="DV744" s="1325"/>
      <c r="DW744" s="1325"/>
      <c r="DX744" s="1325"/>
      <c r="DY744" s="1325"/>
      <c r="DZ744" s="1325">
        <f t="shared" si="26"/>
        <v>0</v>
      </c>
      <c r="EA744" s="1325"/>
      <c r="EB744" s="1325"/>
      <c r="EC744" s="1325"/>
      <c r="ED744" s="1325"/>
      <c r="EE744" s="1325">
        <f t="shared" si="27"/>
        <v>0</v>
      </c>
      <c r="EF744" s="1325"/>
      <c r="EG744" s="1325"/>
      <c r="EH744" s="1325"/>
      <c r="EI744" s="1325"/>
      <c r="EJ744" s="1325">
        <f t="shared" si="28"/>
        <v>0</v>
      </c>
      <c r="EK744" s="1325"/>
      <c r="EL744" s="1325"/>
      <c r="EM744" s="1325"/>
      <c r="EN744" s="1325"/>
      <c r="EO744" s="1325">
        <f t="shared" si="29"/>
        <v>0</v>
      </c>
      <c r="EP744" s="1325"/>
      <c r="EQ744" s="1325"/>
      <c r="ER744" s="1325"/>
      <c r="ES744" s="1325"/>
      <c r="ET744" s="1325">
        <f t="shared" si="30"/>
        <v>0</v>
      </c>
      <c r="EU744" s="1325"/>
      <c r="EV744" s="1325"/>
      <c r="EW744" s="1325"/>
      <c r="EX744" s="1325"/>
      <c r="EZ744" s="1298" t="str">
        <f t="shared" si="31"/>
        <v/>
      </c>
      <c r="FA744" s="1299"/>
      <c r="FB744" s="1299"/>
      <c r="FC744" s="1299"/>
      <c r="FD744" s="1300"/>
      <c r="FE744" s="1298" t="str">
        <f t="shared" si="32"/>
        <v/>
      </c>
      <c r="FF744" s="1299"/>
      <c r="FG744" s="1299"/>
      <c r="FH744" s="1299"/>
      <c r="FI744" s="1300"/>
      <c r="FJ744" s="1298" t="str">
        <f t="shared" si="33"/>
        <v/>
      </c>
      <c r="FK744" s="1299"/>
      <c r="FL744" s="1299"/>
      <c r="FM744" s="1299"/>
      <c r="FN744" s="1300"/>
      <c r="FO744" s="1298" t="str">
        <f t="shared" si="34"/>
        <v/>
      </c>
      <c r="FP744" s="1299"/>
      <c r="FQ744" s="1299"/>
      <c r="FR744" s="1299"/>
      <c r="FS744" s="1300"/>
      <c r="FT744" s="1298" t="str">
        <f t="shared" si="35"/>
        <v/>
      </c>
      <c r="FU744" s="1299"/>
      <c r="FV744" s="1299"/>
      <c r="FW744" s="1299"/>
      <c r="FX744" s="1300"/>
      <c r="FY744" s="1298" t="str">
        <f t="shared" si="36"/>
        <v/>
      </c>
      <c r="FZ744" s="1299"/>
      <c r="GA744" s="1299"/>
      <c r="GB744" s="1299"/>
      <c r="GC744" s="1300"/>
    </row>
    <row r="745" spans="1:185" ht="12.9" customHeight="1">
      <c r="B745" s="1312"/>
      <c r="C745" s="1313"/>
      <c r="D745" s="1313"/>
      <c r="E745" s="1313"/>
      <c r="F745" s="1314"/>
      <c r="G745" s="1321"/>
      <c r="H745" s="1322"/>
      <c r="I745" s="1322"/>
      <c r="J745" s="1323"/>
      <c r="K745" s="1551"/>
      <c r="L745" s="1552"/>
      <c r="M745" s="1552"/>
      <c r="N745" s="1553"/>
      <c r="O745" s="1418"/>
      <c r="P745" s="1419"/>
      <c r="Q745" s="1419"/>
      <c r="R745" s="1419"/>
      <c r="S745" s="1420"/>
      <c r="T745" s="1418"/>
      <c r="U745" s="1419"/>
      <c r="V745" s="1419"/>
      <c r="W745" s="1420"/>
      <c r="X745" s="1315">
        <f t="shared" si="40"/>
        <v>0</v>
      </c>
      <c r="Y745" s="1316"/>
      <c r="Z745" s="1316"/>
      <c r="AA745" s="1316"/>
      <c r="AB745" s="1317"/>
      <c r="AC745" s="1560"/>
      <c r="AD745" s="1561"/>
      <c r="AE745" s="1561"/>
      <c r="AF745" s="1561"/>
      <c r="AG745" s="1562"/>
      <c r="AH745" s="1318" t="str">
        <f t="shared" si="37"/>
        <v/>
      </c>
      <c r="AI745" s="1319"/>
      <c r="AJ745" s="1320"/>
      <c r="AK745" s="1312" t="s">
        <v>809</v>
      </c>
      <c r="AL745" s="1313"/>
      <c r="AM745" s="1313"/>
      <c r="AN745" s="1313"/>
      <c r="AO745" s="1314"/>
      <c r="AP745" s="2"/>
      <c r="AQ745" s="2"/>
      <c r="AR745" s="2"/>
      <c r="AS745" s="2"/>
      <c r="AY745" s="711"/>
      <c r="AZ745" s="68" t="str">
        <f t="shared" si="10"/>
        <v>N/A</v>
      </c>
      <c r="BA745" s="2"/>
      <c r="BB745" s="2"/>
      <c r="BC745" s="2"/>
      <c r="BD745" s="2"/>
      <c r="BE745" s="2"/>
      <c r="BF745" s="157">
        <f t="shared" si="11"/>
        <v>0</v>
      </c>
      <c r="BG745" s="160">
        <f t="shared" si="12"/>
        <v>0</v>
      </c>
      <c r="BH745" s="161" t="str">
        <f t="shared" si="13"/>
        <v/>
      </c>
      <c r="BI745" s="2"/>
      <c r="BJ745" s="2"/>
      <c r="BK745" s="2"/>
      <c r="BL745" s="2"/>
      <c r="BM745" s="2"/>
      <c r="BN745" s="2"/>
      <c r="BS745" s="157">
        <f t="shared" si="14"/>
        <v>0</v>
      </c>
      <c r="BT745" s="160">
        <f t="shared" si="15"/>
        <v>0</v>
      </c>
      <c r="BU745" s="161" t="str">
        <f t="shared" si="16"/>
        <v/>
      </c>
      <c r="BV745" s="2"/>
      <c r="BW745" s="2"/>
      <c r="BX745" s="2"/>
      <c r="BY745" s="2"/>
      <c r="BZ745" s="2"/>
      <c r="CA745" s="2"/>
      <c r="CB745" s="2"/>
      <c r="CC745" s="2"/>
      <c r="CE745" s="2"/>
      <c r="CF745" s="2"/>
      <c r="CG745" s="1298">
        <f t="shared" si="38"/>
        <v>0</v>
      </c>
      <c r="CH745" s="1300"/>
      <c r="CI745" s="1298">
        <f t="shared" si="39"/>
        <v>0</v>
      </c>
      <c r="CJ745" s="1300"/>
      <c r="CK745" s="1298">
        <f t="shared" si="17"/>
        <v>0</v>
      </c>
      <c r="CL745" s="1300"/>
      <c r="CM745" s="1298">
        <f t="shared" si="18"/>
        <v>0</v>
      </c>
      <c r="CN745" s="1300"/>
      <c r="CO745" s="2"/>
      <c r="CP745" s="1295">
        <f t="shared" si="19"/>
        <v>0</v>
      </c>
      <c r="CQ745" s="1296"/>
      <c r="CR745" s="1296"/>
      <c r="CS745" s="1296"/>
      <c r="CT745" s="1297"/>
      <c r="CU745" s="1311">
        <f t="shared" si="20"/>
        <v>0</v>
      </c>
      <c r="CV745" s="1311"/>
      <c r="CW745" s="1311"/>
      <c r="CX745" s="1311"/>
      <c r="CY745" s="1311"/>
      <c r="CZ745" s="1311">
        <f t="shared" si="21"/>
        <v>0</v>
      </c>
      <c r="DA745" s="1311"/>
      <c r="DB745" s="1311"/>
      <c r="DC745" s="1311"/>
      <c r="DD745" s="1311"/>
      <c r="DE745" s="1311">
        <f t="shared" si="22"/>
        <v>0</v>
      </c>
      <c r="DF745" s="1311"/>
      <c r="DG745" s="1311"/>
      <c r="DH745" s="1311"/>
      <c r="DI745" s="1311"/>
      <c r="DJ745" s="1311">
        <f t="shared" si="23"/>
        <v>0</v>
      </c>
      <c r="DK745" s="1311"/>
      <c r="DL745" s="1311"/>
      <c r="DM745" s="1311"/>
      <c r="DN745" s="1311"/>
      <c r="DO745" s="1311">
        <f t="shared" si="24"/>
        <v>0</v>
      </c>
      <c r="DP745" s="1311"/>
      <c r="DQ745" s="1311"/>
      <c r="DR745" s="1311"/>
      <c r="DS745" s="1311"/>
      <c r="DT745" s="1152"/>
      <c r="DU745" s="1325">
        <f t="shared" si="25"/>
        <v>0</v>
      </c>
      <c r="DV745" s="1325"/>
      <c r="DW745" s="1325"/>
      <c r="DX745" s="1325"/>
      <c r="DY745" s="1325"/>
      <c r="DZ745" s="1325">
        <f t="shared" si="26"/>
        <v>0</v>
      </c>
      <c r="EA745" s="1325"/>
      <c r="EB745" s="1325"/>
      <c r="EC745" s="1325"/>
      <c r="ED745" s="1325"/>
      <c r="EE745" s="1325">
        <f t="shared" si="27"/>
        <v>0</v>
      </c>
      <c r="EF745" s="1325"/>
      <c r="EG745" s="1325"/>
      <c r="EH745" s="1325"/>
      <c r="EI745" s="1325"/>
      <c r="EJ745" s="1325">
        <f t="shared" si="28"/>
        <v>0</v>
      </c>
      <c r="EK745" s="1325"/>
      <c r="EL745" s="1325"/>
      <c r="EM745" s="1325"/>
      <c r="EN745" s="1325"/>
      <c r="EO745" s="1325">
        <f t="shared" si="29"/>
        <v>0</v>
      </c>
      <c r="EP745" s="1325"/>
      <c r="EQ745" s="1325"/>
      <c r="ER745" s="1325"/>
      <c r="ES745" s="1325"/>
      <c r="ET745" s="1325">
        <f t="shared" si="30"/>
        <v>0</v>
      </c>
      <c r="EU745" s="1325"/>
      <c r="EV745" s="1325"/>
      <c r="EW745" s="1325"/>
      <c r="EX745" s="1325"/>
      <c r="EZ745" s="1298" t="str">
        <f t="shared" si="31"/>
        <v/>
      </c>
      <c r="FA745" s="1299"/>
      <c r="FB745" s="1299"/>
      <c r="FC745" s="1299"/>
      <c r="FD745" s="1300"/>
      <c r="FE745" s="1298" t="str">
        <f t="shared" si="32"/>
        <v/>
      </c>
      <c r="FF745" s="1299"/>
      <c r="FG745" s="1299"/>
      <c r="FH745" s="1299"/>
      <c r="FI745" s="1300"/>
      <c r="FJ745" s="1298" t="str">
        <f t="shared" si="33"/>
        <v/>
      </c>
      <c r="FK745" s="1299"/>
      <c r="FL745" s="1299"/>
      <c r="FM745" s="1299"/>
      <c r="FN745" s="1300"/>
      <c r="FO745" s="1298" t="str">
        <f t="shared" si="34"/>
        <v/>
      </c>
      <c r="FP745" s="1299"/>
      <c r="FQ745" s="1299"/>
      <c r="FR745" s="1299"/>
      <c r="FS745" s="1300"/>
      <c r="FT745" s="1298" t="str">
        <f t="shared" si="35"/>
        <v/>
      </c>
      <c r="FU745" s="1299"/>
      <c r="FV745" s="1299"/>
      <c r="FW745" s="1299"/>
      <c r="FX745" s="1300"/>
      <c r="FY745" s="1298" t="str">
        <f t="shared" si="36"/>
        <v/>
      </c>
      <c r="FZ745" s="1299"/>
      <c r="GA745" s="1299"/>
      <c r="GB745" s="1299"/>
      <c r="GC745" s="1300"/>
    </row>
    <row r="746" spans="1:185" ht="12.9" customHeight="1">
      <c r="B746" s="1312"/>
      <c r="C746" s="1313"/>
      <c r="D746" s="1313"/>
      <c r="E746" s="1313"/>
      <c r="F746" s="1314"/>
      <c r="G746" s="1321"/>
      <c r="H746" s="1322"/>
      <c r="I746" s="1322"/>
      <c r="J746" s="1323"/>
      <c r="K746" s="1551"/>
      <c r="L746" s="1552"/>
      <c r="M746" s="1552"/>
      <c r="N746" s="1553"/>
      <c r="O746" s="1418"/>
      <c r="P746" s="1419"/>
      <c r="Q746" s="1419"/>
      <c r="R746" s="1419"/>
      <c r="S746" s="1420"/>
      <c r="T746" s="1418"/>
      <c r="U746" s="1419"/>
      <c r="V746" s="1419"/>
      <c r="W746" s="1420"/>
      <c r="X746" s="1315">
        <f t="shared" si="40"/>
        <v>0</v>
      </c>
      <c r="Y746" s="1316"/>
      <c r="Z746" s="1316"/>
      <c r="AA746" s="1316"/>
      <c r="AB746" s="1317"/>
      <c r="AC746" s="1560"/>
      <c r="AD746" s="1561"/>
      <c r="AE746" s="1561"/>
      <c r="AF746" s="1561"/>
      <c r="AG746" s="1562"/>
      <c r="AH746" s="1318" t="str">
        <f t="shared" si="37"/>
        <v/>
      </c>
      <c r="AI746" s="1319"/>
      <c r="AJ746" s="1320"/>
      <c r="AK746" s="1312" t="s">
        <v>809</v>
      </c>
      <c r="AL746" s="1313"/>
      <c r="AM746" s="1313"/>
      <c r="AN746" s="1313"/>
      <c r="AO746" s="1314"/>
      <c r="AP746" s="2"/>
      <c r="AQ746" s="2"/>
      <c r="AR746" s="2"/>
      <c r="AS746" s="2"/>
      <c r="AY746" s="711"/>
      <c r="AZ746" s="68" t="str">
        <f t="shared" si="10"/>
        <v>N/A</v>
      </c>
      <c r="BA746" s="2"/>
      <c r="BB746" s="2"/>
      <c r="BC746" s="2"/>
      <c r="BD746" s="2"/>
      <c r="BE746" s="2"/>
      <c r="BF746" s="157">
        <f t="shared" si="11"/>
        <v>0</v>
      </c>
      <c r="BG746" s="160">
        <f t="shared" si="12"/>
        <v>0</v>
      </c>
      <c r="BH746" s="161" t="str">
        <f t="shared" si="13"/>
        <v/>
      </c>
      <c r="BI746" s="2"/>
      <c r="BJ746" s="2"/>
      <c r="BK746" s="2"/>
      <c r="BL746" s="2"/>
      <c r="BM746" s="2"/>
      <c r="BN746" s="2"/>
      <c r="BS746" s="157">
        <f t="shared" si="14"/>
        <v>0</v>
      </c>
      <c r="BT746" s="160">
        <f t="shared" si="15"/>
        <v>0</v>
      </c>
      <c r="BU746" s="161" t="str">
        <f t="shared" si="16"/>
        <v/>
      </c>
      <c r="BV746" s="2"/>
      <c r="BW746" s="2"/>
      <c r="BX746" s="2"/>
      <c r="BY746" s="2"/>
      <c r="BZ746" s="2"/>
      <c r="CA746" s="2"/>
      <c r="CB746" s="2"/>
      <c r="CC746" s="2"/>
      <c r="CE746" s="2"/>
      <c r="CF746" s="2"/>
      <c r="CG746" s="1298">
        <f t="shared" si="38"/>
        <v>0</v>
      </c>
      <c r="CH746" s="1300"/>
      <c r="CI746" s="1298">
        <f t="shared" si="39"/>
        <v>0</v>
      </c>
      <c r="CJ746" s="1300"/>
      <c r="CK746" s="1298">
        <f t="shared" si="17"/>
        <v>0</v>
      </c>
      <c r="CL746" s="1300"/>
      <c r="CM746" s="1298">
        <f t="shared" si="18"/>
        <v>0</v>
      </c>
      <c r="CN746" s="1300"/>
      <c r="CO746" s="2"/>
      <c r="CP746" s="1295">
        <f t="shared" si="19"/>
        <v>0</v>
      </c>
      <c r="CQ746" s="1296"/>
      <c r="CR746" s="1296"/>
      <c r="CS746" s="1296"/>
      <c r="CT746" s="1297"/>
      <c r="CU746" s="1311">
        <f t="shared" si="20"/>
        <v>0</v>
      </c>
      <c r="CV746" s="1311"/>
      <c r="CW746" s="1311"/>
      <c r="CX746" s="1311"/>
      <c r="CY746" s="1311"/>
      <c r="CZ746" s="1311">
        <f t="shared" si="21"/>
        <v>0</v>
      </c>
      <c r="DA746" s="1311"/>
      <c r="DB746" s="1311"/>
      <c r="DC746" s="1311"/>
      <c r="DD746" s="1311"/>
      <c r="DE746" s="1311">
        <f t="shared" si="22"/>
        <v>0</v>
      </c>
      <c r="DF746" s="1311"/>
      <c r="DG746" s="1311"/>
      <c r="DH746" s="1311"/>
      <c r="DI746" s="1311"/>
      <c r="DJ746" s="1311">
        <f t="shared" si="23"/>
        <v>0</v>
      </c>
      <c r="DK746" s="1311"/>
      <c r="DL746" s="1311"/>
      <c r="DM746" s="1311"/>
      <c r="DN746" s="1311"/>
      <c r="DO746" s="1311">
        <f t="shared" si="24"/>
        <v>0</v>
      </c>
      <c r="DP746" s="1311"/>
      <c r="DQ746" s="1311"/>
      <c r="DR746" s="1311"/>
      <c r="DS746" s="1311"/>
      <c r="DT746" s="1152"/>
      <c r="DU746" s="1325">
        <f t="shared" si="25"/>
        <v>0</v>
      </c>
      <c r="DV746" s="1325"/>
      <c r="DW746" s="1325"/>
      <c r="DX746" s="1325"/>
      <c r="DY746" s="1325"/>
      <c r="DZ746" s="1325">
        <f t="shared" si="26"/>
        <v>0</v>
      </c>
      <c r="EA746" s="1325"/>
      <c r="EB746" s="1325"/>
      <c r="EC746" s="1325"/>
      <c r="ED746" s="1325"/>
      <c r="EE746" s="1325">
        <f t="shared" si="27"/>
        <v>0</v>
      </c>
      <c r="EF746" s="1325"/>
      <c r="EG746" s="1325"/>
      <c r="EH746" s="1325"/>
      <c r="EI746" s="1325"/>
      <c r="EJ746" s="1325">
        <f t="shared" si="28"/>
        <v>0</v>
      </c>
      <c r="EK746" s="1325"/>
      <c r="EL746" s="1325"/>
      <c r="EM746" s="1325"/>
      <c r="EN746" s="1325"/>
      <c r="EO746" s="1325">
        <f t="shared" si="29"/>
        <v>0</v>
      </c>
      <c r="EP746" s="1325"/>
      <c r="EQ746" s="1325"/>
      <c r="ER746" s="1325"/>
      <c r="ES746" s="1325"/>
      <c r="ET746" s="1325">
        <f t="shared" si="30"/>
        <v>0</v>
      </c>
      <c r="EU746" s="1325"/>
      <c r="EV746" s="1325"/>
      <c r="EW746" s="1325"/>
      <c r="EX746" s="1325"/>
      <c r="EZ746" s="1298" t="str">
        <f t="shared" si="31"/>
        <v/>
      </c>
      <c r="FA746" s="1299"/>
      <c r="FB746" s="1299"/>
      <c r="FC746" s="1299"/>
      <c r="FD746" s="1300"/>
      <c r="FE746" s="1298" t="str">
        <f t="shared" si="32"/>
        <v/>
      </c>
      <c r="FF746" s="1299"/>
      <c r="FG746" s="1299"/>
      <c r="FH746" s="1299"/>
      <c r="FI746" s="1300"/>
      <c r="FJ746" s="1298" t="str">
        <f t="shared" si="33"/>
        <v/>
      </c>
      <c r="FK746" s="1299"/>
      <c r="FL746" s="1299"/>
      <c r="FM746" s="1299"/>
      <c r="FN746" s="1300"/>
      <c r="FO746" s="1298" t="str">
        <f t="shared" si="34"/>
        <v/>
      </c>
      <c r="FP746" s="1299"/>
      <c r="FQ746" s="1299"/>
      <c r="FR746" s="1299"/>
      <c r="FS746" s="1300"/>
      <c r="FT746" s="1298" t="str">
        <f t="shared" si="35"/>
        <v/>
      </c>
      <c r="FU746" s="1299"/>
      <c r="FV746" s="1299"/>
      <c r="FW746" s="1299"/>
      <c r="FX746" s="1300"/>
      <c r="FY746" s="1298" t="str">
        <f t="shared" si="36"/>
        <v/>
      </c>
      <c r="FZ746" s="1299"/>
      <c r="GA746" s="1299"/>
      <c r="GB746" s="1299"/>
      <c r="GC746" s="1300"/>
    </row>
    <row r="747" spans="1:185" ht="12.9" customHeight="1">
      <c r="B747" s="1312"/>
      <c r="C747" s="1313"/>
      <c r="D747" s="1313"/>
      <c r="E747" s="1313"/>
      <c r="F747" s="1314"/>
      <c r="G747" s="1321"/>
      <c r="H747" s="1322"/>
      <c r="I747" s="1322"/>
      <c r="J747" s="1323"/>
      <c r="K747" s="1551"/>
      <c r="L747" s="1552"/>
      <c r="M747" s="1552"/>
      <c r="N747" s="1553"/>
      <c r="O747" s="1418"/>
      <c r="P747" s="1419"/>
      <c r="Q747" s="1419"/>
      <c r="R747" s="1419"/>
      <c r="S747" s="1420"/>
      <c r="T747" s="1418"/>
      <c r="U747" s="1419"/>
      <c r="V747" s="1419"/>
      <c r="W747" s="1420"/>
      <c r="X747" s="1315">
        <f t="shared" si="40"/>
        <v>0</v>
      </c>
      <c r="Y747" s="1316"/>
      <c r="Z747" s="1316"/>
      <c r="AA747" s="1316"/>
      <c r="AB747" s="1317"/>
      <c r="AC747" s="1560"/>
      <c r="AD747" s="1561"/>
      <c r="AE747" s="1561"/>
      <c r="AF747" s="1561"/>
      <c r="AG747" s="1562"/>
      <c r="AH747" s="1318" t="str">
        <f t="shared" si="37"/>
        <v/>
      </c>
      <c r="AI747" s="1319"/>
      <c r="AJ747" s="1320"/>
      <c r="AK747" s="1312" t="s">
        <v>809</v>
      </c>
      <c r="AL747" s="1313"/>
      <c r="AM747" s="1313"/>
      <c r="AN747" s="1313"/>
      <c r="AO747" s="1314"/>
      <c r="AP747" s="2"/>
      <c r="AQ747" s="2"/>
      <c r="AR747" s="2"/>
      <c r="AS747" s="2"/>
      <c r="AY747" s="711"/>
      <c r="AZ747" s="68" t="str">
        <f t="shared" si="10"/>
        <v>N/A</v>
      </c>
      <c r="BA747" s="2"/>
      <c r="BB747" s="2"/>
      <c r="BC747" s="2"/>
      <c r="BD747" s="2"/>
      <c r="BE747" s="2"/>
      <c r="BF747" s="157">
        <f t="shared" si="11"/>
        <v>0</v>
      </c>
      <c r="BG747" s="160">
        <f t="shared" si="12"/>
        <v>0</v>
      </c>
      <c r="BH747" s="161" t="str">
        <f t="shared" si="13"/>
        <v/>
      </c>
      <c r="BI747" s="2"/>
      <c r="BJ747" s="2"/>
      <c r="BK747" s="2"/>
      <c r="BL747" s="2"/>
      <c r="BM747" s="2"/>
      <c r="BN747" s="2"/>
      <c r="BS747" s="157">
        <f t="shared" si="14"/>
        <v>0</v>
      </c>
      <c r="BT747" s="160">
        <f t="shared" si="15"/>
        <v>0</v>
      </c>
      <c r="BU747" s="161" t="str">
        <f t="shared" si="16"/>
        <v/>
      </c>
      <c r="BV747" s="2"/>
      <c r="BW747" s="2"/>
      <c r="BX747" s="2"/>
      <c r="BY747" s="2"/>
      <c r="BZ747" s="2"/>
      <c r="CA747" s="2"/>
      <c r="CB747" s="2"/>
      <c r="CC747" s="2"/>
      <c r="CE747" s="2"/>
      <c r="CF747" s="2"/>
      <c r="CG747" s="1298">
        <f t="shared" si="38"/>
        <v>0</v>
      </c>
      <c r="CH747" s="1300"/>
      <c r="CI747" s="1298">
        <f t="shared" si="39"/>
        <v>0</v>
      </c>
      <c r="CJ747" s="1300"/>
      <c r="CK747" s="1298">
        <f t="shared" si="17"/>
        <v>0</v>
      </c>
      <c r="CL747" s="1300"/>
      <c r="CM747" s="1298">
        <f t="shared" si="18"/>
        <v>0</v>
      </c>
      <c r="CN747" s="1300"/>
      <c r="CO747" s="2"/>
      <c r="CP747" s="1295">
        <f t="shared" si="19"/>
        <v>0</v>
      </c>
      <c r="CQ747" s="1296"/>
      <c r="CR747" s="1296"/>
      <c r="CS747" s="1296"/>
      <c r="CT747" s="1297"/>
      <c r="CU747" s="1311">
        <f t="shared" si="20"/>
        <v>0</v>
      </c>
      <c r="CV747" s="1311"/>
      <c r="CW747" s="1311"/>
      <c r="CX747" s="1311"/>
      <c r="CY747" s="1311"/>
      <c r="CZ747" s="1311">
        <f t="shared" si="21"/>
        <v>0</v>
      </c>
      <c r="DA747" s="1311"/>
      <c r="DB747" s="1311"/>
      <c r="DC747" s="1311"/>
      <c r="DD747" s="1311"/>
      <c r="DE747" s="1311">
        <f t="shared" si="22"/>
        <v>0</v>
      </c>
      <c r="DF747" s="1311"/>
      <c r="DG747" s="1311"/>
      <c r="DH747" s="1311"/>
      <c r="DI747" s="1311"/>
      <c r="DJ747" s="1311">
        <f t="shared" si="23"/>
        <v>0</v>
      </c>
      <c r="DK747" s="1311"/>
      <c r="DL747" s="1311"/>
      <c r="DM747" s="1311"/>
      <c r="DN747" s="1311"/>
      <c r="DO747" s="1311">
        <f t="shared" si="24"/>
        <v>0</v>
      </c>
      <c r="DP747" s="1311"/>
      <c r="DQ747" s="1311"/>
      <c r="DR747" s="1311"/>
      <c r="DS747" s="1311"/>
      <c r="DT747" s="1152"/>
      <c r="DU747" s="1325">
        <f t="shared" si="25"/>
        <v>0</v>
      </c>
      <c r="DV747" s="1325"/>
      <c r="DW747" s="1325"/>
      <c r="DX747" s="1325"/>
      <c r="DY747" s="1325"/>
      <c r="DZ747" s="1325">
        <f t="shared" si="26"/>
        <v>0</v>
      </c>
      <c r="EA747" s="1325"/>
      <c r="EB747" s="1325"/>
      <c r="EC747" s="1325"/>
      <c r="ED747" s="1325"/>
      <c r="EE747" s="1325">
        <f t="shared" si="27"/>
        <v>0</v>
      </c>
      <c r="EF747" s="1325"/>
      <c r="EG747" s="1325"/>
      <c r="EH747" s="1325"/>
      <c r="EI747" s="1325"/>
      <c r="EJ747" s="1325">
        <f t="shared" si="28"/>
        <v>0</v>
      </c>
      <c r="EK747" s="1325"/>
      <c r="EL747" s="1325"/>
      <c r="EM747" s="1325"/>
      <c r="EN747" s="1325"/>
      <c r="EO747" s="1325">
        <f t="shared" si="29"/>
        <v>0</v>
      </c>
      <c r="EP747" s="1325"/>
      <c r="EQ747" s="1325"/>
      <c r="ER747" s="1325"/>
      <c r="ES747" s="1325"/>
      <c r="ET747" s="1325">
        <f t="shared" si="30"/>
        <v>0</v>
      </c>
      <c r="EU747" s="1325"/>
      <c r="EV747" s="1325"/>
      <c r="EW747" s="1325"/>
      <c r="EX747" s="1325"/>
      <c r="EZ747" s="1298" t="str">
        <f t="shared" si="31"/>
        <v/>
      </c>
      <c r="FA747" s="1299"/>
      <c r="FB747" s="1299"/>
      <c r="FC747" s="1299"/>
      <c r="FD747" s="1300"/>
      <c r="FE747" s="1298" t="str">
        <f t="shared" si="32"/>
        <v/>
      </c>
      <c r="FF747" s="1299"/>
      <c r="FG747" s="1299"/>
      <c r="FH747" s="1299"/>
      <c r="FI747" s="1300"/>
      <c r="FJ747" s="1298" t="str">
        <f t="shared" si="33"/>
        <v/>
      </c>
      <c r="FK747" s="1299"/>
      <c r="FL747" s="1299"/>
      <c r="FM747" s="1299"/>
      <c r="FN747" s="1300"/>
      <c r="FO747" s="1298" t="str">
        <f t="shared" si="34"/>
        <v/>
      </c>
      <c r="FP747" s="1299"/>
      <c r="FQ747" s="1299"/>
      <c r="FR747" s="1299"/>
      <c r="FS747" s="1300"/>
      <c r="FT747" s="1298" t="str">
        <f t="shared" si="35"/>
        <v/>
      </c>
      <c r="FU747" s="1299"/>
      <c r="FV747" s="1299"/>
      <c r="FW747" s="1299"/>
      <c r="FX747" s="1300"/>
      <c r="FY747" s="1298" t="str">
        <f t="shared" si="36"/>
        <v/>
      </c>
      <c r="FZ747" s="1299"/>
      <c r="GA747" s="1299"/>
      <c r="GB747" s="1299"/>
      <c r="GC747" s="1300"/>
    </row>
    <row r="748" spans="1:185" s="2" customFormat="1" ht="12.9" customHeight="1">
      <c r="A748"/>
      <c r="B748" s="1312"/>
      <c r="C748" s="1313"/>
      <c r="D748" s="1313"/>
      <c r="E748" s="1313"/>
      <c r="F748" s="1314"/>
      <c r="G748" s="1321"/>
      <c r="H748" s="1322"/>
      <c r="I748" s="1322"/>
      <c r="J748" s="1323"/>
      <c r="K748" s="1551"/>
      <c r="L748" s="1552"/>
      <c r="M748" s="1552"/>
      <c r="N748" s="1553"/>
      <c r="O748" s="1418"/>
      <c r="P748" s="1419"/>
      <c r="Q748" s="1419"/>
      <c r="R748" s="1419"/>
      <c r="S748" s="1420"/>
      <c r="T748" s="1418"/>
      <c r="U748" s="1419"/>
      <c r="V748" s="1419"/>
      <c r="W748" s="1420"/>
      <c r="X748" s="1315">
        <f t="shared" si="40"/>
        <v>0</v>
      </c>
      <c r="Y748" s="1316"/>
      <c r="Z748" s="1316"/>
      <c r="AA748" s="1316"/>
      <c r="AB748" s="1317"/>
      <c r="AC748" s="1560"/>
      <c r="AD748" s="1561"/>
      <c r="AE748" s="1561"/>
      <c r="AF748" s="1561"/>
      <c r="AG748" s="1562"/>
      <c r="AH748" s="1318" t="str">
        <f t="shared" si="37"/>
        <v/>
      </c>
      <c r="AI748" s="1319"/>
      <c r="AJ748" s="1320"/>
      <c r="AK748" s="1312" t="s">
        <v>809</v>
      </c>
      <c r="AL748" s="1313"/>
      <c r="AM748" s="1313"/>
      <c r="AN748" s="1313"/>
      <c r="AO748" s="1314"/>
      <c r="AT748"/>
      <c r="AU748"/>
      <c r="AV748"/>
      <c r="AW748"/>
      <c r="AX748"/>
      <c r="AY748" s="711"/>
      <c r="AZ748" s="68" t="str">
        <f t="shared" si="10"/>
        <v>N/A</v>
      </c>
      <c r="BF748" s="157">
        <f t="shared" si="11"/>
        <v>0</v>
      </c>
      <c r="BG748" s="160">
        <f t="shared" si="12"/>
        <v>0</v>
      </c>
      <c r="BH748" s="161" t="str">
        <f t="shared" si="13"/>
        <v/>
      </c>
      <c r="BO748"/>
      <c r="BP748"/>
      <c r="BQ748"/>
      <c r="BR748"/>
      <c r="BS748" s="157">
        <f t="shared" si="14"/>
        <v>0</v>
      </c>
      <c r="BT748" s="160">
        <f t="shared" si="15"/>
        <v>0</v>
      </c>
      <c r="BU748" s="161" t="str">
        <f t="shared" si="16"/>
        <v/>
      </c>
      <c r="CD748"/>
      <c r="CG748" s="1298">
        <f t="shared" si="38"/>
        <v>0</v>
      </c>
      <c r="CH748" s="1300"/>
      <c r="CI748" s="1298">
        <f t="shared" si="39"/>
        <v>0</v>
      </c>
      <c r="CJ748" s="1300"/>
      <c r="CK748" s="1298">
        <f t="shared" si="17"/>
        <v>0</v>
      </c>
      <c r="CL748" s="1300"/>
      <c r="CM748" s="1298">
        <f t="shared" si="18"/>
        <v>0</v>
      </c>
      <c r="CN748" s="1300"/>
      <c r="CP748" s="1295">
        <f t="shared" si="19"/>
        <v>0</v>
      </c>
      <c r="CQ748" s="1296"/>
      <c r="CR748" s="1296"/>
      <c r="CS748" s="1296"/>
      <c r="CT748" s="1297"/>
      <c r="CU748" s="1311">
        <f t="shared" si="20"/>
        <v>0</v>
      </c>
      <c r="CV748" s="1311"/>
      <c r="CW748" s="1311"/>
      <c r="CX748" s="1311"/>
      <c r="CY748" s="1311"/>
      <c r="CZ748" s="1311">
        <f t="shared" si="21"/>
        <v>0</v>
      </c>
      <c r="DA748" s="1311"/>
      <c r="DB748" s="1311"/>
      <c r="DC748" s="1311"/>
      <c r="DD748" s="1311"/>
      <c r="DE748" s="1311">
        <f t="shared" si="22"/>
        <v>0</v>
      </c>
      <c r="DF748" s="1311"/>
      <c r="DG748" s="1311"/>
      <c r="DH748" s="1311"/>
      <c r="DI748" s="1311"/>
      <c r="DJ748" s="1311">
        <f t="shared" si="23"/>
        <v>0</v>
      </c>
      <c r="DK748" s="1311"/>
      <c r="DL748" s="1311"/>
      <c r="DM748" s="1311"/>
      <c r="DN748" s="1311"/>
      <c r="DO748" s="1311">
        <f t="shared" si="24"/>
        <v>0</v>
      </c>
      <c r="DP748" s="1311"/>
      <c r="DQ748" s="1311"/>
      <c r="DR748" s="1311"/>
      <c r="DS748" s="1311"/>
      <c r="DT748" s="1152"/>
      <c r="DU748" s="1325">
        <f t="shared" si="25"/>
        <v>0</v>
      </c>
      <c r="DV748" s="1325"/>
      <c r="DW748" s="1325"/>
      <c r="DX748" s="1325"/>
      <c r="DY748" s="1325"/>
      <c r="DZ748" s="1325">
        <f t="shared" si="26"/>
        <v>0</v>
      </c>
      <c r="EA748" s="1325"/>
      <c r="EB748" s="1325"/>
      <c r="EC748" s="1325"/>
      <c r="ED748" s="1325"/>
      <c r="EE748" s="1325">
        <f t="shared" si="27"/>
        <v>0</v>
      </c>
      <c r="EF748" s="1325"/>
      <c r="EG748" s="1325"/>
      <c r="EH748" s="1325"/>
      <c r="EI748" s="1325"/>
      <c r="EJ748" s="1325">
        <f t="shared" si="28"/>
        <v>0</v>
      </c>
      <c r="EK748" s="1325"/>
      <c r="EL748" s="1325"/>
      <c r="EM748" s="1325"/>
      <c r="EN748" s="1325"/>
      <c r="EO748" s="1325">
        <f t="shared" si="29"/>
        <v>0</v>
      </c>
      <c r="EP748" s="1325"/>
      <c r="EQ748" s="1325"/>
      <c r="ER748" s="1325"/>
      <c r="ES748" s="1325"/>
      <c r="ET748" s="1325">
        <f t="shared" si="30"/>
        <v>0</v>
      </c>
      <c r="EU748" s="1325"/>
      <c r="EV748" s="1325"/>
      <c r="EW748" s="1325"/>
      <c r="EX748" s="1325"/>
      <c r="EY748"/>
      <c r="EZ748" s="1298" t="str">
        <f t="shared" si="31"/>
        <v/>
      </c>
      <c r="FA748" s="1299"/>
      <c r="FB748" s="1299"/>
      <c r="FC748" s="1299"/>
      <c r="FD748" s="1300"/>
      <c r="FE748" s="1298" t="str">
        <f t="shared" si="32"/>
        <v/>
      </c>
      <c r="FF748" s="1299"/>
      <c r="FG748" s="1299"/>
      <c r="FH748" s="1299"/>
      <c r="FI748" s="1300"/>
      <c r="FJ748" s="1298" t="str">
        <f t="shared" si="33"/>
        <v/>
      </c>
      <c r="FK748" s="1299"/>
      <c r="FL748" s="1299"/>
      <c r="FM748" s="1299"/>
      <c r="FN748" s="1300"/>
      <c r="FO748" s="1298" t="str">
        <f t="shared" si="34"/>
        <v/>
      </c>
      <c r="FP748" s="1299"/>
      <c r="FQ748" s="1299"/>
      <c r="FR748" s="1299"/>
      <c r="FS748" s="1300"/>
      <c r="FT748" s="1298" t="str">
        <f t="shared" si="35"/>
        <v/>
      </c>
      <c r="FU748" s="1299"/>
      <c r="FV748" s="1299"/>
      <c r="FW748" s="1299"/>
      <c r="FX748" s="1300"/>
      <c r="FY748" s="1298" t="str">
        <f t="shared" si="36"/>
        <v/>
      </c>
      <c r="FZ748" s="1299"/>
      <c r="GA748" s="1299"/>
      <c r="GB748" s="1299"/>
      <c r="GC748" s="1300"/>
    </row>
    <row r="749" spans="1:185" s="2" customFormat="1" ht="12.9" customHeight="1">
      <c r="A749"/>
      <c r="B749" s="1312"/>
      <c r="C749" s="1313"/>
      <c r="D749" s="1313"/>
      <c r="E749" s="1313"/>
      <c r="F749" s="1314"/>
      <c r="G749" s="1321"/>
      <c r="H749" s="1322"/>
      <c r="I749" s="1322"/>
      <c r="J749" s="1323"/>
      <c r="K749" s="1551"/>
      <c r="L749" s="1552"/>
      <c r="M749" s="1552"/>
      <c r="N749" s="1553"/>
      <c r="O749" s="1418"/>
      <c r="P749" s="1419"/>
      <c r="Q749" s="1419"/>
      <c r="R749" s="1419"/>
      <c r="S749" s="1420"/>
      <c r="T749" s="1418"/>
      <c r="U749" s="1419"/>
      <c r="V749" s="1419"/>
      <c r="W749" s="1420"/>
      <c r="X749" s="1315">
        <f t="shared" si="40"/>
        <v>0</v>
      </c>
      <c r="Y749" s="1316"/>
      <c r="Z749" s="1316"/>
      <c r="AA749" s="1316"/>
      <c r="AB749" s="1317"/>
      <c r="AC749" s="1560"/>
      <c r="AD749" s="1561"/>
      <c r="AE749" s="1561"/>
      <c r="AF749" s="1561"/>
      <c r="AG749" s="1562"/>
      <c r="AH749" s="1318" t="str">
        <f t="shared" si="37"/>
        <v/>
      </c>
      <c r="AI749" s="1319"/>
      <c r="AJ749" s="1320"/>
      <c r="AK749" s="1312" t="s">
        <v>809</v>
      </c>
      <c r="AL749" s="1313"/>
      <c r="AM749" s="1313"/>
      <c r="AN749" s="1313"/>
      <c r="AO749" s="1314"/>
      <c r="AT749"/>
      <c r="AU749"/>
      <c r="AV749"/>
      <c r="AW749"/>
      <c r="AX749"/>
      <c r="AY749" s="711"/>
      <c r="AZ749" s="68" t="str">
        <f t="shared" si="10"/>
        <v>N/A</v>
      </c>
      <c r="BF749" s="157">
        <f t="shared" si="11"/>
        <v>0</v>
      </c>
      <c r="BG749" s="160">
        <f t="shared" si="12"/>
        <v>0</v>
      </c>
      <c r="BH749" s="161" t="str">
        <f t="shared" si="13"/>
        <v/>
      </c>
      <c r="BO749"/>
      <c r="BP749"/>
      <c r="BQ749"/>
      <c r="BR749"/>
      <c r="BS749" s="157">
        <f t="shared" si="14"/>
        <v>0</v>
      </c>
      <c r="BT749" s="160">
        <f t="shared" si="15"/>
        <v>0</v>
      </c>
      <c r="BU749" s="161" t="str">
        <f t="shared" si="16"/>
        <v/>
      </c>
      <c r="CD749"/>
      <c r="CG749" s="1298">
        <f t="shared" si="38"/>
        <v>0</v>
      </c>
      <c r="CH749" s="1300"/>
      <c r="CI749" s="1298">
        <f t="shared" si="39"/>
        <v>0</v>
      </c>
      <c r="CJ749" s="1300"/>
      <c r="CK749" s="1298">
        <f t="shared" si="17"/>
        <v>0</v>
      </c>
      <c r="CL749" s="1300"/>
      <c r="CM749" s="1298">
        <f t="shared" si="18"/>
        <v>0</v>
      </c>
      <c r="CN749" s="1300"/>
      <c r="CP749" s="1295">
        <f t="shared" si="19"/>
        <v>0</v>
      </c>
      <c r="CQ749" s="1296"/>
      <c r="CR749" s="1296"/>
      <c r="CS749" s="1296"/>
      <c r="CT749" s="1297"/>
      <c r="CU749" s="1311">
        <f t="shared" si="20"/>
        <v>0</v>
      </c>
      <c r="CV749" s="1311"/>
      <c r="CW749" s="1311"/>
      <c r="CX749" s="1311"/>
      <c r="CY749" s="1311"/>
      <c r="CZ749" s="1311">
        <f t="shared" si="21"/>
        <v>0</v>
      </c>
      <c r="DA749" s="1311"/>
      <c r="DB749" s="1311"/>
      <c r="DC749" s="1311"/>
      <c r="DD749" s="1311"/>
      <c r="DE749" s="1311">
        <f t="shared" si="22"/>
        <v>0</v>
      </c>
      <c r="DF749" s="1311"/>
      <c r="DG749" s="1311"/>
      <c r="DH749" s="1311"/>
      <c r="DI749" s="1311"/>
      <c r="DJ749" s="1311">
        <f t="shared" si="23"/>
        <v>0</v>
      </c>
      <c r="DK749" s="1311"/>
      <c r="DL749" s="1311"/>
      <c r="DM749" s="1311"/>
      <c r="DN749" s="1311"/>
      <c r="DO749" s="1311">
        <f t="shared" si="24"/>
        <v>0</v>
      </c>
      <c r="DP749" s="1311"/>
      <c r="DQ749" s="1311"/>
      <c r="DR749" s="1311"/>
      <c r="DS749" s="1311"/>
      <c r="DT749" s="1152"/>
      <c r="DU749" s="1325">
        <f t="shared" si="25"/>
        <v>0</v>
      </c>
      <c r="DV749" s="1325"/>
      <c r="DW749" s="1325"/>
      <c r="DX749" s="1325"/>
      <c r="DY749" s="1325"/>
      <c r="DZ749" s="1325">
        <f t="shared" si="26"/>
        <v>0</v>
      </c>
      <c r="EA749" s="1325"/>
      <c r="EB749" s="1325"/>
      <c r="EC749" s="1325"/>
      <c r="ED749" s="1325"/>
      <c r="EE749" s="1325">
        <f t="shared" si="27"/>
        <v>0</v>
      </c>
      <c r="EF749" s="1325"/>
      <c r="EG749" s="1325"/>
      <c r="EH749" s="1325"/>
      <c r="EI749" s="1325"/>
      <c r="EJ749" s="1325">
        <f t="shared" si="28"/>
        <v>0</v>
      </c>
      <c r="EK749" s="1325"/>
      <c r="EL749" s="1325"/>
      <c r="EM749" s="1325"/>
      <c r="EN749" s="1325"/>
      <c r="EO749" s="1325">
        <f t="shared" si="29"/>
        <v>0</v>
      </c>
      <c r="EP749" s="1325"/>
      <c r="EQ749" s="1325"/>
      <c r="ER749" s="1325"/>
      <c r="ES749" s="1325"/>
      <c r="ET749" s="1325">
        <f t="shared" si="30"/>
        <v>0</v>
      </c>
      <c r="EU749" s="1325"/>
      <c r="EV749" s="1325"/>
      <c r="EW749" s="1325"/>
      <c r="EX749" s="1325"/>
      <c r="EY749"/>
      <c r="EZ749" s="1298" t="str">
        <f t="shared" si="31"/>
        <v/>
      </c>
      <c r="FA749" s="1299"/>
      <c r="FB749" s="1299"/>
      <c r="FC749" s="1299"/>
      <c r="FD749" s="1300"/>
      <c r="FE749" s="1298" t="str">
        <f t="shared" si="32"/>
        <v/>
      </c>
      <c r="FF749" s="1299"/>
      <c r="FG749" s="1299"/>
      <c r="FH749" s="1299"/>
      <c r="FI749" s="1300"/>
      <c r="FJ749" s="1298" t="str">
        <f t="shared" si="33"/>
        <v/>
      </c>
      <c r="FK749" s="1299"/>
      <c r="FL749" s="1299"/>
      <c r="FM749" s="1299"/>
      <c r="FN749" s="1300"/>
      <c r="FO749" s="1298" t="str">
        <f t="shared" si="34"/>
        <v/>
      </c>
      <c r="FP749" s="1299"/>
      <c r="FQ749" s="1299"/>
      <c r="FR749" s="1299"/>
      <c r="FS749" s="1300"/>
      <c r="FT749" s="1298" t="str">
        <f t="shared" si="35"/>
        <v/>
      </c>
      <c r="FU749" s="1299"/>
      <c r="FV749" s="1299"/>
      <c r="FW749" s="1299"/>
      <c r="FX749" s="1300"/>
      <c r="FY749" s="1298" t="str">
        <f t="shared" si="36"/>
        <v/>
      </c>
      <c r="FZ749" s="1299"/>
      <c r="GA749" s="1299"/>
      <c r="GB749" s="1299"/>
      <c r="GC749" s="1300"/>
    </row>
    <row r="750" spans="1:185" s="2" customFormat="1" ht="12.9" customHeight="1">
      <c r="A750"/>
      <c r="B750" s="1312"/>
      <c r="C750" s="1313"/>
      <c r="D750" s="1313"/>
      <c r="E750" s="1313"/>
      <c r="F750" s="1314"/>
      <c r="G750" s="1321"/>
      <c r="H750" s="1322"/>
      <c r="I750" s="1322"/>
      <c r="J750" s="1323"/>
      <c r="K750" s="1551"/>
      <c r="L750" s="1552"/>
      <c r="M750" s="1552"/>
      <c r="N750" s="1553"/>
      <c r="O750" s="1418"/>
      <c r="P750" s="1419"/>
      <c r="Q750" s="1419"/>
      <c r="R750" s="1419"/>
      <c r="S750" s="1420"/>
      <c r="T750" s="1418"/>
      <c r="U750" s="1419"/>
      <c r="V750" s="1419"/>
      <c r="W750" s="1420"/>
      <c r="X750" s="1315">
        <f t="shared" si="40"/>
        <v>0</v>
      </c>
      <c r="Y750" s="1316"/>
      <c r="Z750" s="1316"/>
      <c r="AA750" s="1316"/>
      <c r="AB750" s="1317"/>
      <c r="AC750" s="1560"/>
      <c r="AD750" s="1561"/>
      <c r="AE750" s="1561"/>
      <c r="AF750" s="1561"/>
      <c r="AG750" s="1562"/>
      <c r="AH750" s="1318" t="str">
        <f t="shared" si="37"/>
        <v/>
      </c>
      <c r="AI750" s="1319"/>
      <c r="AJ750" s="1320"/>
      <c r="AK750" s="1312" t="s">
        <v>809</v>
      </c>
      <c r="AL750" s="1313"/>
      <c r="AM750" s="1313"/>
      <c r="AN750" s="1313"/>
      <c r="AO750" s="1314"/>
      <c r="AT750"/>
      <c r="AU750"/>
      <c r="AV750"/>
      <c r="AW750"/>
      <c r="AX750"/>
      <c r="AY750"/>
      <c r="AZ750" s="68" t="str">
        <f t="shared" si="10"/>
        <v>N/A</v>
      </c>
      <c r="BF750" s="157">
        <f t="shared" si="11"/>
        <v>0</v>
      </c>
      <c r="BG750" s="160">
        <f t="shared" si="12"/>
        <v>0</v>
      </c>
      <c r="BH750" s="161" t="str">
        <f t="shared" si="13"/>
        <v/>
      </c>
      <c r="BO750"/>
      <c r="BP750"/>
      <c r="BQ750"/>
      <c r="BR750"/>
      <c r="BS750" s="157">
        <f t="shared" si="14"/>
        <v>0</v>
      </c>
      <c r="BT750" s="160">
        <f t="shared" si="15"/>
        <v>0</v>
      </c>
      <c r="BU750" s="161" t="str">
        <f t="shared" si="16"/>
        <v/>
      </c>
      <c r="CD750"/>
      <c r="CG750" s="1298">
        <f t="shared" si="38"/>
        <v>0</v>
      </c>
      <c r="CH750" s="1300"/>
      <c r="CI750" s="1298">
        <f t="shared" si="39"/>
        <v>0</v>
      </c>
      <c r="CJ750" s="1300"/>
      <c r="CK750" s="1298">
        <f t="shared" si="17"/>
        <v>0</v>
      </c>
      <c r="CL750" s="1300"/>
      <c r="CM750" s="1298">
        <f t="shared" si="18"/>
        <v>0</v>
      </c>
      <c r="CN750" s="1300"/>
      <c r="CP750" s="1295">
        <f t="shared" si="19"/>
        <v>0</v>
      </c>
      <c r="CQ750" s="1296"/>
      <c r="CR750" s="1296"/>
      <c r="CS750" s="1296"/>
      <c r="CT750" s="1297"/>
      <c r="CU750" s="1311">
        <f t="shared" si="20"/>
        <v>0</v>
      </c>
      <c r="CV750" s="1311"/>
      <c r="CW750" s="1311"/>
      <c r="CX750" s="1311"/>
      <c r="CY750" s="1311"/>
      <c r="CZ750" s="1311">
        <f t="shared" si="21"/>
        <v>0</v>
      </c>
      <c r="DA750" s="1311"/>
      <c r="DB750" s="1311"/>
      <c r="DC750" s="1311"/>
      <c r="DD750" s="1311"/>
      <c r="DE750" s="1311">
        <f t="shared" si="22"/>
        <v>0</v>
      </c>
      <c r="DF750" s="1311"/>
      <c r="DG750" s="1311"/>
      <c r="DH750" s="1311"/>
      <c r="DI750" s="1311"/>
      <c r="DJ750" s="1311">
        <f t="shared" si="23"/>
        <v>0</v>
      </c>
      <c r="DK750" s="1311"/>
      <c r="DL750" s="1311"/>
      <c r="DM750" s="1311"/>
      <c r="DN750" s="1311"/>
      <c r="DO750" s="1311">
        <f t="shared" si="24"/>
        <v>0</v>
      </c>
      <c r="DP750" s="1311"/>
      <c r="DQ750" s="1311"/>
      <c r="DR750" s="1311"/>
      <c r="DS750" s="1311"/>
      <c r="DT750" s="1152"/>
      <c r="DU750" s="1325">
        <f t="shared" si="25"/>
        <v>0</v>
      </c>
      <c r="DV750" s="1325"/>
      <c r="DW750" s="1325"/>
      <c r="DX750" s="1325"/>
      <c r="DY750" s="1325"/>
      <c r="DZ750" s="1325">
        <f t="shared" si="26"/>
        <v>0</v>
      </c>
      <c r="EA750" s="1325"/>
      <c r="EB750" s="1325"/>
      <c r="EC750" s="1325"/>
      <c r="ED750" s="1325"/>
      <c r="EE750" s="1325">
        <f t="shared" si="27"/>
        <v>0</v>
      </c>
      <c r="EF750" s="1325"/>
      <c r="EG750" s="1325"/>
      <c r="EH750" s="1325"/>
      <c r="EI750" s="1325"/>
      <c r="EJ750" s="1325">
        <f t="shared" si="28"/>
        <v>0</v>
      </c>
      <c r="EK750" s="1325"/>
      <c r="EL750" s="1325"/>
      <c r="EM750" s="1325"/>
      <c r="EN750" s="1325"/>
      <c r="EO750" s="1325">
        <f t="shared" si="29"/>
        <v>0</v>
      </c>
      <c r="EP750" s="1325"/>
      <c r="EQ750" s="1325"/>
      <c r="ER750" s="1325"/>
      <c r="ES750" s="1325"/>
      <c r="ET750" s="1325">
        <f t="shared" si="30"/>
        <v>0</v>
      </c>
      <c r="EU750" s="1325"/>
      <c r="EV750" s="1325"/>
      <c r="EW750" s="1325"/>
      <c r="EX750" s="1325"/>
      <c r="EY750"/>
      <c r="EZ750" s="1298" t="str">
        <f t="shared" si="31"/>
        <v/>
      </c>
      <c r="FA750" s="1299"/>
      <c r="FB750" s="1299"/>
      <c r="FC750" s="1299"/>
      <c r="FD750" s="1300"/>
      <c r="FE750" s="1298" t="str">
        <f t="shared" si="32"/>
        <v/>
      </c>
      <c r="FF750" s="1299"/>
      <c r="FG750" s="1299"/>
      <c r="FH750" s="1299"/>
      <c r="FI750" s="1300"/>
      <c r="FJ750" s="1298" t="str">
        <f t="shared" si="33"/>
        <v/>
      </c>
      <c r="FK750" s="1299"/>
      <c r="FL750" s="1299"/>
      <c r="FM750" s="1299"/>
      <c r="FN750" s="1300"/>
      <c r="FO750" s="1298" t="str">
        <f t="shared" si="34"/>
        <v/>
      </c>
      <c r="FP750" s="1299"/>
      <c r="FQ750" s="1299"/>
      <c r="FR750" s="1299"/>
      <c r="FS750" s="1300"/>
      <c r="FT750" s="1298" t="str">
        <f t="shared" si="35"/>
        <v/>
      </c>
      <c r="FU750" s="1299"/>
      <c r="FV750" s="1299"/>
      <c r="FW750" s="1299"/>
      <c r="FX750" s="1300"/>
      <c r="FY750" s="1298" t="str">
        <f t="shared" si="36"/>
        <v/>
      </c>
      <c r="FZ750" s="1299"/>
      <c r="GA750" s="1299"/>
      <c r="GB750" s="1299"/>
      <c r="GC750" s="1300"/>
    </row>
    <row r="751" spans="1:185" s="2" customFormat="1" ht="12.9" customHeight="1">
      <c r="A751"/>
      <c r="B751" s="1312"/>
      <c r="C751" s="1313"/>
      <c r="D751" s="1313"/>
      <c r="E751" s="1313"/>
      <c r="F751" s="1314"/>
      <c r="G751" s="1321"/>
      <c r="H751" s="1322"/>
      <c r="I751" s="1322"/>
      <c r="J751" s="1323"/>
      <c r="K751" s="1551"/>
      <c r="L751" s="1552"/>
      <c r="M751" s="1552"/>
      <c r="N751" s="1553"/>
      <c r="O751" s="1418"/>
      <c r="P751" s="1419"/>
      <c r="Q751" s="1419"/>
      <c r="R751" s="1419"/>
      <c r="S751" s="1420"/>
      <c r="T751" s="1418"/>
      <c r="U751" s="1419"/>
      <c r="V751" s="1419"/>
      <c r="W751" s="1420"/>
      <c r="X751" s="1315">
        <f t="shared" si="40"/>
        <v>0</v>
      </c>
      <c r="Y751" s="1316"/>
      <c r="Z751" s="1316"/>
      <c r="AA751" s="1316"/>
      <c r="AB751" s="1317"/>
      <c r="AC751" s="1560"/>
      <c r="AD751" s="1561"/>
      <c r="AE751" s="1561"/>
      <c r="AF751" s="1561"/>
      <c r="AG751" s="1562"/>
      <c r="AH751" s="1318" t="str">
        <f t="shared" si="37"/>
        <v/>
      </c>
      <c r="AI751" s="1319"/>
      <c r="AJ751" s="1320"/>
      <c r="AK751" s="1312" t="s">
        <v>809</v>
      </c>
      <c r="AL751" s="1313"/>
      <c r="AM751" s="1313"/>
      <c r="AN751" s="1313"/>
      <c r="AO751" s="1314"/>
      <c r="AT751"/>
      <c r="AU751"/>
      <c r="AV751"/>
      <c r="AW751"/>
      <c r="AX751"/>
      <c r="AY751"/>
      <c r="AZ751" s="68" t="str">
        <f t="shared" si="10"/>
        <v>N/A</v>
      </c>
      <c r="BF751" s="157">
        <f t="shared" si="11"/>
        <v>0</v>
      </c>
      <c r="BG751" s="160">
        <f t="shared" si="12"/>
        <v>0</v>
      </c>
      <c r="BH751" s="161" t="str">
        <f t="shared" si="13"/>
        <v/>
      </c>
      <c r="BO751"/>
      <c r="BP751"/>
      <c r="BQ751"/>
      <c r="BR751"/>
      <c r="BS751" s="157">
        <f t="shared" si="14"/>
        <v>0</v>
      </c>
      <c r="BT751" s="160">
        <f t="shared" si="15"/>
        <v>0</v>
      </c>
      <c r="BU751" s="161" t="str">
        <f t="shared" si="16"/>
        <v/>
      </c>
      <c r="CD751"/>
      <c r="CG751" s="1298">
        <f t="shared" si="38"/>
        <v>0</v>
      </c>
      <c r="CH751" s="1300"/>
      <c r="CI751" s="1298">
        <f t="shared" si="39"/>
        <v>0</v>
      </c>
      <c r="CJ751" s="1300"/>
      <c r="CK751" s="1298">
        <f t="shared" si="17"/>
        <v>0</v>
      </c>
      <c r="CL751" s="1300"/>
      <c r="CM751" s="1298">
        <f t="shared" si="18"/>
        <v>0</v>
      </c>
      <c r="CN751" s="1300"/>
      <c r="CP751" s="1295">
        <f t="shared" si="19"/>
        <v>0</v>
      </c>
      <c r="CQ751" s="1296"/>
      <c r="CR751" s="1296"/>
      <c r="CS751" s="1296"/>
      <c r="CT751" s="1297"/>
      <c r="CU751" s="1311">
        <f t="shared" si="20"/>
        <v>0</v>
      </c>
      <c r="CV751" s="1311"/>
      <c r="CW751" s="1311"/>
      <c r="CX751" s="1311"/>
      <c r="CY751" s="1311"/>
      <c r="CZ751" s="1311">
        <f t="shared" si="21"/>
        <v>0</v>
      </c>
      <c r="DA751" s="1311"/>
      <c r="DB751" s="1311"/>
      <c r="DC751" s="1311"/>
      <c r="DD751" s="1311"/>
      <c r="DE751" s="1311">
        <f t="shared" si="22"/>
        <v>0</v>
      </c>
      <c r="DF751" s="1311"/>
      <c r="DG751" s="1311"/>
      <c r="DH751" s="1311"/>
      <c r="DI751" s="1311"/>
      <c r="DJ751" s="1311">
        <f t="shared" si="23"/>
        <v>0</v>
      </c>
      <c r="DK751" s="1311"/>
      <c r="DL751" s="1311"/>
      <c r="DM751" s="1311"/>
      <c r="DN751" s="1311"/>
      <c r="DO751" s="1311">
        <f t="shared" si="24"/>
        <v>0</v>
      </c>
      <c r="DP751" s="1311"/>
      <c r="DQ751" s="1311"/>
      <c r="DR751" s="1311"/>
      <c r="DS751" s="1311"/>
      <c r="DT751" s="1152"/>
      <c r="DU751" s="1325">
        <f t="shared" si="25"/>
        <v>0</v>
      </c>
      <c r="DV751" s="1325"/>
      <c r="DW751" s="1325"/>
      <c r="DX751" s="1325"/>
      <c r="DY751" s="1325"/>
      <c r="DZ751" s="1325">
        <f t="shared" si="26"/>
        <v>0</v>
      </c>
      <c r="EA751" s="1325"/>
      <c r="EB751" s="1325"/>
      <c r="EC751" s="1325"/>
      <c r="ED751" s="1325"/>
      <c r="EE751" s="1325">
        <f t="shared" si="27"/>
        <v>0</v>
      </c>
      <c r="EF751" s="1325"/>
      <c r="EG751" s="1325"/>
      <c r="EH751" s="1325"/>
      <c r="EI751" s="1325"/>
      <c r="EJ751" s="1325">
        <f t="shared" si="28"/>
        <v>0</v>
      </c>
      <c r="EK751" s="1325"/>
      <c r="EL751" s="1325"/>
      <c r="EM751" s="1325"/>
      <c r="EN751" s="1325"/>
      <c r="EO751" s="1325">
        <f t="shared" si="29"/>
        <v>0</v>
      </c>
      <c r="EP751" s="1325"/>
      <c r="EQ751" s="1325"/>
      <c r="ER751" s="1325"/>
      <c r="ES751" s="1325"/>
      <c r="ET751" s="1325">
        <f t="shared" si="30"/>
        <v>0</v>
      </c>
      <c r="EU751" s="1325"/>
      <c r="EV751" s="1325"/>
      <c r="EW751" s="1325"/>
      <c r="EX751" s="1325"/>
      <c r="EY751"/>
      <c r="EZ751" s="1298" t="str">
        <f t="shared" si="31"/>
        <v/>
      </c>
      <c r="FA751" s="1299"/>
      <c r="FB751" s="1299"/>
      <c r="FC751" s="1299"/>
      <c r="FD751" s="1300"/>
      <c r="FE751" s="1298" t="str">
        <f t="shared" si="32"/>
        <v/>
      </c>
      <c r="FF751" s="1299"/>
      <c r="FG751" s="1299"/>
      <c r="FH751" s="1299"/>
      <c r="FI751" s="1300"/>
      <c r="FJ751" s="1298" t="str">
        <f t="shared" si="33"/>
        <v/>
      </c>
      <c r="FK751" s="1299"/>
      <c r="FL751" s="1299"/>
      <c r="FM751" s="1299"/>
      <c r="FN751" s="1300"/>
      <c r="FO751" s="1298" t="str">
        <f t="shared" si="34"/>
        <v/>
      </c>
      <c r="FP751" s="1299"/>
      <c r="FQ751" s="1299"/>
      <c r="FR751" s="1299"/>
      <c r="FS751" s="1300"/>
      <c r="FT751" s="1298" t="str">
        <f t="shared" si="35"/>
        <v/>
      </c>
      <c r="FU751" s="1299"/>
      <c r="FV751" s="1299"/>
      <c r="FW751" s="1299"/>
      <c r="FX751" s="1300"/>
      <c r="FY751" s="1298" t="str">
        <f t="shared" si="36"/>
        <v/>
      </c>
      <c r="FZ751" s="1299"/>
      <c r="GA751" s="1299"/>
      <c r="GB751" s="1299"/>
      <c r="GC751" s="1300"/>
    </row>
    <row r="752" spans="1:185" s="2" customFormat="1" ht="12.9" customHeight="1">
      <c r="A752"/>
      <c r="B752" s="1312"/>
      <c r="C752" s="1313"/>
      <c r="D752" s="1313"/>
      <c r="E752" s="1313"/>
      <c r="F752" s="1314"/>
      <c r="G752" s="1321"/>
      <c r="H752" s="1322"/>
      <c r="I752" s="1322"/>
      <c r="J752" s="1323"/>
      <c r="K752" s="1551"/>
      <c r="L752" s="1552"/>
      <c r="M752" s="1552"/>
      <c r="N752" s="1553"/>
      <c r="O752" s="1418"/>
      <c r="P752" s="1419"/>
      <c r="Q752" s="1419"/>
      <c r="R752" s="1419"/>
      <c r="S752" s="1420"/>
      <c r="T752" s="1418"/>
      <c r="U752" s="1419"/>
      <c r="V752" s="1419"/>
      <c r="W752" s="1420"/>
      <c r="X752" s="1315">
        <f>O752+T752</f>
        <v>0</v>
      </c>
      <c r="Y752" s="1316"/>
      <c r="Z752" s="1316"/>
      <c r="AA752" s="1316"/>
      <c r="AB752" s="1317"/>
      <c r="AC752" s="1560"/>
      <c r="AD752" s="1561"/>
      <c r="AE752" s="1561"/>
      <c r="AF752" s="1561"/>
      <c r="AG752" s="1562"/>
      <c r="AH752" s="1318" t="str">
        <f t="shared" si="37"/>
        <v/>
      </c>
      <c r="AI752" s="1319"/>
      <c r="AJ752" s="1320"/>
      <c r="AK752" s="1312" t="s">
        <v>809</v>
      </c>
      <c r="AL752" s="1313"/>
      <c r="AM752" s="1313"/>
      <c r="AN752" s="1313"/>
      <c r="AO752" s="1314"/>
      <c r="AT752"/>
      <c r="AU752"/>
      <c r="AV752"/>
      <c r="AW752"/>
      <c r="AX752"/>
      <c r="AY752"/>
      <c r="AZ752" s="68" t="str">
        <f t="shared" si="10"/>
        <v>N/A</v>
      </c>
      <c r="BE752"/>
      <c r="BF752" s="157">
        <f t="shared" si="11"/>
        <v>0</v>
      </c>
      <c r="BG752" s="160">
        <f t="shared" si="12"/>
        <v>0</v>
      </c>
      <c r="BH752" s="161" t="str">
        <f t="shared" si="13"/>
        <v/>
      </c>
      <c r="BO752"/>
      <c r="BP752"/>
      <c r="BQ752"/>
      <c r="BR752"/>
      <c r="BS752" s="633">
        <f t="shared" si="14"/>
        <v>0</v>
      </c>
      <c r="BT752" s="160">
        <f t="shared" si="15"/>
        <v>0</v>
      </c>
      <c r="BU752" s="161" t="str">
        <f t="shared" si="16"/>
        <v/>
      </c>
      <c r="CD752"/>
      <c r="CG752" s="1298">
        <f t="shared" si="38"/>
        <v>0</v>
      </c>
      <c r="CH752" s="1300"/>
      <c r="CI752" s="1298">
        <f t="shared" si="39"/>
        <v>0</v>
      </c>
      <c r="CJ752" s="1300"/>
      <c r="CK752" s="1298">
        <f t="shared" si="17"/>
        <v>0</v>
      </c>
      <c r="CL752" s="1300"/>
      <c r="CM752" s="1298">
        <f t="shared" si="18"/>
        <v>0</v>
      </c>
      <c r="CN752" s="1300"/>
      <c r="CP752" s="1295">
        <f t="shared" si="19"/>
        <v>0</v>
      </c>
      <c r="CQ752" s="1296"/>
      <c r="CR752" s="1296"/>
      <c r="CS752" s="1296"/>
      <c r="CT752" s="1297"/>
      <c r="CU752" s="1311">
        <f t="shared" si="20"/>
        <v>0</v>
      </c>
      <c r="CV752" s="1311"/>
      <c r="CW752" s="1311"/>
      <c r="CX752" s="1311"/>
      <c r="CY752" s="1311"/>
      <c r="CZ752" s="1311">
        <f t="shared" si="21"/>
        <v>0</v>
      </c>
      <c r="DA752" s="1311"/>
      <c r="DB752" s="1311"/>
      <c r="DC752" s="1311"/>
      <c r="DD752" s="1311"/>
      <c r="DE752" s="1311">
        <f t="shared" si="22"/>
        <v>0</v>
      </c>
      <c r="DF752" s="1311"/>
      <c r="DG752" s="1311"/>
      <c r="DH752" s="1311"/>
      <c r="DI752" s="1311"/>
      <c r="DJ752" s="1311">
        <f t="shared" si="23"/>
        <v>0</v>
      </c>
      <c r="DK752" s="1311"/>
      <c r="DL752" s="1311"/>
      <c r="DM752" s="1311"/>
      <c r="DN752" s="1311"/>
      <c r="DO752" s="1311">
        <f t="shared" si="24"/>
        <v>0</v>
      </c>
      <c r="DP752" s="1311"/>
      <c r="DQ752" s="1311"/>
      <c r="DR752" s="1311"/>
      <c r="DS752" s="1311"/>
      <c r="DT752" s="1152"/>
      <c r="DU752" s="1325">
        <f t="shared" si="25"/>
        <v>0</v>
      </c>
      <c r="DV752" s="1325"/>
      <c r="DW752" s="1325"/>
      <c r="DX752" s="1325"/>
      <c r="DY752" s="1325"/>
      <c r="DZ752" s="1325">
        <f t="shared" si="26"/>
        <v>0</v>
      </c>
      <c r="EA752" s="1325"/>
      <c r="EB752" s="1325"/>
      <c r="EC752" s="1325"/>
      <c r="ED752" s="1325"/>
      <c r="EE752" s="1325">
        <f t="shared" si="27"/>
        <v>0</v>
      </c>
      <c r="EF752" s="1325"/>
      <c r="EG752" s="1325"/>
      <c r="EH752" s="1325"/>
      <c r="EI752" s="1325"/>
      <c r="EJ752" s="1325">
        <f t="shared" si="28"/>
        <v>0</v>
      </c>
      <c r="EK752" s="1325"/>
      <c r="EL752" s="1325"/>
      <c r="EM752" s="1325"/>
      <c r="EN752" s="1325"/>
      <c r="EO752" s="1325">
        <f t="shared" si="29"/>
        <v>0</v>
      </c>
      <c r="EP752" s="1325"/>
      <c r="EQ752" s="1325"/>
      <c r="ER752" s="1325"/>
      <c r="ES752" s="1325"/>
      <c r="ET752" s="1325">
        <f t="shared" si="30"/>
        <v>0</v>
      </c>
      <c r="EU752" s="1325"/>
      <c r="EV752" s="1325"/>
      <c r="EW752" s="1325"/>
      <c r="EX752" s="1325"/>
      <c r="EY752"/>
      <c r="EZ752" s="1298" t="str">
        <f t="shared" si="31"/>
        <v/>
      </c>
      <c r="FA752" s="1299"/>
      <c r="FB752" s="1299"/>
      <c r="FC752" s="1299"/>
      <c r="FD752" s="1300"/>
      <c r="FE752" s="1298" t="str">
        <f t="shared" si="32"/>
        <v/>
      </c>
      <c r="FF752" s="1299"/>
      <c r="FG752" s="1299"/>
      <c r="FH752" s="1299"/>
      <c r="FI752" s="1300"/>
      <c r="FJ752" s="1298" t="str">
        <f t="shared" si="33"/>
        <v/>
      </c>
      <c r="FK752" s="1299"/>
      <c r="FL752" s="1299"/>
      <c r="FM752" s="1299"/>
      <c r="FN752" s="1300"/>
      <c r="FO752" s="1298" t="str">
        <f t="shared" si="34"/>
        <v/>
      </c>
      <c r="FP752" s="1299"/>
      <c r="FQ752" s="1299"/>
      <c r="FR752" s="1299"/>
      <c r="FS752" s="1300"/>
      <c r="FT752" s="1298" t="str">
        <f t="shared" si="35"/>
        <v/>
      </c>
      <c r="FU752" s="1299"/>
      <c r="FV752" s="1299"/>
      <c r="FW752" s="1299"/>
      <c r="FX752" s="1300"/>
      <c r="FY752" s="1298" t="str">
        <f t="shared" si="36"/>
        <v/>
      </c>
      <c r="FZ752" s="1299"/>
      <c r="GA752" s="1299"/>
      <c r="GB752" s="1299"/>
      <c r="GC752" s="1300"/>
    </row>
    <row r="753" spans="1:185" s="2" customFormat="1" ht="12.9" customHeight="1">
      <c r="A753"/>
      <c r="B753" s="1384" t="s">
        <v>1485</v>
      </c>
      <c r="C753" s="1385"/>
      <c r="D753" s="1385"/>
      <c r="E753" s="1385"/>
      <c r="F753" s="1387"/>
      <c r="G753" s="1660">
        <f>SUM(G718:G752)</f>
        <v>127</v>
      </c>
      <c r="H753" s="1661"/>
      <c r="I753" s="1661"/>
      <c r="J753" s="1662"/>
      <c r="K753" s="661" t="s">
        <v>1486</v>
      </c>
      <c r="L753" s="4"/>
      <c r="M753" s="4"/>
      <c r="N753" s="966"/>
      <c r="O753" s="1315">
        <f>SUMPRODUCT(G718:G752,O718:O752)</f>
        <v>235760</v>
      </c>
      <c r="P753" s="1316"/>
      <c r="Q753" s="1316"/>
      <c r="R753" s="1316"/>
      <c r="S753" s="1317"/>
      <c r="T753"/>
      <c r="U753"/>
      <c r="V753"/>
      <c r="W753"/>
      <c r="X753" s="663" t="s">
        <v>1487</v>
      </c>
      <c r="Y753" s="662"/>
      <c r="Z753" s="662"/>
      <c r="AA753" s="662"/>
      <c r="AB753" s="664"/>
      <c r="AC753" s="1564">
        <f>BH753</f>
        <v>0.59842519685039375</v>
      </c>
      <c r="AD753" s="1565"/>
      <c r="AE753" s="1565"/>
      <c r="AF753" s="1565"/>
      <c r="AG753" s="1566"/>
      <c r="AH753" s="1564">
        <f>IFERROR(BU753,"")</f>
        <v>0.59848080585512753</v>
      </c>
      <c r="AI753" s="1565"/>
      <c r="AJ753" s="1566"/>
      <c r="AK753"/>
      <c r="AL753"/>
      <c r="AM753"/>
      <c r="AN753"/>
      <c r="AO753"/>
      <c r="AP753" s="108"/>
      <c r="AQ753" s="108"/>
      <c r="AR753" s="108"/>
      <c r="AS753" s="108"/>
      <c r="AT753"/>
      <c r="AU753"/>
      <c r="AV753"/>
      <c r="AW753"/>
      <c r="AX753"/>
      <c r="AY753"/>
      <c r="BE753" s="154" t="s">
        <v>1488</v>
      </c>
      <c r="BF753" s="1003">
        <f>SUM(BF718:BF752)</f>
        <v>127</v>
      </c>
      <c r="BG753" s="1004">
        <f>SUM(BG718:BG752)</f>
        <v>1</v>
      </c>
      <c r="BH753" s="1004">
        <f>SUM(BH718:BH752)</f>
        <v>0.59842519685039375</v>
      </c>
      <c r="BI753"/>
      <c r="BJ753"/>
      <c r="BK753"/>
      <c r="BL753"/>
      <c r="BO753"/>
      <c r="BP753"/>
      <c r="BQ753"/>
      <c r="BR753"/>
      <c r="BS753" s="632">
        <f>SUM(BS718:BS752)</f>
        <v>127</v>
      </c>
      <c r="BT753" s="1004">
        <f>SUM(BT718:BT752)</f>
        <v>1</v>
      </c>
      <c r="BU753" s="1004">
        <f>SUM(BU718:BU752)</f>
        <v>0.59848080585512753</v>
      </c>
      <c r="CI753" s="1298">
        <f>SUM(CI718:CJ752)</f>
        <v>14</v>
      </c>
      <c r="CJ753" s="1300"/>
      <c r="CM753" s="1298">
        <f>SUM(CM718:CN752)</f>
        <v>14</v>
      </c>
      <c r="CN753" s="1300"/>
      <c r="CP753" s="1298">
        <f>SUM(CP718:CT752)</f>
        <v>0</v>
      </c>
      <c r="CQ753" s="1299"/>
      <c r="CR753" s="1299"/>
      <c r="CS753" s="1299"/>
      <c r="CT753" s="1300"/>
      <c r="CU753" s="1324">
        <f>SUM(CU718:CY752)</f>
        <v>57</v>
      </c>
      <c r="CV753" s="1324"/>
      <c r="CW753" s="1324"/>
      <c r="CX753" s="1324"/>
      <c r="CY753" s="1324"/>
      <c r="CZ753" s="1324">
        <f>SUM(CZ718:DD752)</f>
        <v>35</v>
      </c>
      <c r="DA753" s="1324"/>
      <c r="DB753" s="1324"/>
      <c r="DC753" s="1324"/>
      <c r="DD753" s="1324"/>
      <c r="DE753" s="1324">
        <f>SUM(DE718:DI752)</f>
        <v>35</v>
      </c>
      <c r="DF753" s="1324"/>
      <c r="DG753" s="1324"/>
      <c r="DH753" s="1324"/>
      <c r="DI753" s="1324"/>
      <c r="DJ753" s="1324">
        <f>SUM(DJ718:DN752)</f>
        <v>0</v>
      </c>
      <c r="DK753" s="1324"/>
      <c r="DL753" s="1324"/>
      <c r="DM753" s="1324"/>
      <c r="DN753" s="1324"/>
      <c r="DO753" s="1324">
        <f>SUM(DO718:DS752)</f>
        <v>0</v>
      </c>
      <c r="DP753" s="1324"/>
      <c r="DQ753" s="1324"/>
      <c r="DR753" s="1324"/>
      <c r="DS753" s="1324"/>
      <c r="DT753" s="1152"/>
      <c r="DU753" s="1324">
        <f>SUM(DU718:DY752)</f>
        <v>0</v>
      </c>
      <c r="DV753" s="1324"/>
      <c r="DW753" s="1324"/>
      <c r="DX753" s="1324"/>
      <c r="DY753" s="1324"/>
      <c r="DZ753" s="1324">
        <f>SUM(DZ718:ED752)</f>
        <v>6</v>
      </c>
      <c r="EA753" s="1324"/>
      <c r="EB753" s="1324"/>
      <c r="EC753" s="1324"/>
      <c r="ED753" s="1324"/>
      <c r="EE753" s="1324">
        <f>SUM(EE718:EI752)</f>
        <v>4</v>
      </c>
      <c r="EF753" s="1324"/>
      <c r="EG753" s="1324"/>
      <c r="EH753" s="1324"/>
      <c r="EI753" s="1324"/>
      <c r="EJ753" s="1324">
        <f>SUM(EJ718:EN752)</f>
        <v>4</v>
      </c>
      <c r="EK753" s="1324"/>
      <c r="EL753" s="1324"/>
      <c r="EM753" s="1324"/>
      <c r="EN753" s="1324"/>
      <c r="EO753" s="1324">
        <f>SUM(EO718:ES752)</f>
        <v>0</v>
      </c>
      <c r="EP753" s="1324"/>
      <c r="EQ753" s="1324"/>
      <c r="ER753" s="1324"/>
      <c r="ES753" s="1324"/>
      <c r="ET753" s="1324">
        <f>SUM(ET718:EX752)</f>
        <v>0</v>
      </c>
      <c r="EU753" s="1324"/>
      <c r="EV753" s="1324"/>
      <c r="EW753" s="1324"/>
      <c r="EX753" s="1324"/>
      <c r="EY753"/>
      <c r="EZ753" s="1324">
        <f>SUM(EZ718:FD752)</f>
        <v>0</v>
      </c>
      <c r="FA753" s="1324"/>
      <c r="FB753" s="1324"/>
      <c r="FC753" s="1324"/>
      <c r="FD753" s="1324"/>
      <c r="FE753" s="1324">
        <f>SUM(FE718:FI752)</f>
        <v>5576</v>
      </c>
      <c r="FF753" s="1324"/>
      <c r="FG753" s="1324"/>
      <c r="FH753" s="1324"/>
      <c r="FI753" s="1324"/>
      <c r="FJ753" s="1324">
        <f>SUM(FJ718:FN752)</f>
        <v>6666</v>
      </c>
      <c r="FK753" s="1324"/>
      <c r="FL753" s="1324"/>
      <c r="FM753" s="1324"/>
      <c r="FN753" s="1324"/>
      <c r="FO753" s="1324">
        <f>SUM(FO718:FS752)</f>
        <v>7670</v>
      </c>
      <c r="FP753" s="1324"/>
      <c r="FQ753" s="1324"/>
      <c r="FR753" s="1324"/>
      <c r="FS753" s="1324"/>
      <c r="FT753" s="1324">
        <f>SUM(FT718:FX752)</f>
        <v>0</v>
      </c>
      <c r="FU753" s="1324"/>
      <c r="FV753" s="1324"/>
      <c r="FW753" s="1324"/>
      <c r="FX753" s="1324"/>
      <c r="FY753" s="1324">
        <f>SUM(FY718:GC752)</f>
        <v>0</v>
      </c>
      <c r="FZ753" s="1324"/>
      <c r="GA753" s="1324"/>
      <c r="GB753" s="1324"/>
      <c r="GC753" s="1324"/>
    </row>
    <row r="754" spans="1:185" s="2" customFormat="1" ht="12.9" customHeight="1">
      <c r="A754"/>
      <c r="B754" s="1664" t="s">
        <v>1489</v>
      </c>
      <c r="C754" s="1664"/>
      <c r="D754" s="1664"/>
      <c r="E754" s="1664"/>
      <c r="F754" s="1664"/>
      <c r="G754" s="1664"/>
      <c r="H754" s="1664"/>
      <c r="I754" s="1664"/>
      <c r="J754" s="1664"/>
      <c r="K754" s="1664"/>
      <c r="L754" s="1664"/>
      <c r="M754" s="1664"/>
      <c r="N754" s="1664"/>
      <c r="O754" s="1664"/>
      <c r="P754" s="1664"/>
      <c r="Q754" s="1664"/>
      <c r="R754" s="1664"/>
      <c r="S754" s="1664"/>
      <c r="T754" s="1664"/>
      <c r="U754" s="1664"/>
      <c r="V754" s="1664"/>
      <c r="W754" s="1664"/>
      <c r="X754" s="1664"/>
      <c r="Y754" s="1664"/>
      <c r="Z754" s="1664"/>
      <c r="AA754" s="1664"/>
      <c r="AB754" s="1664"/>
      <c r="AC754" s="1664"/>
      <c r="AD754" s="1664"/>
      <c r="AE754" s="1664"/>
      <c r="AF754" s="1664"/>
      <c r="AG754" s="1664"/>
      <c r="AH754" s="1664"/>
      <c r="AI754"/>
      <c r="AJ754"/>
      <c r="AK754"/>
      <c r="AT754"/>
      <c r="AU754"/>
      <c r="AV754"/>
      <c r="AW754"/>
      <c r="AX754"/>
      <c r="AY754"/>
      <c r="CD754"/>
      <c r="DN754" s="37" t="s">
        <v>1490</v>
      </c>
      <c r="DO754" s="1298">
        <f>CP753+CU753+CZ753+DE753+DJ753+DO753</f>
        <v>127</v>
      </c>
      <c r="DP754" s="1299"/>
      <c r="DQ754" s="1299"/>
      <c r="DR754" s="1299"/>
      <c r="DS754" s="1300"/>
      <c r="DT754" s="1152"/>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664"/>
      <c r="C755" s="1664"/>
      <c r="D755" s="1664"/>
      <c r="E755" s="1664"/>
      <c r="F755" s="1664"/>
      <c r="G755" s="1664"/>
      <c r="H755" s="1664"/>
      <c r="I755" s="1664"/>
      <c r="J755" s="1664"/>
      <c r="K755" s="1664"/>
      <c r="L755" s="1664"/>
      <c r="M755" s="1664"/>
      <c r="N755" s="1664"/>
      <c r="O755" s="1664"/>
      <c r="P755" s="1664"/>
      <c r="Q755" s="1664"/>
      <c r="R755" s="1664"/>
      <c r="S755" s="1664"/>
      <c r="T755" s="1664"/>
      <c r="U755" s="1664"/>
      <c r="V755" s="1664"/>
      <c r="W755" s="1664"/>
      <c r="X755" s="1664"/>
      <c r="Y755" s="1664"/>
      <c r="Z755" s="1664"/>
      <c r="AA755" s="1664"/>
      <c r="AB755" s="1664"/>
      <c r="AC755" s="1664"/>
      <c r="AD755" s="1664"/>
      <c r="AE755" s="1664"/>
      <c r="AF755" s="1664"/>
      <c r="AG755" s="1664"/>
      <c r="AH755" s="1664"/>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T755" s="982">
        <f>CP753*1</f>
        <v>0</v>
      </c>
      <c r="CU755" s="2"/>
      <c r="CV755" s="2"/>
      <c r="CW755" s="2"/>
      <c r="CX755" s="2"/>
      <c r="CY755" s="982">
        <f>CU753*1</f>
        <v>57</v>
      </c>
      <c r="CZ755" s="2"/>
      <c r="DA755" s="2"/>
      <c r="DB755" s="2"/>
      <c r="DC755" s="2"/>
      <c r="DD755" s="982">
        <f>CZ753*2</f>
        <v>70</v>
      </c>
      <c r="DE755" s="2"/>
      <c r="DF755" s="2"/>
      <c r="DG755" s="2"/>
      <c r="DH755" s="2"/>
      <c r="DI755" s="982">
        <f>DE753*3</f>
        <v>105</v>
      </c>
      <c r="DJ755" s="2"/>
      <c r="DK755" s="2"/>
      <c r="DL755" s="2"/>
      <c r="DM755" s="2"/>
      <c r="DN755" s="982">
        <f>DJ753*4</f>
        <v>0</v>
      </c>
      <c r="DO755" s="2"/>
      <c r="DP755" s="2"/>
      <c r="DQ755" s="2"/>
      <c r="DR755" s="2"/>
      <c r="DS755" s="982">
        <f>DO753*5</f>
        <v>0</v>
      </c>
      <c r="DU755" s="982">
        <f>CT755+CY755+DD755+DI755+DN755+DS755</f>
        <v>232</v>
      </c>
      <c r="DV755" s="38" t="s">
        <v>1491</v>
      </c>
      <c r="DW755" s="2"/>
      <c r="DX755" s="2"/>
      <c r="DY755" s="2"/>
      <c r="DZ755" s="2"/>
      <c r="EA755" s="2"/>
      <c r="EB755" s="2"/>
      <c r="EC755" s="2"/>
      <c r="ED755" s="2"/>
      <c r="EE755" s="2"/>
      <c r="EF755" s="2"/>
      <c r="EG755" s="2"/>
      <c r="EH755" s="2"/>
    </row>
    <row r="756" spans="1:185" ht="12.9" customHeight="1">
      <c r="A756" s="2"/>
      <c r="B756" s="2"/>
      <c r="C756" s="68" t="s">
        <v>1492</v>
      </c>
      <c r="D756" s="763"/>
      <c r="E756" s="763"/>
      <c r="F756" s="763"/>
      <c r="G756" s="764"/>
      <c r="H756" s="764"/>
      <c r="I756" s="764"/>
      <c r="J756" s="764"/>
      <c r="K756" s="763"/>
      <c r="L756" s="763"/>
      <c r="M756" s="763"/>
      <c r="N756" s="763"/>
      <c r="O756" s="1324">
        <f>DU755</f>
        <v>232</v>
      </c>
      <c r="P756" s="1324"/>
      <c r="Q756" s="1324"/>
      <c r="R756" s="1324"/>
      <c r="S756" s="717"/>
      <c r="T756" s="717"/>
      <c r="U756" s="68" t="s">
        <v>1493</v>
      </c>
      <c r="V756" s="763"/>
      <c r="W756" s="763"/>
      <c r="X756" s="763"/>
      <c r="Y756" s="764"/>
      <c r="Z756" s="764"/>
      <c r="AA756" s="764"/>
      <c r="AB756" s="764"/>
      <c r="AC756" s="763"/>
      <c r="AD756" s="763"/>
      <c r="AE756" s="763"/>
      <c r="AF756" s="763"/>
      <c r="AG756" s="1656"/>
      <c r="AH756" s="1656"/>
      <c r="AI756" s="1656"/>
      <c r="AJ756" s="1656"/>
      <c r="AK756" s="2"/>
      <c r="AL756" s="2"/>
      <c r="AM756" s="2"/>
      <c r="AN756" s="2"/>
      <c r="AO756" s="2"/>
      <c r="AP756" s="2"/>
      <c r="AQ756" s="2"/>
      <c r="AR756" s="2"/>
      <c r="AS756" s="2"/>
      <c r="AZ756" s="2"/>
      <c r="BA756" s="2"/>
      <c r="BB756" s="154"/>
      <c r="BC756" s="154"/>
      <c r="BD756" s="154"/>
      <c r="BE756" s="154"/>
      <c r="BF756" s="154"/>
      <c r="BG756" s="154"/>
      <c r="BH756" s="154"/>
      <c r="BI756" s="154"/>
      <c r="BJ756" s="154"/>
      <c r="BK756" s="154"/>
      <c r="BL756" s="154"/>
      <c r="BM756" s="154"/>
      <c r="BN756" s="154"/>
      <c r="BO756" s="154"/>
      <c r="BP756" s="154"/>
      <c r="BQ756" s="154"/>
      <c r="BR756" s="154"/>
      <c r="BS756" s="154"/>
      <c r="BT756" s="154"/>
      <c r="BU756" s="154"/>
      <c r="BV756" s="154"/>
      <c r="BW756" s="154"/>
      <c r="BX756" s="154"/>
      <c r="BY756" s="154"/>
      <c r="BZ756" s="154"/>
      <c r="CA756" s="154"/>
      <c r="CB756" s="154"/>
      <c r="CC756" s="154"/>
      <c r="CE756" s="2"/>
      <c r="CF756" s="154"/>
      <c r="CG756" s="154"/>
      <c r="CH756" s="154"/>
      <c r="CI756" s="154"/>
      <c r="CJ756" s="154"/>
      <c r="CK756" s="154"/>
      <c r="CL756" s="154"/>
      <c r="CM756" s="154"/>
      <c r="CN756" s="154"/>
      <c r="CO756" s="154"/>
      <c r="CP756" s="154"/>
      <c r="CQ756" s="154"/>
      <c r="CR756" s="154"/>
      <c r="CS756" s="154"/>
      <c r="CT756" s="154"/>
      <c r="CU756" s="154"/>
      <c r="CV756" s="154"/>
      <c r="CW756" s="154"/>
      <c r="CX756" s="154"/>
      <c r="CY756" s="154"/>
      <c r="CZ756" s="154"/>
      <c r="DA756" s="154"/>
      <c r="DB756" s="154"/>
      <c r="DC756" s="154"/>
      <c r="DD756" s="154"/>
      <c r="DE756" s="154"/>
      <c r="DF756" s="154"/>
      <c r="DG756" s="154"/>
      <c r="DH756" s="154"/>
      <c r="DI756" s="154"/>
      <c r="DJ756" s="154"/>
      <c r="DK756" s="154"/>
      <c r="DL756" s="154"/>
      <c r="DM756" s="154"/>
      <c r="DN756" s="154"/>
      <c r="DO756" s="154"/>
      <c r="DP756" s="154"/>
      <c r="DQ756" s="154"/>
      <c r="DR756" s="154"/>
      <c r="DS756" s="154"/>
      <c r="DT756" s="154"/>
      <c r="DU756" s="154"/>
      <c r="DV756" s="154"/>
      <c r="DW756" s="154"/>
      <c r="FB756" s="154"/>
      <c r="FC756" s="154"/>
    </row>
    <row r="757" spans="1:185" ht="12.9" customHeight="1">
      <c r="B757" s="38"/>
      <c r="C757" s="1791" t="str">
        <f>IF(G753&lt;&gt;AG440,"! Total Low-Income Units in the Unit Mix Table above does not match the number of Total Low-Income Units on row #"&amp;TEXT(ROW(D440),"#"),"")</f>
        <v/>
      </c>
      <c r="D757" s="1791"/>
      <c r="E757" s="1791"/>
      <c r="F757" s="1791"/>
      <c r="G757" s="1791"/>
      <c r="H757" s="1791"/>
      <c r="I757" s="1791"/>
      <c r="J757" s="1791"/>
      <c r="K757" s="1791"/>
      <c r="L757" s="1791"/>
      <c r="M757" s="1791"/>
      <c r="N757" s="1791"/>
      <c r="O757" s="1791"/>
      <c r="P757" s="1791"/>
      <c r="Q757" s="1791"/>
      <c r="R757" s="1791"/>
      <c r="S757" s="1791"/>
      <c r="T757" s="1791"/>
      <c r="U757" s="1791"/>
      <c r="V757" s="1791"/>
      <c r="W757" s="1791"/>
      <c r="X757" s="1791"/>
      <c r="Y757" s="1791"/>
      <c r="Z757" s="1791"/>
      <c r="AA757" s="1791"/>
      <c r="AB757" s="1791"/>
      <c r="AC757" s="1791"/>
      <c r="AD757" s="1791"/>
      <c r="AE757" s="1791"/>
      <c r="AF757" s="1791"/>
      <c r="AG757" s="1791"/>
      <c r="AH757" s="1791"/>
      <c r="AI757" s="1791"/>
      <c r="AJ757" s="1791"/>
      <c r="AK757" s="1791"/>
      <c r="AL757" s="1791"/>
      <c r="AM757" s="1791"/>
      <c r="AP757" s="154"/>
      <c r="AQ757" s="154"/>
      <c r="AR757" s="154"/>
      <c r="AS757" s="154"/>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85" ht="12.9" customHeight="1">
      <c r="B758" s="38"/>
      <c r="C758" s="1791"/>
      <c r="D758" s="1791"/>
      <c r="E758" s="1791"/>
      <c r="F758" s="1791"/>
      <c r="G758" s="1791"/>
      <c r="H758" s="1791"/>
      <c r="I758" s="1791"/>
      <c r="J758" s="1791"/>
      <c r="K758" s="1791"/>
      <c r="L758" s="1791"/>
      <c r="M758" s="1791"/>
      <c r="N758" s="1791"/>
      <c r="O758" s="1791"/>
      <c r="P758" s="1791"/>
      <c r="Q758" s="1791"/>
      <c r="R758" s="1791"/>
      <c r="S758" s="1791"/>
      <c r="T758" s="1791"/>
      <c r="U758" s="1791"/>
      <c r="V758" s="1791"/>
      <c r="W758" s="1791"/>
      <c r="X758" s="1791"/>
      <c r="Y758" s="1791"/>
      <c r="Z758" s="1791"/>
      <c r="AA758" s="1791"/>
      <c r="AB758" s="1791"/>
      <c r="AC758" s="1791"/>
      <c r="AD758" s="1791"/>
      <c r="AE758" s="1791"/>
      <c r="AF758" s="1791"/>
      <c r="AG758" s="1791"/>
      <c r="AH758" s="1791"/>
      <c r="AI758" s="1791"/>
      <c r="AJ758" s="1791"/>
      <c r="AK758" s="1791"/>
      <c r="AL758" s="1791"/>
      <c r="AM758" s="1791"/>
      <c r="AP758" s="154"/>
      <c r="AQ758" s="154"/>
      <c r="AR758" s="154"/>
      <c r="AS758" s="154"/>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85" ht="12.9" customHeight="1">
      <c r="B759" s="2"/>
      <c r="C759" s="68" t="s">
        <v>1494</v>
      </c>
      <c r="D759" s="765"/>
      <c r="E759" s="765"/>
      <c r="F759" s="765"/>
      <c r="G759" s="765"/>
      <c r="H759" s="765"/>
      <c r="I759" s="765"/>
      <c r="J759" s="765"/>
      <c r="K759" s="765"/>
      <c r="L759" s="765"/>
      <c r="M759" s="765"/>
      <c r="N759" s="765"/>
      <c r="O759" s="765"/>
      <c r="P759" s="765"/>
      <c r="Q759" s="765"/>
      <c r="R759" s="765"/>
      <c r="S759" s="765"/>
      <c r="T759" s="765"/>
      <c r="U759" s="765"/>
      <c r="V759" s="765"/>
      <c r="W759" s="765"/>
      <c r="X759" s="765"/>
      <c r="Y759" s="765"/>
      <c r="Z759" s="765"/>
      <c r="AA759" s="765"/>
      <c r="AB759" s="765"/>
      <c r="AC759" s="765"/>
      <c r="AD759" s="1663" t="s">
        <v>809</v>
      </c>
      <c r="AE759" s="1663"/>
      <c r="AF759" s="1663"/>
      <c r="AG759" s="765"/>
      <c r="AH759" s="765"/>
      <c r="AI759" s="765"/>
      <c r="AJ759" s="765"/>
      <c r="AK759" s="765"/>
      <c r="AL759" s="765"/>
      <c r="AM759" s="765"/>
      <c r="AN759" s="765"/>
      <c r="AO759" s="765"/>
      <c r="AP759" s="765"/>
      <c r="AQ759" s="765"/>
      <c r="AR759" s="765"/>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85" ht="12.9" customHeight="1">
      <c r="C760" s="766" t="s">
        <v>1495</v>
      </c>
      <c r="D760" s="765"/>
      <c r="E760" s="765"/>
      <c r="F760" s="765"/>
      <c r="G760" s="765"/>
      <c r="H760" s="765"/>
      <c r="I760" s="765"/>
      <c r="J760" s="765"/>
      <c r="K760" s="765"/>
      <c r="L760" s="765"/>
      <c r="M760" s="765"/>
      <c r="N760" s="765"/>
      <c r="O760" s="765"/>
      <c r="P760" s="765"/>
      <c r="Q760" s="765"/>
      <c r="R760" s="765"/>
      <c r="S760" s="765"/>
      <c r="T760" s="765"/>
      <c r="U760" s="765"/>
      <c r="V760" s="765"/>
      <c r="W760" s="765"/>
      <c r="X760" s="765"/>
      <c r="Y760" s="765"/>
      <c r="Z760" s="765"/>
      <c r="AA760" s="765"/>
      <c r="AB760" s="765"/>
      <c r="AC760" s="765"/>
      <c r="AD760" s="765"/>
      <c r="AE760" s="765"/>
      <c r="AF760" s="765"/>
      <c r="AG760" s="765"/>
      <c r="AH760" s="765"/>
      <c r="AI760" s="765"/>
      <c r="AJ760" s="765"/>
      <c r="AK760" s="765"/>
      <c r="AL760" s="765"/>
      <c r="AM760" s="765"/>
      <c r="AN760" s="765"/>
      <c r="AO760" s="765"/>
      <c r="AP760" s="765"/>
      <c r="AQ760" s="765"/>
      <c r="AR760" s="765"/>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85" ht="12.9" customHeight="1">
      <c r="A761" s="1" t="s">
        <v>911</v>
      </c>
      <c r="B761" s="37"/>
      <c r="C761" s="38" t="s">
        <v>1496</v>
      </c>
      <c r="D761" s="37"/>
      <c r="E761" s="37"/>
      <c r="F761" s="37"/>
      <c r="G761" s="1152"/>
      <c r="H761" s="1152"/>
      <c r="I761" s="1152"/>
      <c r="J761" s="1152"/>
      <c r="K761" s="1152"/>
      <c r="L761" s="37"/>
      <c r="M761" s="37"/>
      <c r="N761" s="37"/>
      <c r="O761" s="37"/>
      <c r="P761" s="37"/>
      <c r="Q761" s="1152"/>
      <c r="R761" s="1152"/>
      <c r="S761" s="1152"/>
      <c r="T761" s="1152"/>
      <c r="U761" s="115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DU761" s="2"/>
      <c r="DV761" s="2"/>
      <c r="DW761" s="2"/>
      <c r="FB761" s="2"/>
      <c r="FC761" s="2"/>
    </row>
    <row r="762" spans="1:185" ht="12.9" customHeight="1">
      <c r="A762" s="2"/>
      <c r="B762" s="763"/>
      <c r="C762" s="68" t="s">
        <v>1497</v>
      </c>
      <c r="D762" s="763"/>
      <c r="E762" s="763"/>
      <c r="F762" s="763"/>
      <c r="G762" s="1152"/>
      <c r="H762" s="1152"/>
      <c r="I762" s="1152"/>
      <c r="J762" s="1152"/>
      <c r="K762" s="1152"/>
      <c r="L762" s="763"/>
      <c r="M762" s="763"/>
      <c r="N762" s="763"/>
      <c r="O762" s="763"/>
      <c r="P762" s="763"/>
      <c r="Q762" s="1152"/>
      <c r="R762" s="1152"/>
      <c r="S762" s="1152"/>
      <c r="T762" s="1152"/>
      <c r="U762" s="115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DU762" s="2"/>
      <c r="DV762" s="2"/>
      <c r="DW762" s="2"/>
      <c r="FB762" s="2"/>
      <c r="FC762" s="2"/>
    </row>
    <row r="763" spans="1:185" ht="12.9" customHeight="1">
      <c r="A763" s="2"/>
      <c r="B763" s="763"/>
      <c r="C763" s="1229" t="s">
        <v>1498</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85" ht="12.9" customHeight="1">
      <c r="A764" s="2"/>
      <c r="B764" s="76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DU764" s="2"/>
      <c r="DV764" s="2"/>
      <c r="DW764" s="2"/>
      <c r="FB764" s="2"/>
      <c r="FC764" s="2"/>
    </row>
    <row r="765" spans="1:185" ht="12.9" customHeight="1">
      <c r="A765" s="2"/>
      <c r="B765" s="76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row>
    <row r="766" spans="1:185" ht="12.9" customHeight="1">
      <c r="A766" s="2"/>
      <c r="B766" s="763"/>
      <c r="C766" s="1229" t="s">
        <v>1499</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DX766" s="154"/>
      <c r="DY766" s="154"/>
      <c r="DZ766" s="154"/>
      <c r="EA766" s="154"/>
      <c r="EB766" s="154"/>
      <c r="EC766" s="154"/>
      <c r="ED766" s="154"/>
      <c r="EE766" s="154"/>
      <c r="EF766" s="154"/>
      <c r="EG766" s="154"/>
      <c r="EH766" s="154"/>
      <c r="EI766" s="154"/>
      <c r="EJ766" s="154"/>
      <c r="EK766" s="154"/>
      <c r="EL766" s="154"/>
      <c r="EM766" s="154"/>
      <c r="EN766" s="154"/>
      <c r="EO766" s="154"/>
      <c r="EP766" s="154"/>
      <c r="EQ766" s="154"/>
      <c r="ER766" s="154"/>
      <c r="ES766" s="154"/>
      <c r="ET766" s="154"/>
      <c r="EU766" s="154"/>
      <c r="EV766" s="154"/>
      <c r="EW766" s="154"/>
      <c r="EX766" s="154"/>
      <c r="EY766" s="154"/>
      <c r="EZ766" s="154"/>
      <c r="FA766" s="154"/>
    </row>
    <row r="767" spans="1:185" ht="12.9" customHeight="1">
      <c r="A767" s="2"/>
      <c r="B767" s="76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row>
    <row r="768" spans="1:185" ht="12.9" customHeight="1">
      <c r="A768" s="2"/>
      <c r="B768" s="76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26" ht="12.9" customHeight="1">
      <c r="J769" s="1449" t="s">
        <v>1465</v>
      </c>
      <c r="K769" s="1450"/>
      <c r="L769" s="1450"/>
      <c r="M769" s="1450"/>
      <c r="N769" s="1451"/>
      <c r="O769" s="1549" t="s">
        <v>1466</v>
      </c>
      <c r="P769" s="1549"/>
      <c r="Q769" s="1549"/>
      <c r="R769" s="1549"/>
      <c r="S769" s="1549"/>
      <c r="T769" s="1458" t="s">
        <v>1467</v>
      </c>
      <c r="U769" s="1459"/>
      <c r="V769" s="1459"/>
      <c r="W769" s="1460"/>
      <c r="X769" s="1449" t="s">
        <v>1468</v>
      </c>
      <c r="Y769" s="1450"/>
      <c r="Z769" s="1450"/>
      <c r="AA769" s="1450"/>
      <c r="AB769" s="1451"/>
      <c r="AC769" s="1449" t="s">
        <v>1500</v>
      </c>
      <c r="AD769" s="1450"/>
      <c r="AE769" s="1450"/>
      <c r="AF769" s="1450"/>
      <c r="AG769" s="1451"/>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row>
    <row r="770" spans="1:126" ht="12.9" customHeight="1">
      <c r="J770" s="1452"/>
      <c r="K770" s="1453"/>
      <c r="L770" s="1453"/>
      <c r="M770" s="1453"/>
      <c r="N770" s="1454"/>
      <c r="O770" s="1549"/>
      <c r="P770" s="1549"/>
      <c r="Q770" s="1549"/>
      <c r="R770" s="1549"/>
      <c r="S770" s="1549"/>
      <c r="T770" s="1461"/>
      <c r="U770" s="1462"/>
      <c r="V770" s="1462"/>
      <c r="W770" s="1463"/>
      <c r="X770" s="1452"/>
      <c r="Y770" s="1453"/>
      <c r="Z770" s="1453"/>
      <c r="AA770" s="1453"/>
      <c r="AB770" s="1454"/>
      <c r="AC770" s="1452"/>
      <c r="AD770" s="1453"/>
      <c r="AE770" s="1453"/>
      <c r="AF770" s="1453"/>
      <c r="AG770" s="1454"/>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row>
    <row r="771" spans="1:126" ht="12.9" customHeight="1">
      <c r="J771" s="1452"/>
      <c r="K771" s="1453"/>
      <c r="L771" s="1453"/>
      <c r="M771" s="1453"/>
      <c r="N771" s="1454"/>
      <c r="O771" s="1549"/>
      <c r="P771" s="1549"/>
      <c r="Q771" s="1549"/>
      <c r="R771" s="1549"/>
      <c r="S771" s="1549"/>
      <c r="T771" s="1461"/>
      <c r="U771" s="1462"/>
      <c r="V771" s="1462"/>
      <c r="W771" s="1463"/>
      <c r="X771" s="1452"/>
      <c r="Y771" s="1453"/>
      <c r="Z771" s="1453"/>
      <c r="AA771" s="1453"/>
      <c r="AB771" s="1454"/>
      <c r="AC771" s="1452"/>
      <c r="AD771" s="1453"/>
      <c r="AE771" s="1453"/>
      <c r="AF771" s="1453"/>
      <c r="AG771" s="1454"/>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row>
    <row r="772" spans="1:126" ht="12.9" customHeight="1">
      <c r="J772" s="1455"/>
      <c r="K772" s="1456"/>
      <c r="L772" s="1456"/>
      <c r="M772" s="1456"/>
      <c r="N772" s="1457"/>
      <c r="O772" s="1549"/>
      <c r="P772" s="1549"/>
      <c r="Q772" s="1549"/>
      <c r="R772" s="1549"/>
      <c r="S772" s="1549"/>
      <c r="T772" s="1557"/>
      <c r="U772" s="1558"/>
      <c r="V772" s="1558"/>
      <c r="W772" s="1559"/>
      <c r="X772" s="1455"/>
      <c r="Y772" s="1456"/>
      <c r="Z772" s="1456"/>
      <c r="AA772" s="1456"/>
      <c r="AB772" s="1457"/>
      <c r="AC772" s="1455"/>
      <c r="AD772" s="1456"/>
      <c r="AE772" s="1456"/>
      <c r="AF772" s="1456"/>
      <c r="AG772" s="1457"/>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P772" s="2" t="s">
        <v>1501</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152"/>
      <c r="DU772" s="2"/>
      <c r="DV772" s="2"/>
    </row>
    <row r="773" spans="1:126" ht="12.9" customHeight="1">
      <c r="J773" s="1312" t="s">
        <v>832</v>
      </c>
      <c r="K773" s="1313"/>
      <c r="L773" s="1313"/>
      <c r="M773" s="1313"/>
      <c r="N773" s="1314"/>
      <c r="O773" s="1408">
        <v>1</v>
      </c>
      <c r="P773" s="1408"/>
      <c r="Q773" s="1408"/>
      <c r="R773" s="1408"/>
      <c r="S773" s="1408"/>
      <c r="T773" s="1551">
        <v>1043</v>
      </c>
      <c r="U773" s="1552"/>
      <c r="V773" s="1552"/>
      <c r="W773" s="1553"/>
      <c r="X773" s="1418"/>
      <c r="Y773" s="1419"/>
      <c r="Z773" s="1419"/>
      <c r="AA773" s="1419"/>
      <c r="AB773" s="1420"/>
      <c r="AC773" s="1315">
        <f>X773*O773</f>
        <v>0</v>
      </c>
      <c r="AD773" s="1316"/>
      <c r="AE773" s="1316"/>
      <c r="AF773" s="1316"/>
      <c r="AG773" s="1317"/>
      <c r="AH773" s="960"/>
      <c r="AI773" s="69"/>
      <c r="AJ773" s="69"/>
      <c r="AK773" s="960"/>
      <c r="AL773" s="96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P773" s="1295">
        <f>IF(J773="SRO/Studio",O773,0)</f>
        <v>0</v>
      </c>
      <c r="CQ773" s="1296"/>
      <c r="CR773" s="1296"/>
      <c r="CS773" s="1296"/>
      <c r="CT773" s="1297"/>
      <c r="CU773" s="1311">
        <f>IF(J773="1 Bedroom",O773,0)</f>
        <v>0</v>
      </c>
      <c r="CV773" s="1311"/>
      <c r="CW773" s="1311"/>
      <c r="CX773" s="1311"/>
      <c r="CY773" s="1311"/>
      <c r="CZ773" s="1311">
        <f>IF(J773="2 Bedrooms",O773,0)</f>
        <v>0</v>
      </c>
      <c r="DA773" s="1311"/>
      <c r="DB773" s="1311"/>
      <c r="DC773" s="1311"/>
      <c r="DD773" s="1311"/>
      <c r="DE773" s="1311">
        <f>IF(J773="3 Bedrooms",O773,0)</f>
        <v>1</v>
      </c>
      <c r="DF773" s="1311"/>
      <c r="DG773" s="1311"/>
      <c r="DH773" s="1311"/>
      <c r="DI773" s="1311"/>
      <c r="DJ773" s="1311">
        <f>IF(J773="4 Bedrooms",O773,0)</f>
        <v>0</v>
      </c>
      <c r="DK773" s="1311"/>
      <c r="DL773" s="1311"/>
      <c r="DM773" s="1311"/>
      <c r="DN773" s="1311"/>
      <c r="DO773" s="1311">
        <f>IF(J773="5 Bedrooms",O773,0)</f>
        <v>0</v>
      </c>
      <c r="DP773" s="1311"/>
      <c r="DQ773" s="1311"/>
      <c r="DR773" s="1311"/>
      <c r="DS773" s="1311"/>
      <c r="DT773" s="1152"/>
      <c r="DU773" s="2"/>
      <c r="DV773" s="2"/>
    </row>
    <row r="774" spans="1:126" ht="12.9" customHeight="1">
      <c r="J774" s="1312"/>
      <c r="K774" s="1313"/>
      <c r="L774" s="1313"/>
      <c r="M774" s="1313"/>
      <c r="N774" s="1314"/>
      <c r="O774" s="1408"/>
      <c r="P774" s="1408"/>
      <c r="Q774" s="1408"/>
      <c r="R774" s="1408"/>
      <c r="S774" s="1408"/>
      <c r="T774" s="1551"/>
      <c r="U774" s="1552"/>
      <c r="V774" s="1552"/>
      <c r="W774" s="1553"/>
      <c r="X774" s="1418"/>
      <c r="Y774" s="1419"/>
      <c r="Z774" s="1419"/>
      <c r="AA774" s="1419"/>
      <c r="AB774" s="1420"/>
      <c r="AC774" s="1315">
        <f>X774*O774</f>
        <v>0</v>
      </c>
      <c r="AD774" s="1316"/>
      <c r="AE774" s="1316"/>
      <c r="AF774" s="1316"/>
      <c r="AG774" s="1317"/>
      <c r="AH774" s="960"/>
      <c r="AI774" s="960"/>
      <c r="AJ774" s="960"/>
      <c r="AK774" s="960"/>
      <c r="AL774" s="96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P774" s="1295">
        <f>IF(J774="SRO/Studio",O774,0)</f>
        <v>0</v>
      </c>
      <c r="CQ774" s="1296"/>
      <c r="CR774" s="1296"/>
      <c r="CS774" s="1296"/>
      <c r="CT774" s="1297"/>
      <c r="CU774" s="1311">
        <f>IF(J774="1 Bedroom",O774,0)</f>
        <v>0</v>
      </c>
      <c r="CV774" s="1311"/>
      <c r="CW774" s="1311"/>
      <c r="CX774" s="1311"/>
      <c r="CY774" s="1311"/>
      <c r="CZ774" s="1311">
        <f>IF(J774="2 Bedrooms",O774,0)</f>
        <v>0</v>
      </c>
      <c r="DA774" s="1311"/>
      <c r="DB774" s="1311"/>
      <c r="DC774" s="1311"/>
      <c r="DD774" s="1311"/>
      <c r="DE774" s="1311">
        <f>IF(J774="3 Bedrooms",O774,0)</f>
        <v>0</v>
      </c>
      <c r="DF774" s="1311"/>
      <c r="DG774" s="1311"/>
      <c r="DH774" s="1311"/>
      <c r="DI774" s="1311"/>
      <c r="DJ774" s="1311">
        <f>IF(J774="4 Bedrooms",O774,0)</f>
        <v>0</v>
      </c>
      <c r="DK774" s="1311"/>
      <c r="DL774" s="1311"/>
      <c r="DM774" s="1311"/>
      <c r="DN774" s="1311"/>
      <c r="DO774" s="1311">
        <f>IF(J774="5 Bedrooms",O774,0)</f>
        <v>0</v>
      </c>
      <c r="DP774" s="1311"/>
      <c r="DQ774" s="1311"/>
      <c r="DR774" s="1311"/>
      <c r="DS774" s="1311"/>
      <c r="DT774" s="1152"/>
      <c r="DU774" s="2"/>
      <c r="DV774" s="2"/>
    </row>
    <row r="775" spans="1:126" ht="12.9" customHeight="1">
      <c r="J775" s="1312"/>
      <c r="K775" s="1313"/>
      <c r="L775" s="1313"/>
      <c r="M775" s="1313"/>
      <c r="N775" s="1314"/>
      <c r="O775" s="1408"/>
      <c r="P775" s="1408"/>
      <c r="Q775" s="1408"/>
      <c r="R775" s="1408"/>
      <c r="S775" s="1408"/>
      <c r="T775" s="1551"/>
      <c r="U775" s="1552"/>
      <c r="V775" s="1552"/>
      <c r="W775" s="1553"/>
      <c r="X775" s="1418"/>
      <c r="Y775" s="1419"/>
      <c r="Z775" s="1419"/>
      <c r="AA775" s="1419"/>
      <c r="AB775" s="1420"/>
      <c r="AC775" s="1315">
        <f>X775*O775</f>
        <v>0</v>
      </c>
      <c r="AD775" s="1316"/>
      <c r="AE775" s="1316"/>
      <c r="AF775" s="1316"/>
      <c r="AG775" s="1317"/>
      <c r="AH775" s="960"/>
      <c r="AI775" s="960"/>
      <c r="AJ775" s="960"/>
      <c r="AK775" s="960"/>
      <c r="AL775" s="960"/>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P775" s="1295">
        <f>IF(J775="SRO/Studio",O775,0)</f>
        <v>0</v>
      </c>
      <c r="CQ775" s="1296"/>
      <c r="CR775" s="1296"/>
      <c r="CS775" s="1296"/>
      <c r="CT775" s="1297"/>
      <c r="CU775" s="1311">
        <f>IF(J775="1 Bedroom",O775,0)</f>
        <v>0</v>
      </c>
      <c r="CV775" s="1311"/>
      <c r="CW775" s="1311"/>
      <c r="CX775" s="1311"/>
      <c r="CY775" s="1311"/>
      <c r="CZ775" s="1311">
        <f>IF(J775="2 Bedrooms",O775,0)</f>
        <v>0</v>
      </c>
      <c r="DA775" s="1311"/>
      <c r="DB775" s="1311"/>
      <c r="DC775" s="1311"/>
      <c r="DD775" s="1311"/>
      <c r="DE775" s="1311">
        <f>IF(J775="3 Bedrooms",O775,0)</f>
        <v>0</v>
      </c>
      <c r="DF775" s="1311"/>
      <c r="DG775" s="1311"/>
      <c r="DH775" s="1311"/>
      <c r="DI775" s="1311"/>
      <c r="DJ775" s="1311">
        <f>IF(J775="4 Bedrooms",O775,0)</f>
        <v>0</v>
      </c>
      <c r="DK775" s="1311"/>
      <c r="DL775" s="1311"/>
      <c r="DM775" s="1311"/>
      <c r="DN775" s="1311"/>
      <c r="DO775" s="1311">
        <f>IF(J775="5 Bedrooms",O775,0)</f>
        <v>0</v>
      </c>
      <c r="DP775" s="1311"/>
      <c r="DQ775" s="1311"/>
      <c r="DR775" s="1311"/>
      <c r="DS775" s="1311"/>
      <c r="DT775" s="1152"/>
    </row>
    <row r="776" spans="1:126" ht="12.9" customHeight="1">
      <c r="J776" s="1312"/>
      <c r="K776" s="1313"/>
      <c r="L776" s="1313"/>
      <c r="M776" s="1313"/>
      <c r="N776" s="1314"/>
      <c r="O776" s="1408"/>
      <c r="P776" s="1408"/>
      <c r="Q776" s="1408"/>
      <c r="R776" s="1408"/>
      <c r="S776" s="1408"/>
      <c r="T776" s="1551"/>
      <c r="U776" s="1552"/>
      <c r="V776" s="1552"/>
      <c r="W776" s="1553"/>
      <c r="X776" s="1418"/>
      <c r="Y776" s="1419"/>
      <c r="Z776" s="1419"/>
      <c r="AA776" s="1419"/>
      <c r="AB776" s="1420"/>
      <c r="AC776" s="1315">
        <f>X776*O776</f>
        <v>0</v>
      </c>
      <c r="AD776" s="1316"/>
      <c r="AE776" s="1316"/>
      <c r="AF776" s="1316"/>
      <c r="AG776" s="1317"/>
      <c r="AH776" s="960"/>
      <c r="AI776" s="960"/>
      <c r="AJ776" s="960"/>
      <c r="AK776" s="960"/>
      <c r="AL776" s="96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P776" s="1295">
        <f>IF(J776="SRO/Studio",O776,0)</f>
        <v>0</v>
      </c>
      <c r="CQ776" s="1296"/>
      <c r="CR776" s="1296"/>
      <c r="CS776" s="1296"/>
      <c r="CT776" s="1297"/>
      <c r="CU776" s="1311">
        <f>IF(J776="1 Bedroom",O776,0)</f>
        <v>0</v>
      </c>
      <c r="CV776" s="1311"/>
      <c r="CW776" s="1311"/>
      <c r="CX776" s="1311"/>
      <c r="CY776" s="1311"/>
      <c r="CZ776" s="1311">
        <f>IF(J776="2 Bedrooms",O776,0)</f>
        <v>0</v>
      </c>
      <c r="DA776" s="1311"/>
      <c r="DB776" s="1311"/>
      <c r="DC776" s="1311"/>
      <c r="DD776" s="1311"/>
      <c r="DE776" s="1311">
        <f>IF(J776="3 Bedrooms",O776,0)</f>
        <v>0</v>
      </c>
      <c r="DF776" s="1311"/>
      <c r="DG776" s="1311"/>
      <c r="DH776" s="1311"/>
      <c r="DI776" s="1311"/>
      <c r="DJ776" s="1311">
        <f>IF(J776="4 Bedrooms",O776,0)</f>
        <v>0</v>
      </c>
      <c r="DK776" s="1311"/>
      <c r="DL776" s="1311"/>
      <c r="DM776" s="1311"/>
      <c r="DN776" s="1311"/>
      <c r="DO776" s="1311">
        <f>IF(J776="5 Bedrooms",O776,0)</f>
        <v>0</v>
      </c>
      <c r="DP776" s="1311"/>
      <c r="DQ776" s="1311"/>
      <c r="DR776" s="1311"/>
      <c r="DS776" s="1311"/>
    </row>
    <row r="777" spans="1:126" ht="12.9" customHeight="1">
      <c r="J777" s="1384" t="s">
        <v>1485</v>
      </c>
      <c r="K777" s="1385"/>
      <c r="L777" s="1385"/>
      <c r="M777" s="1385"/>
      <c r="N777" s="1387"/>
      <c r="O777" s="1298">
        <f>SUM(O773:S776)</f>
        <v>1</v>
      </c>
      <c r="P777" s="1299"/>
      <c r="Q777" s="1299"/>
      <c r="R777" s="1299"/>
      <c r="S777" s="1300"/>
      <c r="X777" s="1384" t="s">
        <v>1486</v>
      </c>
      <c r="Y777" s="1385"/>
      <c r="Z777" s="1385"/>
      <c r="AA777" s="1385"/>
      <c r="AB777" s="1387"/>
      <c r="AC777" s="1315">
        <f>SUM(AC773:AG776)</f>
        <v>0</v>
      </c>
      <c r="AD777" s="1316"/>
      <c r="AE777" s="1316"/>
      <c r="AF777" s="1316"/>
      <c r="AG777" s="1317"/>
      <c r="AI777" s="960"/>
      <c r="AJ777" s="96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P777" s="1298">
        <f>SUM(CP773:CT776)</f>
        <v>0</v>
      </c>
      <c r="CQ777" s="1299"/>
      <c r="CR777" s="1299"/>
      <c r="CS777" s="1299"/>
      <c r="CT777" s="1300"/>
      <c r="CU777" s="1298">
        <f>SUM(CU773:CY776)</f>
        <v>0</v>
      </c>
      <c r="CV777" s="1299"/>
      <c r="CW777" s="1299"/>
      <c r="CX777" s="1299"/>
      <c r="CY777" s="1300"/>
      <c r="CZ777" s="1298">
        <f>SUM(CZ773:DD776)</f>
        <v>0</v>
      </c>
      <c r="DA777" s="1299"/>
      <c r="DB777" s="1299"/>
      <c r="DC777" s="1299"/>
      <c r="DD777" s="1300"/>
      <c r="DE777" s="1298">
        <f>SUM(DE773:DI776)</f>
        <v>1</v>
      </c>
      <c r="DF777" s="1299"/>
      <c r="DG777" s="1299"/>
      <c r="DH777" s="1299"/>
      <c r="DI777" s="1300"/>
      <c r="DJ777" s="1298">
        <f>SUM(DJ773:DN776)</f>
        <v>0</v>
      </c>
      <c r="DK777" s="1299"/>
      <c r="DL777" s="1299"/>
      <c r="DM777" s="1299"/>
      <c r="DN777" s="1300"/>
      <c r="DO777" s="1298">
        <f>SUM(DO773:DS776)</f>
        <v>0</v>
      </c>
      <c r="DP777" s="1299"/>
      <c r="DQ777" s="1299"/>
      <c r="DR777" s="1299"/>
      <c r="DS777" s="1300"/>
      <c r="DU777" s="982">
        <f>CP777+CU777+CZ777+DE777+DJ777+DO777</f>
        <v>1</v>
      </c>
      <c r="DV777" s="38" t="s">
        <v>1502</v>
      </c>
    </row>
    <row r="778" spans="1:126" ht="12.9" customHeight="1">
      <c r="J778" s="37"/>
      <c r="K778" s="37"/>
      <c r="L778" s="37"/>
      <c r="M778" s="37"/>
      <c r="N778" s="37"/>
      <c r="O778" s="1152"/>
      <c r="P778" s="1152"/>
      <c r="Q778" s="1152"/>
      <c r="R778" s="1152"/>
      <c r="S778" s="1152"/>
      <c r="T778" s="37"/>
      <c r="U778" s="37"/>
      <c r="V778" s="37"/>
      <c r="W778" s="37"/>
      <c r="X778" s="37"/>
      <c r="Y778" s="717"/>
      <c r="Z778" s="1146"/>
      <c r="AA778" s="1146"/>
      <c r="AB778" s="1146"/>
      <c r="AC778" s="1146"/>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T778" s="982">
        <f>CP777*1</f>
        <v>0</v>
      </c>
      <c r="CU778" s="2"/>
      <c r="CV778" s="2"/>
      <c r="CW778" s="2"/>
      <c r="CX778" s="2"/>
      <c r="CY778" s="982">
        <f>CU777*1</f>
        <v>0</v>
      </c>
      <c r="CZ778" s="2"/>
      <c r="DA778" s="2"/>
      <c r="DB778" s="2"/>
      <c r="DC778" s="2"/>
      <c r="DD778" s="982">
        <f>CZ777*2</f>
        <v>0</v>
      </c>
      <c r="DE778" s="2"/>
      <c r="DF778" s="2"/>
      <c r="DG778" s="2"/>
      <c r="DH778" s="2"/>
      <c r="DI778" s="982">
        <f>DE777*3</f>
        <v>3</v>
      </c>
      <c r="DJ778" s="2"/>
      <c r="DK778" s="2"/>
      <c r="DL778" s="2"/>
      <c r="DM778" s="2"/>
      <c r="DN778" s="982">
        <f>DJ777*4</f>
        <v>0</v>
      </c>
      <c r="DO778" s="2"/>
      <c r="DP778" s="2"/>
      <c r="DQ778" s="2"/>
      <c r="DR778" s="2"/>
      <c r="DS778" s="982">
        <f>DO777*5</f>
        <v>0</v>
      </c>
      <c r="DU778" s="982">
        <f>CT778+CY778+DD778+DI778+DN778+DS778</f>
        <v>3</v>
      </c>
      <c r="DV778" s="38" t="s">
        <v>1503</v>
      </c>
    </row>
    <row r="779" spans="1:126" ht="12.9" customHeight="1">
      <c r="B779" s="37"/>
      <c r="C779" s="37"/>
      <c r="D779" s="37"/>
      <c r="E779" s="37"/>
      <c r="F779" s="37"/>
      <c r="G779" s="1152"/>
      <c r="H779" s="1152"/>
      <c r="I779" s="1152"/>
      <c r="J779" s="1346" t="s">
        <v>843</v>
      </c>
      <c r="K779" s="1346"/>
      <c r="L779" s="37"/>
      <c r="M779" s="68" t="s">
        <v>1504</v>
      </c>
      <c r="N779" s="37"/>
      <c r="O779" s="37"/>
      <c r="P779" s="37"/>
      <c r="Q779" s="1152"/>
      <c r="R779" s="1152"/>
      <c r="S779" s="1152"/>
      <c r="T779" s="1152"/>
      <c r="U779" s="115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26" ht="12.9" customHeight="1">
      <c r="B780" s="37"/>
      <c r="C780" s="37"/>
      <c r="D780" s="37"/>
      <c r="E780" s="37"/>
      <c r="F780" s="37"/>
      <c r="G780" s="1152"/>
      <c r="H780" s="1152"/>
      <c r="I780" s="1152"/>
      <c r="J780" s="1152"/>
      <c r="K780" s="1152"/>
      <c r="L780" s="37"/>
      <c r="M780" s="68" t="s">
        <v>1505</v>
      </c>
      <c r="N780" s="37"/>
      <c r="O780" s="37"/>
      <c r="P780" s="37"/>
      <c r="Q780" s="1152"/>
      <c r="R780" s="1152"/>
      <c r="S780" s="1152"/>
      <c r="T780" s="1152"/>
      <c r="U780" s="115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26" ht="12.9" customHeight="1">
      <c r="A781" s="1" t="s">
        <v>989</v>
      </c>
      <c r="B781" s="38"/>
      <c r="C781" s="38" t="s">
        <v>209</v>
      </c>
      <c r="D781" s="37"/>
      <c r="E781" s="37"/>
      <c r="F781" s="37"/>
      <c r="G781" s="1152"/>
      <c r="H781" s="1152"/>
      <c r="I781" s="1152"/>
      <c r="J781" s="1152"/>
      <c r="K781" s="1152"/>
      <c r="L781" s="37"/>
      <c r="M781" s="37"/>
      <c r="N781" s="37"/>
      <c r="O781" s="37"/>
      <c r="P781" s="37"/>
      <c r="Q781" s="1152"/>
      <c r="R781" s="1152"/>
      <c r="S781" s="1152"/>
      <c r="T781" s="1152"/>
      <c r="U781" s="115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26" ht="12.9" customHeight="1">
      <c r="B782" s="37"/>
      <c r="C782" s="37"/>
      <c r="D782" s="37"/>
      <c r="E782" s="37"/>
      <c r="F782" s="37"/>
      <c r="G782" s="1152"/>
      <c r="H782" s="1152"/>
      <c r="I782" s="1152"/>
      <c r="J782" s="315"/>
      <c r="K782" s="1152"/>
      <c r="L782" s="37"/>
      <c r="M782" s="37"/>
      <c r="N782" s="37"/>
      <c r="O782" s="37"/>
      <c r="P782" s="37"/>
      <c r="Q782" s="1152"/>
      <c r="R782" s="1152"/>
      <c r="S782" s="1152"/>
      <c r="T782" s="1152"/>
      <c r="U782" s="115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26" ht="12.9" customHeight="1">
      <c r="J783" s="1449" t="s">
        <v>1465</v>
      </c>
      <c r="K783" s="1450"/>
      <c r="L783" s="1450"/>
      <c r="M783" s="1450"/>
      <c r="N783" s="1451"/>
      <c r="O783" s="1549" t="s">
        <v>1466</v>
      </c>
      <c r="P783" s="1549"/>
      <c r="Q783" s="1549"/>
      <c r="R783" s="1549"/>
      <c r="S783" s="1549"/>
      <c r="T783" s="1458" t="s">
        <v>1467</v>
      </c>
      <c r="U783" s="1459"/>
      <c r="V783" s="1459"/>
      <c r="W783" s="1460"/>
      <c r="X783" s="1449" t="s">
        <v>1468</v>
      </c>
      <c r="Y783" s="1450"/>
      <c r="Z783" s="1450"/>
      <c r="AA783" s="1450"/>
      <c r="AB783" s="1451"/>
      <c r="AC783" s="1449" t="s">
        <v>1500</v>
      </c>
      <c r="AD783" s="1450"/>
      <c r="AE783" s="1450"/>
      <c r="AF783" s="1450"/>
      <c r="AG783" s="1451"/>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26" ht="12.9" customHeight="1">
      <c r="J784" s="1452"/>
      <c r="K784" s="1453"/>
      <c r="L784" s="1453"/>
      <c r="M784" s="1453"/>
      <c r="N784" s="1454"/>
      <c r="O784" s="1549"/>
      <c r="P784" s="1549"/>
      <c r="Q784" s="1549"/>
      <c r="R784" s="1549"/>
      <c r="S784" s="1549"/>
      <c r="T784" s="1461"/>
      <c r="U784" s="1462"/>
      <c r="V784" s="1462"/>
      <c r="W784" s="1463"/>
      <c r="X784" s="1452"/>
      <c r="Y784" s="1453"/>
      <c r="Z784" s="1453"/>
      <c r="AA784" s="1453"/>
      <c r="AB784" s="1454"/>
      <c r="AC784" s="1452"/>
      <c r="AD784" s="1453"/>
      <c r="AE784" s="1453"/>
      <c r="AF784" s="1453"/>
      <c r="AG784" s="1454"/>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4" ht="12.9" customHeight="1">
      <c r="J785" s="1452"/>
      <c r="K785" s="1453"/>
      <c r="L785" s="1453"/>
      <c r="M785" s="1453"/>
      <c r="N785" s="1454"/>
      <c r="O785" s="1549"/>
      <c r="P785" s="1549"/>
      <c r="Q785" s="1549"/>
      <c r="R785" s="1549"/>
      <c r="S785" s="1549"/>
      <c r="T785" s="1461"/>
      <c r="U785" s="1462"/>
      <c r="V785" s="1462"/>
      <c r="W785" s="1463"/>
      <c r="X785" s="1452"/>
      <c r="Y785" s="1453"/>
      <c r="Z785" s="1453"/>
      <c r="AA785" s="1453"/>
      <c r="AB785" s="1454"/>
      <c r="AC785" s="1452"/>
      <c r="AD785" s="1453"/>
      <c r="AE785" s="1453"/>
      <c r="AF785" s="1453"/>
      <c r="AG785" s="1454"/>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4" ht="12.9" customHeight="1">
      <c r="J786" s="1455"/>
      <c r="K786" s="1456"/>
      <c r="L786" s="1456"/>
      <c r="M786" s="1456"/>
      <c r="N786" s="1457"/>
      <c r="O786" s="1549"/>
      <c r="P786" s="1549"/>
      <c r="Q786" s="1549"/>
      <c r="R786" s="1549"/>
      <c r="S786" s="1549"/>
      <c r="T786" s="1557"/>
      <c r="U786" s="1558"/>
      <c r="V786" s="1558"/>
      <c r="W786" s="1559"/>
      <c r="X786" s="1455"/>
      <c r="Y786" s="1456"/>
      <c r="Z786" s="1456"/>
      <c r="AA786" s="1456"/>
      <c r="AB786" s="1457"/>
      <c r="AC786" s="1455"/>
      <c r="AD786" s="1456"/>
      <c r="AE786" s="1456"/>
      <c r="AF786" s="1456"/>
      <c r="AG786" s="1457"/>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P786" s="2" t="s">
        <v>1506</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1507</v>
      </c>
      <c r="DV786" s="2"/>
      <c r="DW786" s="2"/>
      <c r="DX786" s="2"/>
      <c r="DY786" s="2"/>
      <c r="DZ786" s="2"/>
      <c r="EA786" s="2"/>
      <c r="EB786" s="2"/>
      <c r="EC786" s="2"/>
      <c r="ED786" s="2"/>
      <c r="EE786" s="2"/>
      <c r="EF786" s="2"/>
      <c r="EG786" s="2"/>
      <c r="EH786" s="2"/>
    </row>
    <row r="787" spans="1:154" ht="12.9" customHeight="1">
      <c r="J787" s="1312"/>
      <c r="K787" s="1313"/>
      <c r="L787" s="1313"/>
      <c r="M787" s="1313"/>
      <c r="N787" s="1314"/>
      <c r="O787" s="1408"/>
      <c r="P787" s="1408"/>
      <c r="Q787" s="1408"/>
      <c r="R787" s="1408"/>
      <c r="S787" s="1408"/>
      <c r="T787" s="1551"/>
      <c r="U787" s="1552"/>
      <c r="V787" s="1552"/>
      <c r="W787" s="1553"/>
      <c r="X787" s="1418"/>
      <c r="Y787" s="1419"/>
      <c r="Z787" s="1419"/>
      <c r="AA787" s="1419"/>
      <c r="AB787" s="1420"/>
      <c r="AC787" s="1315">
        <f t="shared" ref="AC787:AC796" si="41">X787*O787</f>
        <v>0</v>
      </c>
      <c r="AD787" s="1316"/>
      <c r="AE787" s="1316"/>
      <c r="AF787" s="1316"/>
      <c r="AG787" s="1317"/>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P787" s="1295">
        <f t="shared" ref="CP787:CP796" si="42">IF(J787="SRO/Studio",O787,0)</f>
        <v>0</v>
      </c>
      <c r="CQ787" s="1296"/>
      <c r="CR787" s="1296"/>
      <c r="CS787" s="1296"/>
      <c r="CT787" s="1297"/>
      <c r="CU787" s="1295">
        <f t="shared" ref="CU787:CU796" si="43">IF(J787="1 Bedroom",O787,0)</f>
        <v>0</v>
      </c>
      <c r="CV787" s="1296"/>
      <c r="CW787" s="1296"/>
      <c r="CX787" s="1296"/>
      <c r="CY787" s="1297"/>
      <c r="CZ787" s="1295">
        <f t="shared" ref="CZ787:CZ796" si="44">IF(J787="2 Bedrooms",O787,0)</f>
        <v>0</v>
      </c>
      <c r="DA787" s="1296"/>
      <c r="DB787" s="1296"/>
      <c r="DC787" s="1296"/>
      <c r="DD787" s="1297"/>
      <c r="DE787" s="1295">
        <f t="shared" ref="DE787:DE796" si="45">IF(J787="3 Bedrooms",O787,0)</f>
        <v>0</v>
      </c>
      <c r="DF787" s="1296"/>
      <c r="DG787" s="1296"/>
      <c r="DH787" s="1296"/>
      <c r="DI787" s="1297"/>
      <c r="DJ787" s="1295">
        <f t="shared" ref="DJ787:DJ796" si="46">IF(J787="4 Bedrooms",O787,0)</f>
        <v>0</v>
      </c>
      <c r="DK787" s="1296"/>
      <c r="DL787" s="1296"/>
      <c r="DM787" s="1296"/>
      <c r="DN787" s="1297"/>
      <c r="DO787" s="1295">
        <f t="shared" ref="DO787:DO796" si="47">IF(J787="5 Bedrooms",O787,0)</f>
        <v>0</v>
      </c>
      <c r="DP787" s="1296"/>
      <c r="DQ787" s="1296"/>
      <c r="DR787" s="1296"/>
      <c r="DS787" s="1297"/>
      <c r="DT787" s="1152"/>
      <c r="DU787" s="1295">
        <f t="shared" ref="DU787:DU796" si="48">IF(AND(CP787&gt;=1,AH787&gt;=0.1,AH787&lt;=1),O787,0)</f>
        <v>0</v>
      </c>
      <c r="DV787" s="1296"/>
      <c r="DW787" s="1296"/>
      <c r="DX787" s="1296"/>
      <c r="DY787" s="1297"/>
      <c r="DZ787" s="1295">
        <f t="shared" ref="DZ787:DZ796" si="49">IF(AND(CU787&gt;=1,AH787&gt;=0.1,AH787&lt;=1),O787,0)</f>
        <v>0</v>
      </c>
      <c r="EA787" s="1296"/>
      <c r="EB787" s="1296"/>
      <c r="EC787" s="1296"/>
      <c r="ED787" s="1297"/>
      <c r="EE787" s="1295">
        <f t="shared" ref="EE787:EE796" si="50">IF(AND(CZ787&gt;=1,AH787&gt;=0.1,AH787&lt;=1),O787,0)</f>
        <v>0</v>
      </c>
      <c r="EF787" s="1296"/>
      <c r="EG787" s="1296"/>
      <c r="EH787" s="1296"/>
      <c r="EI787" s="1297"/>
      <c r="EJ787" s="1295">
        <f t="shared" ref="EJ787:EJ796" si="51">IF(AND(DE787&gt;=1,AH787&gt;=0.1,AH787&lt;=1),O787,0)</f>
        <v>0</v>
      </c>
      <c r="EK787" s="1296"/>
      <c r="EL787" s="1296"/>
      <c r="EM787" s="1296"/>
      <c r="EN787" s="1297"/>
      <c r="EO787" s="1295">
        <f t="shared" ref="EO787:EO796" si="52">IF(AND(DJ787&gt;=1,AH787&gt;=0.1,AH787&lt;=1),O787,0)</f>
        <v>0</v>
      </c>
      <c r="EP787" s="1296"/>
      <c r="EQ787" s="1296"/>
      <c r="ER787" s="1296"/>
      <c r="ES787" s="1297"/>
      <c r="ET787" s="1295">
        <f t="shared" ref="ET787:ET796" si="53">IF(AND(DO787&gt;=1,AH787&gt;=0.1,AH787&lt;=1),O787,0)</f>
        <v>0</v>
      </c>
      <c r="EU787" s="1296"/>
      <c r="EV787" s="1296"/>
      <c r="EW787" s="1296"/>
      <c r="EX787" s="1297"/>
    </row>
    <row r="788" spans="1:154" s="11" customFormat="1" ht="12.9" customHeight="1">
      <c r="A788"/>
      <c r="B788"/>
      <c r="C788"/>
      <c r="D788"/>
      <c r="E788"/>
      <c r="F788"/>
      <c r="G788"/>
      <c r="H788"/>
      <c r="I788"/>
      <c r="J788" s="1312"/>
      <c r="K788" s="1313"/>
      <c r="L788" s="1313"/>
      <c r="M788" s="1313"/>
      <c r="N788" s="1314"/>
      <c r="O788" s="1408"/>
      <c r="P788" s="1408"/>
      <c r="Q788" s="1408"/>
      <c r="R788" s="1408"/>
      <c r="S788" s="1408"/>
      <c r="T788" s="1551"/>
      <c r="U788" s="1552"/>
      <c r="V788" s="1552"/>
      <c r="W788" s="1553"/>
      <c r="X788" s="1418"/>
      <c r="Y788" s="1419"/>
      <c r="Z788" s="1419"/>
      <c r="AA788" s="1419"/>
      <c r="AB788" s="1420"/>
      <c r="AC788" s="1315">
        <f t="shared" si="41"/>
        <v>0</v>
      </c>
      <c r="AD788" s="1316"/>
      <c r="AE788" s="1316"/>
      <c r="AF788" s="1316"/>
      <c r="AG788" s="1317"/>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295">
        <f t="shared" si="42"/>
        <v>0</v>
      </c>
      <c r="CQ788" s="1296"/>
      <c r="CR788" s="1296"/>
      <c r="CS788" s="1296"/>
      <c r="CT788" s="1297"/>
      <c r="CU788" s="1295">
        <f t="shared" si="43"/>
        <v>0</v>
      </c>
      <c r="CV788" s="1296"/>
      <c r="CW788" s="1296"/>
      <c r="CX788" s="1296"/>
      <c r="CY788" s="1297"/>
      <c r="CZ788" s="1295">
        <f t="shared" si="44"/>
        <v>0</v>
      </c>
      <c r="DA788" s="1296"/>
      <c r="DB788" s="1296"/>
      <c r="DC788" s="1296"/>
      <c r="DD788" s="1297"/>
      <c r="DE788" s="1295">
        <f t="shared" si="45"/>
        <v>0</v>
      </c>
      <c r="DF788" s="1296"/>
      <c r="DG788" s="1296"/>
      <c r="DH788" s="1296"/>
      <c r="DI788" s="1297"/>
      <c r="DJ788" s="1295">
        <f t="shared" si="46"/>
        <v>0</v>
      </c>
      <c r="DK788" s="1296"/>
      <c r="DL788" s="1296"/>
      <c r="DM788" s="1296"/>
      <c r="DN788" s="1297"/>
      <c r="DO788" s="1295">
        <f t="shared" si="47"/>
        <v>0</v>
      </c>
      <c r="DP788" s="1296"/>
      <c r="DQ788" s="1296"/>
      <c r="DR788" s="1296"/>
      <c r="DS788" s="1297"/>
      <c r="DT788" s="1152"/>
      <c r="DU788" s="1295">
        <f t="shared" si="48"/>
        <v>0</v>
      </c>
      <c r="DV788" s="1296"/>
      <c r="DW788" s="1296"/>
      <c r="DX788" s="1296"/>
      <c r="DY788" s="1297"/>
      <c r="DZ788" s="1295">
        <f t="shared" si="49"/>
        <v>0</v>
      </c>
      <c r="EA788" s="1296"/>
      <c r="EB788" s="1296"/>
      <c r="EC788" s="1296"/>
      <c r="ED788" s="1297"/>
      <c r="EE788" s="1295">
        <f t="shared" si="50"/>
        <v>0</v>
      </c>
      <c r="EF788" s="1296"/>
      <c r="EG788" s="1296"/>
      <c r="EH788" s="1296"/>
      <c r="EI788" s="1297"/>
      <c r="EJ788" s="1295">
        <f t="shared" si="51"/>
        <v>0</v>
      </c>
      <c r="EK788" s="1296"/>
      <c r="EL788" s="1296"/>
      <c r="EM788" s="1296"/>
      <c r="EN788" s="1297"/>
      <c r="EO788" s="1295">
        <f t="shared" si="52"/>
        <v>0</v>
      </c>
      <c r="EP788" s="1296"/>
      <c r="EQ788" s="1296"/>
      <c r="ER788" s="1296"/>
      <c r="ES788" s="1297"/>
      <c r="ET788" s="1295">
        <f t="shared" si="53"/>
        <v>0</v>
      </c>
      <c r="EU788" s="1296"/>
      <c r="EV788" s="1296"/>
      <c r="EW788" s="1296"/>
      <c r="EX788" s="1297"/>
    </row>
    <row r="789" spans="1:154" s="11" customFormat="1" ht="12.9" customHeight="1">
      <c r="A789"/>
      <c r="B789"/>
      <c r="C789"/>
      <c r="D789"/>
      <c r="E789"/>
      <c r="F789"/>
      <c r="G789"/>
      <c r="H789"/>
      <c r="I789"/>
      <c r="J789" s="1312"/>
      <c r="K789" s="1313"/>
      <c r="L789" s="1313"/>
      <c r="M789" s="1313"/>
      <c r="N789" s="1314"/>
      <c r="O789" s="1408"/>
      <c r="P789" s="1408"/>
      <c r="Q789" s="1408"/>
      <c r="R789" s="1408"/>
      <c r="S789" s="1408"/>
      <c r="T789" s="1551"/>
      <c r="U789" s="1552"/>
      <c r="V789" s="1552"/>
      <c r="W789" s="1553"/>
      <c r="X789" s="1418"/>
      <c r="Y789" s="1419"/>
      <c r="Z789" s="1419"/>
      <c r="AA789" s="1419"/>
      <c r="AB789" s="1420"/>
      <c r="AC789" s="1315">
        <f t="shared" si="41"/>
        <v>0</v>
      </c>
      <c r="AD789" s="1316"/>
      <c r="AE789" s="1316"/>
      <c r="AF789" s="1316"/>
      <c r="AG789" s="1317"/>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295">
        <f t="shared" si="42"/>
        <v>0</v>
      </c>
      <c r="CQ789" s="1296"/>
      <c r="CR789" s="1296"/>
      <c r="CS789" s="1296"/>
      <c r="CT789" s="1297"/>
      <c r="CU789" s="1295">
        <f t="shared" si="43"/>
        <v>0</v>
      </c>
      <c r="CV789" s="1296"/>
      <c r="CW789" s="1296"/>
      <c r="CX789" s="1296"/>
      <c r="CY789" s="1297"/>
      <c r="CZ789" s="1295">
        <f t="shared" si="44"/>
        <v>0</v>
      </c>
      <c r="DA789" s="1296"/>
      <c r="DB789" s="1296"/>
      <c r="DC789" s="1296"/>
      <c r="DD789" s="1297"/>
      <c r="DE789" s="1295">
        <f t="shared" si="45"/>
        <v>0</v>
      </c>
      <c r="DF789" s="1296"/>
      <c r="DG789" s="1296"/>
      <c r="DH789" s="1296"/>
      <c r="DI789" s="1297"/>
      <c r="DJ789" s="1295">
        <f t="shared" si="46"/>
        <v>0</v>
      </c>
      <c r="DK789" s="1296"/>
      <c r="DL789" s="1296"/>
      <c r="DM789" s="1296"/>
      <c r="DN789" s="1297"/>
      <c r="DO789" s="1295">
        <f t="shared" si="47"/>
        <v>0</v>
      </c>
      <c r="DP789" s="1296"/>
      <c r="DQ789" s="1296"/>
      <c r="DR789" s="1296"/>
      <c r="DS789" s="1297"/>
      <c r="DT789" s="1152"/>
      <c r="DU789" s="1295">
        <f t="shared" si="48"/>
        <v>0</v>
      </c>
      <c r="DV789" s="1296"/>
      <c r="DW789" s="1296"/>
      <c r="DX789" s="1296"/>
      <c r="DY789" s="1297"/>
      <c r="DZ789" s="1295">
        <f t="shared" si="49"/>
        <v>0</v>
      </c>
      <c r="EA789" s="1296"/>
      <c r="EB789" s="1296"/>
      <c r="EC789" s="1296"/>
      <c r="ED789" s="1297"/>
      <c r="EE789" s="1295">
        <f t="shared" si="50"/>
        <v>0</v>
      </c>
      <c r="EF789" s="1296"/>
      <c r="EG789" s="1296"/>
      <c r="EH789" s="1296"/>
      <c r="EI789" s="1297"/>
      <c r="EJ789" s="1295">
        <f t="shared" si="51"/>
        <v>0</v>
      </c>
      <c r="EK789" s="1296"/>
      <c r="EL789" s="1296"/>
      <c r="EM789" s="1296"/>
      <c r="EN789" s="1297"/>
      <c r="EO789" s="1295">
        <f t="shared" si="52"/>
        <v>0</v>
      </c>
      <c r="EP789" s="1296"/>
      <c r="EQ789" s="1296"/>
      <c r="ER789" s="1296"/>
      <c r="ES789" s="1297"/>
      <c r="ET789" s="1295">
        <f t="shared" si="53"/>
        <v>0</v>
      </c>
      <c r="EU789" s="1296"/>
      <c r="EV789" s="1296"/>
      <c r="EW789" s="1296"/>
      <c r="EX789" s="1297"/>
    </row>
    <row r="790" spans="1:154" s="11" customFormat="1" ht="12.9" customHeight="1">
      <c r="A790"/>
      <c r="B790"/>
      <c r="C790"/>
      <c r="D790"/>
      <c r="E790"/>
      <c r="F790"/>
      <c r="G790"/>
      <c r="H790"/>
      <c r="I790"/>
      <c r="J790" s="1312"/>
      <c r="K790" s="1313"/>
      <c r="L790" s="1313"/>
      <c r="M790" s="1313"/>
      <c r="N790" s="1314"/>
      <c r="O790" s="1408"/>
      <c r="P790" s="1408"/>
      <c r="Q790" s="1408"/>
      <c r="R790" s="1408"/>
      <c r="S790" s="1408"/>
      <c r="T790" s="1551"/>
      <c r="U790" s="1552"/>
      <c r="V790" s="1552"/>
      <c r="W790" s="1553"/>
      <c r="X790" s="1418"/>
      <c r="Y790" s="1419"/>
      <c r="Z790" s="1419"/>
      <c r="AA790" s="1419"/>
      <c r="AB790" s="1420"/>
      <c r="AC790" s="1315">
        <f t="shared" si="41"/>
        <v>0</v>
      </c>
      <c r="AD790" s="1316"/>
      <c r="AE790" s="1316"/>
      <c r="AF790" s="1316"/>
      <c r="AG790" s="1317"/>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295">
        <f t="shared" si="42"/>
        <v>0</v>
      </c>
      <c r="CQ790" s="1296"/>
      <c r="CR790" s="1296"/>
      <c r="CS790" s="1296"/>
      <c r="CT790" s="1297"/>
      <c r="CU790" s="1295">
        <f t="shared" si="43"/>
        <v>0</v>
      </c>
      <c r="CV790" s="1296"/>
      <c r="CW790" s="1296"/>
      <c r="CX790" s="1296"/>
      <c r="CY790" s="1297"/>
      <c r="CZ790" s="1295">
        <f t="shared" si="44"/>
        <v>0</v>
      </c>
      <c r="DA790" s="1296"/>
      <c r="DB790" s="1296"/>
      <c r="DC790" s="1296"/>
      <c r="DD790" s="1297"/>
      <c r="DE790" s="1295">
        <f t="shared" si="45"/>
        <v>0</v>
      </c>
      <c r="DF790" s="1296"/>
      <c r="DG790" s="1296"/>
      <c r="DH790" s="1296"/>
      <c r="DI790" s="1297"/>
      <c r="DJ790" s="1295">
        <f t="shared" si="46"/>
        <v>0</v>
      </c>
      <c r="DK790" s="1296"/>
      <c r="DL790" s="1296"/>
      <c r="DM790" s="1296"/>
      <c r="DN790" s="1297"/>
      <c r="DO790" s="1295">
        <f t="shared" si="47"/>
        <v>0</v>
      </c>
      <c r="DP790" s="1296"/>
      <c r="DQ790" s="1296"/>
      <c r="DR790" s="1296"/>
      <c r="DS790" s="1297"/>
      <c r="DT790" s="1152"/>
      <c r="DU790" s="1295">
        <f t="shared" si="48"/>
        <v>0</v>
      </c>
      <c r="DV790" s="1296"/>
      <c r="DW790" s="1296"/>
      <c r="DX790" s="1296"/>
      <c r="DY790" s="1297"/>
      <c r="DZ790" s="1295">
        <f t="shared" si="49"/>
        <v>0</v>
      </c>
      <c r="EA790" s="1296"/>
      <c r="EB790" s="1296"/>
      <c r="EC790" s="1296"/>
      <c r="ED790" s="1297"/>
      <c r="EE790" s="1295">
        <f t="shared" si="50"/>
        <v>0</v>
      </c>
      <c r="EF790" s="1296"/>
      <c r="EG790" s="1296"/>
      <c r="EH790" s="1296"/>
      <c r="EI790" s="1297"/>
      <c r="EJ790" s="1295">
        <f t="shared" si="51"/>
        <v>0</v>
      </c>
      <c r="EK790" s="1296"/>
      <c r="EL790" s="1296"/>
      <c r="EM790" s="1296"/>
      <c r="EN790" s="1297"/>
      <c r="EO790" s="1295">
        <f t="shared" si="52"/>
        <v>0</v>
      </c>
      <c r="EP790" s="1296"/>
      <c r="EQ790" s="1296"/>
      <c r="ER790" s="1296"/>
      <c r="ES790" s="1297"/>
      <c r="ET790" s="1295">
        <f t="shared" si="53"/>
        <v>0</v>
      </c>
      <c r="EU790" s="1296"/>
      <c r="EV790" s="1296"/>
      <c r="EW790" s="1296"/>
      <c r="EX790" s="1297"/>
    </row>
    <row r="791" spans="1:154" s="11" customFormat="1" ht="12.9" customHeight="1">
      <c r="A791"/>
      <c r="B791"/>
      <c r="C791"/>
      <c r="D791"/>
      <c r="E791"/>
      <c r="F791"/>
      <c r="G791"/>
      <c r="H791"/>
      <c r="I791"/>
      <c r="J791" s="1312"/>
      <c r="K791" s="1313"/>
      <c r="L791" s="1313"/>
      <c r="M791" s="1313"/>
      <c r="N791" s="1314"/>
      <c r="O791" s="1408"/>
      <c r="P791" s="1408"/>
      <c r="Q791" s="1408"/>
      <c r="R791" s="1408"/>
      <c r="S791" s="1408"/>
      <c r="T791" s="1551"/>
      <c r="U791" s="1552"/>
      <c r="V791" s="1552"/>
      <c r="W791" s="1553"/>
      <c r="X791" s="1418"/>
      <c r="Y791" s="1419"/>
      <c r="Z791" s="1419"/>
      <c r="AA791" s="1419"/>
      <c r="AB791" s="1420"/>
      <c r="AC791" s="1315">
        <f t="shared" si="41"/>
        <v>0</v>
      </c>
      <c r="AD791" s="1316"/>
      <c r="AE791" s="1316"/>
      <c r="AF791" s="1316"/>
      <c r="AG791" s="1317"/>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295">
        <f t="shared" si="42"/>
        <v>0</v>
      </c>
      <c r="CQ791" s="1296"/>
      <c r="CR791" s="1296"/>
      <c r="CS791" s="1296"/>
      <c r="CT791" s="1297"/>
      <c r="CU791" s="1295">
        <f t="shared" si="43"/>
        <v>0</v>
      </c>
      <c r="CV791" s="1296"/>
      <c r="CW791" s="1296"/>
      <c r="CX791" s="1296"/>
      <c r="CY791" s="1297"/>
      <c r="CZ791" s="1295">
        <f t="shared" si="44"/>
        <v>0</v>
      </c>
      <c r="DA791" s="1296"/>
      <c r="DB791" s="1296"/>
      <c r="DC791" s="1296"/>
      <c r="DD791" s="1297"/>
      <c r="DE791" s="1295">
        <f t="shared" si="45"/>
        <v>0</v>
      </c>
      <c r="DF791" s="1296"/>
      <c r="DG791" s="1296"/>
      <c r="DH791" s="1296"/>
      <c r="DI791" s="1297"/>
      <c r="DJ791" s="1295">
        <f t="shared" si="46"/>
        <v>0</v>
      </c>
      <c r="DK791" s="1296"/>
      <c r="DL791" s="1296"/>
      <c r="DM791" s="1296"/>
      <c r="DN791" s="1297"/>
      <c r="DO791" s="1295">
        <f t="shared" si="47"/>
        <v>0</v>
      </c>
      <c r="DP791" s="1296"/>
      <c r="DQ791" s="1296"/>
      <c r="DR791" s="1296"/>
      <c r="DS791" s="1297"/>
      <c r="DT791" s="1152"/>
      <c r="DU791" s="1295">
        <f t="shared" si="48"/>
        <v>0</v>
      </c>
      <c r="DV791" s="1296"/>
      <c r="DW791" s="1296"/>
      <c r="DX791" s="1296"/>
      <c r="DY791" s="1297"/>
      <c r="DZ791" s="1295">
        <f t="shared" si="49"/>
        <v>0</v>
      </c>
      <c r="EA791" s="1296"/>
      <c r="EB791" s="1296"/>
      <c r="EC791" s="1296"/>
      <c r="ED791" s="1297"/>
      <c r="EE791" s="1295">
        <f t="shared" si="50"/>
        <v>0</v>
      </c>
      <c r="EF791" s="1296"/>
      <c r="EG791" s="1296"/>
      <c r="EH791" s="1296"/>
      <c r="EI791" s="1297"/>
      <c r="EJ791" s="1295">
        <f t="shared" si="51"/>
        <v>0</v>
      </c>
      <c r="EK791" s="1296"/>
      <c r="EL791" s="1296"/>
      <c r="EM791" s="1296"/>
      <c r="EN791" s="1297"/>
      <c r="EO791" s="1295">
        <f t="shared" si="52"/>
        <v>0</v>
      </c>
      <c r="EP791" s="1296"/>
      <c r="EQ791" s="1296"/>
      <c r="ER791" s="1296"/>
      <c r="ES791" s="1297"/>
      <c r="ET791" s="1295">
        <f t="shared" si="53"/>
        <v>0</v>
      </c>
      <c r="EU791" s="1296"/>
      <c r="EV791" s="1296"/>
      <c r="EW791" s="1296"/>
      <c r="EX791" s="1297"/>
    </row>
    <row r="792" spans="1:154" s="11" customFormat="1" ht="12.9" customHeight="1">
      <c r="A792"/>
      <c r="B792"/>
      <c r="C792"/>
      <c r="D792"/>
      <c r="E792"/>
      <c r="F792"/>
      <c r="G792"/>
      <c r="H792"/>
      <c r="I792"/>
      <c r="J792" s="1312"/>
      <c r="K792" s="1313"/>
      <c r="L792" s="1313"/>
      <c r="M792" s="1313"/>
      <c r="N792" s="1314"/>
      <c r="O792" s="1408"/>
      <c r="P792" s="1408"/>
      <c r="Q792" s="1408"/>
      <c r="R792" s="1408"/>
      <c r="S792" s="1408"/>
      <c r="T792" s="1551"/>
      <c r="U792" s="1552"/>
      <c r="V792" s="1552"/>
      <c r="W792" s="1553"/>
      <c r="X792" s="1418"/>
      <c r="Y792" s="1419"/>
      <c r="Z792" s="1419"/>
      <c r="AA792" s="1419"/>
      <c r="AB792" s="1420"/>
      <c r="AC792" s="1315">
        <f t="shared" si="41"/>
        <v>0</v>
      </c>
      <c r="AD792" s="1316"/>
      <c r="AE792" s="1316"/>
      <c r="AF792" s="1316"/>
      <c r="AG792" s="1317"/>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295">
        <f t="shared" si="42"/>
        <v>0</v>
      </c>
      <c r="CQ792" s="1296"/>
      <c r="CR792" s="1296"/>
      <c r="CS792" s="1296"/>
      <c r="CT792" s="1297"/>
      <c r="CU792" s="1295">
        <f t="shared" si="43"/>
        <v>0</v>
      </c>
      <c r="CV792" s="1296"/>
      <c r="CW792" s="1296"/>
      <c r="CX792" s="1296"/>
      <c r="CY792" s="1297"/>
      <c r="CZ792" s="1295">
        <f t="shared" si="44"/>
        <v>0</v>
      </c>
      <c r="DA792" s="1296"/>
      <c r="DB792" s="1296"/>
      <c r="DC792" s="1296"/>
      <c r="DD792" s="1297"/>
      <c r="DE792" s="1295">
        <f t="shared" si="45"/>
        <v>0</v>
      </c>
      <c r="DF792" s="1296"/>
      <c r="DG792" s="1296"/>
      <c r="DH792" s="1296"/>
      <c r="DI792" s="1297"/>
      <c r="DJ792" s="1295">
        <f t="shared" si="46"/>
        <v>0</v>
      </c>
      <c r="DK792" s="1296"/>
      <c r="DL792" s="1296"/>
      <c r="DM792" s="1296"/>
      <c r="DN792" s="1297"/>
      <c r="DO792" s="1295">
        <f t="shared" si="47"/>
        <v>0</v>
      </c>
      <c r="DP792" s="1296"/>
      <c r="DQ792" s="1296"/>
      <c r="DR792" s="1296"/>
      <c r="DS792" s="1297"/>
      <c r="DT792" s="1152"/>
      <c r="DU792" s="1295">
        <f t="shared" si="48"/>
        <v>0</v>
      </c>
      <c r="DV792" s="1296"/>
      <c r="DW792" s="1296"/>
      <c r="DX792" s="1296"/>
      <c r="DY792" s="1297"/>
      <c r="DZ792" s="1295">
        <f t="shared" si="49"/>
        <v>0</v>
      </c>
      <c r="EA792" s="1296"/>
      <c r="EB792" s="1296"/>
      <c r="EC792" s="1296"/>
      <c r="ED792" s="1297"/>
      <c r="EE792" s="1295">
        <f t="shared" si="50"/>
        <v>0</v>
      </c>
      <c r="EF792" s="1296"/>
      <c r="EG792" s="1296"/>
      <c r="EH792" s="1296"/>
      <c r="EI792" s="1297"/>
      <c r="EJ792" s="1295">
        <f t="shared" si="51"/>
        <v>0</v>
      </c>
      <c r="EK792" s="1296"/>
      <c r="EL792" s="1296"/>
      <c r="EM792" s="1296"/>
      <c r="EN792" s="1297"/>
      <c r="EO792" s="1295">
        <f t="shared" si="52"/>
        <v>0</v>
      </c>
      <c r="EP792" s="1296"/>
      <c r="EQ792" s="1296"/>
      <c r="ER792" s="1296"/>
      <c r="ES792" s="1297"/>
      <c r="ET792" s="1295">
        <f t="shared" si="53"/>
        <v>0</v>
      </c>
      <c r="EU792" s="1296"/>
      <c r="EV792" s="1296"/>
      <c r="EW792" s="1296"/>
      <c r="EX792" s="1297"/>
    </row>
    <row r="793" spans="1:154" s="11" customFormat="1" ht="12.9" customHeight="1">
      <c r="A793"/>
      <c r="B793"/>
      <c r="C793"/>
      <c r="D793"/>
      <c r="E793"/>
      <c r="F793"/>
      <c r="G793"/>
      <c r="H793"/>
      <c r="I793"/>
      <c r="J793" s="1312"/>
      <c r="K793" s="1313"/>
      <c r="L793" s="1313"/>
      <c r="M793" s="1313"/>
      <c r="N793" s="1314"/>
      <c r="O793" s="1408"/>
      <c r="P793" s="1408"/>
      <c r="Q793" s="1408"/>
      <c r="R793" s="1408"/>
      <c r="S793" s="1408"/>
      <c r="T793" s="1551"/>
      <c r="U793" s="1552"/>
      <c r="V793" s="1552"/>
      <c r="W793" s="1553"/>
      <c r="X793" s="1418"/>
      <c r="Y793" s="1419"/>
      <c r="Z793" s="1419"/>
      <c r="AA793" s="1419"/>
      <c r="AB793" s="1420"/>
      <c r="AC793" s="1315">
        <f t="shared" si="41"/>
        <v>0</v>
      </c>
      <c r="AD793" s="1316"/>
      <c r="AE793" s="1316"/>
      <c r="AF793" s="1316"/>
      <c r="AG793" s="1317"/>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295">
        <f t="shared" si="42"/>
        <v>0</v>
      </c>
      <c r="CQ793" s="1296"/>
      <c r="CR793" s="1296"/>
      <c r="CS793" s="1296"/>
      <c r="CT793" s="1297"/>
      <c r="CU793" s="1295">
        <f t="shared" si="43"/>
        <v>0</v>
      </c>
      <c r="CV793" s="1296"/>
      <c r="CW793" s="1296"/>
      <c r="CX793" s="1296"/>
      <c r="CY793" s="1297"/>
      <c r="CZ793" s="1295">
        <f t="shared" si="44"/>
        <v>0</v>
      </c>
      <c r="DA793" s="1296"/>
      <c r="DB793" s="1296"/>
      <c r="DC793" s="1296"/>
      <c r="DD793" s="1297"/>
      <c r="DE793" s="1295">
        <f t="shared" si="45"/>
        <v>0</v>
      </c>
      <c r="DF793" s="1296"/>
      <c r="DG793" s="1296"/>
      <c r="DH793" s="1296"/>
      <c r="DI793" s="1297"/>
      <c r="DJ793" s="1295">
        <f t="shared" si="46"/>
        <v>0</v>
      </c>
      <c r="DK793" s="1296"/>
      <c r="DL793" s="1296"/>
      <c r="DM793" s="1296"/>
      <c r="DN793" s="1297"/>
      <c r="DO793" s="1295">
        <f t="shared" si="47"/>
        <v>0</v>
      </c>
      <c r="DP793" s="1296"/>
      <c r="DQ793" s="1296"/>
      <c r="DR793" s="1296"/>
      <c r="DS793" s="1297"/>
      <c r="DT793" s="1152"/>
      <c r="DU793" s="1295">
        <f t="shared" si="48"/>
        <v>0</v>
      </c>
      <c r="DV793" s="1296"/>
      <c r="DW793" s="1296"/>
      <c r="DX793" s="1296"/>
      <c r="DY793" s="1297"/>
      <c r="DZ793" s="1295">
        <f t="shared" si="49"/>
        <v>0</v>
      </c>
      <c r="EA793" s="1296"/>
      <c r="EB793" s="1296"/>
      <c r="EC793" s="1296"/>
      <c r="ED793" s="1297"/>
      <c r="EE793" s="1295">
        <f t="shared" si="50"/>
        <v>0</v>
      </c>
      <c r="EF793" s="1296"/>
      <c r="EG793" s="1296"/>
      <c r="EH793" s="1296"/>
      <c r="EI793" s="1297"/>
      <c r="EJ793" s="1295">
        <f t="shared" si="51"/>
        <v>0</v>
      </c>
      <c r="EK793" s="1296"/>
      <c r="EL793" s="1296"/>
      <c r="EM793" s="1296"/>
      <c r="EN793" s="1297"/>
      <c r="EO793" s="1295">
        <f t="shared" si="52"/>
        <v>0</v>
      </c>
      <c r="EP793" s="1296"/>
      <c r="EQ793" s="1296"/>
      <c r="ER793" s="1296"/>
      <c r="ES793" s="1297"/>
      <c r="ET793" s="1295">
        <f t="shared" si="53"/>
        <v>0</v>
      </c>
      <c r="EU793" s="1296"/>
      <c r="EV793" s="1296"/>
      <c r="EW793" s="1296"/>
      <c r="EX793" s="1297"/>
    </row>
    <row r="794" spans="1:154" s="11" customFormat="1" ht="12.9" customHeight="1">
      <c r="A794"/>
      <c r="B794"/>
      <c r="C794"/>
      <c r="D794"/>
      <c r="E794"/>
      <c r="F794"/>
      <c r="G794"/>
      <c r="H794"/>
      <c r="I794"/>
      <c r="J794" s="1312"/>
      <c r="K794" s="1313"/>
      <c r="L794" s="1313"/>
      <c r="M794" s="1313"/>
      <c r="N794" s="1314"/>
      <c r="O794" s="1408"/>
      <c r="P794" s="1408"/>
      <c r="Q794" s="1408"/>
      <c r="R794" s="1408"/>
      <c r="S794" s="1408"/>
      <c r="T794" s="1551"/>
      <c r="U794" s="1552"/>
      <c r="V794" s="1552"/>
      <c r="W794" s="1553"/>
      <c r="X794" s="1418"/>
      <c r="Y794" s="1419"/>
      <c r="Z794" s="1419"/>
      <c r="AA794" s="1419"/>
      <c r="AB794" s="1420"/>
      <c r="AC794" s="1315">
        <f t="shared" si="41"/>
        <v>0</v>
      </c>
      <c r="AD794" s="1316"/>
      <c r="AE794" s="1316"/>
      <c r="AF794" s="1316"/>
      <c r="AG794" s="1317"/>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295">
        <f t="shared" si="42"/>
        <v>0</v>
      </c>
      <c r="CQ794" s="1296"/>
      <c r="CR794" s="1296"/>
      <c r="CS794" s="1296"/>
      <c r="CT794" s="1297"/>
      <c r="CU794" s="1295">
        <f t="shared" si="43"/>
        <v>0</v>
      </c>
      <c r="CV794" s="1296"/>
      <c r="CW794" s="1296"/>
      <c r="CX794" s="1296"/>
      <c r="CY794" s="1297"/>
      <c r="CZ794" s="1295">
        <f t="shared" si="44"/>
        <v>0</v>
      </c>
      <c r="DA794" s="1296"/>
      <c r="DB794" s="1296"/>
      <c r="DC794" s="1296"/>
      <c r="DD794" s="1297"/>
      <c r="DE794" s="1295">
        <f t="shared" si="45"/>
        <v>0</v>
      </c>
      <c r="DF794" s="1296"/>
      <c r="DG794" s="1296"/>
      <c r="DH794" s="1296"/>
      <c r="DI794" s="1297"/>
      <c r="DJ794" s="1295">
        <f t="shared" si="46"/>
        <v>0</v>
      </c>
      <c r="DK794" s="1296"/>
      <c r="DL794" s="1296"/>
      <c r="DM794" s="1296"/>
      <c r="DN794" s="1297"/>
      <c r="DO794" s="1295">
        <f t="shared" si="47"/>
        <v>0</v>
      </c>
      <c r="DP794" s="1296"/>
      <c r="DQ794" s="1296"/>
      <c r="DR794" s="1296"/>
      <c r="DS794" s="1297"/>
      <c r="DT794" s="1152"/>
      <c r="DU794" s="1295">
        <f t="shared" si="48"/>
        <v>0</v>
      </c>
      <c r="DV794" s="1296"/>
      <c r="DW794" s="1296"/>
      <c r="DX794" s="1296"/>
      <c r="DY794" s="1297"/>
      <c r="DZ794" s="1295">
        <f t="shared" si="49"/>
        <v>0</v>
      </c>
      <c r="EA794" s="1296"/>
      <c r="EB794" s="1296"/>
      <c r="EC794" s="1296"/>
      <c r="ED794" s="1297"/>
      <c r="EE794" s="1295">
        <f t="shared" si="50"/>
        <v>0</v>
      </c>
      <c r="EF794" s="1296"/>
      <c r="EG794" s="1296"/>
      <c r="EH794" s="1296"/>
      <c r="EI794" s="1297"/>
      <c r="EJ794" s="1295">
        <f t="shared" si="51"/>
        <v>0</v>
      </c>
      <c r="EK794" s="1296"/>
      <c r="EL794" s="1296"/>
      <c r="EM794" s="1296"/>
      <c r="EN794" s="1297"/>
      <c r="EO794" s="1295">
        <f t="shared" si="52"/>
        <v>0</v>
      </c>
      <c r="EP794" s="1296"/>
      <c r="EQ794" s="1296"/>
      <c r="ER794" s="1296"/>
      <c r="ES794" s="1297"/>
      <c r="ET794" s="1295">
        <f t="shared" si="53"/>
        <v>0</v>
      </c>
      <c r="EU794" s="1296"/>
      <c r="EV794" s="1296"/>
      <c r="EW794" s="1296"/>
      <c r="EX794" s="1297"/>
    </row>
    <row r="795" spans="1:154" s="11" customFormat="1" ht="12.9" customHeight="1">
      <c r="A795"/>
      <c r="B795"/>
      <c r="C795"/>
      <c r="D795"/>
      <c r="E795"/>
      <c r="F795"/>
      <c r="G795"/>
      <c r="H795"/>
      <c r="I795"/>
      <c r="J795" s="1312"/>
      <c r="K795" s="1313"/>
      <c r="L795" s="1313"/>
      <c r="M795" s="1313"/>
      <c r="N795" s="1314"/>
      <c r="O795" s="1408"/>
      <c r="P795" s="1408"/>
      <c r="Q795" s="1408"/>
      <c r="R795" s="1408"/>
      <c r="S795" s="1408"/>
      <c r="T795" s="1551"/>
      <c r="U795" s="1552"/>
      <c r="V795" s="1552"/>
      <c r="W795" s="1553"/>
      <c r="X795" s="1418"/>
      <c r="Y795" s="1419"/>
      <c r="Z795" s="1419"/>
      <c r="AA795" s="1419"/>
      <c r="AB795" s="1420"/>
      <c r="AC795" s="1315">
        <f t="shared" si="41"/>
        <v>0</v>
      </c>
      <c r="AD795" s="1316"/>
      <c r="AE795" s="1316"/>
      <c r="AF795" s="1316"/>
      <c r="AG795" s="1317"/>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295">
        <f t="shared" si="42"/>
        <v>0</v>
      </c>
      <c r="CQ795" s="1296"/>
      <c r="CR795" s="1296"/>
      <c r="CS795" s="1296"/>
      <c r="CT795" s="1297"/>
      <c r="CU795" s="1295">
        <f t="shared" si="43"/>
        <v>0</v>
      </c>
      <c r="CV795" s="1296"/>
      <c r="CW795" s="1296"/>
      <c r="CX795" s="1296"/>
      <c r="CY795" s="1297"/>
      <c r="CZ795" s="1295">
        <f t="shared" si="44"/>
        <v>0</v>
      </c>
      <c r="DA795" s="1296"/>
      <c r="DB795" s="1296"/>
      <c r="DC795" s="1296"/>
      <c r="DD795" s="1297"/>
      <c r="DE795" s="1295">
        <f t="shared" si="45"/>
        <v>0</v>
      </c>
      <c r="DF795" s="1296"/>
      <c r="DG795" s="1296"/>
      <c r="DH795" s="1296"/>
      <c r="DI795" s="1297"/>
      <c r="DJ795" s="1295">
        <f t="shared" si="46"/>
        <v>0</v>
      </c>
      <c r="DK795" s="1296"/>
      <c r="DL795" s="1296"/>
      <c r="DM795" s="1296"/>
      <c r="DN795" s="1297"/>
      <c r="DO795" s="1295">
        <f t="shared" si="47"/>
        <v>0</v>
      </c>
      <c r="DP795" s="1296"/>
      <c r="DQ795" s="1296"/>
      <c r="DR795" s="1296"/>
      <c r="DS795" s="1297"/>
      <c r="DT795" s="1152"/>
      <c r="DU795" s="1295">
        <f t="shared" si="48"/>
        <v>0</v>
      </c>
      <c r="DV795" s="1296"/>
      <c r="DW795" s="1296"/>
      <c r="DX795" s="1296"/>
      <c r="DY795" s="1297"/>
      <c r="DZ795" s="1295">
        <f t="shared" si="49"/>
        <v>0</v>
      </c>
      <c r="EA795" s="1296"/>
      <c r="EB795" s="1296"/>
      <c r="EC795" s="1296"/>
      <c r="ED795" s="1297"/>
      <c r="EE795" s="1295">
        <f t="shared" si="50"/>
        <v>0</v>
      </c>
      <c r="EF795" s="1296"/>
      <c r="EG795" s="1296"/>
      <c r="EH795" s="1296"/>
      <c r="EI795" s="1297"/>
      <c r="EJ795" s="1295">
        <f t="shared" si="51"/>
        <v>0</v>
      </c>
      <c r="EK795" s="1296"/>
      <c r="EL795" s="1296"/>
      <c r="EM795" s="1296"/>
      <c r="EN795" s="1297"/>
      <c r="EO795" s="1295">
        <f t="shared" si="52"/>
        <v>0</v>
      </c>
      <c r="EP795" s="1296"/>
      <c r="EQ795" s="1296"/>
      <c r="ER795" s="1296"/>
      <c r="ES795" s="1297"/>
      <c r="ET795" s="1295">
        <f t="shared" si="53"/>
        <v>0</v>
      </c>
      <c r="EU795" s="1296"/>
      <c r="EV795" s="1296"/>
      <c r="EW795" s="1296"/>
      <c r="EX795" s="1297"/>
    </row>
    <row r="796" spans="1:154" s="3" customFormat="1" ht="12.9" customHeight="1">
      <c r="A796"/>
      <c r="B796"/>
      <c r="C796"/>
      <c r="D796"/>
      <c r="E796"/>
      <c r="F796"/>
      <c r="G796"/>
      <c r="H796"/>
      <c r="I796"/>
      <c r="J796" s="1312"/>
      <c r="K796" s="1313"/>
      <c r="L796" s="1313"/>
      <c r="M796" s="1313"/>
      <c r="N796" s="1314"/>
      <c r="O796" s="1408"/>
      <c r="P796" s="1408"/>
      <c r="Q796" s="1408"/>
      <c r="R796" s="1408"/>
      <c r="S796" s="1408"/>
      <c r="T796" s="1551"/>
      <c r="U796" s="1552"/>
      <c r="V796" s="1552"/>
      <c r="W796" s="1553"/>
      <c r="X796" s="1418"/>
      <c r="Y796" s="1419"/>
      <c r="Z796" s="1419"/>
      <c r="AA796" s="1419"/>
      <c r="AB796" s="1420"/>
      <c r="AC796" s="1315">
        <f t="shared" si="41"/>
        <v>0</v>
      </c>
      <c r="AD796" s="1316"/>
      <c r="AE796" s="1316"/>
      <c r="AF796" s="1316"/>
      <c r="AG796" s="1317"/>
      <c r="AH796"/>
      <c r="AI796"/>
      <c r="AJ796"/>
      <c r="AK796"/>
      <c r="AL796"/>
      <c r="AM796"/>
      <c r="AN796"/>
      <c r="AO796"/>
      <c r="AP796"/>
      <c r="AQ796"/>
      <c r="AR796"/>
      <c r="AS796"/>
      <c r="AT796"/>
      <c r="AU796"/>
      <c r="AV796"/>
      <c r="AW796"/>
      <c r="AX796"/>
      <c r="AY796"/>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295">
        <f t="shared" si="42"/>
        <v>0</v>
      </c>
      <c r="CQ796" s="1296"/>
      <c r="CR796" s="1296"/>
      <c r="CS796" s="1296"/>
      <c r="CT796" s="1297"/>
      <c r="CU796" s="1295">
        <f t="shared" si="43"/>
        <v>0</v>
      </c>
      <c r="CV796" s="1296"/>
      <c r="CW796" s="1296"/>
      <c r="CX796" s="1296"/>
      <c r="CY796" s="1297"/>
      <c r="CZ796" s="1295">
        <f t="shared" si="44"/>
        <v>0</v>
      </c>
      <c r="DA796" s="1296"/>
      <c r="DB796" s="1296"/>
      <c r="DC796" s="1296"/>
      <c r="DD796" s="1297"/>
      <c r="DE796" s="1295">
        <f t="shared" si="45"/>
        <v>0</v>
      </c>
      <c r="DF796" s="1296"/>
      <c r="DG796" s="1296"/>
      <c r="DH796" s="1296"/>
      <c r="DI796" s="1297"/>
      <c r="DJ796" s="1295">
        <f t="shared" si="46"/>
        <v>0</v>
      </c>
      <c r="DK796" s="1296"/>
      <c r="DL796" s="1296"/>
      <c r="DM796" s="1296"/>
      <c r="DN796" s="1297"/>
      <c r="DO796" s="1295">
        <f t="shared" si="47"/>
        <v>0</v>
      </c>
      <c r="DP796" s="1296"/>
      <c r="DQ796" s="1296"/>
      <c r="DR796" s="1296"/>
      <c r="DS796" s="1297"/>
      <c r="DT796" s="1152"/>
      <c r="DU796" s="1295">
        <f t="shared" si="48"/>
        <v>0</v>
      </c>
      <c r="DV796" s="1296"/>
      <c r="DW796" s="1296"/>
      <c r="DX796" s="1296"/>
      <c r="DY796" s="1297"/>
      <c r="DZ796" s="1295">
        <f t="shared" si="49"/>
        <v>0</v>
      </c>
      <c r="EA796" s="1296"/>
      <c r="EB796" s="1296"/>
      <c r="EC796" s="1296"/>
      <c r="ED796" s="1297"/>
      <c r="EE796" s="1295">
        <f t="shared" si="50"/>
        <v>0</v>
      </c>
      <c r="EF796" s="1296"/>
      <c r="EG796" s="1296"/>
      <c r="EH796" s="1296"/>
      <c r="EI796" s="1297"/>
      <c r="EJ796" s="1295">
        <f t="shared" si="51"/>
        <v>0</v>
      </c>
      <c r="EK796" s="1296"/>
      <c r="EL796" s="1296"/>
      <c r="EM796" s="1296"/>
      <c r="EN796" s="1297"/>
      <c r="EO796" s="1295">
        <f t="shared" si="52"/>
        <v>0</v>
      </c>
      <c r="EP796" s="1296"/>
      <c r="EQ796" s="1296"/>
      <c r="ER796" s="1296"/>
      <c r="ES796" s="1297"/>
      <c r="ET796" s="1295">
        <f t="shared" si="53"/>
        <v>0</v>
      </c>
      <c r="EU796" s="1296"/>
      <c r="EV796" s="1296"/>
      <c r="EW796" s="1296"/>
      <c r="EX796" s="1297"/>
    </row>
    <row r="797" spans="1:154" s="3" customFormat="1" ht="12.9" customHeight="1">
      <c r="A797"/>
      <c r="B797"/>
      <c r="C797"/>
      <c r="D797"/>
      <c r="E797"/>
      <c r="F797"/>
      <c r="G797"/>
      <c r="H797"/>
      <c r="I797"/>
      <c r="J797" s="1384" t="s">
        <v>1485</v>
      </c>
      <c r="K797" s="1385"/>
      <c r="L797" s="1385"/>
      <c r="M797" s="1385"/>
      <c r="N797" s="1387"/>
      <c r="O797" s="1324">
        <f>SUM(O787:S796)</f>
        <v>0</v>
      </c>
      <c r="P797" s="1324"/>
      <c r="Q797" s="1324"/>
      <c r="R797" s="1324"/>
      <c r="S797" s="1324"/>
      <c r="T797"/>
      <c r="U797"/>
      <c r="V797"/>
      <c r="W797"/>
      <c r="X797" s="661" t="s">
        <v>1486</v>
      </c>
      <c r="Y797" s="9"/>
      <c r="Z797" s="9"/>
      <c r="AA797" s="9"/>
      <c r="AB797" s="665"/>
      <c r="AC797" s="1315">
        <f>SUM(AC787:AG796)</f>
        <v>0</v>
      </c>
      <c r="AD797" s="1316"/>
      <c r="AE797" s="1316"/>
      <c r="AF797" s="1316"/>
      <c r="AG797" s="1317"/>
      <c r="AH797"/>
      <c r="AI797"/>
      <c r="AJ797"/>
      <c r="AK797"/>
      <c r="AL797"/>
      <c r="AM797"/>
      <c r="AN797"/>
      <c r="AO797"/>
      <c r="AP797"/>
      <c r="AQ797"/>
      <c r="AR797"/>
      <c r="AS797"/>
      <c r="AT797"/>
      <c r="AU797"/>
      <c r="AV797"/>
      <c r="AW797"/>
      <c r="AX797"/>
      <c r="AY797"/>
      <c r="AZ797" s="2"/>
      <c r="BA797"/>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298">
        <f>SUM(CP787:CT796)</f>
        <v>0</v>
      </c>
      <c r="CQ797" s="1299"/>
      <c r="CR797" s="1299"/>
      <c r="CS797" s="1299"/>
      <c r="CT797" s="1300"/>
      <c r="CU797" s="1298">
        <f>SUM(CU787:CY796)</f>
        <v>0</v>
      </c>
      <c r="CV797" s="1299"/>
      <c r="CW797" s="1299"/>
      <c r="CX797" s="1299"/>
      <c r="CY797" s="1300"/>
      <c r="CZ797" s="1298">
        <f>SUM(CZ787:DD796)</f>
        <v>0</v>
      </c>
      <c r="DA797" s="1299"/>
      <c r="DB797" s="1299"/>
      <c r="DC797" s="1299"/>
      <c r="DD797" s="1300"/>
      <c r="DE797" s="1298">
        <f>SUM(DE787:DI796)</f>
        <v>0</v>
      </c>
      <c r="DF797" s="1299"/>
      <c r="DG797" s="1299"/>
      <c r="DH797" s="1299"/>
      <c r="DI797" s="1300"/>
      <c r="DJ797" s="1298">
        <f>SUM(DJ787:DN796)</f>
        <v>0</v>
      </c>
      <c r="DK797" s="1299"/>
      <c r="DL797" s="1299"/>
      <c r="DM797" s="1299"/>
      <c r="DN797" s="1300"/>
      <c r="DO797" s="1298">
        <f>SUM(DO787:DS796)</f>
        <v>0</v>
      </c>
      <c r="DP797" s="1299"/>
      <c r="DQ797" s="1299"/>
      <c r="DR797" s="1299"/>
      <c r="DS797" s="1300"/>
      <c r="DT797" s="1152"/>
      <c r="DU797" s="1298">
        <f>SUM(DU787:DY796)</f>
        <v>0</v>
      </c>
      <c r="DV797" s="1299"/>
      <c r="DW797" s="1299"/>
      <c r="DX797" s="1299"/>
      <c r="DY797" s="1300"/>
      <c r="DZ797" s="1298">
        <f>SUM(DZ787:ED796)</f>
        <v>0</v>
      </c>
      <c r="EA797" s="1299"/>
      <c r="EB797" s="1299"/>
      <c r="EC797" s="1299"/>
      <c r="ED797" s="1300"/>
      <c r="EE797" s="1298">
        <f>SUM(EE787:EI796)</f>
        <v>0</v>
      </c>
      <c r="EF797" s="1299"/>
      <c r="EG797" s="1299"/>
      <c r="EH797" s="1299"/>
      <c r="EI797" s="1300"/>
      <c r="EJ797" s="1298">
        <f>SUM(EJ787:EN796)</f>
        <v>0</v>
      </c>
      <c r="EK797" s="1299"/>
      <c r="EL797" s="1299"/>
      <c r="EM797" s="1299"/>
      <c r="EN797" s="1300"/>
      <c r="EO797" s="1298">
        <f>SUM(EO787:ES796)</f>
        <v>0</v>
      </c>
      <c r="EP797" s="1299"/>
      <c r="EQ797" s="1299"/>
      <c r="ER797" s="1299"/>
      <c r="ES797" s="1300"/>
      <c r="ET797" s="1298">
        <f>SUM(ET787:EX796)</f>
        <v>0</v>
      </c>
      <c r="EU797" s="1299"/>
      <c r="EV797" s="1299"/>
      <c r="EW797" s="1299"/>
      <c r="EX797" s="1300"/>
    </row>
    <row r="798" spans="1:154" s="3" customFormat="1" ht="12.9" customHeight="1">
      <c r="A798"/>
      <c r="B798"/>
      <c r="C798" s="1331" t="str">
        <f>IF(O797&lt;&gt;AG438,"! Total market rate units in the Unit Mix Table above does not match the number of  market rate units on row #"&amp;TEXT(ROW(D438),"#"),"")</f>
        <v/>
      </c>
      <c r="D798" s="1331"/>
      <c r="E798" s="1331"/>
      <c r="F798" s="1331"/>
      <c r="G798" s="1331"/>
      <c r="H798" s="1331"/>
      <c r="I798" s="1331"/>
      <c r="J798" s="1331"/>
      <c r="K798" s="1331"/>
      <c r="L798" s="1331"/>
      <c r="M798" s="1331"/>
      <c r="N798" s="1331"/>
      <c r="O798" s="1331"/>
      <c r="P798" s="1331"/>
      <c r="Q798" s="1331"/>
      <c r="R798" s="1331"/>
      <c r="S798" s="1331"/>
      <c r="T798" s="1331"/>
      <c r="U798" s="1331"/>
      <c r="V798" s="1331"/>
      <c r="W798" s="1331"/>
      <c r="X798" s="1331"/>
      <c r="Y798" s="1331"/>
      <c r="Z798" s="1331"/>
      <c r="AA798" s="1331"/>
      <c r="AB798" s="1331"/>
      <c r="AC798" s="1331"/>
      <c r="AD798" s="1331"/>
      <c r="AE798" s="1331"/>
      <c r="AF798" s="1331"/>
      <c r="AG798" s="1331"/>
      <c r="AH798" s="1331"/>
      <c r="AI798" s="1331"/>
      <c r="AJ798" s="1331"/>
      <c r="AK798" s="1331"/>
      <c r="AL798" s="1331"/>
      <c r="AM798" s="1331"/>
      <c r="AN798" s="1331"/>
      <c r="AO798"/>
      <c r="AP798"/>
      <c r="AQ798"/>
      <c r="AR798"/>
      <c r="AS798"/>
      <c r="AT798"/>
      <c r="AU798"/>
      <c r="AV798"/>
      <c r="AW798"/>
      <c r="AX798"/>
      <c r="AY798"/>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c r="CQ798"/>
      <c r="CR798"/>
      <c r="CS798"/>
      <c r="CT798" s="982">
        <f>CP797*1</f>
        <v>0</v>
      </c>
      <c r="CU798" s="2"/>
      <c r="CV798" s="2"/>
      <c r="CW798" s="2"/>
      <c r="CX798" s="2"/>
      <c r="CY798" s="982">
        <f>CU797*1</f>
        <v>0</v>
      </c>
      <c r="CZ798" s="2"/>
      <c r="DA798" s="2"/>
      <c r="DB798" s="2"/>
      <c r="DC798" s="2"/>
      <c r="DD798" s="982">
        <f>CZ797*2</f>
        <v>0</v>
      </c>
      <c r="DE798" s="2"/>
      <c r="DF798" s="2"/>
      <c r="DG798" s="2"/>
      <c r="DH798" s="2"/>
      <c r="DI798" s="982">
        <f>DE797*3</f>
        <v>0</v>
      </c>
      <c r="DJ798" s="2"/>
      <c r="DK798" s="2"/>
      <c r="DL798" s="2"/>
      <c r="DM798" s="2"/>
      <c r="DN798" s="982">
        <f>DJ797*4</f>
        <v>0</v>
      </c>
      <c r="DO798" s="2"/>
      <c r="DP798" s="2"/>
      <c r="DQ798" s="2"/>
      <c r="DR798" s="2"/>
      <c r="DS798" s="982">
        <f>DO797*5</f>
        <v>0</v>
      </c>
      <c r="DT798" s="2"/>
      <c r="DU798"/>
      <c r="DV798"/>
      <c r="DW798"/>
      <c r="DX798"/>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2.9" customHeight="1">
      <c r="A799"/>
      <c r="B799"/>
      <c r="C799" s="1331"/>
      <c r="D799" s="1331"/>
      <c r="E799" s="1331"/>
      <c r="F799" s="1331"/>
      <c r="G799" s="1331"/>
      <c r="H799" s="1331"/>
      <c r="I799" s="1331"/>
      <c r="J799" s="1331"/>
      <c r="K799" s="1331"/>
      <c r="L799" s="1331"/>
      <c r="M799" s="1331"/>
      <c r="N799" s="1331"/>
      <c r="O799" s="1331"/>
      <c r="P799" s="1331"/>
      <c r="Q799" s="1331"/>
      <c r="R799" s="1331"/>
      <c r="S799" s="1331"/>
      <c r="T799" s="1331"/>
      <c r="U799" s="1331"/>
      <c r="V799" s="1331"/>
      <c r="W799" s="1331"/>
      <c r="X799" s="1331"/>
      <c r="Y799" s="1331"/>
      <c r="Z799" s="1331"/>
      <c r="AA799" s="1331"/>
      <c r="AB799" s="1331"/>
      <c r="AC799" s="1331"/>
      <c r="AD799" s="1331"/>
      <c r="AE799" s="1331"/>
      <c r="AF799" s="1331"/>
      <c r="AG799" s="1331"/>
      <c r="AH799" s="1331"/>
      <c r="AI799" s="1331"/>
      <c r="AJ799" s="1331"/>
      <c r="AK799" s="1331"/>
      <c r="AL799" s="1331"/>
      <c r="AM799" s="1331"/>
      <c r="AN799" s="1331"/>
      <c r="AO799"/>
      <c r="AP799"/>
      <c r="AQ799"/>
      <c r="AR799"/>
      <c r="AS799"/>
      <c r="AT799"/>
      <c r="AU799"/>
      <c r="AV799"/>
      <c r="AW799"/>
      <c r="AX799"/>
      <c r="AY799"/>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2"/>
      <c r="DU799" s="982">
        <f>CP797+CU797+CZ797+DE797+DJ797+DO797</f>
        <v>0</v>
      </c>
      <c r="DV799" s="38" t="s">
        <v>1508</v>
      </c>
      <c r="DW799" s="2"/>
      <c r="DX799" s="2"/>
      <c r="DY799" s="2"/>
      <c r="DZ799" s="2"/>
      <c r="EA799" s="2"/>
      <c r="EB799" s="2"/>
      <c r="EC799" s="2"/>
      <c r="ED799" s="2"/>
      <c r="EE799" s="2"/>
      <c r="EF799" s="2"/>
      <c r="EG799" s="2"/>
      <c r="EH799" s="2"/>
      <c r="EI799"/>
      <c r="EJ799"/>
      <c r="EK799"/>
      <c r="EL799"/>
      <c r="EM799"/>
      <c r="EN799"/>
      <c r="EO799"/>
      <c r="EP799"/>
      <c r="EQ799"/>
      <c r="ER799"/>
      <c r="ES799" s="37" t="s">
        <v>1509</v>
      </c>
      <c r="ET799" s="1308">
        <f>SUM(DU797:EX797)</f>
        <v>0</v>
      </c>
      <c r="EU799" s="1309"/>
      <c r="EV799" s="1309"/>
      <c r="EW799" s="1309"/>
      <c r="EX799" s="1310"/>
    </row>
    <row r="800" spans="1:154" s="3" customFormat="1" ht="12.9" customHeight="1">
      <c r="A800"/>
      <c r="B800"/>
      <c r="C800"/>
      <c r="D800"/>
      <c r="E800"/>
      <c r="F800"/>
      <c r="G800"/>
      <c r="H800"/>
      <c r="I800"/>
      <c r="J800" s="965"/>
      <c r="K800" s="4"/>
      <c r="L800" s="4"/>
      <c r="M800" s="4"/>
      <c r="N800" s="4"/>
      <c r="O800" s="4"/>
      <c r="P800" s="4"/>
      <c r="Q800" s="4"/>
      <c r="R800" s="4"/>
      <c r="S800" s="4"/>
      <c r="T800" s="4"/>
      <c r="U800" s="4"/>
      <c r="V800" s="4"/>
      <c r="W800" s="4"/>
      <c r="X800" s="1160" t="s">
        <v>1510</v>
      </c>
      <c r="Y800" s="1548">
        <f>O753+AC777+AC797</f>
        <v>235760</v>
      </c>
      <c r="Z800" s="1548"/>
      <c r="AA800" s="1548"/>
      <c r="AB800" s="1548"/>
      <c r="AC800" s="1548"/>
      <c r="AD800"/>
      <c r="AE800"/>
      <c r="AF800"/>
      <c r="AG800"/>
      <c r="AH800"/>
      <c r="AI800"/>
      <c r="AJ800"/>
      <c r="AK800"/>
      <c r="AL800"/>
      <c r="AM800"/>
      <c r="AN800"/>
      <c r="AO800"/>
      <c r="AP800"/>
      <c r="AQ800"/>
      <c r="AR800"/>
      <c r="AS800"/>
      <c r="AT800"/>
      <c r="AU800"/>
      <c r="AV800"/>
      <c r="AW800"/>
      <c r="AX800"/>
      <c r="AY800"/>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2"/>
      <c r="DU800" s="982">
        <f>CT798+CY798+DD798+DI798+DN798+DS798</f>
        <v>0</v>
      </c>
      <c r="DV800" s="38" t="s">
        <v>1511</v>
      </c>
      <c r="DW800" s="2"/>
      <c r="DX800" s="2"/>
      <c r="DY800" s="2"/>
      <c r="DZ800" s="2"/>
      <c r="EA800" s="2"/>
      <c r="EB800" s="2"/>
      <c r="EC800" s="2"/>
      <c r="ED800" s="2"/>
      <c r="EE800" s="2"/>
      <c r="EF800" s="2"/>
      <c r="EG800" s="2"/>
      <c r="EH800" s="2"/>
      <c r="EI800"/>
      <c r="EJ800"/>
      <c r="EK800"/>
      <c r="EL800"/>
      <c r="EM800"/>
      <c r="EN800"/>
      <c r="EO800"/>
      <c r="EP800"/>
      <c r="EQ800"/>
      <c r="ER800"/>
      <c r="ES800"/>
      <c r="ET800"/>
      <c r="EU800"/>
      <c r="EV800"/>
      <c r="EW800"/>
      <c r="EX800"/>
    </row>
    <row r="801" spans="1:126" s="3" customFormat="1" ht="12.9" customHeight="1">
      <c r="A801"/>
      <c r="B801"/>
      <c r="C801"/>
      <c r="D801"/>
      <c r="E801"/>
      <c r="F801"/>
      <c r="G801"/>
      <c r="H801"/>
      <c r="I801"/>
      <c r="J801" s="31"/>
      <c r="K801" s="32"/>
      <c r="L801" s="32"/>
      <c r="M801" s="32"/>
      <c r="N801" s="32"/>
      <c r="O801" s="32"/>
      <c r="P801" s="32"/>
      <c r="Q801" s="32"/>
      <c r="R801" s="32"/>
      <c r="S801" s="32"/>
      <c r="T801" s="32"/>
      <c r="U801" s="32"/>
      <c r="V801" s="32"/>
      <c r="W801" s="32"/>
      <c r="X801" s="1164" t="s">
        <v>1512</v>
      </c>
      <c r="Y801" s="1548">
        <f>(O753+AC777+AC797)*12</f>
        <v>2829120</v>
      </c>
      <c r="Z801" s="1548"/>
      <c r="AA801" s="1548"/>
      <c r="AB801" s="1548"/>
      <c r="AC801" s="1548"/>
      <c r="AD801"/>
      <c r="AE801"/>
      <c r="AF801"/>
      <c r="AG801"/>
      <c r="AH801"/>
      <c r="AI801"/>
      <c r="AJ801"/>
      <c r="AK801"/>
      <c r="AL801"/>
      <c r="AM801"/>
      <c r="AN801"/>
      <c r="AO801"/>
      <c r="AP801"/>
      <c r="AQ801"/>
      <c r="AR801"/>
      <c r="AS801"/>
      <c r="AT801"/>
      <c r="AU801"/>
      <c r="AV801"/>
      <c r="AW801"/>
      <c r="AX801"/>
      <c r="AY801"/>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1513</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c r="DV801"/>
    </row>
    <row r="802" spans="1:126" s="3" customFormat="1" ht="12.9" customHeight="1">
      <c r="A802"/>
      <c r="B802" s="1"/>
      <c r="C802"/>
      <c r="D802"/>
      <c r="E802"/>
      <c r="F802"/>
      <c r="G802"/>
      <c r="H802"/>
      <c r="I802"/>
      <c r="J802"/>
      <c r="K802"/>
      <c r="L802"/>
      <c r="M802"/>
      <c r="N802"/>
      <c r="O802"/>
      <c r="P802"/>
      <c r="Q802"/>
      <c r="R802"/>
      <c r="S802"/>
      <c r="T802"/>
      <c r="U802"/>
      <c r="V802"/>
      <c r="W802"/>
      <c r="X802" s="10"/>
      <c r="Y802" s="10"/>
      <c r="Z802" s="10"/>
      <c r="AA802" s="10"/>
      <c r="AB802" s="10"/>
      <c r="AC802" s="10"/>
      <c r="AD802" s="10"/>
      <c r="AE802"/>
      <c r="AF802"/>
      <c r="AG802"/>
      <c r="AH802"/>
      <c r="AI802"/>
      <c r="AJ802"/>
      <c r="AK802"/>
      <c r="AL802"/>
      <c r="AM802"/>
      <c r="AN802"/>
      <c r="AO802"/>
      <c r="AP802"/>
      <c r="AQ802"/>
      <c r="AR802"/>
      <c r="AS802"/>
      <c r="AT802"/>
      <c r="AU802"/>
      <c r="AV802"/>
      <c r="AW802"/>
      <c r="AX802"/>
      <c r="AY802"/>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298">
        <f>CP753+CP777+CP797</f>
        <v>0</v>
      </c>
      <c r="CQ802" s="1299"/>
      <c r="CR802" s="1299"/>
      <c r="CS802" s="1299"/>
      <c r="CT802" s="1300"/>
      <c r="CU802" s="1298">
        <f>CU753+CU777+CU797</f>
        <v>57</v>
      </c>
      <c r="CV802" s="1299"/>
      <c r="CW802" s="1299"/>
      <c r="CX802" s="1299"/>
      <c r="CY802" s="1300"/>
      <c r="CZ802" s="1298">
        <f>CZ753+CZ777+CZ797</f>
        <v>35</v>
      </c>
      <c r="DA802" s="1299"/>
      <c r="DB802" s="1299"/>
      <c r="DC802" s="1299"/>
      <c r="DD802" s="1300"/>
      <c r="DE802" s="1298">
        <f>DE753+DE777+DE797</f>
        <v>36</v>
      </c>
      <c r="DF802" s="1299"/>
      <c r="DG802" s="1299"/>
      <c r="DH802" s="1299"/>
      <c r="DI802" s="1300"/>
      <c r="DJ802" s="1298">
        <f>DJ753+DJ777+DJ797</f>
        <v>0</v>
      </c>
      <c r="DK802" s="1299"/>
      <c r="DL802" s="1299"/>
      <c r="DM802" s="1299"/>
      <c r="DN802" s="1300"/>
      <c r="DO802" s="1298">
        <f>DO797+DO777+DO753</f>
        <v>0</v>
      </c>
      <c r="DP802" s="1299"/>
      <c r="DQ802" s="1299"/>
      <c r="DR802" s="1299"/>
      <c r="DS802" s="1300"/>
      <c r="DT802" s="2"/>
      <c r="DU802" s="982">
        <f>DU755+DU800</f>
        <v>232</v>
      </c>
      <c r="DV802" s="38" t="s">
        <v>1514</v>
      </c>
    </row>
    <row r="803" spans="1:126" s="3" customFormat="1" ht="12.9" customHeight="1">
      <c r="A803" s="1" t="s">
        <v>1007</v>
      </c>
      <c r="B803" s="1"/>
      <c r="C803" s="1" t="s">
        <v>212</v>
      </c>
      <c r="D803"/>
      <c r="E803"/>
      <c r="F803"/>
      <c r="G803"/>
      <c r="H803"/>
      <c r="I803"/>
      <c r="J803"/>
      <c r="K803"/>
      <c r="L803"/>
      <c r="M803"/>
      <c r="N803"/>
      <c r="O803"/>
      <c r="P803"/>
      <c r="Q803"/>
      <c r="R803"/>
      <c r="S803"/>
      <c r="T803"/>
      <c r="U803"/>
      <c r="V803"/>
      <c r="W803"/>
      <c r="X803" s="10"/>
      <c r="Y803" s="10"/>
      <c r="Z803" s="10"/>
      <c r="AA803" s="10"/>
      <c r="AB803" s="10"/>
      <c r="AC803" s="10"/>
      <c r="AD803" s="10"/>
      <c r="AE803"/>
      <c r="AF803"/>
      <c r="AG803"/>
      <c r="AH803"/>
      <c r="AI803"/>
      <c r="AJ803"/>
      <c r="AK803"/>
      <c r="AL803"/>
      <c r="AM803"/>
      <c r="AN803"/>
      <c r="AO803"/>
      <c r="AP803"/>
      <c r="AQ803"/>
      <c r="AR803"/>
      <c r="AS803"/>
      <c r="AT803"/>
      <c r="AU803"/>
      <c r="AV803"/>
      <c r="AW803"/>
      <c r="AX803"/>
      <c r="AY803"/>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2.9" customHeight="1">
      <c r="A804" s="1"/>
      <c r="B804" s="1"/>
      <c r="C804" s="1" t="s">
        <v>1515</v>
      </c>
      <c r="D804"/>
      <c r="E804"/>
      <c r="F804"/>
      <c r="G804"/>
      <c r="H804"/>
      <c r="I804"/>
      <c r="J804"/>
      <c r="K804"/>
      <c r="L804"/>
      <c r="M804"/>
      <c r="N804"/>
      <c r="O804"/>
      <c r="P804"/>
      <c r="Q804"/>
      <c r="R804"/>
      <c r="S804"/>
      <c r="T804"/>
      <c r="U804"/>
      <c r="V804"/>
      <c r="W804"/>
      <c r="X804" s="10"/>
      <c r="Y804" s="10"/>
      <c r="Z804" s="10"/>
      <c r="AA804" s="10"/>
      <c r="AB804" s="10"/>
      <c r="AC804" s="10"/>
      <c r="AD804" s="10"/>
      <c r="AE804"/>
      <c r="AF804"/>
      <c r="AG804"/>
      <c r="AH804"/>
      <c r="AI804"/>
      <c r="AJ804"/>
      <c r="AK804"/>
      <c r="AL804"/>
      <c r="AM804"/>
      <c r="AN804"/>
      <c r="AO804"/>
      <c r="AP804"/>
      <c r="AQ804"/>
      <c r="AR804"/>
      <c r="AS804"/>
      <c r="AT804"/>
      <c r="AU804"/>
      <c r="AV804"/>
      <c r="AW804"/>
      <c r="AX804"/>
      <c r="AY80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2.9" customHeight="1">
      <c r="A805"/>
      <c r="B805" s="1"/>
      <c r="C805"/>
      <c r="D805"/>
      <c r="E805"/>
      <c r="F805"/>
      <c r="G805"/>
      <c r="H805"/>
      <c r="I805"/>
      <c r="J805"/>
      <c r="K805"/>
      <c r="L805"/>
      <c r="M805"/>
      <c r="N805"/>
      <c r="O805"/>
      <c r="P805"/>
      <c r="Q805"/>
      <c r="R805"/>
      <c r="S805"/>
      <c r="T805"/>
      <c r="U805"/>
      <c r="V805"/>
      <c r="W805"/>
      <c r="X805" s="10"/>
      <c r="Y805" s="10"/>
      <c r="Z805" s="10"/>
      <c r="AA805" s="10"/>
      <c r="AB805" s="10"/>
      <c r="AC805" s="10"/>
      <c r="AD805" s="10"/>
      <c r="AE805"/>
      <c r="AF805"/>
      <c r="AG805"/>
      <c r="AH805"/>
      <c r="AI805"/>
      <c r="AJ805"/>
      <c r="AK805"/>
      <c r="AL805"/>
      <c r="AM805"/>
      <c r="AN805"/>
      <c r="AO805"/>
      <c r="AP805"/>
      <c r="AQ805"/>
      <c r="AR805"/>
      <c r="AS805"/>
      <c r="AT805"/>
      <c r="AU805"/>
      <c r="AV805"/>
      <c r="AW805"/>
      <c r="AX805"/>
      <c r="AY805"/>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2.9" customHeight="1">
      <c r="A806"/>
      <c r="B806"/>
      <c r="C806"/>
      <c r="D806"/>
      <c r="E806"/>
      <c r="F806"/>
      <c r="G806"/>
      <c r="H806" s="965" t="s">
        <v>1516</v>
      </c>
      <c r="I806" s="4"/>
      <c r="J806" s="4"/>
      <c r="K806" s="4"/>
      <c r="L806" s="4"/>
      <c r="M806" s="4"/>
      <c r="N806" s="4"/>
      <c r="O806" s="4"/>
      <c r="P806" s="4"/>
      <c r="Q806" s="4"/>
      <c r="R806" s="4"/>
      <c r="S806" s="4"/>
      <c r="T806" s="4"/>
      <c r="U806" s="4"/>
      <c r="V806" s="4"/>
      <c r="W806" s="4"/>
      <c r="X806" s="4"/>
      <c r="Y806" s="4"/>
      <c r="Z806" s="1665"/>
      <c r="AA806" s="1555"/>
      <c r="AB806" s="1555"/>
      <c r="AC806" s="1555"/>
      <c r="AD806" s="1555"/>
      <c r="AE806" s="1556"/>
      <c r="AF806"/>
      <c r="AG806"/>
      <c r="AH806"/>
      <c r="AI806"/>
      <c r="AJ806"/>
      <c r="AK806"/>
      <c r="AL806"/>
      <c r="AM806"/>
      <c r="AN806"/>
      <c r="AO806"/>
      <c r="AP806"/>
      <c r="AQ806"/>
      <c r="AR806"/>
      <c r="AS806"/>
      <c r="AT806"/>
      <c r="AU806"/>
      <c r="AV806"/>
      <c r="AW806"/>
      <c r="AX806"/>
      <c r="AY806"/>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2.9" customHeight="1">
      <c r="A807"/>
      <c r="B807"/>
      <c r="C807"/>
      <c r="D807"/>
      <c r="E807"/>
      <c r="F807"/>
      <c r="G807"/>
      <c r="H807" s="965" t="s">
        <v>1517</v>
      </c>
      <c r="I807" s="4"/>
      <c r="J807" s="4"/>
      <c r="K807" s="4"/>
      <c r="L807" s="4"/>
      <c r="M807" s="4"/>
      <c r="N807" s="4"/>
      <c r="O807" s="4"/>
      <c r="P807" s="4"/>
      <c r="Q807" s="4"/>
      <c r="R807" s="4"/>
      <c r="S807" s="4"/>
      <c r="T807" s="4"/>
      <c r="U807" s="4"/>
      <c r="V807" s="4"/>
      <c r="W807" s="4"/>
      <c r="X807" s="4"/>
      <c r="Y807" s="4"/>
      <c r="Z807" s="1554"/>
      <c r="AA807" s="1555"/>
      <c r="AB807" s="1555"/>
      <c r="AC807" s="1555"/>
      <c r="AD807" s="1555"/>
      <c r="AE807" s="1556"/>
      <c r="AF807"/>
      <c r="AG807"/>
      <c r="AH807"/>
      <c r="AI807"/>
      <c r="AJ807"/>
      <c r="AK807"/>
      <c r="AL807"/>
      <c r="AM807"/>
      <c r="AN807"/>
      <c r="AO807"/>
      <c r="AP807"/>
      <c r="AQ807"/>
      <c r="AR807"/>
      <c r="AS807"/>
      <c r="AT807"/>
      <c r="AU807"/>
      <c r="AV807"/>
      <c r="AW807"/>
      <c r="AX807"/>
      <c r="AY807"/>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2.9" customHeight="1">
      <c r="A808"/>
      <c r="B808"/>
      <c r="C808"/>
      <c r="D808"/>
      <c r="E808"/>
      <c r="F808"/>
      <c r="G808"/>
      <c r="H808" s="965" t="s">
        <v>1518</v>
      </c>
      <c r="I808" s="4"/>
      <c r="J808" s="4"/>
      <c r="K808" s="4"/>
      <c r="L808" s="4"/>
      <c r="M808" s="4"/>
      <c r="N808" s="4"/>
      <c r="O808" s="4"/>
      <c r="P808" s="4"/>
      <c r="Q808" s="4"/>
      <c r="R808" s="4"/>
      <c r="S808" s="4"/>
      <c r="T808" s="4"/>
      <c r="U808" s="4"/>
      <c r="V808" s="4"/>
      <c r="W808" s="4"/>
      <c r="X808" s="4"/>
      <c r="Y808" s="4"/>
      <c r="Z808" s="1569"/>
      <c r="AA808" s="1471"/>
      <c r="AB808" s="1471"/>
      <c r="AC808" s="1471"/>
      <c r="AD808" s="1471"/>
      <c r="AE808" s="1570"/>
      <c r="AF808"/>
      <c r="AG808"/>
      <c r="AH808"/>
      <c r="AI808"/>
      <c r="AJ808"/>
      <c r="AK808"/>
      <c r="AL808"/>
      <c r="AM808"/>
      <c r="AN808"/>
      <c r="AO808"/>
      <c r="AP808"/>
      <c r="AQ808"/>
      <c r="AR808"/>
      <c r="AS808"/>
      <c r="AT808"/>
      <c r="AU808" s="2"/>
      <c r="AV808"/>
      <c r="AW808"/>
      <c r="AX808"/>
      <c r="AY808"/>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2.9" customHeight="1">
      <c r="A809"/>
      <c r="B809"/>
      <c r="C809"/>
      <c r="D809"/>
      <c r="E809"/>
      <c r="F809"/>
      <c r="G809"/>
      <c r="H809" s="965"/>
      <c r="I809" s="4"/>
      <c r="J809" s="4"/>
      <c r="K809" s="4"/>
      <c r="L809" s="4"/>
      <c r="M809" s="4"/>
      <c r="N809" s="4"/>
      <c r="O809" s="4"/>
      <c r="P809" s="4"/>
      <c r="Q809" s="4"/>
      <c r="R809" s="4"/>
      <c r="S809" s="4"/>
      <c r="T809" s="4"/>
      <c r="U809" s="4"/>
      <c r="V809" s="4"/>
      <c r="W809" s="4"/>
      <c r="X809" s="4"/>
      <c r="Y809" s="1159" t="s">
        <v>1519</v>
      </c>
      <c r="Z809" s="1422">
        <f>'Subsidy Contract Calculation'!J40</f>
        <v>0</v>
      </c>
      <c r="AA809" s="1423"/>
      <c r="AB809" s="1423"/>
      <c r="AC809" s="1423"/>
      <c r="AD809" s="1423"/>
      <c r="AE809" s="1424"/>
      <c r="AF809"/>
      <c r="AG809"/>
      <c r="AH809"/>
      <c r="AI809"/>
      <c r="AJ809"/>
      <c r="AK809"/>
      <c r="AL809"/>
      <c r="AM809"/>
      <c r="AN809"/>
      <c r="AO809"/>
      <c r="AP809"/>
      <c r="AQ809"/>
      <c r="AR809"/>
      <c r="AS809"/>
      <c r="AT809"/>
      <c r="AU809" s="2"/>
      <c r="AV809"/>
      <c r="AW809"/>
      <c r="AX809"/>
      <c r="AY809"/>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2.9" customHeight="1">
      <c r="A810"/>
      <c r="B810"/>
      <c r="C810"/>
      <c r="D810"/>
      <c r="E810"/>
      <c r="F810"/>
      <c r="G810"/>
      <c r="H810"/>
      <c r="I810"/>
      <c r="J810"/>
      <c r="K810"/>
      <c r="L810"/>
      <c r="M810"/>
      <c r="N810"/>
      <c r="O810"/>
      <c r="P810"/>
      <c r="Q810"/>
      <c r="R810"/>
      <c r="S810"/>
      <c r="T810"/>
      <c r="U810"/>
      <c r="V810"/>
      <c r="W810"/>
      <c r="X810" s="10"/>
      <c r="Y810" s="10"/>
      <c r="Z810" s="10"/>
      <c r="AA810" s="10"/>
      <c r="AB810" s="10"/>
      <c r="AC810" s="10"/>
      <c r="AD810" s="10"/>
      <c r="AE810"/>
      <c r="AF810"/>
      <c r="AG810"/>
      <c r="AH810"/>
      <c r="AI810"/>
      <c r="AJ810"/>
      <c r="AK810"/>
      <c r="AL810"/>
      <c r="AM810"/>
      <c r="AN810"/>
      <c r="AO810"/>
      <c r="AP810"/>
      <c r="AQ810"/>
      <c r="AR810"/>
      <c r="AS810"/>
      <c r="AT810"/>
      <c r="AU810" s="2"/>
      <c r="AV810"/>
      <c r="AW810"/>
      <c r="AX810"/>
      <c r="AY810"/>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2.9" customHeight="1">
      <c r="A811" s="1" t="s">
        <v>1019</v>
      </c>
      <c r="B811" s="1"/>
      <c r="C811" s="1" t="s">
        <v>215</v>
      </c>
      <c r="D811"/>
      <c r="E811"/>
      <c r="F811"/>
      <c r="G811"/>
      <c r="H811"/>
      <c r="I811"/>
      <c r="J811"/>
      <c r="K811"/>
      <c r="L811"/>
      <c r="M811"/>
      <c r="N811"/>
      <c r="O811"/>
      <c r="P811"/>
      <c r="Q811"/>
      <c r="R811"/>
      <c r="S811"/>
      <c r="T811"/>
      <c r="U811"/>
      <c r="V811"/>
      <c r="W811"/>
      <c r="X811" s="10"/>
      <c r="Y811" s="10"/>
      <c r="Z811" s="10"/>
      <c r="AA811" s="10"/>
      <c r="AB811" s="10"/>
      <c r="AC811" s="10"/>
      <c r="AD811" s="10"/>
      <c r="AE811"/>
      <c r="AF811"/>
      <c r="AG811"/>
      <c r="AH811"/>
      <c r="AI811"/>
      <c r="AJ811"/>
      <c r="AK811"/>
      <c r="AL811"/>
      <c r="AM811"/>
      <c r="AN811"/>
      <c r="AO811"/>
      <c r="AP811"/>
      <c r="AQ811"/>
      <c r="AR811"/>
      <c r="AS811"/>
      <c r="AT811"/>
      <c r="AU811" s="2"/>
      <c r="AV811"/>
      <c r="AW811"/>
      <c r="AX811"/>
      <c r="AY811"/>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2.9" customHeight="1">
      <c r="A812"/>
      <c r="B812"/>
      <c r="C812"/>
      <c r="D812"/>
      <c r="E812"/>
      <c r="F812"/>
      <c r="G812"/>
      <c r="H812"/>
      <c r="I812"/>
      <c r="J812"/>
      <c r="K812"/>
      <c r="L812"/>
      <c r="M812"/>
      <c r="N812"/>
      <c r="O812"/>
      <c r="P812"/>
      <c r="Q812"/>
      <c r="R812"/>
      <c r="S812"/>
      <c r="T812"/>
      <c r="U812"/>
      <c r="V812"/>
      <c r="W812"/>
      <c r="X812" s="10"/>
      <c r="Y812" s="10"/>
      <c r="Z812" s="10"/>
      <c r="AA812" s="10"/>
      <c r="AB812" s="10"/>
      <c r="AC812" s="10"/>
      <c r="AD812" s="10"/>
      <c r="AE812"/>
      <c r="AF812"/>
      <c r="AG812"/>
      <c r="AH812"/>
      <c r="AI812"/>
      <c r="AJ812"/>
      <c r="AK812"/>
      <c r="AL812"/>
      <c r="AM812"/>
      <c r="AN812"/>
      <c r="AO812"/>
      <c r="AP812"/>
      <c r="AQ812"/>
      <c r="AR812"/>
      <c r="AS812"/>
      <c r="AT812"/>
      <c r="AU812" s="2"/>
      <c r="AV812"/>
      <c r="AW812"/>
      <c r="AX812"/>
      <c r="AY812"/>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2.9" customHeight="1">
      <c r="A813"/>
      <c r="B813"/>
      <c r="C813"/>
      <c r="D813"/>
      <c r="E813"/>
      <c r="F813"/>
      <c r="G813"/>
      <c r="H813" s="965" t="s">
        <v>1520</v>
      </c>
      <c r="I813" s="4"/>
      <c r="J813" s="4"/>
      <c r="K813" s="4"/>
      <c r="L813" s="4"/>
      <c r="M813" s="4"/>
      <c r="N813" s="4"/>
      <c r="O813" s="4"/>
      <c r="P813" s="4"/>
      <c r="Q813" s="4"/>
      <c r="R813" s="4"/>
      <c r="S813" s="4"/>
      <c r="T813" s="4"/>
      <c r="U813" s="4"/>
      <c r="V813" s="4"/>
      <c r="W813" s="4"/>
      <c r="X813" s="4"/>
      <c r="Y813" s="4"/>
      <c r="Z813" s="1425">
        <v>18432</v>
      </c>
      <c r="AA813" s="1301"/>
      <c r="AB813" s="1301"/>
      <c r="AC813" s="1301"/>
      <c r="AD813" s="1301"/>
      <c r="AE813" s="1302"/>
      <c r="AF813"/>
      <c r="AG813"/>
      <c r="AH813"/>
      <c r="AI813"/>
      <c r="AJ813"/>
      <c r="AK813"/>
      <c r="AL813"/>
      <c r="AM813"/>
      <c r="AN813"/>
      <c r="AO813"/>
      <c r="AP813"/>
      <c r="AQ813"/>
      <c r="AR813"/>
      <c r="AS813"/>
      <c r="AT813"/>
      <c r="AU813" s="2"/>
      <c r="AV813"/>
      <c r="AW813"/>
      <c r="AX813"/>
      <c r="AY813"/>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2.9" customHeight="1">
      <c r="A814"/>
      <c r="B814"/>
      <c r="C814"/>
      <c r="D814"/>
      <c r="E814"/>
      <c r="F814"/>
      <c r="G814"/>
      <c r="H814" s="965" t="s">
        <v>1521</v>
      </c>
      <c r="I814" s="4"/>
      <c r="J814" s="4"/>
      <c r="K814" s="4"/>
      <c r="L814" s="4"/>
      <c r="M814" s="4"/>
      <c r="N814" s="4"/>
      <c r="O814" s="4"/>
      <c r="P814" s="4"/>
      <c r="Q814" s="4"/>
      <c r="R814" s="4"/>
      <c r="S814" s="4"/>
      <c r="T814" s="4"/>
      <c r="U814" s="4"/>
      <c r="V814" s="4"/>
      <c r="W814" s="4"/>
      <c r="X814" s="4"/>
      <c r="Y814" s="4"/>
      <c r="Z814" s="1425"/>
      <c r="AA814" s="1301"/>
      <c r="AB814" s="1301"/>
      <c r="AC814" s="1301"/>
      <c r="AD814" s="1301"/>
      <c r="AE814" s="1302"/>
      <c r="AF814"/>
      <c r="AG814"/>
      <c r="AH814"/>
      <c r="AI814"/>
      <c r="AJ814"/>
      <c r="AK814"/>
      <c r="AL814"/>
      <c r="AM814"/>
      <c r="AN814"/>
      <c r="AO814"/>
      <c r="AP814"/>
      <c r="AQ814"/>
      <c r="AR814"/>
      <c r="AS814"/>
      <c r="AT814"/>
      <c r="AU814" s="2"/>
      <c r="AV814"/>
      <c r="AW814"/>
      <c r="AX814"/>
      <c r="AY8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2.9" customHeight="1">
      <c r="A815"/>
      <c r="B815"/>
      <c r="C815"/>
      <c r="D815"/>
      <c r="E815"/>
      <c r="F815"/>
      <c r="G815"/>
      <c r="H815" s="965" t="s">
        <v>1522</v>
      </c>
      <c r="I815" s="4"/>
      <c r="J815" s="4"/>
      <c r="K815" s="4"/>
      <c r="L815" s="4"/>
      <c r="M815" s="4"/>
      <c r="N815" s="4"/>
      <c r="O815" s="4"/>
      <c r="P815" s="4"/>
      <c r="Q815" s="4"/>
      <c r="R815" s="4"/>
      <c r="S815" s="4"/>
      <c r="T815" s="4"/>
      <c r="U815" s="4"/>
      <c r="V815" s="4"/>
      <c r="W815" s="4"/>
      <c r="X815" s="4"/>
      <c r="Y815" s="4"/>
      <c r="Z815" s="1425"/>
      <c r="AA815" s="1301"/>
      <c r="AB815" s="1301"/>
      <c r="AC815" s="1301"/>
      <c r="AD815" s="1301"/>
      <c r="AE815" s="1302"/>
      <c r="AF815"/>
      <c r="AG815"/>
      <c r="AH815"/>
      <c r="AI815"/>
      <c r="AJ815"/>
      <c r="AK815"/>
      <c r="AL815"/>
      <c r="AM815"/>
      <c r="AN815"/>
      <c r="AO815"/>
      <c r="AP815"/>
      <c r="AQ815"/>
      <c r="AR815"/>
      <c r="AS815"/>
      <c r="AT815"/>
      <c r="AU815" s="2"/>
      <c r="AV815"/>
      <c r="AW815"/>
      <c r="AX815"/>
      <c r="AY815"/>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2.9" customHeight="1">
      <c r="A816"/>
      <c r="B816"/>
      <c r="C816"/>
      <c r="D816"/>
      <c r="E816"/>
      <c r="F816"/>
      <c r="G816"/>
      <c r="H816" s="965" t="s">
        <v>1523</v>
      </c>
      <c r="I816" s="4"/>
      <c r="J816" s="4"/>
      <c r="K816" s="4"/>
      <c r="L816" s="4"/>
      <c r="M816" s="4"/>
      <c r="N816" s="4"/>
      <c r="O816" s="4"/>
      <c r="P816" s="1588" t="s">
        <v>1524</v>
      </c>
      <c r="Q816" s="1589"/>
      <c r="R816" s="1589"/>
      <c r="S816" s="1589"/>
      <c r="T816" s="1589"/>
      <c r="U816" s="1589"/>
      <c r="V816" s="1589"/>
      <c r="W816" s="1589"/>
      <c r="X816" s="1589"/>
      <c r="Y816" s="1590"/>
      <c r="Z816" s="1425">
        <v>6192</v>
      </c>
      <c r="AA816" s="1301"/>
      <c r="AB816" s="1301"/>
      <c r="AC816" s="1301"/>
      <c r="AD816" s="1301"/>
      <c r="AE816" s="1302"/>
      <c r="AF816"/>
      <c r="AG816"/>
      <c r="AH816"/>
      <c r="AI816"/>
      <c r="AJ816"/>
      <c r="AK816"/>
      <c r="AL816"/>
      <c r="AM816"/>
      <c r="AN816"/>
      <c r="AO816"/>
      <c r="AP816"/>
      <c r="AQ816"/>
      <c r="AR816"/>
      <c r="AS816"/>
      <c r="AT816"/>
      <c r="AU816" s="2"/>
      <c r="AV816"/>
      <c r="AW816"/>
      <c r="AX816"/>
      <c r="AY816"/>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2.9" customHeight="1">
      <c r="A817"/>
      <c r="B817"/>
      <c r="C817"/>
      <c r="D817"/>
      <c r="E817"/>
      <c r="F817"/>
      <c r="G817"/>
      <c r="H817" s="965"/>
      <c r="I817" s="4"/>
      <c r="J817" s="4"/>
      <c r="K817" s="4"/>
      <c r="L817" s="4"/>
      <c r="M817" s="4"/>
      <c r="N817" s="4"/>
      <c r="O817" s="4"/>
      <c r="P817" s="4"/>
      <c r="Q817" s="4"/>
      <c r="R817" s="4"/>
      <c r="S817" s="4"/>
      <c r="T817" s="4"/>
      <c r="U817" s="4"/>
      <c r="V817" s="4"/>
      <c r="W817" s="4"/>
      <c r="X817" s="4"/>
      <c r="Y817" s="1159" t="s">
        <v>1525</v>
      </c>
      <c r="Z817" s="1422">
        <f>SUM(Z813:AE816)</f>
        <v>24624</v>
      </c>
      <c r="AA817" s="1423"/>
      <c r="AB817" s="1423"/>
      <c r="AC817" s="1423"/>
      <c r="AD817" s="1423"/>
      <c r="AE817" s="1424"/>
      <c r="AF817"/>
      <c r="AG817"/>
      <c r="AH817"/>
      <c r="AI817"/>
      <c r="AJ817"/>
      <c r="AK817"/>
      <c r="AL817"/>
      <c r="AM817"/>
      <c r="AN817"/>
      <c r="AO817"/>
      <c r="AP817"/>
      <c r="AQ817"/>
      <c r="AR817"/>
      <c r="AS817"/>
      <c r="AT817"/>
      <c r="AU817" s="2"/>
      <c r="AV817"/>
      <c r="AW817"/>
      <c r="AX817"/>
      <c r="AY817"/>
      <c r="AZ817" s="23"/>
      <c r="BA817" s="23"/>
      <c r="BB817" s="11"/>
      <c r="BC817" s="11"/>
    </row>
    <row r="818" spans="1:55" s="3" customFormat="1" ht="12.9" customHeight="1">
      <c r="A818"/>
      <c r="B818"/>
      <c r="C818"/>
      <c r="D818"/>
      <c r="E818"/>
      <c r="F818"/>
      <c r="G818"/>
      <c r="H818" s="965"/>
      <c r="I818" s="4"/>
      <c r="J818" s="4"/>
      <c r="K818" s="4"/>
      <c r="L818" s="4"/>
      <c r="M818" s="4"/>
      <c r="N818" s="4"/>
      <c r="O818" s="4"/>
      <c r="P818" s="4"/>
      <c r="Q818" s="4"/>
      <c r="R818" s="4"/>
      <c r="S818" s="4"/>
      <c r="T818" s="4"/>
      <c r="U818" s="4"/>
      <c r="V818" s="4"/>
      <c r="W818" s="4"/>
      <c r="X818" s="4"/>
      <c r="Y818" s="1159" t="s">
        <v>1526</v>
      </c>
      <c r="Z818" s="1422">
        <f>Z817+Y801+Z809</f>
        <v>2853744</v>
      </c>
      <c r="AA818" s="1423"/>
      <c r="AB818" s="1423"/>
      <c r="AC818" s="1423"/>
      <c r="AD818" s="1423"/>
      <c r="AE818" s="1424"/>
      <c r="AF818"/>
      <c r="AG818"/>
      <c r="AH818"/>
      <c r="AI818"/>
      <c r="AJ818"/>
      <c r="AK818"/>
      <c r="AL818"/>
      <c r="AM818"/>
      <c r="AN818"/>
      <c r="AO818"/>
      <c r="AP818"/>
      <c r="AQ818"/>
      <c r="AR818"/>
      <c r="AS818"/>
      <c r="AT818"/>
      <c r="AU818" s="2"/>
      <c r="AV818" s="2"/>
      <c r="AW818" s="2"/>
      <c r="AX818" s="2"/>
      <c r="AY818" s="2"/>
      <c r="AZ818" s="23"/>
      <c r="BA818" s="23"/>
      <c r="BB818" s="11"/>
      <c r="BC818" s="11"/>
    </row>
    <row r="819" spans="1:55" s="3" customFormat="1" ht="12.9" customHeight="1">
      <c r="A819"/>
      <c r="B819"/>
      <c r="C819"/>
      <c r="D819"/>
      <c r="E819"/>
      <c r="F819"/>
      <c r="G819"/>
      <c r="H819"/>
      <c r="I819"/>
      <c r="J819"/>
      <c r="K819"/>
      <c r="L819"/>
      <c r="M819"/>
      <c r="N819"/>
      <c r="O819"/>
      <c r="P819"/>
      <c r="Q819"/>
      <c r="R819"/>
      <c r="S819"/>
      <c r="T819"/>
      <c r="U819"/>
      <c r="V819"/>
      <c r="W819"/>
      <c r="X819" s="10"/>
      <c r="Y819" s="10"/>
      <c r="Z819" s="10"/>
      <c r="AA819" s="10"/>
      <c r="AB819" s="10"/>
      <c r="AC819" s="10"/>
      <c r="AD819" s="10"/>
      <c r="AE819"/>
      <c r="AF819"/>
      <c r="AG819"/>
      <c r="AH819"/>
      <c r="AI819"/>
      <c r="AJ819"/>
      <c r="AK819"/>
      <c r="AL819"/>
      <c r="AM819"/>
      <c r="AN819"/>
      <c r="AO819"/>
      <c r="AP819"/>
      <c r="AQ819"/>
      <c r="AR819"/>
      <c r="AS819"/>
      <c r="AT819"/>
      <c r="AU819" s="2"/>
      <c r="AV819" s="2"/>
      <c r="AW819" s="2"/>
      <c r="AX819" s="2"/>
      <c r="AY819" s="2"/>
      <c r="AZ819" s="23"/>
      <c r="BA819" s="23"/>
      <c r="BB819" s="11"/>
      <c r="BC819" s="11"/>
    </row>
    <row r="820" spans="1:55" s="3" customFormat="1" ht="12.9" customHeight="1">
      <c r="A820" s="1" t="s">
        <v>1046</v>
      </c>
      <c r="B820" s="1"/>
      <c r="C820" s="1" t="s">
        <v>218</v>
      </c>
      <c r="D820"/>
      <c r="E820"/>
      <c r="F820"/>
      <c r="G820"/>
      <c r="H820"/>
      <c r="I820"/>
      <c r="J820"/>
      <c r="K820"/>
      <c r="L820"/>
      <c r="M820"/>
      <c r="N820"/>
      <c r="O820"/>
      <c r="P820"/>
      <c r="Q820"/>
      <c r="R820"/>
      <c r="S820"/>
      <c r="T820"/>
      <c r="U820"/>
      <c r="V820"/>
      <c r="W820" s="37"/>
      <c r="X820"/>
      <c r="Y820"/>
      <c r="Z820"/>
      <c r="AA820"/>
      <c r="AB820"/>
      <c r="AC820"/>
      <c r="AD820"/>
      <c r="AE820"/>
      <c r="AF820"/>
      <c r="AG820"/>
      <c r="AH820"/>
      <c r="AI820"/>
      <c r="AJ820"/>
      <c r="AK820"/>
      <c r="AL820"/>
      <c r="AM820"/>
      <c r="AN820"/>
      <c r="AO820"/>
      <c r="AP820"/>
      <c r="AQ820"/>
      <c r="AR820"/>
      <c r="AS820"/>
      <c r="AT820"/>
      <c r="AU820" s="2"/>
      <c r="AV820" s="2"/>
      <c r="AW820" s="2"/>
      <c r="AX820" s="2"/>
      <c r="AY820" s="2"/>
      <c r="AZ820" s="23"/>
      <c r="BA820" s="23"/>
      <c r="BB820" s="11"/>
      <c r="BC820" s="11"/>
    </row>
    <row r="821" spans="1:55" s="3" customFormat="1" ht="12.9" customHeight="1">
      <c r="A821"/>
      <c r="B821"/>
      <c r="C821" s="17" t="s">
        <v>1527</v>
      </c>
      <c r="D821"/>
      <c r="E821"/>
      <c r="F821"/>
      <c r="G821"/>
      <c r="H821"/>
      <c r="I821"/>
      <c r="J821"/>
      <c r="K821"/>
      <c r="L821"/>
      <c r="M821"/>
      <c r="N821"/>
      <c r="O821"/>
      <c r="P821"/>
      <c r="Q821"/>
      <c r="R821"/>
      <c r="S821"/>
      <c r="T821"/>
      <c r="U821"/>
      <c r="V821"/>
      <c r="W821" s="37"/>
      <c r="X821"/>
      <c r="Y821"/>
      <c r="Z821"/>
      <c r="AA821"/>
      <c r="AB821"/>
      <c r="AC821"/>
      <c r="AD821"/>
      <c r="AE821"/>
      <c r="AF821"/>
      <c r="AG821"/>
      <c r="AH821"/>
      <c r="AI821"/>
      <c r="AJ821"/>
      <c r="AK821"/>
      <c r="AL821"/>
      <c r="AM821"/>
      <c r="AN821"/>
      <c r="AO821"/>
      <c r="AP821"/>
      <c r="AQ821"/>
      <c r="AR821"/>
      <c r="AS821"/>
      <c r="AT821"/>
      <c r="AU821" s="2"/>
      <c r="AV821" s="2"/>
      <c r="AW821" s="2"/>
      <c r="AX821" s="2"/>
      <c r="AY821" s="2"/>
      <c r="AZ821" s="23"/>
      <c r="BA821" s="23"/>
      <c r="BB821" s="11"/>
      <c r="BC821" s="11"/>
    </row>
    <row r="822" spans="1:55" s="3" customFormat="1" ht="12.9" customHeight="1">
      <c r="A822"/>
      <c r="B822"/>
      <c r="C822" s="17"/>
      <c r="D822"/>
      <c r="E822"/>
      <c r="F822"/>
      <c r="G822"/>
      <c r="H822"/>
      <c r="I822"/>
      <c r="J822"/>
      <c r="K822"/>
      <c r="L822"/>
      <c r="M822"/>
      <c r="N822"/>
      <c r="O822"/>
      <c r="P822"/>
      <c r="Q822"/>
      <c r="R822"/>
      <c r="S822"/>
      <c r="T822"/>
      <c r="U822"/>
      <c r="V822"/>
      <c r="W822" s="37"/>
      <c r="X822"/>
      <c r="Y822"/>
      <c r="Z822"/>
      <c r="AA822"/>
      <c r="AB822"/>
      <c r="AC822"/>
      <c r="AD822"/>
      <c r="AE822"/>
      <c r="AF822"/>
      <c r="AG822"/>
      <c r="AH822"/>
      <c r="AI822"/>
      <c r="AJ822"/>
      <c r="AK822"/>
      <c r="AL822"/>
      <c r="AM822"/>
      <c r="AN822"/>
      <c r="AO822"/>
      <c r="AP822"/>
      <c r="AQ822"/>
      <c r="AR822"/>
      <c r="AS822"/>
      <c r="AT822"/>
      <c r="AU822" s="2"/>
      <c r="AV822" s="2"/>
      <c r="AW822" s="2"/>
      <c r="AX822" s="2"/>
      <c r="AY822" s="2"/>
      <c r="AZ822" s="23"/>
      <c r="BA822" s="23"/>
      <c r="BB822" s="11"/>
      <c r="BC822" s="11"/>
    </row>
    <row r="823" spans="1:55" s="3" customFormat="1" ht="12.9" customHeight="1">
      <c r="A823"/>
      <c r="B823"/>
      <c r="C823" s="29"/>
      <c r="D823" s="30"/>
      <c r="E823" s="30"/>
      <c r="F823" s="30"/>
      <c r="G823" s="30"/>
      <c r="H823" s="30"/>
      <c r="I823" s="30"/>
      <c r="J823" s="30"/>
      <c r="K823" s="30"/>
      <c r="L823" s="39"/>
      <c r="M823" s="1631" t="s">
        <v>1528</v>
      </c>
      <c r="N823" s="1631"/>
      <c r="O823" s="1631"/>
      <c r="P823" s="1632"/>
      <c r="Q823" s="1568" t="s">
        <v>1529</v>
      </c>
      <c r="R823" s="1568"/>
      <c r="S823" s="1568"/>
      <c r="T823" s="1568"/>
      <c r="U823" s="1568" t="s">
        <v>1530</v>
      </c>
      <c r="V823" s="1568"/>
      <c r="W823" s="1568"/>
      <c r="X823" s="1568"/>
      <c r="Y823" s="1568" t="s">
        <v>1531</v>
      </c>
      <c r="Z823" s="1568"/>
      <c r="AA823" s="1568"/>
      <c r="AB823" s="1568"/>
      <c r="AC823" s="1568" t="s">
        <v>1532</v>
      </c>
      <c r="AD823" s="1568"/>
      <c r="AE823" s="1568"/>
      <c r="AF823" s="1568"/>
      <c r="AG823" s="1563" t="s">
        <v>1533</v>
      </c>
      <c r="AH823" s="1563"/>
      <c r="AI823" s="1563"/>
      <c r="AJ823" s="1563"/>
      <c r="AK823"/>
      <c r="AL823" s="2"/>
      <c r="AM823" s="2"/>
      <c r="AN823" s="2"/>
      <c r="AO823" s="2"/>
      <c r="AP823" s="2"/>
      <c r="AQ823" s="2"/>
      <c r="AR823" s="2"/>
      <c r="AS823" s="2"/>
      <c r="AT823" s="2"/>
      <c r="AU823" s="2"/>
      <c r="AV823" s="2"/>
      <c r="AW823" s="2"/>
      <c r="AX823" s="2"/>
      <c r="AY823" s="2"/>
      <c r="AZ823" s="23"/>
      <c r="BA823" s="23"/>
      <c r="BB823" s="11"/>
      <c r="BC823" s="11"/>
    </row>
    <row r="824" spans="1:55" s="11" customFormat="1" ht="12.9" customHeight="1">
      <c r="A824"/>
      <c r="B824"/>
      <c r="C824" s="31"/>
      <c r="D824" s="32"/>
      <c r="E824" s="32"/>
      <c r="F824" s="32"/>
      <c r="G824" s="32"/>
      <c r="H824" s="32"/>
      <c r="I824" s="32"/>
      <c r="J824" s="32"/>
      <c r="K824" s="32"/>
      <c r="L824" s="33"/>
      <c r="M824" s="1633"/>
      <c r="N824" s="1633"/>
      <c r="O824" s="1633"/>
      <c r="P824" s="1634"/>
      <c r="Q824" s="1568"/>
      <c r="R824" s="1568"/>
      <c r="S824" s="1568"/>
      <c r="T824" s="1568"/>
      <c r="U824" s="1568"/>
      <c r="V824" s="1568"/>
      <c r="W824" s="1568"/>
      <c r="X824" s="1568"/>
      <c r="Y824" s="1568"/>
      <c r="Z824" s="1568"/>
      <c r="AA824" s="1568"/>
      <c r="AB824" s="1568"/>
      <c r="AC824" s="1568"/>
      <c r="AD824" s="1568"/>
      <c r="AE824" s="1568"/>
      <c r="AF824" s="1568"/>
      <c r="AG824" s="1563"/>
      <c r="AH824" s="1563"/>
      <c r="AI824" s="1563"/>
      <c r="AJ824" s="1563"/>
      <c r="AK824"/>
      <c r="AL824" s="2"/>
      <c r="AM824" s="2"/>
      <c r="AN824" s="2"/>
      <c r="AO824" s="2"/>
      <c r="AP824" s="2"/>
      <c r="AQ824" s="2"/>
      <c r="AR824" s="2"/>
      <c r="AS824" s="2"/>
      <c r="AT824" s="2"/>
      <c r="AU824"/>
      <c r="AV824" s="2"/>
      <c r="AW824" s="2"/>
      <c r="AX824" s="2"/>
      <c r="AY824" s="2"/>
      <c r="AZ824" s="23"/>
      <c r="BA824" s="23"/>
    </row>
    <row r="825" spans="1:55" s="11" customFormat="1" ht="12.9" customHeight="1">
      <c r="A825"/>
      <c r="B825"/>
      <c r="C825" s="1550" t="s">
        <v>1534</v>
      </c>
      <c r="D825" s="1432"/>
      <c r="E825" s="1432"/>
      <c r="F825" s="1432"/>
      <c r="G825" s="1432"/>
      <c r="H825" s="1432"/>
      <c r="I825" s="32"/>
      <c r="J825" s="32"/>
      <c r="K825" s="32"/>
      <c r="L825" s="33"/>
      <c r="M825" s="1547"/>
      <c r="N825" s="1547"/>
      <c r="O825" s="1547"/>
      <c r="P825" s="1547"/>
      <c r="Q825" s="1547">
        <v>25</v>
      </c>
      <c r="R825" s="1547"/>
      <c r="S825" s="1547"/>
      <c r="T825" s="1547"/>
      <c r="U825" s="1547">
        <v>32</v>
      </c>
      <c r="V825" s="1547"/>
      <c r="W825" s="1547"/>
      <c r="X825" s="1547"/>
      <c r="Y825" s="1547">
        <v>39</v>
      </c>
      <c r="Z825" s="1547"/>
      <c r="AA825" s="1547"/>
      <c r="AB825" s="1547"/>
      <c r="AC825" s="1437"/>
      <c r="AD825" s="1438"/>
      <c r="AE825" s="1438"/>
      <c r="AF825" s="1439"/>
      <c r="AG825" s="1437"/>
      <c r="AH825" s="1438"/>
      <c r="AI825" s="1438"/>
      <c r="AJ825" s="1439"/>
      <c r="AK825"/>
      <c r="AL825" s="2"/>
      <c r="AM825" s="2"/>
      <c r="AN825" s="2"/>
      <c r="AO825" s="2"/>
      <c r="AP825" s="2"/>
      <c r="AQ825" s="2"/>
      <c r="AR825" s="2"/>
      <c r="AS825" s="2"/>
      <c r="AT825" s="2"/>
      <c r="AU825"/>
      <c r="AV825" s="2"/>
      <c r="AW825" s="2"/>
      <c r="AX825" s="2"/>
      <c r="AY825" s="2"/>
      <c r="AZ825" s="23"/>
      <c r="BA825" s="23"/>
    </row>
    <row r="826" spans="1:55" s="11" customFormat="1" ht="12.9" customHeight="1">
      <c r="A826"/>
      <c r="B826"/>
      <c r="C826" s="1476" t="s">
        <v>1535</v>
      </c>
      <c r="D826" s="1464"/>
      <c r="E826" s="1464"/>
      <c r="F826" s="1464"/>
      <c r="G826" s="1464"/>
      <c r="H826" s="1464"/>
      <c r="I826" s="4"/>
      <c r="J826" s="4"/>
      <c r="K826" s="4"/>
      <c r="L826" s="966"/>
      <c r="M826" s="1547"/>
      <c r="N826" s="1547"/>
      <c r="O826" s="1547"/>
      <c r="P826" s="1547"/>
      <c r="Q826" s="1547">
        <v>13</v>
      </c>
      <c r="R826" s="1547"/>
      <c r="S826" s="1547"/>
      <c r="T826" s="1547"/>
      <c r="U826" s="1547">
        <v>16</v>
      </c>
      <c r="V826" s="1547"/>
      <c r="W826" s="1547"/>
      <c r="X826" s="1547"/>
      <c r="Y826" s="1547">
        <v>20</v>
      </c>
      <c r="Z826" s="1547"/>
      <c r="AA826" s="1547"/>
      <c r="AB826" s="1547"/>
      <c r="AC826" s="1437"/>
      <c r="AD826" s="1438"/>
      <c r="AE826" s="1438"/>
      <c r="AF826" s="1439"/>
      <c r="AG826" s="1437"/>
      <c r="AH826" s="1438"/>
      <c r="AI826" s="1438"/>
      <c r="AJ826" s="1439"/>
      <c r="AK826"/>
      <c r="AL826" s="2"/>
      <c r="AM826" s="2"/>
      <c r="AN826" s="2"/>
      <c r="AO826" s="2"/>
      <c r="AP826" s="2"/>
      <c r="AQ826" s="2"/>
      <c r="AR826" s="2"/>
      <c r="AS826" s="2"/>
      <c r="AT826" s="2"/>
      <c r="AU826"/>
      <c r="AV826" s="2"/>
      <c r="AW826" s="2"/>
      <c r="AX826" s="2"/>
      <c r="AY826" s="2"/>
      <c r="AZ826" s="23"/>
      <c r="BA826" s="23"/>
    </row>
    <row r="827" spans="1:55" s="11" customFormat="1" ht="12.9" customHeight="1">
      <c r="A827"/>
      <c r="B827"/>
      <c r="C827" s="1476" t="s">
        <v>1536</v>
      </c>
      <c r="D827" s="1464"/>
      <c r="E827" s="1464"/>
      <c r="F827" s="1464"/>
      <c r="G827" s="1464"/>
      <c r="H827" s="1464"/>
      <c r="I827" s="1170"/>
      <c r="J827" s="1170"/>
      <c r="K827" s="1170"/>
      <c r="L827" s="1178"/>
      <c r="M827" s="1547"/>
      <c r="N827" s="1547"/>
      <c r="O827" s="1547"/>
      <c r="P827" s="1547"/>
      <c r="Q827" s="1547"/>
      <c r="R827" s="1547"/>
      <c r="S827" s="1547"/>
      <c r="T827" s="1547"/>
      <c r="U827" s="1547"/>
      <c r="V827" s="1547"/>
      <c r="W827" s="1547"/>
      <c r="X827" s="1547"/>
      <c r="Y827" s="1547"/>
      <c r="Z827" s="1547"/>
      <c r="AA827" s="1547"/>
      <c r="AB827" s="1547"/>
      <c r="AC827" s="1437"/>
      <c r="AD827" s="1438"/>
      <c r="AE827" s="1438"/>
      <c r="AF827" s="1439"/>
      <c r="AG827" s="1437"/>
      <c r="AH827" s="1438"/>
      <c r="AI827" s="1438"/>
      <c r="AJ827" s="1439"/>
      <c r="AK827"/>
      <c r="AL827" s="2"/>
      <c r="AM827" s="2"/>
      <c r="AN827" s="2"/>
      <c r="AO827" s="2"/>
      <c r="AP827" s="2"/>
      <c r="AQ827" s="2"/>
      <c r="AR827" s="2"/>
      <c r="AS827" s="2"/>
      <c r="AT827" s="2"/>
      <c r="AU827"/>
      <c r="AV827" s="2"/>
      <c r="AW827" s="2"/>
      <c r="AX827" s="2"/>
      <c r="AY827" s="2"/>
      <c r="AZ827" s="23"/>
      <c r="BA827" s="23"/>
    </row>
    <row r="828" spans="1:55" s="11" customFormat="1" ht="12.9" customHeight="1">
      <c r="A828"/>
      <c r="B828"/>
      <c r="C828" s="1476" t="s">
        <v>1537</v>
      </c>
      <c r="D828" s="1464"/>
      <c r="E828" s="1464"/>
      <c r="F828" s="1464"/>
      <c r="G828" s="1464"/>
      <c r="H828" s="1464"/>
      <c r="I828" s="1170"/>
      <c r="J828" s="1170"/>
      <c r="K828" s="1170"/>
      <c r="L828" s="1178"/>
      <c r="M828" s="1547"/>
      <c r="N828" s="1547"/>
      <c r="O828" s="1547"/>
      <c r="P828" s="1547"/>
      <c r="Q828" s="1547"/>
      <c r="R828" s="1547"/>
      <c r="S828" s="1547"/>
      <c r="T828" s="1547"/>
      <c r="U828" s="1547"/>
      <c r="V828" s="1547"/>
      <c r="W828" s="1547"/>
      <c r="X828" s="1547"/>
      <c r="Y828" s="1547"/>
      <c r="Z828" s="1547"/>
      <c r="AA828" s="1547"/>
      <c r="AB828" s="1547"/>
      <c r="AC828" s="1437"/>
      <c r="AD828" s="1438"/>
      <c r="AE828" s="1438"/>
      <c r="AF828" s="1439"/>
      <c r="AG828" s="1437"/>
      <c r="AH828" s="1438"/>
      <c r="AI828" s="1438"/>
      <c r="AJ828" s="1439"/>
      <c r="AK828"/>
      <c r="AL828" s="2"/>
      <c r="AM828" s="2"/>
      <c r="AN828" s="2"/>
      <c r="AO828" s="2"/>
      <c r="AP828" s="2"/>
      <c r="AQ828" s="2"/>
      <c r="AR828" s="2"/>
      <c r="AS828" s="2"/>
      <c r="AT828" s="2"/>
      <c r="AU828"/>
      <c r="AV828" s="2"/>
      <c r="AW828" s="2"/>
      <c r="AX828" s="2"/>
      <c r="AY828" s="2"/>
      <c r="AZ828" s="23"/>
      <c r="BA828" s="23"/>
    </row>
    <row r="829" spans="1:55" s="11" customFormat="1" ht="12.9" customHeight="1">
      <c r="A829"/>
      <c r="B829"/>
      <c r="C829" s="1476" t="s">
        <v>1538</v>
      </c>
      <c r="D829" s="1464"/>
      <c r="E829" s="1464"/>
      <c r="F829" s="1464"/>
      <c r="G829" s="1464"/>
      <c r="H829" s="1464"/>
      <c r="I829" s="1170"/>
      <c r="J829" s="1170"/>
      <c r="K829" s="1170"/>
      <c r="L829" s="1178"/>
      <c r="M829" s="1547"/>
      <c r="N829" s="1547"/>
      <c r="O829" s="1547"/>
      <c r="P829" s="1547"/>
      <c r="Q829" s="1547">
        <v>41</v>
      </c>
      <c r="R829" s="1547"/>
      <c r="S829" s="1547"/>
      <c r="T829" s="1547"/>
      <c r="U829" s="1547">
        <v>50</v>
      </c>
      <c r="V829" s="1547"/>
      <c r="W829" s="1547"/>
      <c r="X829" s="1547"/>
      <c r="Y829" s="1547">
        <v>60</v>
      </c>
      <c r="Z829" s="1547"/>
      <c r="AA829" s="1547"/>
      <c r="AB829" s="1547"/>
      <c r="AC829" s="1437"/>
      <c r="AD829" s="1438"/>
      <c r="AE829" s="1438"/>
      <c r="AF829" s="1439"/>
      <c r="AG829" s="1437"/>
      <c r="AH829" s="1438"/>
      <c r="AI829" s="1438"/>
      <c r="AJ829" s="1439"/>
      <c r="AK829"/>
      <c r="AL829" s="2"/>
      <c r="AM829" s="2"/>
      <c r="AN829" s="2"/>
      <c r="AO829" s="2"/>
      <c r="AP829" s="2"/>
      <c r="AQ829" s="2"/>
      <c r="AR829" s="2"/>
      <c r="AS829" s="2"/>
      <c r="AT829" s="2"/>
      <c r="AU829"/>
      <c r="AV829" s="2"/>
      <c r="AW829" s="2"/>
      <c r="AX829" s="2"/>
      <c r="AY829" s="2"/>
      <c r="AZ829" s="23"/>
      <c r="BA829" s="23"/>
    </row>
    <row r="830" spans="1:55" s="11" customFormat="1" ht="12.9" customHeight="1">
      <c r="A830"/>
      <c r="B830"/>
      <c r="C830" s="1360" t="s">
        <v>1539</v>
      </c>
      <c r="D830" s="1464"/>
      <c r="E830" s="1464"/>
      <c r="F830" s="1464"/>
      <c r="G830" s="1464"/>
      <c r="H830" s="1464"/>
      <c r="I830" s="1170"/>
      <c r="J830" s="1170"/>
      <c r="K830" s="1170"/>
      <c r="L830" s="1178"/>
      <c r="M830" s="1547"/>
      <c r="N830" s="1547"/>
      <c r="O830" s="1547"/>
      <c r="P830" s="1547"/>
      <c r="Q830" s="1547"/>
      <c r="R830" s="1547"/>
      <c r="S830" s="1547"/>
      <c r="T830" s="1547"/>
      <c r="U830" s="1547"/>
      <c r="V830" s="1547"/>
      <c r="W830" s="1547"/>
      <c r="X830" s="1547"/>
      <c r="Y830" s="1547"/>
      <c r="Z830" s="1547"/>
      <c r="AA830" s="1547"/>
      <c r="AB830" s="1547"/>
      <c r="AC830" s="1437"/>
      <c r="AD830" s="1438"/>
      <c r="AE830" s="1438"/>
      <c r="AF830" s="1439"/>
      <c r="AG830" s="1437"/>
      <c r="AH830" s="1438"/>
      <c r="AI830" s="1438"/>
      <c r="AJ830" s="1439"/>
      <c r="AK830"/>
      <c r="AL830" s="2"/>
      <c r="AM830" s="2"/>
      <c r="AN830" s="2"/>
      <c r="AO830" s="2"/>
      <c r="AP830" s="2"/>
      <c r="AQ830" s="2"/>
      <c r="AR830" s="2"/>
      <c r="AS830" s="2"/>
      <c r="AT830" s="2"/>
      <c r="AU830"/>
      <c r="AV830" s="2"/>
      <c r="AW830" s="2"/>
      <c r="AX830" s="2"/>
      <c r="AY830" s="2"/>
      <c r="AZ830" s="23"/>
      <c r="BA830" s="23"/>
    </row>
    <row r="831" spans="1:55" s="11" customFormat="1" ht="12.9" customHeight="1">
      <c r="A831"/>
      <c r="B831"/>
      <c r="C831" s="1169" t="s">
        <v>1540</v>
      </c>
      <c r="D831" s="1170"/>
      <c r="E831" s="1170"/>
      <c r="F831" s="1588" t="s">
        <v>1541</v>
      </c>
      <c r="G831" s="1589"/>
      <c r="H831" s="1589"/>
      <c r="I831" s="1589"/>
      <c r="J831" s="1589"/>
      <c r="K831" s="1589"/>
      <c r="L831" s="1589"/>
      <c r="M831" s="1547"/>
      <c r="N831" s="1547"/>
      <c r="O831" s="1547"/>
      <c r="P831" s="1547"/>
      <c r="Q831" s="1547">
        <v>18</v>
      </c>
      <c r="R831" s="1547"/>
      <c r="S831" s="1547"/>
      <c r="T831" s="1547"/>
      <c r="U831" s="1547">
        <v>24</v>
      </c>
      <c r="V831" s="1547"/>
      <c r="W831" s="1547"/>
      <c r="X831" s="1547"/>
      <c r="Y831" s="1547">
        <v>31</v>
      </c>
      <c r="Z831" s="1547"/>
      <c r="AA831" s="1547"/>
      <c r="AB831" s="1547"/>
      <c r="AC831" s="1437"/>
      <c r="AD831" s="1438"/>
      <c r="AE831" s="1438"/>
      <c r="AF831" s="1439"/>
      <c r="AG831" s="1437"/>
      <c r="AH831" s="1438"/>
      <c r="AI831" s="1438"/>
      <c r="AJ831" s="1439"/>
      <c r="AK831"/>
      <c r="AL831" s="2"/>
      <c r="AM831" s="2"/>
      <c r="AN831" s="2"/>
      <c r="AO831" s="2"/>
      <c r="AP831" s="2"/>
      <c r="AQ831" s="2"/>
      <c r="AR831" s="2"/>
      <c r="AS831" s="2"/>
      <c r="AT831" s="2"/>
      <c r="AU831"/>
      <c r="AV831" s="2"/>
      <c r="AW831" s="2"/>
      <c r="AX831" s="2"/>
      <c r="AY831" s="2"/>
      <c r="AZ831" s="23"/>
      <c r="BA831" s="23"/>
    </row>
    <row r="832" spans="1:55" s="11" customFormat="1" ht="12.9" customHeight="1">
      <c r="A832"/>
      <c r="B832"/>
      <c r="C832" s="1384" t="s">
        <v>1486</v>
      </c>
      <c r="D832" s="1385"/>
      <c r="E832" s="1385"/>
      <c r="F832" s="1385"/>
      <c r="G832" s="1385"/>
      <c r="H832" s="1385"/>
      <c r="I832" s="1385"/>
      <c r="J832" s="1385"/>
      <c r="K832" s="1385"/>
      <c r="L832" s="1387"/>
      <c r="M832" s="1595">
        <f>SUM(M825:P831)</f>
        <v>0</v>
      </c>
      <c r="N832" s="1595"/>
      <c r="O832" s="1595"/>
      <c r="P832" s="1595"/>
      <c r="Q832" s="1595">
        <f>SUM(Q825:T831)</f>
        <v>97</v>
      </c>
      <c r="R832" s="1595"/>
      <c r="S832" s="1595"/>
      <c r="T832" s="1595"/>
      <c r="U832" s="1595">
        <f>SUM(U825:X831)</f>
        <v>122</v>
      </c>
      <c r="V832" s="1595"/>
      <c r="W832" s="1595"/>
      <c r="X832" s="1595"/>
      <c r="Y832" s="1595">
        <f>SUM(Y825:AB831)</f>
        <v>150</v>
      </c>
      <c r="Z832" s="1595"/>
      <c r="AA832" s="1595"/>
      <c r="AB832" s="1595"/>
      <c r="AC832" s="1595">
        <f>SUM(AC825:AF831)</f>
        <v>0</v>
      </c>
      <c r="AD832" s="1595"/>
      <c r="AE832" s="1595"/>
      <c r="AF832" s="1595"/>
      <c r="AG832" s="1595">
        <f>SUM(AG825:AJ831)</f>
        <v>0</v>
      </c>
      <c r="AH832" s="1595"/>
      <c r="AI832" s="1595"/>
      <c r="AJ832" s="1595"/>
      <c r="AK832"/>
      <c r="AL832" s="2"/>
      <c r="AM832" s="2"/>
      <c r="AN832" s="2"/>
      <c r="AO832" s="2"/>
      <c r="AP832" s="2"/>
      <c r="AQ832" s="2"/>
      <c r="AR832" s="2"/>
      <c r="AS832" s="2"/>
      <c r="AT832" s="2"/>
      <c r="AU832"/>
      <c r="AV832" s="2"/>
      <c r="AW832" s="2"/>
      <c r="AX832" s="2"/>
      <c r="AY832" s="2"/>
      <c r="AZ832" s="23"/>
      <c r="BA832" s="23"/>
    </row>
    <row r="833" spans="1:64" s="11" customFormat="1" ht="12.9" customHeight="1">
      <c r="A833"/>
      <c r="B833"/>
      <c r="C833" s="38" t="s">
        <v>1542</v>
      </c>
      <c r="D833" s="37"/>
      <c r="E833" s="37"/>
      <c r="F833" s="37"/>
      <c r="G833" s="37"/>
      <c r="H833" s="37"/>
      <c r="I833" s="37"/>
      <c r="J833" s="37"/>
      <c r="K833" s="37"/>
      <c r="L833" s="37"/>
      <c r="M833" s="95"/>
      <c r="N833" s="95"/>
      <c r="O833" s="95"/>
      <c r="P833" s="95"/>
      <c r="Q833" s="95"/>
      <c r="R833" s="95"/>
      <c r="S833" s="95"/>
      <c r="T833" s="95"/>
      <c r="U833" s="95"/>
      <c r="V833" s="95"/>
      <c r="W833" s="95"/>
      <c r="X833" s="95"/>
      <c r="Y833" s="95"/>
      <c r="Z833" s="95"/>
      <c r="AA833" s="95"/>
      <c r="AB833" s="95"/>
      <c r="AC833" s="95"/>
      <c r="AD833" s="95"/>
      <c r="AE833" s="95"/>
      <c r="AF833" s="95"/>
      <c r="AG833" s="95"/>
      <c r="AH833" s="95"/>
      <c r="AI833" s="95"/>
      <c r="AJ833" s="95"/>
      <c r="AK833"/>
      <c r="AL833" s="2"/>
      <c r="AM833" s="2"/>
      <c r="AN833" s="2"/>
      <c r="AO833" s="2"/>
      <c r="AP833" s="2"/>
      <c r="AQ833" s="2"/>
      <c r="AR833" s="2"/>
      <c r="AS833" s="2"/>
      <c r="AT833" s="2"/>
      <c r="AU833"/>
      <c r="AV833" s="2"/>
      <c r="AW833" s="2"/>
      <c r="AX833" s="2"/>
      <c r="AY833" s="2"/>
      <c r="AZ833" s="23"/>
      <c r="BA833" s="23"/>
    </row>
    <row r="834" spans="1:64" s="11" customFormat="1" ht="12.9" customHeight="1">
      <c r="A834"/>
      <c r="B834"/>
      <c r="C834" s="38" t="s">
        <v>1543</v>
      </c>
      <c r="D834" s="37"/>
      <c r="E834" s="37"/>
      <c r="F834" s="37"/>
      <c r="G834" s="37"/>
      <c r="H834" s="37"/>
      <c r="I834" s="37"/>
      <c r="J834" s="37"/>
      <c r="K834" s="37"/>
      <c r="L834" s="37"/>
      <c r="M834" s="95"/>
      <c r="N834" s="95"/>
      <c r="O834" s="95"/>
      <c r="P834" s="95"/>
      <c r="Q834" s="95"/>
      <c r="R834" s="95"/>
      <c r="S834" s="95"/>
      <c r="T834" s="95"/>
      <c r="U834" s="95"/>
      <c r="V834" s="95"/>
      <c r="W834" s="95"/>
      <c r="X834" s="95"/>
      <c r="Y834" s="95"/>
      <c r="Z834" s="95"/>
      <c r="AA834" s="95"/>
      <c r="AB834" s="95"/>
      <c r="AC834" s="95"/>
      <c r="AD834" s="95"/>
      <c r="AE834" s="95"/>
      <c r="AF834" s="95"/>
      <c r="AG834" s="95"/>
      <c r="AH834" s="95"/>
      <c r="AI834" s="95"/>
      <c r="AJ834" s="95"/>
      <c r="AK834"/>
      <c r="AL834" s="2"/>
      <c r="AM834" s="2"/>
      <c r="AN834" s="2"/>
      <c r="AO834" s="2"/>
      <c r="AP834" s="2"/>
      <c r="AQ834" s="2"/>
      <c r="AR834" s="2"/>
      <c r="AS834" s="2"/>
      <c r="AT834" s="2"/>
      <c r="AU834"/>
      <c r="AV834"/>
      <c r="AW834"/>
      <c r="AX834"/>
      <c r="AY834"/>
      <c r="AZ834" s="23"/>
      <c r="BA834" s="23"/>
    </row>
    <row r="835" spans="1:64" s="11" customFormat="1" ht="12.9" customHeight="1">
      <c r="A835"/>
      <c r="B835"/>
      <c r="C835" s="37"/>
      <c r="D835" s="37"/>
      <c r="E835" s="37"/>
      <c r="F835" s="37"/>
      <c r="G835" s="37"/>
      <c r="H835" s="37"/>
      <c r="I835" s="37"/>
      <c r="J835" s="37"/>
      <c r="K835" s="37"/>
      <c r="L835" s="37"/>
      <c r="M835" s="95"/>
      <c r="N835" s="95"/>
      <c r="O835" s="95"/>
      <c r="P835" s="95"/>
      <c r="Q835" s="95"/>
      <c r="R835" s="95"/>
      <c r="S835" s="95"/>
      <c r="T835" s="95"/>
      <c r="U835" s="95"/>
      <c r="V835" s="95"/>
      <c r="W835" s="95"/>
      <c r="X835" s="95"/>
      <c r="Y835" s="95"/>
      <c r="Z835" s="95"/>
      <c r="AA835" s="95"/>
      <c r="AB835" s="95"/>
      <c r="AC835" s="95"/>
      <c r="AD835" s="95"/>
      <c r="AE835" s="95"/>
      <c r="AF835" s="95"/>
      <c r="AG835" s="95"/>
      <c r="AH835" s="95"/>
      <c r="AI835" s="95"/>
      <c r="AJ835" s="95"/>
      <c r="AK835"/>
      <c r="AL835" s="2"/>
      <c r="AM835" s="2"/>
      <c r="AN835" s="2"/>
      <c r="AO835" s="2"/>
      <c r="AP835" s="2"/>
      <c r="AQ835" s="2"/>
      <c r="AR835" s="2"/>
      <c r="AS835" s="2"/>
      <c r="AT835" s="2"/>
      <c r="AU835"/>
      <c r="AV835"/>
      <c r="AW835"/>
      <c r="AX835"/>
      <c r="AY835"/>
      <c r="AZ835" s="23"/>
      <c r="BA835" s="23"/>
    </row>
    <row r="836" spans="1:64" s="11" customFormat="1" ht="12.9" customHeight="1">
      <c r="A836"/>
      <c r="B836"/>
      <c r="C836" s="1" t="s">
        <v>1544</v>
      </c>
      <c r="D836"/>
      <c r="E836"/>
      <c r="F836"/>
      <c r="G836"/>
      <c r="H836"/>
      <c r="I836"/>
      <c r="J836"/>
      <c r="K836"/>
      <c r="L836"/>
      <c r="M836"/>
      <c r="N836"/>
      <c r="O836"/>
      <c r="P836"/>
      <c r="Q836"/>
      <c r="R836" s="6"/>
      <c r="S836" s="6"/>
      <c r="T836" s="6"/>
      <c r="U836" s="6"/>
      <c r="V836" s="6"/>
      <c r="W836" s="6"/>
      <c r="X836" s="6"/>
      <c r="Y836" s="6"/>
      <c r="Z836" s="6"/>
      <c r="AA836" s="6"/>
      <c r="AB836" s="6"/>
      <c r="AC836" s="6"/>
      <c r="AD836" s="6"/>
      <c r="AE836" s="6"/>
      <c r="AF836" s="6"/>
      <c r="AG836" s="6"/>
      <c r="AH836" s="6"/>
      <c r="AI836" s="6"/>
      <c r="AJ836" s="6"/>
      <c r="AK836"/>
      <c r="AL836" s="2"/>
      <c r="AM836" s="2"/>
      <c r="AN836" s="2"/>
      <c r="AO836" s="2"/>
      <c r="AP836" s="2"/>
      <c r="AQ836" s="2"/>
      <c r="AR836" s="2"/>
      <c r="AS836" s="2"/>
      <c r="AT836" s="2"/>
      <c r="AU836"/>
      <c r="AV836"/>
      <c r="AW836"/>
      <c r="AX836"/>
      <c r="AY836"/>
      <c r="AZ836" s="23"/>
      <c r="BA836" s="23"/>
    </row>
    <row r="837" spans="1:64" s="11" customFormat="1" ht="12.9" customHeight="1">
      <c r="A837"/>
      <c r="B837"/>
      <c r="C837" s="1601" t="s">
        <v>1545</v>
      </c>
      <c r="D837" s="1602"/>
      <c r="E837" s="1602"/>
      <c r="F837" s="1602"/>
      <c r="G837" s="1602"/>
      <c r="H837" s="1602"/>
      <c r="I837" s="1602"/>
      <c r="J837" s="1602"/>
      <c r="K837" s="1602"/>
      <c r="L837" s="1602"/>
      <c r="M837" s="1602"/>
      <c r="N837" s="1602"/>
      <c r="O837" s="1602"/>
      <c r="P837" s="1602"/>
      <c r="Q837" s="1602"/>
      <c r="R837" s="1602"/>
      <c r="S837" s="1602"/>
      <c r="T837" s="1602"/>
      <c r="U837" s="1602"/>
      <c r="V837" s="1602"/>
      <c r="W837" s="1602"/>
      <c r="X837" s="1602"/>
      <c r="Y837" s="1602"/>
      <c r="Z837" s="1602"/>
      <c r="AA837" s="1602"/>
      <c r="AB837" s="1602"/>
      <c r="AC837" s="1602"/>
      <c r="AD837" s="1602"/>
      <c r="AE837" s="1602"/>
      <c r="AF837" s="1602"/>
      <c r="AG837" s="1602"/>
      <c r="AH837" s="1602"/>
      <c r="AI837" s="1602"/>
      <c r="AJ837" s="1603"/>
      <c r="AK837"/>
      <c r="AL837" s="2"/>
      <c r="AM837" s="2"/>
      <c r="AN837" s="2"/>
      <c r="AO837" s="2"/>
      <c r="AP837" s="2"/>
      <c r="AQ837" s="2"/>
      <c r="AR837" s="2"/>
      <c r="AS837" s="2"/>
      <c r="AT837" s="2"/>
      <c r="AU837"/>
      <c r="AV837"/>
      <c r="AW837"/>
      <c r="AX837"/>
      <c r="AY837"/>
      <c r="AZ837" s="23"/>
      <c r="BA837" s="23"/>
    </row>
    <row r="838" spans="1:64" s="11" customFormat="1" ht="12.9" customHeight="1">
      <c r="A838"/>
      <c r="B838" s="2"/>
      <c r="C838" s="2" t="s">
        <v>1546</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row>
    <row r="839" spans="1:64" s="11" customFormat="1" ht="12.9"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1" customFormat="1" ht="12.9" customHeight="1">
      <c r="A840" s="1" t="s">
        <v>1108</v>
      </c>
      <c r="B840"/>
      <c r="C840" s="1" t="s">
        <v>1547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1"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8"/>
      <c r="BJ841" s="1608"/>
      <c r="BK841" s="1608"/>
      <c r="BL841" s="1608"/>
    </row>
    <row r="842" spans="1:64" s="11" customFormat="1" ht="12.9" customHeight="1">
      <c r="A842"/>
      <c r="B842"/>
      <c r="C842" s="1" t="s">
        <v>1548</v>
      </c>
      <c r="D842"/>
      <c r="E842"/>
      <c r="F842"/>
      <c r="G842"/>
      <c r="H842"/>
      <c r="I842"/>
      <c r="J842" s="965" t="s">
        <v>1549</v>
      </c>
      <c r="K842" s="4"/>
      <c r="L842" s="4"/>
      <c r="M842" s="4"/>
      <c r="N842" s="4"/>
      <c r="O842" s="4"/>
      <c r="P842" s="4"/>
      <c r="Q842" s="4"/>
      <c r="R842" s="4"/>
      <c r="S842" s="4"/>
      <c r="T842" s="4"/>
      <c r="U842" s="4"/>
      <c r="V842" s="966"/>
      <c r="W842" s="1584">
        <v>0</v>
      </c>
      <c r="X842" s="1584"/>
      <c r="Y842" s="1584"/>
      <c r="Z842" s="1584"/>
      <c r="AA842" s="1584"/>
      <c r="AB842" s="1584"/>
      <c r="AC842" s="1584"/>
      <c r="AD842"/>
      <c r="AE842"/>
      <c r="AF842"/>
      <c r="AG842"/>
      <c r="AH842"/>
      <c r="AI842"/>
      <c r="AJ842"/>
      <c r="AK842"/>
      <c r="AL842"/>
      <c r="AM842"/>
      <c r="AN842"/>
      <c r="AO842"/>
      <c r="AP842"/>
      <c r="AQ842"/>
      <c r="AR842"/>
      <c r="AS842"/>
      <c r="AT842"/>
      <c r="AU842"/>
      <c r="AV842"/>
      <c r="AW842"/>
      <c r="AX842"/>
      <c r="AY842"/>
      <c r="AZ842" s="23"/>
      <c r="BA842" s="23"/>
    </row>
    <row r="843" spans="1:64" s="11" customFormat="1" ht="12.9" customHeight="1">
      <c r="A843"/>
      <c r="B843"/>
      <c r="C843"/>
      <c r="D843"/>
      <c r="E843"/>
      <c r="F843"/>
      <c r="G843"/>
      <c r="H843"/>
      <c r="I843"/>
      <c r="J843" s="965" t="s">
        <v>1550</v>
      </c>
      <c r="K843" s="4"/>
      <c r="L843" s="4"/>
      <c r="M843" s="4"/>
      <c r="N843" s="4"/>
      <c r="O843" s="4"/>
      <c r="P843" s="4"/>
      <c r="Q843" s="4"/>
      <c r="R843" s="4"/>
      <c r="S843" s="4"/>
      <c r="T843" s="4"/>
      <c r="U843" s="4"/>
      <c r="V843" s="966"/>
      <c r="W843" s="1584">
        <v>806</v>
      </c>
      <c r="X843" s="1584">
        <v>793.6</v>
      </c>
      <c r="Y843" s="1584">
        <v>793.6</v>
      </c>
      <c r="Z843" s="1584">
        <v>793.6</v>
      </c>
      <c r="AA843" s="1584">
        <v>793.6</v>
      </c>
      <c r="AB843" s="1584">
        <v>793.6</v>
      </c>
      <c r="AC843" s="1584">
        <v>793.6</v>
      </c>
      <c r="AD843"/>
      <c r="AE843"/>
      <c r="AF843"/>
      <c r="AG843"/>
      <c r="AH843"/>
      <c r="AI843"/>
      <c r="AJ843"/>
      <c r="AK843"/>
      <c r="AL843"/>
      <c r="AM843"/>
      <c r="AN843"/>
      <c r="AO843"/>
      <c r="AP843"/>
      <c r="AQ843"/>
      <c r="AR843"/>
      <c r="AS843"/>
      <c r="AT843"/>
      <c r="AU843"/>
      <c r="AV843"/>
      <c r="AW843"/>
      <c r="AX843"/>
      <c r="AY843"/>
      <c r="AZ843" s="23"/>
      <c r="BA843" s="23"/>
    </row>
    <row r="844" spans="1:64" ht="12.9" customHeight="1">
      <c r="J844" s="965" t="s">
        <v>1551</v>
      </c>
      <c r="K844" s="4"/>
      <c r="L844" s="4"/>
      <c r="M844" s="4"/>
      <c r="N844" s="4"/>
      <c r="O844" s="4"/>
      <c r="P844" s="4"/>
      <c r="Q844" s="4"/>
      <c r="R844" s="4"/>
      <c r="S844" s="4"/>
      <c r="T844" s="4"/>
      <c r="U844" s="4"/>
      <c r="V844" s="966"/>
      <c r="W844" s="1584">
        <v>21531</v>
      </c>
      <c r="X844" s="1584">
        <v>21189.119999999999</v>
      </c>
      <c r="Y844" s="1584">
        <v>21189.119999999999</v>
      </c>
      <c r="Z844" s="1584">
        <v>21189.119999999999</v>
      </c>
      <c r="AA844" s="1584">
        <v>21189.119999999999</v>
      </c>
      <c r="AB844" s="1584">
        <v>21189.119999999999</v>
      </c>
      <c r="AC844" s="1584">
        <v>21189.119999999999</v>
      </c>
      <c r="AZ844" s="23"/>
      <c r="BA844" s="23"/>
      <c r="BB844" s="11"/>
      <c r="BC844" s="11"/>
      <c r="BD844" s="11"/>
      <c r="BE844" s="11"/>
      <c r="BF844" s="11"/>
      <c r="BG844" s="11"/>
      <c r="BH844" s="11"/>
      <c r="BI844" s="11"/>
      <c r="BJ844" s="11"/>
      <c r="BK844" s="11"/>
      <c r="BL844" s="11"/>
    </row>
    <row r="845" spans="1:64" ht="12.9" customHeight="1">
      <c r="J845" s="965" t="s">
        <v>1552</v>
      </c>
      <c r="K845" s="4"/>
      <c r="L845" s="4"/>
      <c r="M845" s="4"/>
      <c r="N845" s="4"/>
      <c r="O845" s="4"/>
      <c r="P845" s="4"/>
      <c r="Q845" s="4"/>
      <c r="R845" s="4"/>
      <c r="S845" s="4"/>
      <c r="T845" s="4"/>
      <c r="U845" s="4"/>
      <c r="V845" s="966"/>
      <c r="W845" s="1584">
        <v>11290</v>
      </c>
      <c r="X845" s="1584">
        <v>4000</v>
      </c>
      <c r="Y845" s="1584">
        <v>4000</v>
      </c>
      <c r="Z845" s="1584">
        <v>4000</v>
      </c>
      <c r="AA845" s="1584">
        <v>4000</v>
      </c>
      <c r="AB845" s="1584">
        <v>4000</v>
      </c>
      <c r="AC845" s="1584">
        <v>4000</v>
      </c>
      <c r="AZ845" s="23"/>
      <c r="BA845" s="23"/>
      <c r="BB845" s="11"/>
      <c r="BC845" s="11"/>
      <c r="BD845" s="11"/>
      <c r="BE845" s="11"/>
      <c r="BF845" s="11"/>
      <c r="BG845" s="11"/>
      <c r="BH845" s="11"/>
      <c r="BI845" s="11"/>
      <c r="BJ845" s="11"/>
      <c r="BK845" s="11"/>
      <c r="BL845" s="11"/>
    </row>
    <row r="846" spans="1:64" ht="12.9" customHeight="1">
      <c r="J846" s="965" t="s">
        <v>233</v>
      </c>
      <c r="K846" s="4"/>
      <c r="L846" s="4"/>
      <c r="M846" s="1588" t="s">
        <v>1553</v>
      </c>
      <c r="N846" s="1589"/>
      <c r="O846" s="1589"/>
      <c r="P846" s="1589"/>
      <c r="Q846" s="1589"/>
      <c r="R846" s="1589"/>
      <c r="S846" s="1589"/>
      <c r="T846" s="1589"/>
      <c r="U846" s="1589"/>
      <c r="V846" s="1590"/>
      <c r="W846" s="1584">
        <v>192326</v>
      </c>
      <c r="X846" s="1584">
        <v>174877.44</v>
      </c>
      <c r="Y846" s="1584">
        <v>174877.44</v>
      </c>
      <c r="Z846" s="1584">
        <v>174877.44</v>
      </c>
      <c r="AA846" s="1584">
        <v>174877.44</v>
      </c>
      <c r="AB846" s="1584">
        <v>174877.44</v>
      </c>
      <c r="AC846" s="1584">
        <v>174877.44</v>
      </c>
      <c r="AZ846" s="23"/>
      <c r="BA846" s="23"/>
      <c r="BB846" s="11"/>
      <c r="BC846" s="11"/>
      <c r="BD846" s="11"/>
      <c r="BE846" s="11"/>
      <c r="BF846" s="11"/>
      <c r="BG846" s="11"/>
      <c r="BH846" s="11"/>
      <c r="BI846" s="11"/>
      <c r="BJ846" s="11"/>
      <c r="BK846" s="11"/>
      <c r="BL846" s="11"/>
    </row>
    <row r="847" spans="1:64" ht="12.9" customHeight="1">
      <c r="J847" s="965"/>
      <c r="K847" s="4"/>
      <c r="L847" s="4"/>
      <c r="M847" s="4"/>
      <c r="N847" s="4"/>
      <c r="O847" s="4"/>
      <c r="P847" s="4"/>
      <c r="Q847" s="4"/>
      <c r="R847" s="4"/>
      <c r="S847" s="4"/>
      <c r="T847" s="4"/>
      <c r="U847" s="4"/>
      <c r="V847" s="1160" t="s">
        <v>1554</v>
      </c>
      <c r="W847" s="1422">
        <f>SUM(W842:W846)</f>
        <v>225953</v>
      </c>
      <c r="X847" s="1423"/>
      <c r="Y847" s="1423"/>
      <c r="Z847" s="1423"/>
      <c r="AA847" s="1423"/>
      <c r="AB847" s="1423"/>
      <c r="AC847" s="1424"/>
      <c r="AZ847" s="23"/>
      <c r="BA847" s="23"/>
      <c r="BB847" s="11"/>
      <c r="BC847" s="11"/>
      <c r="BD847" s="11"/>
      <c r="BE847" s="11"/>
      <c r="BF847" s="11"/>
      <c r="BG847" s="11"/>
      <c r="BH847" s="11"/>
      <c r="BI847" s="11"/>
      <c r="BJ847" s="11"/>
      <c r="BK847" s="11"/>
      <c r="BL847" s="11"/>
    </row>
    <row r="848" spans="1:64" ht="12.9" customHeight="1">
      <c r="AZ848" s="23"/>
      <c r="BA848" s="23"/>
      <c r="BB848" s="11"/>
      <c r="BC848" s="11"/>
      <c r="BD848" s="11"/>
      <c r="BE848" s="11"/>
      <c r="BF848" s="11"/>
      <c r="BG848" s="1580"/>
      <c r="BH848" s="1580"/>
      <c r="BI848" s="1580"/>
      <c r="BJ848" s="1580"/>
      <c r="BK848" s="1580"/>
      <c r="BL848" s="1580"/>
    </row>
    <row r="849" spans="3:55" ht="12.9" customHeight="1">
      <c r="C849" s="1" t="s">
        <v>1555</v>
      </c>
      <c r="J849" s="1384" t="s">
        <v>1556</v>
      </c>
      <c r="K849" s="1385"/>
      <c r="L849" s="1385"/>
      <c r="M849" s="1385"/>
      <c r="N849" s="1385"/>
      <c r="O849" s="1385"/>
      <c r="P849" s="1385"/>
      <c r="Q849" s="1385"/>
      <c r="R849" s="1385"/>
      <c r="S849" s="1385"/>
      <c r="T849" s="1385"/>
      <c r="U849" s="1385"/>
      <c r="V849" s="1387"/>
      <c r="W849" s="1425">
        <v>91607</v>
      </c>
      <c r="X849" s="1301"/>
      <c r="Y849" s="1301"/>
      <c r="Z849" s="1301"/>
      <c r="AA849" s="1301"/>
      <c r="AB849" s="1301"/>
      <c r="AC849" s="1302"/>
      <c r="AD849" s="333"/>
      <c r="AZ849" s="23"/>
      <c r="BA849" s="23"/>
      <c r="BB849" s="11"/>
      <c r="BC849" s="11"/>
    </row>
    <row r="850" spans="3:55" ht="12.9" customHeight="1">
      <c r="AD850" s="333"/>
      <c r="AZ850" s="23"/>
      <c r="BA850" s="23"/>
      <c r="BB850" s="11"/>
      <c r="BC850" s="11"/>
    </row>
    <row r="851" spans="3:55" ht="12.9" customHeight="1">
      <c r="C851" s="1" t="s">
        <v>230</v>
      </c>
      <c r="J851" s="965" t="s">
        <v>1557</v>
      </c>
      <c r="K851" s="4"/>
      <c r="L851" s="4"/>
      <c r="M851" s="4"/>
      <c r="N851" s="4"/>
      <c r="O851" s="4"/>
      <c r="P851" s="4"/>
      <c r="Q851" s="4"/>
      <c r="R851" s="4"/>
      <c r="S851" s="4"/>
      <c r="T851" s="4"/>
      <c r="U851" s="4"/>
      <c r="V851" s="966"/>
      <c r="W851" s="1599">
        <v>0</v>
      </c>
      <c r="X851" s="1599">
        <v>0</v>
      </c>
      <c r="Y851" s="1599">
        <v>0</v>
      </c>
      <c r="Z851" s="1599">
        <v>0</v>
      </c>
      <c r="AA851" s="1599">
        <v>0</v>
      </c>
      <c r="AB851" s="1599">
        <v>0</v>
      </c>
      <c r="AC851" s="1599">
        <v>0</v>
      </c>
      <c r="AZ851" s="1567"/>
      <c r="BA851" s="1567"/>
      <c r="BB851" s="11"/>
      <c r="BC851" s="11"/>
    </row>
    <row r="852" spans="3:55" ht="12.9" customHeight="1">
      <c r="J852" s="965" t="s">
        <v>1558</v>
      </c>
      <c r="K852" s="4"/>
      <c r="L852" s="4"/>
      <c r="M852" s="4"/>
      <c r="N852" s="4"/>
      <c r="O852" s="4"/>
      <c r="P852" s="4"/>
      <c r="Q852" s="4"/>
      <c r="R852" s="4"/>
      <c r="S852" s="4"/>
      <c r="T852" s="4"/>
      <c r="U852" s="4"/>
      <c r="V852" s="966"/>
      <c r="W852" s="1599">
        <v>0</v>
      </c>
      <c r="X852" s="1599">
        <v>0</v>
      </c>
      <c r="Y852" s="1599">
        <v>0</v>
      </c>
      <c r="Z852" s="1599">
        <v>0</v>
      </c>
      <c r="AA852" s="1599">
        <v>0</v>
      </c>
      <c r="AB852" s="1599">
        <v>0</v>
      </c>
      <c r="AC852" s="1599">
        <v>0</v>
      </c>
      <c r="AZ852" s="23"/>
      <c r="BA852" s="23"/>
      <c r="BB852" s="11"/>
      <c r="BC852" s="11"/>
    </row>
    <row r="853" spans="3:55" ht="12.9" customHeight="1">
      <c r="J853" s="965" t="s">
        <v>1538</v>
      </c>
      <c r="K853" s="4"/>
      <c r="L853" s="4"/>
      <c r="M853" s="4"/>
      <c r="N853" s="4"/>
      <c r="O853" s="4"/>
      <c r="P853" s="4"/>
      <c r="Q853" s="4"/>
      <c r="R853" s="4"/>
      <c r="S853" s="4"/>
      <c r="T853" s="4"/>
      <c r="U853" s="4"/>
      <c r="V853" s="966"/>
      <c r="W853" s="1599">
        <v>38465</v>
      </c>
      <c r="X853" s="1599">
        <v>37854.720000000001</v>
      </c>
      <c r="Y853" s="1599">
        <v>37854.720000000001</v>
      </c>
      <c r="Z853" s="1599">
        <v>37854.720000000001</v>
      </c>
      <c r="AA853" s="1599">
        <v>37854.720000000001</v>
      </c>
      <c r="AB853" s="1599">
        <v>37854.720000000001</v>
      </c>
      <c r="AC853" s="1599">
        <v>37854.720000000001</v>
      </c>
      <c r="AZ853" s="23"/>
      <c r="BA853" s="23"/>
      <c r="BB853" s="11"/>
      <c r="BC853" s="11"/>
    </row>
    <row r="854" spans="3:55" ht="12.9" customHeight="1">
      <c r="J854" s="1005" t="s">
        <v>1559</v>
      </c>
      <c r="K854" s="4"/>
      <c r="L854" s="4"/>
      <c r="M854" s="4"/>
      <c r="N854" s="4"/>
      <c r="O854" s="4"/>
      <c r="P854" s="4"/>
      <c r="Q854" s="4"/>
      <c r="R854" s="4"/>
      <c r="S854" s="4"/>
      <c r="T854" s="4"/>
      <c r="U854" s="4"/>
      <c r="V854" s="966"/>
      <c r="W854" s="1599">
        <v>71770</v>
      </c>
      <c r="X854" s="1599">
        <v>70630.399999999994</v>
      </c>
      <c r="Y854" s="1599">
        <v>70630.399999999994</v>
      </c>
      <c r="Z854" s="1599">
        <v>70630.399999999994</v>
      </c>
      <c r="AA854" s="1599">
        <v>70630.399999999994</v>
      </c>
      <c r="AB854" s="1599">
        <v>70630.399999999994</v>
      </c>
      <c r="AC854" s="1599">
        <v>70630.399999999994</v>
      </c>
      <c r="AZ854" s="2"/>
      <c r="BA854" s="2"/>
      <c r="BB854" s="2"/>
      <c r="BC854" s="2"/>
    </row>
    <row r="855" spans="3:55" ht="12.9" customHeight="1">
      <c r="J855" s="40"/>
      <c r="K855" s="32"/>
      <c r="L855" s="32"/>
      <c r="M855" s="32"/>
      <c r="N855" s="32"/>
      <c r="O855" s="32"/>
      <c r="P855" s="32"/>
      <c r="Q855" s="32"/>
      <c r="R855" s="32"/>
      <c r="S855" s="32"/>
      <c r="T855" s="32"/>
      <c r="U855" s="32"/>
      <c r="V855" s="1160" t="s">
        <v>1560</v>
      </c>
      <c r="W855" s="1600">
        <f>SUM(W851:W854)</f>
        <v>110235</v>
      </c>
      <c r="X855" s="1600"/>
      <c r="Y855" s="1600"/>
      <c r="Z855" s="1600"/>
      <c r="AA855" s="1600"/>
      <c r="AB855" s="1600"/>
      <c r="AC855" s="1600"/>
      <c r="AZ855" s="2"/>
      <c r="BA855" s="2"/>
      <c r="BB855" s="2"/>
      <c r="BC855" s="2"/>
    </row>
    <row r="856" spans="3:55" ht="12.9" customHeight="1">
      <c r="AZ856" s="2"/>
      <c r="BA856" s="2"/>
      <c r="BB856" s="2"/>
      <c r="BC856" s="2"/>
    </row>
    <row r="857" spans="3:55" ht="12.9" customHeight="1">
      <c r="C857" s="1" t="s">
        <v>1561</v>
      </c>
      <c r="J857" s="965" t="s">
        <v>1562</v>
      </c>
      <c r="K857" s="4"/>
      <c r="L857" s="4"/>
      <c r="M857" s="4"/>
      <c r="N857" s="4"/>
      <c r="O857" s="4"/>
      <c r="P857" s="4"/>
      <c r="Q857" s="4"/>
      <c r="R857" s="4"/>
      <c r="S857" s="4"/>
      <c r="T857" s="4"/>
      <c r="U857" s="4"/>
      <c r="V857" s="966"/>
      <c r="W857" s="1596">
        <v>65682</v>
      </c>
      <c r="X857" s="1597"/>
      <c r="Y857" s="1597"/>
      <c r="Z857" s="1597"/>
      <c r="AA857" s="1597"/>
      <c r="AB857" s="1597"/>
      <c r="AC857" s="1598"/>
      <c r="AD857" s="328"/>
      <c r="AZ857" s="2"/>
      <c r="BA857" s="2"/>
      <c r="BB857" s="2"/>
      <c r="BC857" s="2"/>
    </row>
    <row r="858" spans="3:55" ht="12.9" customHeight="1">
      <c r="C858" s="1" t="s">
        <v>1563</v>
      </c>
      <c r="J858" s="967" t="s">
        <v>1564</v>
      </c>
      <c r="K858" s="4"/>
      <c r="L858" s="4"/>
      <c r="M858" s="4"/>
      <c r="N858" s="4"/>
      <c r="O858" s="4"/>
      <c r="P858" s="4"/>
      <c r="Q858" s="4"/>
      <c r="R858" s="4"/>
      <c r="S858" s="4"/>
      <c r="T858" s="1582">
        <v>1</v>
      </c>
      <c r="U858" s="1388"/>
      <c r="V858" s="1583"/>
      <c r="W858" s="970"/>
      <c r="X858" s="971"/>
      <c r="Y858" s="971"/>
      <c r="Z858" s="971"/>
      <c r="AA858" s="971"/>
      <c r="AB858" s="971"/>
      <c r="AC858" s="972"/>
      <c r="AD858" s="328"/>
      <c r="AZ858" s="2"/>
      <c r="BA858" s="2"/>
      <c r="BB858" s="2"/>
      <c r="BC858" s="2"/>
    </row>
    <row r="859" spans="3:55" ht="12.9" customHeight="1">
      <c r="C859" s="1"/>
      <c r="J859" s="965" t="s">
        <v>1565</v>
      </c>
      <c r="K859" s="4"/>
      <c r="L859" s="4"/>
      <c r="M859" s="4"/>
      <c r="N859" s="4"/>
      <c r="O859" s="4"/>
      <c r="P859" s="4"/>
      <c r="Q859" s="4"/>
      <c r="R859" s="4"/>
      <c r="S859" s="4"/>
      <c r="T859" s="4"/>
      <c r="U859" s="4"/>
      <c r="V859" s="966"/>
      <c r="W859" s="1596"/>
      <c r="X859" s="1597"/>
      <c r="Y859" s="1597"/>
      <c r="Z859" s="1597"/>
      <c r="AA859" s="1597"/>
      <c r="AB859" s="1597"/>
      <c r="AC859" s="1598"/>
      <c r="AD859" s="333"/>
      <c r="AZ859" s="2"/>
      <c r="BA859" s="2"/>
      <c r="BB859" s="2"/>
      <c r="BC859" s="2"/>
    </row>
    <row r="860" spans="3:55" ht="12.9" customHeight="1">
      <c r="C860" s="1"/>
      <c r="J860" s="967" t="s">
        <v>1566</v>
      </c>
      <c r="K860" s="4"/>
      <c r="L860" s="4"/>
      <c r="M860" s="4"/>
      <c r="N860" s="4"/>
      <c r="O860" s="4"/>
      <c r="P860" s="4"/>
      <c r="Q860" s="4"/>
      <c r="R860" s="4"/>
      <c r="S860" s="4"/>
      <c r="T860" s="1582"/>
      <c r="U860" s="1388"/>
      <c r="V860" s="1583"/>
      <c r="W860" s="970"/>
      <c r="X860" s="971"/>
      <c r="Y860" s="971"/>
      <c r="Z860" s="971"/>
      <c r="AA860" s="971"/>
      <c r="AB860" s="971"/>
      <c r="AC860" s="972"/>
      <c r="AD860" s="333"/>
      <c r="AZ860" s="2"/>
      <c r="BA860" s="2"/>
      <c r="BB860" s="2"/>
      <c r="BC860" s="2"/>
    </row>
    <row r="861" spans="3:55" ht="12.9" customHeight="1">
      <c r="J861" s="965" t="s">
        <v>233</v>
      </c>
      <c r="K861" s="4"/>
      <c r="L861" s="4"/>
      <c r="M861" s="1588" t="s">
        <v>1567</v>
      </c>
      <c r="N861" s="1589"/>
      <c r="O861" s="1589"/>
      <c r="P861" s="1589"/>
      <c r="Q861" s="1589"/>
      <c r="R861" s="1589"/>
      <c r="S861" s="1589"/>
      <c r="T861" s="1589"/>
      <c r="U861" s="1589"/>
      <c r="V861" s="1590"/>
      <c r="W861" s="1596">
        <v>7298</v>
      </c>
      <c r="X861" s="1597"/>
      <c r="Y861" s="1597"/>
      <c r="Z861" s="1597"/>
      <c r="AA861" s="1597"/>
      <c r="AB861" s="1597"/>
      <c r="AC861" s="1598"/>
      <c r="AD861" s="328"/>
      <c r="AU861" s="11"/>
      <c r="AZ861" s="2"/>
      <c r="BA861" s="2"/>
      <c r="BB861" s="2"/>
      <c r="BC861" s="2"/>
    </row>
    <row r="862" spans="3:55" ht="12.9" customHeight="1">
      <c r="J862" s="965"/>
      <c r="K862" s="4"/>
      <c r="L862" s="4"/>
      <c r="M862" s="4"/>
      <c r="N862" s="4"/>
      <c r="O862" s="4"/>
      <c r="P862" s="4"/>
      <c r="Q862" s="4"/>
      <c r="R862" s="4"/>
      <c r="S862" s="4"/>
      <c r="T862" s="4"/>
      <c r="U862" s="4"/>
      <c r="V862" s="1160" t="s">
        <v>1568</v>
      </c>
      <c r="W862" s="1585">
        <f>SUM(W857:W861)</f>
        <v>72980</v>
      </c>
      <c r="X862" s="1586"/>
      <c r="Y862" s="1586"/>
      <c r="Z862" s="1586"/>
      <c r="AA862" s="1586"/>
      <c r="AB862" s="1586"/>
      <c r="AC862" s="1587"/>
      <c r="AD862" s="333"/>
      <c r="AU862" s="11"/>
      <c r="AZ862" s="2"/>
      <c r="BA862" s="2"/>
      <c r="BB862" s="2"/>
      <c r="BC862" s="2"/>
    </row>
    <row r="863" spans="3:55" ht="12.9" customHeight="1">
      <c r="J863" s="965"/>
      <c r="K863" s="4"/>
      <c r="L863" s="4"/>
      <c r="M863" s="4"/>
      <c r="N863" s="4"/>
      <c r="O863" s="4"/>
      <c r="P863" s="4"/>
      <c r="Q863" s="4"/>
      <c r="R863" s="4"/>
      <c r="S863" s="4"/>
      <c r="T863" s="4"/>
      <c r="U863" s="4"/>
      <c r="V863" s="1160" t="s">
        <v>1569</v>
      </c>
      <c r="W863" s="1596"/>
      <c r="X863" s="1597"/>
      <c r="Y863" s="1597"/>
      <c r="Z863" s="1597"/>
      <c r="AA863" s="1597"/>
      <c r="AB863" s="1597"/>
      <c r="AC863" s="1598"/>
      <c r="AU863" s="11"/>
      <c r="AZ863" s="2"/>
      <c r="BA863" s="2"/>
      <c r="BB863" s="2"/>
      <c r="BC863" s="2"/>
    </row>
    <row r="864" spans="3:55" ht="12.9" customHeight="1">
      <c r="J864" s="315"/>
      <c r="AU864" s="11"/>
      <c r="AZ864" s="2"/>
      <c r="BA864" s="2"/>
      <c r="BB864" s="2"/>
      <c r="BC864" s="2"/>
    </row>
    <row r="865" spans="3:55" ht="12.9" customHeight="1">
      <c r="C865" s="1" t="s">
        <v>232</v>
      </c>
      <c r="J865" s="965" t="s">
        <v>1570</v>
      </c>
      <c r="K865" s="4"/>
      <c r="L865" s="4"/>
      <c r="M865" s="4"/>
      <c r="N865" s="4"/>
      <c r="O865" s="4"/>
      <c r="P865" s="4"/>
      <c r="Q865" s="4"/>
      <c r="R865" s="4"/>
      <c r="S865" s="4"/>
      <c r="T865" s="4"/>
      <c r="U865" s="4"/>
      <c r="V865" s="966"/>
      <c r="W865" s="1584">
        <v>49049</v>
      </c>
      <c r="X865" s="1584">
        <v>48288</v>
      </c>
      <c r="Y865" s="1584">
        <v>48288</v>
      </c>
      <c r="Z865" s="1584">
        <v>48288</v>
      </c>
      <c r="AA865" s="1584">
        <v>48288</v>
      </c>
      <c r="AB865" s="1584">
        <v>48288</v>
      </c>
      <c r="AC865" s="1584">
        <v>48288</v>
      </c>
      <c r="AU865" s="11"/>
      <c r="AZ865" s="2"/>
      <c r="BA865" s="2"/>
      <c r="BB865" s="2"/>
      <c r="BC865" s="2"/>
    </row>
    <row r="866" spans="3:55" ht="12.9" customHeight="1">
      <c r="J866" s="965" t="s">
        <v>1571</v>
      </c>
      <c r="K866" s="4"/>
      <c r="L866" s="4"/>
      <c r="M866" s="4"/>
      <c r="N866" s="4"/>
      <c r="O866" s="4"/>
      <c r="P866" s="4"/>
      <c r="Q866" s="4"/>
      <c r="R866" s="4"/>
      <c r="S866" s="4"/>
      <c r="T866" s="4"/>
      <c r="U866" s="4"/>
      <c r="V866" s="966"/>
      <c r="W866" s="1584">
        <v>4113</v>
      </c>
      <c r="X866" s="1584">
        <v>4096</v>
      </c>
      <c r="Y866" s="1584">
        <v>4096</v>
      </c>
      <c r="Z866" s="1584">
        <v>4096</v>
      </c>
      <c r="AA866" s="1584">
        <v>4096</v>
      </c>
      <c r="AB866" s="1584">
        <v>4096</v>
      </c>
      <c r="AC866" s="1584">
        <v>4096</v>
      </c>
      <c r="AU866" s="2"/>
      <c r="AZ866" s="2"/>
      <c r="BA866" s="2"/>
      <c r="BB866" s="2"/>
      <c r="BC866" s="2"/>
    </row>
    <row r="867" spans="3:55" ht="12.9" customHeight="1">
      <c r="J867" s="965" t="s">
        <v>1572</v>
      </c>
      <c r="K867" s="4"/>
      <c r="L867" s="4"/>
      <c r="M867" s="4"/>
      <c r="N867" s="4"/>
      <c r="O867" s="4"/>
      <c r="P867" s="4"/>
      <c r="Q867" s="4"/>
      <c r="R867" s="4"/>
      <c r="S867" s="4"/>
      <c r="T867" s="4"/>
      <c r="U867" s="4"/>
      <c r="V867" s="966"/>
      <c r="W867" s="1584">
        <v>31530</v>
      </c>
      <c r="X867" s="1584">
        <v>30976</v>
      </c>
      <c r="Y867" s="1584">
        <v>30976</v>
      </c>
      <c r="Z867" s="1584">
        <v>30976</v>
      </c>
      <c r="AA867" s="1584">
        <v>30976</v>
      </c>
      <c r="AB867" s="1584">
        <v>30976</v>
      </c>
      <c r="AC867" s="1584">
        <v>30976</v>
      </c>
      <c r="AU867" s="2"/>
      <c r="AZ867" s="2"/>
      <c r="BA867" s="2"/>
      <c r="BB867" s="2"/>
      <c r="BC867" s="2"/>
    </row>
    <row r="868" spans="3:55" ht="12.9" customHeight="1">
      <c r="J868" s="965" t="s">
        <v>1573</v>
      </c>
      <c r="K868" s="4"/>
      <c r="L868" s="4"/>
      <c r="M868" s="4"/>
      <c r="N868" s="4"/>
      <c r="O868" s="4"/>
      <c r="P868" s="4"/>
      <c r="Q868" s="4"/>
      <c r="R868" s="4"/>
      <c r="S868" s="4"/>
      <c r="T868" s="4"/>
      <c r="U868" s="4"/>
      <c r="V868" s="966"/>
      <c r="W868" s="1584">
        <v>16350</v>
      </c>
      <c r="X868" s="1584">
        <v>16096</v>
      </c>
      <c r="Y868" s="1584">
        <v>16096</v>
      </c>
      <c r="Z868" s="1584">
        <v>16096</v>
      </c>
      <c r="AA868" s="1584">
        <v>16096</v>
      </c>
      <c r="AB868" s="1584">
        <v>16096</v>
      </c>
      <c r="AC868" s="1584">
        <v>16096</v>
      </c>
      <c r="AU868" s="2"/>
      <c r="AZ868" s="2"/>
      <c r="BA868" s="2"/>
      <c r="BB868" s="2"/>
      <c r="BC868" s="2"/>
    </row>
    <row r="869" spans="3:55" ht="12.9" customHeight="1">
      <c r="J869" s="965" t="s">
        <v>1574</v>
      </c>
      <c r="K869" s="4"/>
      <c r="L869" s="4"/>
      <c r="M869" s="4"/>
      <c r="N869" s="4"/>
      <c r="O869" s="4"/>
      <c r="P869" s="4"/>
      <c r="Q869" s="4"/>
      <c r="R869" s="4"/>
      <c r="S869" s="4"/>
      <c r="T869" s="4"/>
      <c r="U869" s="4"/>
      <c r="V869" s="966"/>
      <c r="W869" s="1584"/>
      <c r="X869" s="1584"/>
      <c r="Y869" s="1584"/>
      <c r="Z869" s="1584"/>
      <c r="AA869" s="1584"/>
      <c r="AB869" s="1584"/>
      <c r="AC869" s="1584"/>
      <c r="AU869" s="2"/>
      <c r="AZ869" s="2"/>
      <c r="BA869" s="2"/>
      <c r="BB869" s="2"/>
      <c r="BC869" s="2"/>
    </row>
    <row r="870" spans="3:55" ht="12.9" customHeight="1">
      <c r="J870" s="965" t="s">
        <v>1575</v>
      </c>
      <c r="K870" s="4"/>
      <c r="L870" s="4"/>
      <c r="M870" s="4"/>
      <c r="N870" s="4"/>
      <c r="O870" s="4"/>
      <c r="P870" s="4"/>
      <c r="Q870" s="4"/>
      <c r="R870" s="4"/>
      <c r="S870" s="4"/>
      <c r="T870" s="4"/>
      <c r="U870" s="4"/>
      <c r="V870" s="966"/>
      <c r="W870" s="1584">
        <v>806</v>
      </c>
      <c r="X870" s="1584">
        <v>768</v>
      </c>
      <c r="Y870" s="1584">
        <v>768</v>
      </c>
      <c r="Z870" s="1584">
        <v>768</v>
      </c>
      <c r="AA870" s="1584">
        <v>768</v>
      </c>
      <c r="AB870" s="1584">
        <v>768</v>
      </c>
      <c r="AC870" s="1584">
        <v>768</v>
      </c>
      <c r="AU870" s="2"/>
      <c r="AZ870" s="2"/>
      <c r="BA870" s="2"/>
      <c r="BB870" s="2"/>
      <c r="BC870" s="2"/>
    </row>
    <row r="871" spans="3:55" ht="12.9" customHeight="1">
      <c r="J871" s="965" t="s">
        <v>233</v>
      </c>
      <c r="K871" s="4"/>
      <c r="L871" s="4"/>
      <c r="M871" s="1588" t="s">
        <v>1576</v>
      </c>
      <c r="N871" s="1589"/>
      <c r="O871" s="1589"/>
      <c r="P871" s="1589"/>
      <c r="Q871" s="1589"/>
      <c r="R871" s="1589"/>
      <c r="S871" s="1589"/>
      <c r="T871" s="1589"/>
      <c r="U871" s="1589"/>
      <c r="V871" s="1590"/>
      <c r="W871" s="1584">
        <v>44352</v>
      </c>
      <c r="X871" s="1584">
        <v>43722.239999999991</v>
      </c>
      <c r="Y871" s="1584">
        <v>43722.239999999991</v>
      </c>
      <c r="Z871" s="1584">
        <v>43722.239999999991</v>
      </c>
      <c r="AA871" s="1584">
        <v>43722.239999999991</v>
      </c>
      <c r="AB871" s="1584">
        <v>43722.239999999991</v>
      </c>
      <c r="AC871" s="1584">
        <v>43722.239999999991</v>
      </c>
      <c r="AD871" s="333"/>
      <c r="AU871" s="2"/>
      <c r="AV871" s="11"/>
      <c r="AW871" s="11"/>
      <c r="AX871" s="11"/>
      <c r="AY871" s="11"/>
      <c r="AZ871" s="2"/>
      <c r="BA871" s="2"/>
      <c r="BB871" s="2"/>
      <c r="BC871" s="2"/>
    </row>
    <row r="872" spans="3:55" ht="12.9" customHeight="1">
      <c r="J872" s="965"/>
      <c r="K872" s="4"/>
      <c r="L872" s="4"/>
      <c r="M872" s="4"/>
      <c r="N872" s="4"/>
      <c r="O872" s="4"/>
      <c r="P872" s="4"/>
      <c r="Q872" s="4"/>
      <c r="R872" s="4"/>
      <c r="S872" s="4"/>
      <c r="T872" s="4"/>
      <c r="U872" s="4"/>
      <c r="V872" s="1160" t="s">
        <v>1577</v>
      </c>
      <c r="W872" s="1548">
        <f>SUM(W865:W871)</f>
        <v>146200</v>
      </c>
      <c r="X872" s="1548"/>
      <c r="Y872" s="1548"/>
      <c r="Z872" s="1548"/>
      <c r="AA872" s="1548"/>
      <c r="AB872" s="1548"/>
      <c r="AC872" s="1548"/>
      <c r="AU872" s="2"/>
      <c r="AV872" s="11"/>
      <c r="AW872" s="11"/>
      <c r="AX872" s="11"/>
      <c r="AY872" s="11"/>
      <c r="AZ872" s="2"/>
      <c r="BA872" s="2"/>
      <c r="BB872" s="2"/>
      <c r="BC872" s="2"/>
    </row>
    <row r="873" spans="3:55" ht="12.9" customHeight="1">
      <c r="AU873" s="2"/>
      <c r="AV873" s="11"/>
      <c r="AW873" s="11"/>
      <c r="AX873" s="11"/>
      <c r="AY873" s="11"/>
      <c r="AZ873" s="2"/>
      <c r="BA873" s="2"/>
      <c r="BB873" s="2"/>
      <c r="BC873" s="2"/>
    </row>
    <row r="874" spans="3:55" ht="12.9" customHeight="1">
      <c r="C874" s="1" t="s">
        <v>1578</v>
      </c>
      <c r="J874" s="965" t="s">
        <v>233</v>
      </c>
      <c r="K874" s="4"/>
      <c r="L874" s="4"/>
      <c r="M874" s="1588" t="s">
        <v>1579</v>
      </c>
      <c r="N874" s="1589" t="s">
        <v>1579</v>
      </c>
      <c r="O874" s="1589" t="s">
        <v>1579</v>
      </c>
      <c r="P874" s="1589" t="s">
        <v>1579</v>
      </c>
      <c r="Q874" s="1589" t="s">
        <v>1579</v>
      </c>
      <c r="R874" s="1589" t="s">
        <v>1579</v>
      </c>
      <c r="S874" s="1589" t="s">
        <v>1579</v>
      </c>
      <c r="T874" s="1589" t="s">
        <v>1579</v>
      </c>
      <c r="U874" s="1589" t="s">
        <v>1579</v>
      </c>
      <c r="V874" s="1590" t="s">
        <v>1579</v>
      </c>
      <c r="W874" s="1425">
        <v>4516</v>
      </c>
      <c r="X874" s="1301"/>
      <c r="Y874" s="1301"/>
      <c r="Z874" s="1301"/>
      <c r="AA874" s="1301"/>
      <c r="AB874" s="1301"/>
      <c r="AC874" s="1302"/>
      <c r="AD874" s="333"/>
      <c r="AV874" s="11"/>
      <c r="AW874" s="11"/>
      <c r="AX874" s="11"/>
      <c r="AY874" s="11"/>
      <c r="AZ874" s="2"/>
      <c r="BA874" s="2"/>
      <c r="BB874" s="2"/>
      <c r="BC874" s="2"/>
    </row>
    <row r="875" spans="3:55" ht="12.9" customHeight="1">
      <c r="C875" s="1" t="s">
        <v>1580</v>
      </c>
      <c r="J875" s="965" t="s">
        <v>233</v>
      </c>
      <c r="K875" s="4"/>
      <c r="L875" s="4"/>
      <c r="M875" s="1588" t="s">
        <v>1581</v>
      </c>
      <c r="N875" s="1589" t="s">
        <v>1581</v>
      </c>
      <c r="O875" s="1589" t="s">
        <v>1581</v>
      </c>
      <c r="P875" s="1589" t="s">
        <v>1581</v>
      </c>
      <c r="Q875" s="1589" t="s">
        <v>1581</v>
      </c>
      <c r="R875" s="1589" t="s">
        <v>1581</v>
      </c>
      <c r="S875" s="1589" t="s">
        <v>1581</v>
      </c>
      <c r="T875" s="1589" t="s">
        <v>1581</v>
      </c>
      <c r="U875" s="1589" t="s">
        <v>1581</v>
      </c>
      <c r="V875" s="1590" t="s">
        <v>1581</v>
      </c>
      <c r="W875" s="1425">
        <v>18950</v>
      </c>
      <c r="X875" s="1301"/>
      <c r="Y875" s="1301"/>
      <c r="Z875" s="1301"/>
      <c r="AA875" s="1301"/>
      <c r="AB875" s="1301"/>
      <c r="AC875" s="1302"/>
      <c r="AD875" s="333"/>
      <c r="AV875" s="11"/>
      <c r="AW875" s="11"/>
      <c r="AX875" s="11"/>
      <c r="AY875" s="11"/>
      <c r="AZ875" s="2"/>
      <c r="BA875" s="2"/>
      <c r="BB875" s="2"/>
      <c r="BC875" s="2"/>
    </row>
    <row r="876" spans="3:55" ht="12.9" customHeight="1">
      <c r="J876" s="965" t="s">
        <v>233</v>
      </c>
      <c r="K876" s="4"/>
      <c r="L876" s="4"/>
      <c r="M876" s="1588" t="s">
        <v>1582</v>
      </c>
      <c r="N876" s="1589" t="s">
        <v>1582</v>
      </c>
      <c r="O876" s="1589" t="s">
        <v>1582</v>
      </c>
      <c r="P876" s="1589" t="s">
        <v>1582</v>
      </c>
      <c r="Q876" s="1589" t="s">
        <v>1582</v>
      </c>
      <c r="R876" s="1589" t="s">
        <v>1582</v>
      </c>
      <c r="S876" s="1589" t="s">
        <v>1582</v>
      </c>
      <c r="T876" s="1589" t="s">
        <v>1582</v>
      </c>
      <c r="U876" s="1589" t="s">
        <v>1582</v>
      </c>
      <c r="V876" s="1590" t="s">
        <v>1582</v>
      </c>
      <c r="W876" s="1425">
        <v>86930</v>
      </c>
      <c r="X876" s="1301"/>
      <c r="Y876" s="1301"/>
      <c r="Z876" s="1301"/>
      <c r="AA876" s="1301"/>
      <c r="AB876" s="1301"/>
      <c r="AC876" s="1302"/>
      <c r="AL876" s="11"/>
      <c r="AM876" s="11"/>
      <c r="AN876" s="11"/>
      <c r="AO876" s="11"/>
      <c r="AP876" s="11"/>
      <c r="AQ876" s="11"/>
      <c r="AR876" s="11"/>
      <c r="AS876" s="11"/>
      <c r="AT876" s="11"/>
      <c r="AV876" s="2"/>
      <c r="AW876" s="2"/>
      <c r="AX876" s="2"/>
      <c r="AY876" s="2"/>
      <c r="AZ876" s="2"/>
      <c r="BA876" s="2"/>
      <c r="BB876" s="2"/>
      <c r="BC876" s="2"/>
    </row>
    <row r="877" spans="3:55" ht="12.9" customHeight="1">
      <c r="J877" s="965" t="s">
        <v>233</v>
      </c>
      <c r="K877" s="4"/>
      <c r="L877" s="4"/>
      <c r="M877" s="1588" t="s">
        <v>1583</v>
      </c>
      <c r="N877" s="1589" t="s">
        <v>1583</v>
      </c>
      <c r="O877" s="1589" t="s">
        <v>1583</v>
      </c>
      <c r="P877" s="1589" t="s">
        <v>1583</v>
      </c>
      <c r="Q877" s="1589" t="s">
        <v>1583</v>
      </c>
      <c r="R877" s="1589" t="s">
        <v>1583</v>
      </c>
      <c r="S877" s="1589" t="s">
        <v>1583</v>
      </c>
      <c r="T877" s="1589" t="s">
        <v>1583</v>
      </c>
      <c r="U877" s="1589" t="s">
        <v>1583</v>
      </c>
      <c r="V877" s="1590" t="s">
        <v>1583</v>
      </c>
      <c r="W877" s="1425">
        <v>8790</v>
      </c>
      <c r="X877" s="1301"/>
      <c r="Y877" s="1301"/>
      <c r="Z877" s="1301"/>
      <c r="AA877" s="1301"/>
      <c r="AB877" s="1301"/>
      <c r="AC877" s="1302"/>
      <c r="AL877" s="11"/>
      <c r="AM877" s="11"/>
      <c r="AN877" s="11"/>
      <c r="AO877" s="11"/>
      <c r="AP877" s="11"/>
      <c r="AQ877" s="11"/>
      <c r="AR877" s="11"/>
      <c r="AS877" s="11"/>
      <c r="AT877" s="11"/>
      <c r="AV877" s="2"/>
      <c r="AW877" s="2"/>
      <c r="AX877" s="2"/>
      <c r="AY877" s="2"/>
      <c r="AZ877" s="2"/>
      <c r="BA877" s="2"/>
      <c r="BB877" s="2"/>
      <c r="BC877" s="2"/>
    </row>
    <row r="878" spans="3:55" ht="12.9" customHeight="1">
      <c r="J878" s="965" t="s">
        <v>233</v>
      </c>
      <c r="K878" s="4"/>
      <c r="L878" s="4"/>
      <c r="M878" s="1588" t="s">
        <v>1584</v>
      </c>
      <c r="N878" s="1589" t="s">
        <v>1584</v>
      </c>
      <c r="O878" s="1589" t="s">
        <v>1584</v>
      </c>
      <c r="P878" s="1589" t="s">
        <v>1584</v>
      </c>
      <c r="Q878" s="1589" t="s">
        <v>1584</v>
      </c>
      <c r="R878" s="1589" t="s">
        <v>1584</v>
      </c>
      <c r="S878" s="1589" t="s">
        <v>1584</v>
      </c>
      <c r="T878" s="1589" t="s">
        <v>1584</v>
      </c>
      <c r="U878" s="1589" t="s">
        <v>1584</v>
      </c>
      <c r="V878" s="1590" t="s">
        <v>1584</v>
      </c>
      <c r="W878" s="1425">
        <v>40239</v>
      </c>
      <c r="X878" s="1301">
        <f t="shared" ref="X878:AC878" si="54">Z881-SUM(Z875:Z878)</f>
        <v>0</v>
      </c>
      <c r="Y878" s="1301">
        <f t="shared" si="54"/>
        <v>0</v>
      </c>
      <c r="Z878" s="1301">
        <f t="shared" si="54"/>
        <v>0</v>
      </c>
      <c r="AA878" s="1301">
        <f t="shared" si="54"/>
        <v>0</v>
      </c>
      <c r="AB878" s="1301">
        <f t="shared" si="54"/>
        <v>0</v>
      </c>
      <c r="AC878" s="1302">
        <f t="shared" si="54"/>
        <v>0</v>
      </c>
      <c r="AL878" s="11"/>
      <c r="AM878" s="11"/>
      <c r="AN878" s="11"/>
      <c r="AO878" s="11"/>
      <c r="AP878" s="11"/>
      <c r="AQ878" s="11"/>
      <c r="AR878" s="11"/>
      <c r="AS878" s="11"/>
      <c r="AT878" s="11"/>
      <c r="AV878" s="2"/>
      <c r="AW878" s="2"/>
      <c r="AX878" s="2"/>
      <c r="AY878" s="2"/>
      <c r="AZ878" s="2"/>
      <c r="BA878" s="2"/>
      <c r="BB878" s="2"/>
      <c r="BC878" s="2"/>
    </row>
    <row r="879" spans="3:55" ht="12.9" customHeight="1">
      <c r="J879" s="965"/>
      <c r="K879" s="4"/>
      <c r="L879" s="4"/>
      <c r="M879" s="4"/>
      <c r="N879" s="4"/>
      <c r="O879" s="4"/>
      <c r="P879" s="4"/>
      <c r="Q879" s="4"/>
      <c r="R879" s="4"/>
      <c r="S879" s="4"/>
      <c r="T879" s="4"/>
      <c r="U879" s="4"/>
      <c r="V879" s="1160" t="s">
        <v>1585</v>
      </c>
      <c r="W879" s="1422">
        <f>SUM(W874:W878)</f>
        <v>159425</v>
      </c>
      <c r="X879" s="1423"/>
      <c r="Y879" s="1423"/>
      <c r="Z879" s="1423"/>
      <c r="AA879" s="1423"/>
      <c r="AB879" s="1423"/>
      <c r="AC879" s="1424"/>
      <c r="AL879" s="11"/>
      <c r="AM879" s="11"/>
      <c r="AN879" s="11"/>
      <c r="AO879" s="11"/>
      <c r="AP879" s="11"/>
      <c r="AQ879" s="11"/>
      <c r="AR879" s="11"/>
      <c r="AS879" s="11"/>
      <c r="AT879" s="11"/>
      <c r="AV879" s="2"/>
      <c r="AW879" s="2"/>
      <c r="AX879" s="2"/>
      <c r="AY879" s="2"/>
      <c r="AZ879" s="2"/>
      <c r="BA879" s="2"/>
      <c r="BB879" s="2"/>
      <c r="BC879" s="2"/>
    </row>
    <row r="880" spans="3:55" ht="12.9" customHeight="1">
      <c r="E880" s="315"/>
      <c r="V880" s="37"/>
      <c r="W880" s="41"/>
      <c r="X880" s="41"/>
      <c r="Y880" s="41"/>
      <c r="Z880" s="41"/>
      <c r="AA880" s="41"/>
      <c r="AB880" s="41"/>
      <c r="AL880" s="11"/>
      <c r="AM880" s="11"/>
      <c r="AN880" s="11"/>
      <c r="AO880" s="11"/>
      <c r="AP880" s="11"/>
      <c r="AQ880" s="11"/>
      <c r="AR880" s="11"/>
      <c r="AS880" s="11"/>
      <c r="AT880" s="11"/>
      <c r="AV880" s="2"/>
      <c r="AW880" s="2"/>
      <c r="AX880" s="2"/>
      <c r="AY880" s="2"/>
      <c r="AZ880" s="2"/>
      <c r="BA880" s="2"/>
      <c r="BB880" s="2"/>
      <c r="BC880" s="2"/>
    </row>
    <row r="881" spans="3:55" ht="12.9" customHeight="1">
      <c r="C881" s="1" t="s">
        <v>1586</v>
      </c>
      <c r="I881" s="333"/>
      <c r="J881" s="333"/>
      <c r="V881" s="37"/>
      <c r="W881" s="41"/>
      <c r="X881" s="41"/>
      <c r="Y881" s="41"/>
      <c r="Z881" s="41"/>
      <c r="AA881" s="41"/>
      <c r="AB881" s="41"/>
      <c r="AL881" s="2"/>
      <c r="AM881" s="2"/>
      <c r="AN881" s="2"/>
      <c r="AO881" s="2"/>
      <c r="AP881" s="2"/>
      <c r="AQ881" s="2"/>
      <c r="AR881" s="2"/>
      <c r="AS881" s="2"/>
      <c r="AT881" s="2"/>
      <c r="AV881" s="2"/>
      <c r="AW881" s="2"/>
      <c r="AX881" s="2"/>
      <c r="AY881" s="2"/>
      <c r="AZ881" s="2"/>
      <c r="BA881" s="2"/>
      <c r="BB881" s="2"/>
      <c r="BC881" s="2"/>
    </row>
    <row r="882" spans="3:55" ht="12.9" customHeight="1">
      <c r="E882" s="315"/>
      <c r="V882" s="37"/>
      <c r="W882" s="41"/>
      <c r="X882" s="41"/>
      <c r="Y882" s="41"/>
      <c r="Z882" s="41"/>
      <c r="AA882" s="41"/>
      <c r="AB882" s="41"/>
      <c r="AL882" s="2"/>
      <c r="AM882" s="2"/>
      <c r="AN882" s="2"/>
      <c r="AO882" s="2"/>
      <c r="AP882" s="2"/>
      <c r="AQ882" s="2"/>
      <c r="AR882" s="2"/>
      <c r="AS882" s="2"/>
      <c r="AT882" s="2"/>
      <c r="AV882" s="2"/>
      <c r="AW882" s="2"/>
      <c r="AX882" s="2"/>
      <c r="AY882" s="2"/>
      <c r="AZ882" s="2"/>
      <c r="BA882" s="2"/>
      <c r="BB882" s="2"/>
      <c r="BC882" s="2"/>
    </row>
    <row r="883" spans="3:55" ht="12.9"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173" t="s">
        <v>1587</v>
      </c>
      <c r="AC883" s="1423">
        <f>W847+W855+W862+W863+W872+W879+W849</f>
        <v>806400</v>
      </c>
      <c r="AD883" s="1423"/>
      <c r="AE883" s="1423"/>
      <c r="AF883" s="1423"/>
      <c r="AG883" s="1423"/>
      <c r="AH883" s="1424"/>
      <c r="AL883" s="2"/>
      <c r="AM883" s="2"/>
      <c r="AN883" s="2"/>
      <c r="AO883" s="2"/>
      <c r="AP883" s="2"/>
      <c r="AQ883" s="2"/>
      <c r="AR883" s="2"/>
      <c r="AS883" s="2"/>
      <c r="AT883" s="2"/>
      <c r="AV883" s="2"/>
      <c r="AW883" s="2"/>
      <c r="AX883" s="2"/>
      <c r="AY883" s="2"/>
      <c r="AZ883" s="2"/>
      <c r="BA883" s="2"/>
      <c r="BB883" s="2"/>
      <c r="BC883" s="2"/>
    </row>
    <row r="884" spans="3:55" ht="12.9"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173" t="s">
        <v>1588</v>
      </c>
      <c r="AC884" s="1591">
        <f>O797+O777+G753</f>
        <v>128</v>
      </c>
      <c r="AD884" s="1591"/>
      <c r="AE884" s="1591"/>
      <c r="AF884" s="1591"/>
      <c r="AG884" s="1591"/>
      <c r="AH884" s="1592"/>
      <c r="AL884" s="2"/>
      <c r="AM884" s="2"/>
      <c r="AN884" s="2"/>
      <c r="AO884" s="2"/>
      <c r="AP884" s="2"/>
      <c r="AQ884" s="2"/>
      <c r="AR884" s="2"/>
      <c r="AS884" s="2"/>
      <c r="AT884" s="2"/>
      <c r="AZ884" s="2"/>
      <c r="BA884" s="2"/>
      <c r="BB884" s="2"/>
      <c r="BC884" s="2"/>
    </row>
    <row r="885" spans="3:55" ht="12.9" customHeight="1">
      <c r="C885" s="29"/>
      <c r="D885" s="30"/>
      <c r="E885" s="1651" t="s">
        <v>1589</v>
      </c>
      <c r="F885" s="1651"/>
      <c r="G885" s="1651"/>
      <c r="H885" s="1651"/>
      <c r="I885" s="1651"/>
      <c r="J885" s="1651"/>
      <c r="K885" s="1651"/>
      <c r="L885" s="1651"/>
      <c r="M885" s="1651"/>
      <c r="N885" s="1651"/>
      <c r="O885" s="1651"/>
      <c r="P885" s="1651"/>
      <c r="Q885" s="1651"/>
      <c r="R885" s="1651"/>
      <c r="S885" s="1651"/>
      <c r="T885" s="1651"/>
      <c r="U885" s="1651"/>
      <c r="V885" s="1651"/>
      <c r="W885" s="1651"/>
      <c r="X885" s="1651"/>
      <c r="Y885" s="1651"/>
      <c r="Z885" s="1651"/>
      <c r="AA885" s="1651"/>
      <c r="AB885" s="1652"/>
      <c r="AC885" s="1548">
        <f>IF(ISERROR((ROUNDDOWN(AC883/AC884,0))),0,(ROUNDDOWN(AC883/AC884,0)))</f>
        <v>6300</v>
      </c>
      <c r="AD885" s="1548"/>
      <c r="AE885" s="1548"/>
      <c r="AF885" s="1548"/>
      <c r="AG885" s="1548"/>
      <c r="AH885" s="1548"/>
      <c r="AL885" s="2"/>
      <c r="AM885" s="2"/>
      <c r="AN885" s="2"/>
      <c r="AO885" s="2"/>
      <c r="AP885" s="2"/>
      <c r="AQ885" s="2"/>
      <c r="AR885" s="2"/>
      <c r="AS885" s="2"/>
      <c r="AT885" s="2"/>
      <c r="AZ885" s="2"/>
      <c r="BA885" s="2"/>
      <c r="BB885" s="2"/>
      <c r="BC885" s="2"/>
    </row>
    <row r="886" spans="3:55" ht="12.9" customHeight="1">
      <c r="C886" s="965"/>
      <c r="D886" s="4"/>
      <c r="E886" s="4"/>
      <c r="F886" s="4"/>
      <c r="G886" s="4"/>
      <c r="H886" s="4"/>
      <c r="I886" s="4"/>
      <c r="J886" s="4"/>
      <c r="K886" s="4"/>
      <c r="L886" s="4"/>
      <c r="M886" s="4"/>
      <c r="N886" s="4"/>
      <c r="O886" s="4"/>
      <c r="P886" s="4"/>
      <c r="Q886" s="4"/>
      <c r="R886" s="4"/>
      <c r="S886" s="4"/>
      <c r="T886" s="4"/>
      <c r="U886" s="4"/>
      <c r="V886" s="4"/>
      <c r="W886" s="4"/>
      <c r="X886" s="4"/>
      <c r="Y886" s="4"/>
      <c r="Z886" s="4"/>
      <c r="AA886" s="4"/>
      <c r="AB886" s="1160" t="s">
        <v>1590</v>
      </c>
      <c r="AC886" s="1593">
        <v>636771</v>
      </c>
      <c r="AD886" s="1594"/>
      <c r="AE886" s="1594"/>
      <c r="AF886" s="1594"/>
      <c r="AG886" s="1594"/>
      <c r="AH886" s="1594"/>
      <c r="AL886" s="2"/>
      <c r="AM886" s="2"/>
      <c r="AN886" s="2"/>
      <c r="AO886" s="2"/>
      <c r="AP886" s="2"/>
      <c r="AQ886" s="2"/>
      <c r="AR886" s="2"/>
      <c r="AS886" s="2"/>
      <c r="AT886" s="2"/>
      <c r="AZ886" s="2"/>
      <c r="BA886" s="2"/>
      <c r="BB886" s="2"/>
      <c r="BC886" s="2"/>
    </row>
    <row r="887" spans="3:55" ht="12.9" customHeight="1">
      <c r="C887" s="965"/>
      <c r="D887" s="4"/>
      <c r="E887" s="4"/>
      <c r="F887" s="4"/>
      <c r="G887" s="4"/>
      <c r="H887" s="4"/>
      <c r="I887" s="4"/>
      <c r="J887" s="4"/>
      <c r="K887" s="4"/>
      <c r="L887" s="4"/>
      <c r="M887" s="4"/>
      <c r="N887" s="4"/>
      <c r="O887" s="4"/>
      <c r="P887" s="4"/>
      <c r="Q887" s="4"/>
      <c r="R887" s="4"/>
      <c r="S887" s="4"/>
      <c r="T887" s="4"/>
      <c r="U887" s="4"/>
      <c r="V887" s="4"/>
      <c r="W887" s="4"/>
      <c r="X887" s="4"/>
      <c r="Y887" s="4"/>
      <c r="Z887" s="4"/>
      <c r="AA887" s="4"/>
      <c r="AB887" s="1160" t="s">
        <v>1591</v>
      </c>
      <c r="AC887" s="1302"/>
      <c r="AD887" s="1584"/>
      <c r="AE887" s="1584"/>
      <c r="AF887" s="1584"/>
      <c r="AG887" s="1584"/>
      <c r="AH887" s="1584"/>
      <c r="AL887" s="2"/>
      <c r="AM887" s="2"/>
      <c r="AN887" s="2"/>
      <c r="AO887" s="2"/>
      <c r="AP887" s="2"/>
      <c r="AQ887" s="2"/>
      <c r="AR887" s="2"/>
      <c r="AS887" s="2"/>
      <c r="AT887" s="2"/>
      <c r="AZ887" s="2"/>
      <c r="BA887" s="2"/>
      <c r="BB887" s="2"/>
      <c r="BC887" s="2"/>
    </row>
    <row r="888" spans="3:55" ht="12.9" customHeight="1">
      <c r="C888" s="965"/>
      <c r="D888" s="4"/>
      <c r="E888" s="4"/>
      <c r="F888" s="4"/>
      <c r="G888" s="4"/>
      <c r="H888" s="4"/>
      <c r="I888" s="4"/>
      <c r="J888" s="4"/>
      <c r="K888" s="4"/>
      <c r="L888" s="4"/>
      <c r="M888" s="4"/>
      <c r="N888" s="4"/>
      <c r="O888" s="4"/>
      <c r="P888" s="4"/>
      <c r="Q888" s="4"/>
      <c r="R888" s="4"/>
      <c r="S888" s="4"/>
      <c r="T888" s="4"/>
      <c r="U888" s="4"/>
      <c r="V888" s="4"/>
      <c r="W888" s="4"/>
      <c r="X888" s="4"/>
      <c r="Y888" s="4"/>
      <c r="Z888" s="4"/>
      <c r="AA888" s="4"/>
      <c r="AB888" s="1160" t="s">
        <v>1592</v>
      </c>
      <c r="AC888" s="1301">
        <v>32000</v>
      </c>
      <c r="AD888" s="1301"/>
      <c r="AE888" s="1301"/>
      <c r="AF888" s="1301"/>
      <c r="AG888" s="1301"/>
      <c r="AH888" s="1302"/>
      <c r="AL888" s="2"/>
      <c r="AM888" s="2"/>
      <c r="AN888" s="2"/>
      <c r="AO888" s="2"/>
      <c r="AP888" s="2"/>
      <c r="AQ888" s="2"/>
      <c r="AR888" s="2"/>
      <c r="AS888" s="2"/>
      <c r="AT888" s="2"/>
      <c r="AZ888" s="2"/>
      <c r="BA888" s="2"/>
      <c r="BB888" s="2"/>
      <c r="BC888" s="2"/>
    </row>
    <row r="889" spans="3:55" ht="12.9" customHeight="1">
      <c r="C889" s="965"/>
      <c r="D889" s="4"/>
      <c r="E889" s="4"/>
      <c r="F889" s="4"/>
      <c r="G889" s="4"/>
      <c r="H889" s="4"/>
      <c r="I889" s="4"/>
      <c r="J889" s="4"/>
      <c r="K889" s="4"/>
      <c r="L889" s="4"/>
      <c r="M889" s="4"/>
      <c r="N889" s="4"/>
      <c r="O889" s="4"/>
      <c r="P889" s="4"/>
      <c r="Q889" s="4"/>
      <c r="R889" s="4"/>
      <c r="S889" s="4"/>
      <c r="T889" s="4"/>
      <c r="U889" s="4"/>
      <c r="V889" s="4"/>
      <c r="W889" s="4"/>
      <c r="X889" s="4"/>
      <c r="Y889" s="4"/>
      <c r="Z889" s="4"/>
      <c r="AA889" s="4"/>
      <c r="AB889" s="1160" t="s">
        <v>1593</v>
      </c>
      <c r="AC889" s="1301">
        <v>32000</v>
      </c>
      <c r="AD889" s="1301"/>
      <c r="AE889" s="1301"/>
      <c r="AF889" s="1301"/>
      <c r="AG889" s="1301"/>
      <c r="AH889" s="1302"/>
      <c r="AZ889" s="2"/>
      <c r="BA889" s="2"/>
      <c r="BB889" s="2"/>
      <c r="BC889" s="2"/>
    </row>
    <row r="890" spans="3:55" ht="12.9" customHeight="1">
      <c r="C890" s="965"/>
      <c r="D890" s="4"/>
      <c r="E890" s="4"/>
      <c r="F890" s="4"/>
      <c r="G890" s="4"/>
      <c r="H890" s="4"/>
      <c r="I890" s="4"/>
      <c r="J890" s="4"/>
      <c r="K890" s="4"/>
      <c r="L890" s="4"/>
      <c r="M890" s="4"/>
      <c r="N890" s="4"/>
      <c r="O890" s="4"/>
      <c r="P890" s="4"/>
      <c r="Q890" s="4"/>
      <c r="R890" s="4"/>
      <c r="S890" s="4"/>
      <c r="T890" s="4"/>
      <c r="U890" s="4"/>
      <c r="V890" s="4"/>
      <c r="W890" s="4"/>
      <c r="X890" s="4"/>
      <c r="Y890" s="4"/>
      <c r="Z890" s="4"/>
      <c r="AA890" s="4"/>
      <c r="AB890" s="1160" t="s">
        <v>1594</v>
      </c>
      <c r="AC890" s="1437">
        <v>8216</v>
      </c>
      <c r="AD890" s="1438"/>
      <c r="AE890" s="1438"/>
      <c r="AF890" s="1438"/>
      <c r="AG890" s="1438"/>
      <c r="AH890" s="1439"/>
      <c r="AZ890" s="2"/>
      <c r="BA890" s="2"/>
      <c r="BB890" s="2"/>
      <c r="BC890" s="2"/>
    </row>
    <row r="891" spans="3:55" ht="12.9" customHeight="1">
      <c r="C891" s="965"/>
      <c r="D891" s="4"/>
      <c r="E891" s="4"/>
      <c r="F891" s="4"/>
      <c r="G891" s="4"/>
      <c r="H891" s="4"/>
      <c r="I891" s="4"/>
      <c r="J891" s="4"/>
      <c r="K891" s="4"/>
      <c r="L891" s="4"/>
      <c r="M891" s="4"/>
      <c r="N891" s="4"/>
      <c r="O891" s="4"/>
      <c r="P891" s="4"/>
      <c r="Q891" s="4"/>
      <c r="R891" s="4"/>
      <c r="S891" s="4"/>
      <c r="T891" s="4"/>
      <c r="U891" s="4"/>
      <c r="V891" s="4"/>
      <c r="W891" s="4"/>
      <c r="X891" s="4"/>
      <c r="Y891" s="4"/>
      <c r="Z891" s="4"/>
      <c r="AA891" s="4"/>
      <c r="AB891" s="1160" t="s">
        <v>1595</v>
      </c>
      <c r="AC891" s="1301"/>
      <c r="AD891" s="1301"/>
      <c r="AE891" s="1301"/>
      <c r="AF891" s="1301"/>
      <c r="AG891" s="1301"/>
      <c r="AH891" s="1302"/>
      <c r="AZ891" s="2"/>
      <c r="BA891" s="2"/>
      <c r="BB891" s="2"/>
      <c r="BC891" s="2"/>
    </row>
    <row r="892" spans="3:55" ht="12.9" hidden="1" customHeight="1">
      <c r="C892" s="1384" t="s">
        <v>1596</v>
      </c>
      <c r="D892" s="1385"/>
      <c r="E892" s="1385"/>
      <c r="F892" s="1385"/>
      <c r="G892" s="1385"/>
      <c r="H892" s="1385"/>
      <c r="I892" s="1385"/>
      <c r="J892" s="1385"/>
      <c r="K892" s="1385"/>
      <c r="L892" s="1385"/>
      <c r="M892" s="1385"/>
      <c r="N892" s="1385"/>
      <c r="O892" s="1385"/>
      <c r="P892" s="1385"/>
      <c r="Q892" s="1385"/>
      <c r="R892" s="1385"/>
      <c r="S892" s="1385"/>
      <c r="T892" s="1385"/>
      <c r="U892" s="1385"/>
      <c r="V892" s="1385"/>
      <c r="W892" s="1385"/>
      <c r="X892" s="1385"/>
      <c r="Y892" s="1385"/>
      <c r="Z892" s="1385"/>
      <c r="AA892" s="1385"/>
      <c r="AB892" s="1387"/>
      <c r="AC892" s="1301"/>
      <c r="AD892" s="1301"/>
      <c r="AE892" s="1301"/>
      <c r="AF892" s="1301"/>
      <c r="AG892" s="1301"/>
      <c r="AH892" s="1302"/>
      <c r="AZ892" s="2"/>
      <c r="BA892" s="2"/>
      <c r="BB892" s="2"/>
      <c r="BC892" s="2"/>
    </row>
    <row r="893" spans="3:55" ht="12.9" customHeight="1">
      <c r="C893" s="965"/>
      <c r="D893" s="4"/>
      <c r="E893" s="4"/>
      <c r="F893" s="4"/>
      <c r="G893" s="4"/>
      <c r="H893" s="4"/>
      <c r="I893" s="4"/>
      <c r="J893" s="4"/>
      <c r="K893" s="4"/>
      <c r="L893" s="4"/>
      <c r="M893" s="4"/>
      <c r="N893" s="4"/>
      <c r="O893" s="4"/>
      <c r="P893" s="4"/>
      <c r="Q893" s="4"/>
      <c r="R893" s="4"/>
      <c r="S893" s="4"/>
      <c r="T893" s="4"/>
      <c r="U893" s="4"/>
      <c r="V893" s="4"/>
      <c r="W893" s="4"/>
      <c r="X893" s="4"/>
      <c r="Y893" s="4"/>
      <c r="Z893" s="4"/>
      <c r="AA893" s="4"/>
      <c r="AB893" s="1160" t="s">
        <v>1597</v>
      </c>
      <c r="AC893" s="1301"/>
      <c r="AD893" s="1301"/>
      <c r="AE893" s="1301"/>
      <c r="AF893" s="1301"/>
      <c r="AG893" s="1301"/>
      <c r="AH893" s="1302"/>
      <c r="AZ893" s="2"/>
      <c r="BA893" s="2"/>
      <c r="BB893" s="2"/>
      <c r="BC893" s="2"/>
    </row>
    <row r="894" spans="3:55" ht="12.9" customHeight="1">
      <c r="C894" s="1611" t="s">
        <v>1598</v>
      </c>
      <c r="D894" s="1612"/>
      <c r="E894" s="1612"/>
      <c r="F894" s="1612"/>
      <c r="G894" s="1612"/>
      <c r="H894" s="1612"/>
      <c r="I894" s="1612"/>
      <c r="J894" s="1612"/>
      <c r="K894" s="1612"/>
      <c r="L894" s="1612"/>
      <c r="M894" s="1612"/>
      <c r="N894" s="1612"/>
      <c r="O894" s="1612"/>
      <c r="P894" s="1612"/>
      <c r="Q894" s="1612"/>
      <c r="R894" s="1612"/>
      <c r="S894" s="1612"/>
      <c r="T894" s="1612"/>
      <c r="U894" s="1612"/>
      <c r="V894" s="1612"/>
      <c r="W894" s="1612"/>
      <c r="X894" s="1612"/>
      <c r="Y894" s="1612"/>
      <c r="Z894" s="1612"/>
      <c r="AA894" s="1612"/>
      <c r="AB894" s="1613"/>
      <c r="AC894" s="1584"/>
      <c r="AD894" s="1584"/>
      <c r="AE894" s="1584"/>
      <c r="AF894" s="1584"/>
      <c r="AG894" s="1584"/>
      <c r="AH894" s="1584"/>
      <c r="AZ894" s="2"/>
      <c r="BA894" s="2"/>
      <c r="BB894" s="2"/>
      <c r="BC894" s="2"/>
    </row>
    <row r="895" spans="3:55" ht="12.9" customHeight="1">
      <c r="C895" s="1611" t="s">
        <v>1598</v>
      </c>
      <c r="D895" s="1612"/>
      <c r="E895" s="1612"/>
      <c r="F895" s="1612"/>
      <c r="G895" s="1612"/>
      <c r="H895" s="1612"/>
      <c r="I895" s="1612"/>
      <c r="J895" s="1612"/>
      <c r="K895" s="1612"/>
      <c r="L895" s="1612"/>
      <c r="M895" s="1612"/>
      <c r="N895" s="1612"/>
      <c r="O895" s="1612"/>
      <c r="P895" s="1612"/>
      <c r="Q895" s="1612"/>
      <c r="R895" s="1612"/>
      <c r="S895" s="1612"/>
      <c r="T895" s="1612"/>
      <c r="U895" s="1612"/>
      <c r="V895" s="1612"/>
      <c r="W895" s="1612"/>
      <c r="X895" s="1612"/>
      <c r="Y895" s="1612"/>
      <c r="Z895" s="1612"/>
      <c r="AA895" s="1612"/>
      <c r="AB895" s="1613"/>
      <c r="AC895" s="1584"/>
      <c r="AD895" s="1584"/>
      <c r="AE895" s="1584"/>
      <c r="AF895" s="1584"/>
      <c r="AG895" s="1584"/>
      <c r="AH895" s="1584"/>
      <c r="AU895" s="54"/>
      <c r="AZ895" s="2"/>
      <c r="BA895" s="2"/>
      <c r="BB895" s="2"/>
      <c r="BC895" s="2"/>
    </row>
    <row r="896" spans="3:55" ht="12.9" customHeight="1">
      <c r="E896" s="315"/>
      <c r="AB896" s="37"/>
      <c r="AC896" s="71"/>
      <c r="AD896" s="71"/>
      <c r="AE896" s="71"/>
      <c r="AF896" s="71"/>
      <c r="AG896" s="71"/>
      <c r="AH896" s="71"/>
      <c r="AU896" s="54"/>
      <c r="AZ896" s="2"/>
      <c r="BA896" s="2"/>
      <c r="BB896" s="2"/>
      <c r="BC896" s="2"/>
    </row>
    <row r="897" spans="1:58" ht="12.9" customHeight="1">
      <c r="A897" s="1" t="s">
        <v>1302</v>
      </c>
      <c r="C897" s="1" t="s">
        <v>1599</v>
      </c>
      <c r="X897" s="10"/>
      <c r="Y897" s="10"/>
      <c r="Z897" s="10"/>
      <c r="AA897" s="10"/>
      <c r="AB897" s="10"/>
      <c r="AC897" s="10"/>
      <c r="AD897" s="10"/>
      <c r="AU897" s="54"/>
      <c r="AZ897" s="2"/>
      <c r="BB897" s="23"/>
      <c r="BC897" s="23"/>
    </row>
    <row r="898" spans="1:58" ht="12.9" customHeight="1">
      <c r="X898" s="10"/>
      <c r="Y898" s="10"/>
      <c r="Z898" s="10"/>
      <c r="AA898" s="10"/>
      <c r="AB898" s="10"/>
      <c r="AC898" s="10"/>
      <c r="AD898" s="10"/>
      <c r="AF898" s="333"/>
      <c r="AG898" s="1130"/>
      <c r="AH898" s="1130"/>
      <c r="AI898" s="1130"/>
      <c r="AU898" s="54"/>
      <c r="AZ898" s="2"/>
      <c r="BB898" s="23"/>
      <c r="BC898" s="23"/>
      <c r="BD898" s="11"/>
      <c r="BE898" s="11"/>
      <c r="BF898" s="11"/>
    </row>
    <row r="899" spans="1:58" ht="12.9" customHeight="1">
      <c r="B899" s="1"/>
      <c r="H899" s="967" t="s">
        <v>1600</v>
      </c>
      <c r="I899" s="4"/>
      <c r="J899" s="4"/>
      <c r="K899" s="4"/>
      <c r="L899" s="4"/>
      <c r="M899" s="4"/>
      <c r="N899" s="4"/>
      <c r="O899" s="4"/>
      <c r="P899" s="4"/>
      <c r="Q899" s="4"/>
      <c r="R899" s="4"/>
      <c r="S899" s="4"/>
      <c r="T899" s="4"/>
      <c r="U899" s="4"/>
      <c r="V899" s="4"/>
      <c r="W899" s="4"/>
      <c r="X899" s="4"/>
      <c r="Y899" s="966"/>
      <c r="Z899" s="1425"/>
      <c r="AA899" s="1301"/>
      <c r="AB899" s="1301"/>
      <c r="AC899" s="1301"/>
      <c r="AD899" s="1301"/>
      <c r="AE899" s="1302"/>
      <c r="AF899" s="333"/>
      <c r="AZ899" s="2"/>
      <c r="BB899" s="23"/>
      <c r="BC899" s="597"/>
      <c r="BD899" s="1581"/>
      <c r="BE899" s="1581"/>
      <c r="BF899" s="11"/>
    </row>
    <row r="900" spans="1:58" ht="12.9" customHeight="1">
      <c r="H900" s="967" t="s">
        <v>1601</v>
      </c>
      <c r="I900" s="4"/>
      <c r="J900" s="4"/>
      <c r="K900" s="4"/>
      <c r="L900" s="4"/>
      <c r="M900" s="4"/>
      <c r="N900" s="4"/>
      <c r="O900" s="4"/>
      <c r="P900" s="4"/>
      <c r="Q900" s="4"/>
      <c r="R900" s="4"/>
      <c r="S900" s="4"/>
      <c r="T900" s="4"/>
      <c r="U900" s="4"/>
      <c r="V900" s="4"/>
      <c r="W900" s="4"/>
      <c r="X900" s="4"/>
      <c r="Y900" s="4"/>
      <c r="Z900" s="1425"/>
      <c r="AA900" s="1301"/>
      <c r="AB900" s="1301"/>
      <c r="AC900" s="1301"/>
      <c r="AD900" s="1301"/>
      <c r="AE900" s="1302"/>
      <c r="AZ900" s="2"/>
      <c r="BB900" s="23"/>
      <c r="BC900" s="597"/>
      <c r="BD900" s="1581"/>
      <c r="BE900" s="1581"/>
      <c r="BF900" s="11"/>
    </row>
    <row r="901" spans="1:58" ht="12.9" customHeight="1">
      <c r="H901" s="967" t="s">
        <v>1602</v>
      </c>
      <c r="I901" s="4"/>
      <c r="J901" s="4"/>
      <c r="K901" s="4"/>
      <c r="L901" s="4"/>
      <c r="M901" s="4"/>
      <c r="N901" s="4"/>
      <c r="O901" s="4"/>
      <c r="P901" s="4"/>
      <c r="Q901" s="4"/>
      <c r="R901" s="4"/>
      <c r="S901" s="4"/>
      <c r="T901" s="4"/>
      <c r="U901" s="4"/>
      <c r="V901" s="4"/>
      <c r="W901" s="4"/>
      <c r="X901" s="4"/>
      <c r="Y901" s="4"/>
      <c r="Z901" s="1425"/>
      <c r="AA901" s="1301"/>
      <c r="AB901" s="1301"/>
      <c r="AC901" s="1301"/>
      <c r="AD901" s="1301"/>
      <c r="AE901" s="1302"/>
      <c r="AZ901" s="2"/>
      <c r="BB901" s="23"/>
      <c r="BC901" s="597"/>
      <c r="BD901" s="1580"/>
      <c r="BE901" s="1580"/>
      <c r="BF901" s="11"/>
    </row>
    <row r="902" spans="1:58" ht="12.9" customHeight="1">
      <c r="H902" s="965"/>
      <c r="I902" s="4"/>
      <c r="J902" s="4"/>
      <c r="K902" s="4"/>
      <c r="L902" s="4"/>
      <c r="M902" s="4"/>
      <c r="N902" s="4"/>
      <c r="O902" s="4"/>
      <c r="P902" s="4"/>
      <c r="Q902" s="4"/>
      <c r="R902" s="4"/>
      <c r="S902" s="4"/>
      <c r="T902" s="4"/>
      <c r="U902" s="4"/>
      <c r="V902" s="4"/>
      <c r="W902" s="4"/>
      <c r="X902" s="4"/>
      <c r="Y902" s="96" t="s">
        <v>1603</v>
      </c>
      <c r="Z902" s="1422">
        <f>Z899-(Z900+Z901)</f>
        <v>0</v>
      </c>
      <c r="AA902" s="1423"/>
      <c r="AB902" s="1423"/>
      <c r="AC902" s="1423"/>
      <c r="AD902" s="1423"/>
      <c r="AE902" s="1424"/>
      <c r="AZ902" s="2"/>
      <c r="BB902" s="23"/>
      <c r="BC902" s="597"/>
      <c r="BD902" s="1580"/>
      <c r="BE902" s="1580"/>
      <c r="BF902" s="11"/>
    </row>
    <row r="903" spans="1:58" ht="12.9" customHeight="1">
      <c r="C903" s="315"/>
      <c r="D903" s="1152"/>
      <c r="E903" s="1130"/>
      <c r="F903" s="1130"/>
      <c r="G903" s="1130"/>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30"/>
      <c r="AZ903" s="2"/>
      <c r="BB903" s="23"/>
      <c r="BC903" s="597"/>
      <c r="BD903" s="1580"/>
      <c r="BE903" s="1580"/>
      <c r="BF903" s="11"/>
    </row>
    <row r="904" spans="1:58" ht="12.9" customHeight="1">
      <c r="C904" t="s">
        <v>1604</v>
      </c>
      <c r="D904" s="12"/>
      <c r="E904" s="1130"/>
      <c r="F904" s="1130"/>
      <c r="G904" s="1130"/>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30"/>
      <c r="AZ904" s="2"/>
      <c r="BB904" s="23"/>
      <c r="BC904" s="597"/>
      <c r="BD904" s="1581"/>
      <c r="BE904" s="1580"/>
      <c r="BF904" s="11"/>
    </row>
    <row r="905" spans="1:58" ht="12.9" customHeight="1">
      <c r="C905" s="97" t="s">
        <v>1605</v>
      </c>
      <c r="D905" s="12"/>
      <c r="E905" s="1130"/>
      <c r="F905" s="1130"/>
      <c r="G905" s="1130"/>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30"/>
      <c r="AV905" s="54"/>
      <c r="AW905" s="54"/>
      <c r="AX905" s="54"/>
      <c r="AY905" s="54"/>
      <c r="AZ905" s="2"/>
      <c r="BB905" s="23"/>
      <c r="BC905" s="597"/>
      <c r="BD905" s="1609"/>
      <c r="BE905" s="1609"/>
      <c r="BF905" s="1609"/>
    </row>
    <row r="906" spans="1:58" ht="12.9" customHeight="1">
      <c r="C906" s="97" t="s">
        <v>1606</v>
      </c>
      <c r="D906" s="12"/>
      <c r="E906" s="1130"/>
      <c r="F906" s="1130"/>
      <c r="G906" s="1130"/>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30"/>
      <c r="AV906" s="54"/>
      <c r="AW906" s="54"/>
      <c r="AX906" s="54"/>
      <c r="AY906" s="54"/>
      <c r="AZ906" s="2"/>
      <c r="BB906" s="23"/>
      <c r="BC906" s="597"/>
      <c r="BD906" s="1608"/>
      <c r="BE906" s="1608"/>
      <c r="BF906" s="1608"/>
    </row>
    <row r="907" spans="1:58" ht="12.9" customHeight="1">
      <c r="C907" s="189" t="s">
        <v>1607</v>
      </c>
      <c r="D907" s="12"/>
      <c r="E907" s="1130"/>
      <c r="F907" s="1130"/>
      <c r="G907" s="1130"/>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130"/>
      <c r="AV907" s="54"/>
      <c r="AW907" s="54"/>
      <c r="AX907" s="54"/>
      <c r="AY907" s="54"/>
      <c r="AZ907" s="2"/>
      <c r="BB907" s="23"/>
      <c r="BC907" s="597"/>
      <c r="BD907" s="1580"/>
      <c r="BE907" s="1580"/>
      <c r="BF907" s="11"/>
    </row>
    <row r="908" spans="1:58" ht="12.9" customHeight="1">
      <c r="D908" s="12"/>
      <c r="E908" s="1180"/>
      <c r="F908" s="1180"/>
      <c r="G908" s="1180"/>
      <c r="H908" s="1180"/>
      <c r="I908" s="1180"/>
      <c r="J908" s="1180"/>
      <c r="K908" s="1180"/>
      <c r="L908" s="1180"/>
      <c r="M908" s="1180"/>
      <c r="N908" s="1180"/>
      <c r="O908" s="1180"/>
      <c r="P908" s="1180"/>
      <c r="Q908" s="1180"/>
      <c r="R908" s="1180"/>
      <c r="S908" s="1180"/>
      <c r="T908" s="1180"/>
      <c r="U908" s="1180"/>
      <c r="V908" s="1180"/>
      <c r="W908" s="1180"/>
      <c r="X908" s="1180"/>
      <c r="Y908" s="1180"/>
      <c r="Z908" s="1180"/>
      <c r="AA908" s="1180"/>
      <c r="AB908" s="1180"/>
      <c r="AC908" s="1180"/>
      <c r="AD908" s="1180"/>
      <c r="AE908" s="1180"/>
      <c r="AF908" s="1180"/>
      <c r="AG908" s="1180"/>
      <c r="AH908" s="1180"/>
      <c r="AI908" s="1180"/>
      <c r="AV908" s="54"/>
      <c r="AW908" s="54"/>
      <c r="AX908" s="54"/>
      <c r="AY908" s="54"/>
      <c r="AZ908" s="2"/>
      <c r="BB908" s="23"/>
      <c r="BC908" s="597"/>
      <c r="BD908" s="1581"/>
      <c r="BE908" s="1580"/>
      <c r="BF908" s="11"/>
    </row>
    <row r="909" spans="1:58" ht="12.9" customHeight="1">
      <c r="AZ909" s="2"/>
      <c r="BB909" s="23"/>
      <c r="BC909" s="597"/>
    </row>
    <row r="910" spans="1:58" ht="12.9" customHeight="1">
      <c r="A910" s="1491" t="s">
        <v>1608</v>
      </c>
      <c r="B910" s="1491"/>
      <c r="C910" s="1491"/>
      <c r="D910" s="1491"/>
      <c r="E910" s="1491"/>
      <c r="F910" s="1491"/>
      <c r="G910" s="1491"/>
      <c r="H910" s="1491"/>
      <c r="I910" s="1491"/>
      <c r="J910" s="1491"/>
      <c r="K910" s="1491"/>
      <c r="L910" s="1491"/>
      <c r="M910" s="1491"/>
      <c r="N910" s="1491"/>
      <c r="O910" s="1491"/>
      <c r="P910" s="1491"/>
      <c r="Q910" s="1491"/>
      <c r="R910" s="1491"/>
      <c r="S910" s="1491"/>
      <c r="T910" s="1491"/>
      <c r="U910" s="1491"/>
      <c r="V910" s="1491"/>
      <c r="W910" s="1491"/>
      <c r="X910" s="1491"/>
      <c r="Y910" s="1491"/>
      <c r="Z910" s="1491"/>
      <c r="AA910" s="1491"/>
      <c r="AB910" s="1491"/>
      <c r="AC910" s="1491"/>
      <c r="AD910" s="1491"/>
      <c r="AE910" s="1491"/>
      <c r="AF910" s="1491"/>
      <c r="AG910" s="1491"/>
      <c r="AH910" s="1491"/>
      <c r="AI910" s="1491"/>
      <c r="AJ910" s="1491"/>
      <c r="AK910" s="1491"/>
      <c r="AL910" s="1491"/>
      <c r="AM910" s="1491"/>
      <c r="AN910" s="1491"/>
      <c r="AO910" s="1491"/>
      <c r="AP910" s="1491"/>
      <c r="AQ910" s="1491"/>
      <c r="AR910" s="1491"/>
      <c r="AS910" s="1491"/>
      <c r="AT910" s="1491"/>
      <c r="AZ910" s="2"/>
      <c r="BA910" s="2"/>
      <c r="BB910" s="23"/>
      <c r="BC910" s="23"/>
      <c r="BD910" s="1581"/>
      <c r="BE910" s="1580"/>
      <c r="BF910" s="667"/>
    </row>
    <row r="911" spans="1:58" ht="12.9" customHeight="1">
      <c r="A911" s="1491"/>
      <c r="B911" s="1491"/>
      <c r="C911" s="1491"/>
      <c r="D911" s="1491"/>
      <c r="E911" s="1491"/>
      <c r="F911" s="1491"/>
      <c r="G911" s="1491"/>
      <c r="H911" s="1491"/>
      <c r="I911" s="1491"/>
      <c r="J911" s="1491"/>
      <c r="K911" s="1491"/>
      <c r="L911" s="1491"/>
      <c r="M911" s="1491"/>
      <c r="N911" s="1491"/>
      <c r="O911" s="1491"/>
      <c r="P911" s="1491"/>
      <c r="Q911" s="1491"/>
      <c r="R911" s="1491"/>
      <c r="S911" s="1491"/>
      <c r="T911" s="1491"/>
      <c r="U911" s="1491"/>
      <c r="V911" s="1491"/>
      <c r="W911" s="1491"/>
      <c r="X911" s="1491"/>
      <c r="Y911" s="1491"/>
      <c r="Z911" s="1491"/>
      <c r="AA911" s="1491"/>
      <c r="AB911" s="1491"/>
      <c r="AC911" s="1491"/>
      <c r="AD911" s="1491"/>
      <c r="AE911" s="1491"/>
      <c r="AF911" s="1491"/>
      <c r="AG911" s="1491"/>
      <c r="AH911" s="1491"/>
      <c r="AI911" s="1491"/>
      <c r="AJ911" s="1491"/>
      <c r="AK911" s="1491"/>
      <c r="AL911" s="1491"/>
      <c r="AM911" s="1491"/>
      <c r="AN911" s="1491"/>
      <c r="AO911" s="1491"/>
      <c r="AP911" s="1491"/>
      <c r="AQ911" s="1491"/>
      <c r="AR911" s="1491"/>
      <c r="AS911" s="1491"/>
      <c r="AT911" s="1491"/>
      <c r="AZ911" s="2"/>
      <c r="BA911" s="2"/>
      <c r="BB911" s="2"/>
      <c r="BC911" s="2"/>
      <c r="BD911" s="2"/>
      <c r="BE911" s="2"/>
      <c r="BF911" s="2"/>
    </row>
    <row r="912" spans="1:58" ht="12.9" customHeight="1">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A912" s="2"/>
      <c r="BB912" s="2"/>
      <c r="BC912" s="2"/>
      <c r="BD912" s="2"/>
      <c r="BE912" s="2"/>
      <c r="BF912" s="2"/>
    </row>
    <row r="913" spans="1:58" ht="12.9" customHeight="1">
      <c r="A913" s="1" t="s">
        <v>870</v>
      </c>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Z913" s="2"/>
      <c r="BB913" s="2"/>
      <c r="BC913" s="2"/>
      <c r="BD913" s="2"/>
      <c r="BE913" s="2"/>
      <c r="BF913" s="2"/>
    </row>
    <row r="914" spans="1:58" ht="12.9" customHeight="1">
      <c r="AZ914" s="2"/>
      <c r="BA914" s="2"/>
      <c r="BB914" s="2"/>
      <c r="BC914" s="2"/>
    </row>
    <row r="915" spans="1:58" ht="12.9" customHeight="1">
      <c r="F915" s="1653" t="s">
        <v>1609</v>
      </c>
      <c r="G915" s="1654"/>
      <c r="H915" s="1654"/>
      <c r="I915" s="1654"/>
      <c r="J915" s="1654"/>
      <c r="K915" s="1654"/>
      <c r="L915" s="1654"/>
      <c r="M915" s="1654"/>
      <c r="N915" s="1654"/>
      <c r="O915" s="1654"/>
      <c r="P915" s="1654"/>
      <c r="Q915" s="1654"/>
      <c r="R915" s="1654"/>
      <c r="S915" s="1654"/>
      <c r="T915" s="1655"/>
      <c r="U915" s="1696" t="s">
        <v>1610</v>
      </c>
      <c r="V915" s="1631"/>
      <c r="W915" s="1631"/>
      <c r="X915" s="1631"/>
      <c r="Y915" s="1631"/>
      <c r="Z915" s="1631"/>
      <c r="AA915" s="1166"/>
      <c r="AB915" s="168"/>
      <c r="AC915" s="168"/>
      <c r="AD915" s="168"/>
      <c r="AE915" s="168"/>
      <c r="AF915" s="1006"/>
      <c r="AZ915" s="2"/>
      <c r="BA915" s="2"/>
      <c r="BB915" s="2"/>
      <c r="BC915" s="2"/>
    </row>
    <row r="916" spans="1:58" ht="12.9" customHeight="1">
      <c r="B916" s="1"/>
      <c r="F916" s="1697" t="s">
        <v>1611</v>
      </c>
      <c r="G916" s="1698"/>
      <c r="H916" s="1698"/>
      <c r="I916" s="1698"/>
      <c r="J916" s="1698"/>
      <c r="K916" s="1698"/>
      <c r="L916" s="1698"/>
      <c r="M916" s="1698"/>
      <c r="N916" s="1698"/>
      <c r="O916" s="1698"/>
      <c r="P916" s="1698"/>
      <c r="Q916" s="1698"/>
      <c r="R916" s="1698"/>
      <c r="S916" s="1698"/>
      <c r="T916" s="1719"/>
      <c r="U916" s="1697"/>
      <c r="V916" s="1698"/>
      <c r="W916" s="1698"/>
      <c r="X916" s="1698"/>
      <c r="Y916" s="1698"/>
      <c r="Z916" s="1698"/>
      <c r="AA916" s="1167"/>
      <c r="AB916" s="2"/>
      <c r="AC916" s="2"/>
      <c r="AD916" s="2"/>
      <c r="AE916" s="2"/>
      <c r="AF916" s="1007"/>
      <c r="AZ916" s="2"/>
      <c r="BA916" s="2"/>
      <c r="BB916" s="2"/>
      <c r="BC916" s="2"/>
    </row>
    <row r="917" spans="1:58" ht="12.9" customHeight="1">
      <c r="B917" s="1"/>
      <c r="F917" s="1699"/>
      <c r="G917" s="1633"/>
      <c r="H917" s="1633"/>
      <c r="I917" s="1633"/>
      <c r="J917" s="1633"/>
      <c r="K917" s="1633"/>
      <c r="L917" s="1633"/>
      <c r="M917" s="1633"/>
      <c r="N917" s="1633"/>
      <c r="O917" s="1633"/>
      <c r="P917" s="1633"/>
      <c r="Q917" s="1633"/>
      <c r="R917" s="1633"/>
      <c r="S917" s="1633"/>
      <c r="T917" s="1634"/>
      <c r="U917" s="1699"/>
      <c r="V917" s="1633"/>
      <c r="W917" s="1633"/>
      <c r="X917" s="1633"/>
      <c r="Y917" s="1633"/>
      <c r="Z917" s="1633"/>
      <c r="AA917" s="659"/>
      <c r="AB917" s="1411" t="s">
        <v>1612</v>
      </c>
      <c r="AC917" s="1411"/>
      <c r="AD917" s="1411"/>
      <c r="AE917" s="1411"/>
      <c r="AF917" s="1008"/>
      <c r="AZ917" s="2"/>
      <c r="BA917" s="2"/>
      <c r="BB917" s="2"/>
      <c r="BC917" s="2"/>
    </row>
    <row r="918" spans="1:58" ht="12.9" customHeight="1">
      <c r="B918" s="1"/>
      <c r="F918" s="965" t="s">
        <v>1613</v>
      </c>
      <c r="G918" s="32"/>
      <c r="H918" s="32"/>
      <c r="I918" s="32"/>
      <c r="J918" s="32"/>
      <c r="K918" s="32"/>
      <c r="L918" s="32"/>
      <c r="M918" s="32"/>
      <c r="N918" s="32"/>
      <c r="O918" s="32"/>
      <c r="P918" s="32"/>
      <c r="Q918" s="32"/>
      <c r="R918" s="32"/>
      <c r="S918" s="32"/>
      <c r="T918" s="33"/>
      <c r="U918" s="1574" t="s">
        <v>694</v>
      </c>
      <c r="V918" s="1372"/>
      <c r="W918" s="1372"/>
      <c r="X918" s="1372"/>
      <c r="Y918" s="1372"/>
      <c r="Z918" s="1373"/>
      <c r="AA918" s="1650">
        <f>51523983-8000000</f>
        <v>43523983</v>
      </c>
      <c r="AB918" s="1478"/>
      <c r="AC918" s="1478"/>
      <c r="AD918" s="1478"/>
      <c r="AE918" s="1478"/>
      <c r="AF918" s="1579"/>
      <c r="AZ918" s="2"/>
      <c r="BA918" s="2"/>
      <c r="BB918" s="2"/>
      <c r="BC918" s="2"/>
    </row>
    <row r="919" spans="1:58" ht="12.9" customHeight="1">
      <c r="B919" s="1"/>
      <c r="F919" s="967" t="s">
        <v>1614</v>
      </c>
      <c r="G919" s="32"/>
      <c r="H919" s="32"/>
      <c r="I919" s="32"/>
      <c r="J919" s="32"/>
      <c r="K919" s="32"/>
      <c r="L919" s="32"/>
      <c r="M919" s="32"/>
      <c r="N919" s="32"/>
      <c r="O919" s="32"/>
      <c r="P919" s="32"/>
      <c r="Q919" s="32"/>
      <c r="R919" s="32"/>
      <c r="S919" s="32"/>
      <c r="T919" s="33"/>
      <c r="U919" s="1574" t="s">
        <v>694</v>
      </c>
      <c r="V919" s="1372"/>
      <c r="W919" s="1372"/>
      <c r="X919" s="1372"/>
      <c r="Y919" s="1372"/>
      <c r="Z919" s="1373"/>
      <c r="AA919" s="1578">
        <v>8736964</v>
      </c>
      <c r="AB919" s="1478"/>
      <c r="AC919" s="1478"/>
      <c r="AD919" s="1478"/>
      <c r="AE919" s="1478"/>
      <c r="AF919" s="1579"/>
      <c r="AZ919" s="2"/>
      <c r="BA919" s="2"/>
      <c r="BB919" s="2"/>
      <c r="BC919" s="2"/>
    </row>
    <row r="920" spans="1:58" ht="12.9" customHeight="1">
      <c r="F920" s="965" t="s">
        <v>1615</v>
      </c>
      <c r="G920" s="4"/>
      <c r="H920" s="4"/>
      <c r="I920" s="4"/>
      <c r="J920" s="4"/>
      <c r="K920" s="4"/>
      <c r="L920" s="4"/>
      <c r="M920" s="4"/>
      <c r="N920" s="4"/>
      <c r="O920" s="4"/>
      <c r="P920" s="4"/>
      <c r="Q920" s="4"/>
      <c r="R920" s="4"/>
      <c r="S920" s="4"/>
      <c r="T920" s="966"/>
      <c r="U920" s="1574" t="s">
        <v>809</v>
      </c>
      <c r="V920" s="1372"/>
      <c r="W920" s="1372"/>
      <c r="X920" s="1372"/>
      <c r="Y920" s="1372"/>
      <c r="Z920" s="1373"/>
      <c r="AA920" s="1578"/>
      <c r="AB920" s="1478"/>
      <c r="AC920" s="1478"/>
      <c r="AD920" s="1478"/>
      <c r="AE920" s="1478"/>
      <c r="AF920" s="1579"/>
      <c r="AZ920" s="2"/>
      <c r="BA920" s="2"/>
      <c r="BB920" s="2"/>
      <c r="BC920" s="2"/>
    </row>
    <row r="921" spans="1:58" ht="12.9" customHeight="1">
      <c r="F921" s="965" t="s">
        <v>1616</v>
      </c>
      <c r="G921" s="4"/>
      <c r="H921" s="4"/>
      <c r="I921" s="4"/>
      <c r="J921" s="4"/>
      <c r="K921" s="4"/>
      <c r="L921" s="4"/>
      <c r="M921" s="4"/>
      <c r="N921" s="4"/>
      <c r="O921" s="4"/>
      <c r="P921" s="4"/>
      <c r="Q921" s="4"/>
      <c r="R921" s="4"/>
      <c r="S921" s="4"/>
      <c r="T921" s="966"/>
      <c r="U921" s="1574" t="s">
        <v>809</v>
      </c>
      <c r="V921" s="1372"/>
      <c r="W921" s="1372"/>
      <c r="X921" s="1372"/>
      <c r="Y921" s="1372"/>
      <c r="Z921" s="1373"/>
      <c r="AA921" s="1578"/>
      <c r="AB921" s="1478"/>
      <c r="AC921" s="1478"/>
      <c r="AD921" s="1478"/>
      <c r="AE921" s="1478"/>
      <c r="AF921" s="1579"/>
      <c r="AZ921" s="2"/>
      <c r="BA921" s="2"/>
      <c r="BB921" s="2"/>
      <c r="BC921" s="2"/>
    </row>
    <row r="922" spans="1:58" ht="12.9" customHeight="1">
      <c r="F922" s="967" t="s">
        <v>1617</v>
      </c>
      <c r="G922" s="4"/>
      <c r="H922" s="4"/>
      <c r="I922" s="4"/>
      <c r="J922" s="4"/>
      <c r="K922" s="4"/>
      <c r="L922" s="4"/>
      <c r="M922" s="4"/>
      <c r="N922" s="4"/>
      <c r="O922" s="4"/>
      <c r="P922" s="4"/>
      <c r="Q922" s="4"/>
      <c r="R922" s="4"/>
      <c r="S922" s="4"/>
      <c r="T922" s="966"/>
      <c r="U922" s="1574" t="s">
        <v>809</v>
      </c>
      <c r="V922" s="1372"/>
      <c r="W922" s="1372"/>
      <c r="X922" s="1372"/>
      <c r="Y922" s="1372"/>
      <c r="Z922" s="1373"/>
      <c r="AA922" s="1578"/>
      <c r="AB922" s="1478"/>
      <c r="AC922" s="1478"/>
      <c r="AD922" s="1478"/>
      <c r="AE922" s="1478"/>
      <c r="AF922" s="1579"/>
      <c r="AZ922" s="2"/>
      <c r="BA922" s="2"/>
      <c r="BB922" s="2"/>
      <c r="BC922" s="2"/>
    </row>
    <row r="923" spans="1:58" ht="12.9" customHeight="1">
      <c r="F923" s="967" t="s">
        <v>1618</v>
      </c>
      <c r="G923" s="4"/>
      <c r="H923" s="4"/>
      <c r="I923" s="4"/>
      <c r="J923" s="4"/>
      <c r="K923" s="4"/>
      <c r="L923" s="4"/>
      <c r="M923" s="4"/>
      <c r="N923" s="4"/>
      <c r="O923" s="4"/>
      <c r="P923" s="4"/>
      <c r="Q923" s="4"/>
      <c r="R923" s="4"/>
      <c r="S923" s="4"/>
      <c r="T923" s="966"/>
      <c r="U923" s="1574" t="s">
        <v>809</v>
      </c>
      <c r="V923" s="1372"/>
      <c r="W923" s="1372"/>
      <c r="X923" s="1372"/>
      <c r="Y923" s="1372"/>
      <c r="Z923" s="1373"/>
      <c r="AA923" s="1578"/>
      <c r="AB923" s="1478"/>
      <c r="AC923" s="1478"/>
      <c r="AD923" s="1478"/>
      <c r="AE923" s="1478"/>
      <c r="AF923" s="1579"/>
      <c r="AZ923" s="2"/>
      <c r="BA923" s="2"/>
      <c r="BB923" s="2"/>
      <c r="BC923" s="2"/>
    </row>
    <row r="924" spans="1:58" ht="12.9" customHeight="1">
      <c r="F924" s="967" t="s">
        <v>1619</v>
      </c>
      <c r="G924" s="4"/>
      <c r="H924" s="4"/>
      <c r="I924" s="4"/>
      <c r="J924" s="4"/>
      <c r="K924" s="4"/>
      <c r="L924" s="4"/>
      <c r="M924" s="4"/>
      <c r="N924" s="4"/>
      <c r="O924" s="4"/>
      <c r="P924" s="4"/>
      <c r="Q924" s="4"/>
      <c r="R924" s="4"/>
      <c r="S924" s="4"/>
      <c r="T924" s="966"/>
      <c r="U924" s="1574" t="s">
        <v>809</v>
      </c>
      <c r="V924" s="1372"/>
      <c r="W924" s="1372"/>
      <c r="X924" s="1372"/>
      <c r="Y924" s="1372"/>
      <c r="Z924" s="1373"/>
      <c r="AA924" s="1578"/>
      <c r="AB924" s="1478"/>
      <c r="AC924" s="1478"/>
      <c r="AD924" s="1478"/>
      <c r="AE924" s="1478"/>
      <c r="AF924" s="1579"/>
      <c r="AZ924" s="2"/>
      <c r="BA924" s="2"/>
      <c r="BB924" s="2"/>
      <c r="BC924" s="2"/>
    </row>
    <row r="925" spans="1:58" ht="12.9" customHeight="1">
      <c r="F925" s="965" t="s">
        <v>1620</v>
      </c>
      <c r="G925" s="4"/>
      <c r="H925" s="4"/>
      <c r="I925" s="4"/>
      <c r="J925" s="4"/>
      <c r="K925" s="4"/>
      <c r="L925" s="4"/>
      <c r="M925" s="4"/>
      <c r="N925" s="4"/>
      <c r="O925" s="4"/>
      <c r="P925" s="4"/>
      <c r="Q925" s="4"/>
      <c r="R925" s="4"/>
      <c r="S925" s="4"/>
      <c r="T925" s="966"/>
      <c r="U925" s="1574" t="s">
        <v>809</v>
      </c>
      <c r="V925" s="1372"/>
      <c r="W925" s="1372"/>
      <c r="X925" s="1372"/>
      <c r="Y925" s="1372"/>
      <c r="Z925" s="1373"/>
      <c r="AA925" s="1578"/>
      <c r="AB925" s="1478"/>
      <c r="AC925" s="1478"/>
      <c r="AD925" s="1478"/>
      <c r="AE925" s="1478"/>
      <c r="AF925" s="1579"/>
      <c r="AZ925" s="2"/>
      <c r="BA925" s="2"/>
      <c r="BB925" s="2"/>
      <c r="BC925" s="2"/>
    </row>
    <row r="926" spans="1:58" ht="12.9" customHeight="1">
      <c r="F926" s="1571" t="s">
        <v>1621</v>
      </c>
      <c r="G926" s="1572"/>
      <c r="H926" s="1572"/>
      <c r="I926" s="1572"/>
      <c r="J926" s="1572"/>
      <c r="K926" s="1572"/>
      <c r="L926" s="1572"/>
      <c r="M926" s="1572"/>
      <c r="N926" s="1572"/>
      <c r="O926" s="1572"/>
      <c r="P926" s="1572"/>
      <c r="Q926" s="1572"/>
      <c r="R926" s="1572"/>
      <c r="S926" s="1572"/>
      <c r="T926" s="1573"/>
      <c r="U926" s="1574" t="s">
        <v>809</v>
      </c>
      <c r="V926" s="1372"/>
      <c r="W926" s="1372"/>
      <c r="X926" s="1372"/>
      <c r="Y926" s="1372"/>
      <c r="Z926" s="1373"/>
      <c r="AA926" s="1578"/>
      <c r="AB926" s="1478"/>
      <c r="AC926" s="1478"/>
      <c r="AD926" s="1478"/>
      <c r="AE926" s="1478"/>
      <c r="AF926" s="1579"/>
      <c r="AZ926" s="2"/>
      <c r="BA926" s="2"/>
      <c r="BB926" s="2"/>
      <c r="BC926" s="2"/>
    </row>
    <row r="927" spans="1:58" ht="12.9" customHeight="1">
      <c r="F927" s="1571" t="s">
        <v>1622</v>
      </c>
      <c r="G927" s="1572"/>
      <c r="H927" s="1572"/>
      <c r="I927" s="1572"/>
      <c r="J927" s="1572"/>
      <c r="K927" s="1572"/>
      <c r="L927" s="1572"/>
      <c r="M927" s="1572"/>
      <c r="N927" s="1572"/>
      <c r="O927" s="1572"/>
      <c r="P927" s="1572"/>
      <c r="Q927" s="1572"/>
      <c r="R927" s="1572"/>
      <c r="S927" s="1572"/>
      <c r="T927" s="1573"/>
      <c r="U927" s="1574" t="s">
        <v>809</v>
      </c>
      <c r="V927" s="1372"/>
      <c r="W927" s="1372"/>
      <c r="X927" s="1372"/>
      <c r="Y927" s="1372"/>
      <c r="Z927" s="1373"/>
      <c r="AA927" s="1578"/>
      <c r="AB927" s="1478"/>
      <c r="AC927" s="1478"/>
      <c r="AD927" s="1478"/>
      <c r="AE927" s="1478"/>
      <c r="AF927" s="1579"/>
      <c r="AU927" s="1"/>
      <c r="AZ927" s="2"/>
      <c r="BA927" s="2"/>
      <c r="BB927" s="2"/>
      <c r="BC927" s="2"/>
    </row>
    <row r="928" spans="1:58" ht="12.9" customHeight="1">
      <c r="F928" s="1571" t="s">
        <v>1623</v>
      </c>
      <c r="G928" s="1572"/>
      <c r="H928" s="1572"/>
      <c r="I928" s="1572"/>
      <c r="J928" s="1572"/>
      <c r="K928" s="1572"/>
      <c r="L928" s="1572"/>
      <c r="M928" s="1572"/>
      <c r="N928" s="1572"/>
      <c r="O928" s="1572"/>
      <c r="P928" s="1572"/>
      <c r="Q928" s="1572"/>
      <c r="R928" s="1572"/>
      <c r="S928" s="1572"/>
      <c r="T928" s="1573"/>
      <c r="U928" s="1574" t="s">
        <v>809</v>
      </c>
      <c r="V928" s="1372"/>
      <c r="W928" s="1372"/>
      <c r="X928" s="1372"/>
      <c r="Y928" s="1372"/>
      <c r="Z928" s="1373"/>
      <c r="AA928" s="1578"/>
      <c r="AB928" s="1478"/>
      <c r="AC928" s="1478"/>
      <c r="AD928" s="1478"/>
      <c r="AE928" s="1478"/>
      <c r="AF928" s="1579"/>
      <c r="AU928" s="1"/>
      <c r="AZ928" s="2"/>
      <c r="BA928" s="2"/>
      <c r="BB928" s="2"/>
      <c r="BC928" s="2"/>
    </row>
    <row r="929" spans="6:55" ht="12.9" customHeight="1">
      <c r="F929" s="1571" t="s">
        <v>1624</v>
      </c>
      <c r="G929" s="1572"/>
      <c r="H929" s="1572"/>
      <c r="I929" s="1572"/>
      <c r="J929" s="1572"/>
      <c r="K929" s="1572"/>
      <c r="L929" s="1572"/>
      <c r="M929" s="1572"/>
      <c r="N929" s="1572"/>
      <c r="O929" s="1572"/>
      <c r="P929" s="1572"/>
      <c r="Q929" s="1572"/>
      <c r="R929" s="1572"/>
      <c r="S929" s="1572"/>
      <c r="T929" s="1573"/>
      <c r="U929" s="1574" t="s">
        <v>809</v>
      </c>
      <c r="V929" s="1372"/>
      <c r="W929" s="1372"/>
      <c r="X929" s="1372"/>
      <c r="Y929" s="1372"/>
      <c r="Z929" s="1373"/>
      <c r="AA929" s="1578"/>
      <c r="AB929" s="1478"/>
      <c r="AC929" s="1478"/>
      <c r="AD929" s="1478"/>
      <c r="AE929" s="1478"/>
      <c r="AF929" s="1579"/>
      <c r="AU929" s="1"/>
      <c r="AZ929" s="2"/>
      <c r="BA929" s="2"/>
      <c r="BB929" s="2"/>
      <c r="BC929" s="2"/>
    </row>
    <row r="930" spans="6:55" ht="12.9" customHeight="1">
      <c r="F930" s="1571" t="s">
        <v>1625</v>
      </c>
      <c r="G930" s="1572"/>
      <c r="H930" s="1572"/>
      <c r="I930" s="1572"/>
      <c r="J930" s="1572"/>
      <c r="K930" s="1572"/>
      <c r="L930" s="1572"/>
      <c r="M930" s="1572"/>
      <c r="N930" s="1572"/>
      <c r="O930" s="1572"/>
      <c r="P930" s="1572"/>
      <c r="Q930" s="1572"/>
      <c r="R930" s="1572"/>
      <c r="S930" s="1572"/>
      <c r="T930" s="1573"/>
      <c r="U930" s="1574" t="s">
        <v>809</v>
      </c>
      <c r="V930" s="1372"/>
      <c r="W930" s="1372"/>
      <c r="X930" s="1372"/>
      <c r="Y930" s="1372"/>
      <c r="Z930" s="1373"/>
      <c r="AA930" s="1578"/>
      <c r="AB930" s="1478"/>
      <c r="AC930" s="1478"/>
      <c r="AD930" s="1478"/>
      <c r="AE930" s="1478"/>
      <c r="AF930" s="1579"/>
      <c r="AU930" s="1"/>
      <c r="AZ930" s="2"/>
      <c r="BA930" s="2"/>
      <c r="BB930" s="2"/>
      <c r="BC930" s="2"/>
    </row>
    <row r="931" spans="6:55" ht="12.9" customHeight="1">
      <c r="F931" s="1571" t="s">
        <v>1626</v>
      </c>
      <c r="G931" s="1572"/>
      <c r="H931" s="1572"/>
      <c r="I931" s="1572"/>
      <c r="J931" s="1572"/>
      <c r="K931" s="1572"/>
      <c r="L931" s="1572"/>
      <c r="M931" s="1572"/>
      <c r="N931" s="1572"/>
      <c r="O931" s="1572"/>
      <c r="P931" s="1572"/>
      <c r="Q931" s="1572"/>
      <c r="R931" s="1572"/>
      <c r="S931" s="1572"/>
      <c r="T931" s="1573"/>
      <c r="U931" s="1574" t="s">
        <v>809</v>
      </c>
      <c r="V931" s="1372"/>
      <c r="W931" s="1372"/>
      <c r="X931" s="1372"/>
      <c r="Y931" s="1372"/>
      <c r="Z931" s="1373"/>
      <c r="AA931" s="1578"/>
      <c r="AB931" s="1478"/>
      <c r="AC931" s="1478"/>
      <c r="AD931" s="1478"/>
      <c r="AE931" s="1478"/>
      <c r="AF931" s="1579"/>
      <c r="AU931" s="1"/>
      <c r="AZ931" s="2"/>
      <c r="BA931" s="2"/>
      <c r="BB931" s="2"/>
      <c r="BC931" s="2"/>
    </row>
    <row r="932" spans="6:55" ht="12.9" customHeight="1">
      <c r="F932" s="1571" t="s">
        <v>1627</v>
      </c>
      <c r="G932" s="1572"/>
      <c r="H932" s="1572"/>
      <c r="I932" s="1572"/>
      <c r="J932" s="1572"/>
      <c r="K932" s="1572"/>
      <c r="L932" s="1572"/>
      <c r="M932" s="1572"/>
      <c r="N932" s="1572"/>
      <c r="O932" s="1572"/>
      <c r="P932" s="1572"/>
      <c r="Q932" s="1572"/>
      <c r="R932" s="1572"/>
      <c r="S932" s="1572"/>
      <c r="T932" s="1573"/>
      <c r="U932" s="1574" t="s">
        <v>809</v>
      </c>
      <c r="V932" s="1372"/>
      <c r="W932" s="1372"/>
      <c r="X932" s="1372"/>
      <c r="Y932" s="1372"/>
      <c r="Z932" s="1373"/>
      <c r="AA932" s="1578"/>
      <c r="AB932" s="1478"/>
      <c r="AC932" s="1478"/>
      <c r="AD932" s="1478"/>
      <c r="AE932" s="1478"/>
      <c r="AF932" s="1579"/>
      <c r="AZ932" s="23"/>
      <c r="BA932" s="23"/>
    </row>
    <row r="933" spans="6:55" ht="12.9" customHeight="1">
      <c r="F933" s="94" t="s">
        <v>1628</v>
      </c>
      <c r="G933" s="4"/>
      <c r="H933" s="4"/>
      <c r="I933" s="4"/>
      <c r="J933" s="4"/>
      <c r="K933" s="4"/>
      <c r="L933" s="4"/>
      <c r="M933" s="4"/>
      <c r="N933" s="4"/>
      <c r="O933" s="4"/>
      <c r="P933" s="4"/>
      <c r="Q933" s="4"/>
      <c r="R933" s="4"/>
      <c r="S933" s="4"/>
      <c r="T933" s="966"/>
      <c r="U933" s="1574" t="s">
        <v>809</v>
      </c>
      <c r="V933" s="1372"/>
      <c r="W933" s="1372"/>
      <c r="X933" s="1372"/>
      <c r="Y933" s="1372"/>
      <c r="Z933" s="1373"/>
      <c r="AA933" s="1578"/>
      <c r="AB933" s="1478"/>
      <c r="AC933" s="1478"/>
      <c r="AD933" s="1478"/>
      <c r="AE933" s="1478"/>
      <c r="AF933" s="1579"/>
    </row>
    <row r="934" spans="6:55" ht="12.9" customHeight="1">
      <c r="F934" s="967" t="s">
        <v>1629</v>
      </c>
      <c r="G934" s="4"/>
      <c r="H934" s="4"/>
      <c r="I934" s="4"/>
      <c r="J934" s="4"/>
      <c r="K934" s="4"/>
      <c r="L934" s="4"/>
      <c r="M934" s="4"/>
      <c r="N934" s="4"/>
      <c r="O934" s="4"/>
      <c r="P934" s="4"/>
      <c r="Q934" s="4"/>
      <c r="R934" s="4"/>
      <c r="S934" s="4"/>
      <c r="T934" s="966"/>
      <c r="U934" s="1574" t="s">
        <v>809</v>
      </c>
      <c r="V934" s="1372"/>
      <c r="W934" s="1372"/>
      <c r="X934" s="1372"/>
      <c r="Y934" s="1372"/>
      <c r="Z934" s="1373"/>
      <c r="AA934" s="1578"/>
      <c r="AB934" s="1478"/>
      <c r="AC934" s="1478"/>
      <c r="AD934" s="1478"/>
      <c r="AE934" s="1478"/>
      <c r="AF934" s="1579"/>
      <c r="AZ934" s="23"/>
      <c r="BA934" s="11"/>
    </row>
    <row r="935" spans="6:55" ht="12.9" customHeight="1">
      <c r="F935" s="967" t="s">
        <v>1630</v>
      </c>
      <c r="G935" s="4"/>
      <c r="H935" s="4"/>
      <c r="I935" s="4"/>
      <c r="J935" s="4"/>
      <c r="K935" s="4"/>
      <c r="L935" s="4"/>
      <c r="M935" s="4"/>
      <c r="N935" s="4"/>
      <c r="O935" s="4"/>
      <c r="P935" s="4"/>
      <c r="Q935" s="4"/>
      <c r="R935" s="4"/>
      <c r="S935" s="4"/>
      <c r="T935" s="966"/>
      <c r="U935" s="1574" t="s">
        <v>809</v>
      </c>
      <c r="V935" s="1372"/>
      <c r="W935" s="1372"/>
      <c r="X935" s="1372"/>
      <c r="Y935" s="1372"/>
      <c r="Z935" s="1373"/>
      <c r="AA935" s="1578"/>
      <c r="AB935" s="1478"/>
      <c r="AC935" s="1478"/>
      <c r="AD935" s="1478"/>
      <c r="AE935" s="1478"/>
      <c r="AF935" s="1579"/>
      <c r="AZ935" s="23"/>
      <c r="BA935" s="11"/>
    </row>
    <row r="936" spans="6:55" ht="12.9" customHeight="1">
      <c r="F936" s="1575" t="s">
        <v>1631</v>
      </c>
      <c r="G936" s="1576"/>
      <c r="H936" s="1576"/>
      <c r="I936" s="1576"/>
      <c r="J936" s="1576"/>
      <c r="K936" s="1576"/>
      <c r="L936" s="1576"/>
      <c r="M936" s="1576"/>
      <c r="N936" s="1576"/>
      <c r="O936" s="1576"/>
      <c r="P936" s="1576"/>
      <c r="Q936" s="1576"/>
      <c r="R936" s="1576"/>
      <c r="S936" s="1576"/>
      <c r="T936" s="1577"/>
      <c r="U936" s="1574" t="s">
        <v>809</v>
      </c>
      <c r="V936" s="1372"/>
      <c r="W936" s="1372"/>
      <c r="X936" s="1372"/>
      <c r="Y936" s="1372"/>
      <c r="Z936" s="1373"/>
      <c r="AA936" s="1578"/>
      <c r="AB936" s="1478"/>
      <c r="AC936" s="1478"/>
      <c r="AD936" s="1478"/>
      <c r="AE936" s="1478"/>
      <c r="AF936" s="1579"/>
      <c r="AZ936" s="23"/>
      <c r="BA936" s="11"/>
    </row>
    <row r="937" spans="6:55" ht="12.9" customHeight="1">
      <c r="F937" s="1575" t="s">
        <v>1632</v>
      </c>
      <c r="G937" s="1576"/>
      <c r="H937" s="1576"/>
      <c r="I937" s="1576"/>
      <c r="J937" s="1576"/>
      <c r="K937" s="1576"/>
      <c r="L937" s="1576"/>
      <c r="M937" s="1576"/>
      <c r="N937" s="1576"/>
      <c r="O937" s="1576"/>
      <c r="P937" s="1576"/>
      <c r="Q937" s="1576"/>
      <c r="R937" s="1576"/>
      <c r="S937" s="1576"/>
      <c r="T937" s="1577"/>
      <c r="U937" s="1574" t="s">
        <v>809</v>
      </c>
      <c r="V937" s="1372"/>
      <c r="W937" s="1372"/>
      <c r="X937" s="1372"/>
      <c r="Y937" s="1372"/>
      <c r="Z937" s="1373"/>
      <c r="AA937" s="1578"/>
      <c r="AB937" s="1478"/>
      <c r="AC937" s="1478"/>
      <c r="AD937" s="1478"/>
      <c r="AE937" s="1478"/>
      <c r="AF937" s="1579"/>
      <c r="AZ937" s="23"/>
      <c r="BA937" s="23"/>
    </row>
    <row r="938" spans="6:55" ht="12.9" customHeight="1">
      <c r="F938" s="1571" t="s">
        <v>1633</v>
      </c>
      <c r="G938" s="1572"/>
      <c r="H938" s="1572"/>
      <c r="I938" s="1572"/>
      <c r="J938" s="1572"/>
      <c r="K938" s="1572"/>
      <c r="L938" s="1572"/>
      <c r="M938" s="1572"/>
      <c r="N938" s="1572"/>
      <c r="O938" s="1572"/>
      <c r="P938" s="1572"/>
      <c r="Q938" s="1572"/>
      <c r="R938" s="1572"/>
      <c r="S938" s="1572"/>
      <c r="T938" s="1573"/>
      <c r="U938" s="1574" t="s">
        <v>809</v>
      </c>
      <c r="V938" s="1372"/>
      <c r="W938" s="1372"/>
      <c r="X938" s="1372"/>
      <c r="Y938" s="1372"/>
      <c r="Z938" s="1373"/>
      <c r="AA938" s="1578"/>
      <c r="AB938" s="1478"/>
      <c r="AC938" s="1478"/>
      <c r="AD938" s="1478"/>
      <c r="AE938" s="1478"/>
      <c r="AF938" s="1579"/>
      <c r="AZ938" s="23"/>
      <c r="BA938" s="23"/>
    </row>
    <row r="939" spans="6:55" ht="12.9" customHeight="1">
      <c r="F939" s="1571" t="s">
        <v>1634</v>
      </c>
      <c r="G939" s="1572"/>
      <c r="H939" s="1572"/>
      <c r="I939" s="1572"/>
      <c r="J939" s="1572"/>
      <c r="K939" s="1572"/>
      <c r="L939" s="1572"/>
      <c r="M939" s="1572"/>
      <c r="N939" s="1572"/>
      <c r="O939" s="1572"/>
      <c r="P939" s="1572"/>
      <c r="Q939" s="1572"/>
      <c r="R939" s="1572"/>
      <c r="S939" s="1572"/>
      <c r="T939" s="1573"/>
      <c r="U939" s="1574" t="s">
        <v>809</v>
      </c>
      <c r="V939" s="1372"/>
      <c r="W939" s="1372"/>
      <c r="X939" s="1372"/>
      <c r="Y939" s="1372"/>
      <c r="Z939" s="1373"/>
      <c r="AA939" s="1578"/>
      <c r="AB939" s="1478"/>
      <c r="AC939" s="1478"/>
      <c r="AD939" s="1478"/>
      <c r="AE939" s="1478"/>
      <c r="AF939" s="1579"/>
      <c r="AZ939" s="23"/>
      <c r="BA939" s="23"/>
    </row>
    <row r="940" spans="6:55" ht="12.9" customHeight="1">
      <c r="F940" s="1571" t="s">
        <v>1635</v>
      </c>
      <c r="G940" s="1572"/>
      <c r="H940" s="1572"/>
      <c r="I940" s="1572"/>
      <c r="J940" s="1572"/>
      <c r="K940" s="1572"/>
      <c r="L940" s="1572"/>
      <c r="M940" s="1572"/>
      <c r="N940" s="1572"/>
      <c r="O940" s="1572"/>
      <c r="P940" s="1572"/>
      <c r="Q940" s="1572"/>
      <c r="R940" s="1572"/>
      <c r="S940" s="1572"/>
      <c r="T940" s="1573"/>
      <c r="U940" s="1574" t="s">
        <v>809</v>
      </c>
      <c r="V940" s="1372"/>
      <c r="W940" s="1372"/>
      <c r="X940" s="1372"/>
      <c r="Y940" s="1372"/>
      <c r="Z940" s="1373"/>
      <c r="AA940" s="1578"/>
      <c r="AB940" s="1478"/>
      <c r="AC940" s="1478"/>
      <c r="AD940" s="1478"/>
      <c r="AE940" s="1478"/>
      <c r="AF940" s="1579"/>
      <c r="AZ940" s="2"/>
      <c r="BA940" s="2"/>
      <c r="BB940" s="11"/>
      <c r="BC940" s="11"/>
    </row>
    <row r="941" spans="6:55" ht="12.9" customHeight="1">
      <c r="F941" s="967" t="s">
        <v>1636</v>
      </c>
      <c r="G941" s="4"/>
      <c r="H941" s="4"/>
      <c r="I941" s="4"/>
      <c r="J941" s="4"/>
      <c r="K941" s="4"/>
      <c r="L941" s="4"/>
      <c r="M941" s="4"/>
      <c r="N941" s="4"/>
      <c r="O941" s="4"/>
      <c r="P941" s="4"/>
      <c r="Q941" s="4"/>
      <c r="R941" s="4"/>
      <c r="S941" s="4"/>
      <c r="T941" s="966"/>
      <c r="U941" s="1574" t="s">
        <v>809</v>
      </c>
      <c r="V941" s="1372"/>
      <c r="W941" s="1372"/>
      <c r="X941" s="1372"/>
      <c r="Y941" s="1372"/>
      <c r="Z941" s="1373"/>
      <c r="AA941" s="1578"/>
      <c r="AB941" s="1478"/>
      <c r="AC941" s="1478"/>
      <c r="AD941" s="1478"/>
      <c r="AE941" s="1478"/>
      <c r="AF941" s="1579"/>
      <c r="AZ941" s="2"/>
      <c r="BA941" s="2"/>
      <c r="BB941" s="11"/>
      <c r="BC941" s="11"/>
    </row>
    <row r="942" spans="6:55" ht="12.9" customHeight="1">
      <c r="F942" s="1575" t="s">
        <v>1637</v>
      </c>
      <c r="G942" s="1576"/>
      <c r="H942" s="1576"/>
      <c r="I942" s="1576"/>
      <c r="J942" s="1576"/>
      <c r="K942" s="1576"/>
      <c r="L942" s="1576"/>
      <c r="M942" s="1576"/>
      <c r="N942" s="1576"/>
      <c r="O942" s="1576"/>
      <c r="P942" s="1576"/>
      <c r="Q942" s="1576"/>
      <c r="R942" s="1576"/>
      <c r="S942" s="1576"/>
      <c r="T942" s="1577"/>
      <c r="U942" s="1574" t="s">
        <v>809</v>
      </c>
      <c r="V942" s="1372"/>
      <c r="W942" s="1372"/>
      <c r="X942" s="1372"/>
      <c r="Y942" s="1372"/>
      <c r="Z942" s="1373"/>
      <c r="AA942" s="1578"/>
      <c r="AB942" s="1478"/>
      <c r="AC942" s="1478"/>
      <c r="AD942" s="1478"/>
      <c r="AE942" s="1478"/>
      <c r="AF942" s="1579"/>
      <c r="AZ942" s="2"/>
      <c r="BA942" s="2"/>
      <c r="BB942" s="2"/>
      <c r="BC942" s="2"/>
    </row>
    <row r="943" spans="6:55" ht="12.9" customHeight="1">
      <c r="F943" s="967" t="s">
        <v>1638</v>
      </c>
      <c r="G943" s="4"/>
      <c r="H943" s="4"/>
      <c r="I943" s="4"/>
      <c r="J943" s="4"/>
      <c r="K943" s="4"/>
      <c r="L943" s="4"/>
      <c r="M943" s="4"/>
      <c r="N943" s="4"/>
      <c r="O943" s="4"/>
      <c r="P943" s="4"/>
      <c r="Q943" s="4"/>
      <c r="R943" s="4"/>
      <c r="S943" s="4"/>
      <c r="T943" s="966"/>
      <c r="U943" s="1574" t="s">
        <v>809</v>
      </c>
      <c r="V943" s="1372"/>
      <c r="W943" s="1372"/>
      <c r="X943" s="1372"/>
      <c r="Y943" s="1372"/>
      <c r="Z943" s="1373"/>
      <c r="AA943" s="1578"/>
      <c r="AB943" s="1478"/>
      <c r="AC943" s="1478"/>
      <c r="AD943" s="1478"/>
      <c r="AE943" s="1478"/>
      <c r="AF943" s="1579"/>
      <c r="AZ943" s="2"/>
      <c r="BA943" s="2"/>
      <c r="BB943" s="2"/>
      <c r="BC943" s="2"/>
    </row>
    <row r="944" spans="6:55" ht="12.9" customHeight="1">
      <c r="F944" s="1575" t="s">
        <v>1639</v>
      </c>
      <c r="G944" s="1576"/>
      <c r="H944" s="1576"/>
      <c r="I944" s="1576"/>
      <c r="J944" s="1576"/>
      <c r="K944" s="1576"/>
      <c r="L944" s="1576"/>
      <c r="M944" s="1576"/>
      <c r="N944" s="1576"/>
      <c r="O944" s="1576"/>
      <c r="P944" s="1576"/>
      <c r="Q944" s="1576"/>
      <c r="R944" s="1576"/>
      <c r="S944" s="1576"/>
      <c r="T944" s="1577"/>
      <c r="U944" s="1574" t="s">
        <v>809</v>
      </c>
      <c r="V944" s="1372"/>
      <c r="W944" s="1372"/>
      <c r="X944" s="1372"/>
      <c r="Y944" s="1372"/>
      <c r="Z944" s="1373"/>
      <c r="AA944" s="1578"/>
      <c r="AB944" s="1478"/>
      <c r="AC944" s="1478"/>
      <c r="AD944" s="1478"/>
      <c r="AE944" s="1478"/>
      <c r="AF944" s="1579"/>
      <c r="AZ944" s="2"/>
      <c r="BA944" s="2"/>
      <c r="BB944" s="2"/>
      <c r="BC944" s="2"/>
    </row>
    <row r="945" spans="1:55" ht="12.9" customHeight="1">
      <c r="F945" s="965" t="s">
        <v>1640</v>
      </c>
      <c r="G945" s="4"/>
      <c r="H945" s="4"/>
      <c r="I945" s="4"/>
      <c r="J945" s="4"/>
      <c r="K945" s="4"/>
      <c r="L945" s="4"/>
      <c r="M945" s="4"/>
      <c r="N945" s="4"/>
      <c r="O945" s="4"/>
      <c r="P945" s="1574" t="s">
        <v>843</v>
      </c>
      <c r="Q945" s="1372"/>
      <c r="R945" s="1372"/>
      <c r="S945" s="1372"/>
      <c r="T945" s="1373"/>
      <c r="U945" s="1574" t="s">
        <v>809</v>
      </c>
      <c r="V945" s="1372"/>
      <c r="W945" s="1372"/>
      <c r="X945" s="1372"/>
      <c r="Y945" s="1372"/>
      <c r="Z945" s="1373"/>
      <c r="AA945" s="1578"/>
      <c r="AB945" s="1478"/>
      <c r="AC945" s="1478"/>
      <c r="AD945" s="1478"/>
      <c r="AE945" s="1478"/>
      <c r="AF945" s="1579"/>
      <c r="AZ945" s="2"/>
      <c r="BA945" s="2"/>
      <c r="BB945" s="2"/>
      <c r="BC945" s="2"/>
    </row>
    <row r="946" spans="1:55" ht="12.9" customHeight="1">
      <c r="F946" s="1571" t="s">
        <v>1641</v>
      </c>
      <c r="G946" s="1572"/>
      <c r="H946" s="1573"/>
      <c r="I946" s="1588" t="s">
        <v>1642</v>
      </c>
      <c r="J946" s="1589"/>
      <c r="K946" s="1589"/>
      <c r="L946" s="1589"/>
      <c r="M946" s="1589"/>
      <c r="N946" s="1589"/>
      <c r="O946" s="1589"/>
      <c r="P946" s="1589"/>
      <c r="Q946" s="1589"/>
      <c r="R946" s="1589"/>
      <c r="S946" s="1589"/>
      <c r="T946" s="1590"/>
      <c r="U946" s="1574" t="s">
        <v>694</v>
      </c>
      <c r="V946" s="1372"/>
      <c r="W946" s="1372"/>
      <c r="X946" s="1372"/>
      <c r="Y946" s="1372"/>
      <c r="Z946" s="1373"/>
      <c r="AA946" s="1578">
        <v>38604472</v>
      </c>
      <c r="AB946" s="1478"/>
      <c r="AC946" s="1478"/>
      <c r="AD946" s="1478"/>
      <c r="AE946" s="1478"/>
      <c r="AF946" s="1579"/>
      <c r="AZ946" s="2"/>
      <c r="BA946" s="2"/>
      <c r="BB946" s="2"/>
      <c r="BC946" s="2"/>
    </row>
    <row r="947" spans="1:55" ht="12.9" customHeight="1">
      <c r="F947" s="965" t="s">
        <v>1065</v>
      </c>
      <c r="G947" s="32"/>
      <c r="H947" s="32"/>
      <c r="I947" s="1588" t="s">
        <v>1642</v>
      </c>
      <c r="J947" s="1589"/>
      <c r="K947" s="1589"/>
      <c r="L947" s="1589"/>
      <c r="M947" s="1589"/>
      <c r="N947" s="1589"/>
      <c r="O947" s="1589"/>
      <c r="P947" s="1589"/>
      <c r="Q947" s="1589"/>
      <c r="R947" s="1589"/>
      <c r="S947" s="1589"/>
      <c r="T947" s="1590"/>
      <c r="U947" s="1574" t="s">
        <v>694</v>
      </c>
      <c r="V947" s="1372"/>
      <c r="W947" s="1372"/>
      <c r="X947" s="1372"/>
      <c r="Y947" s="1372"/>
      <c r="Z947" s="1373"/>
      <c r="AA947" s="1578">
        <v>23040000</v>
      </c>
      <c r="AB947" s="1478"/>
      <c r="AC947" s="1478"/>
      <c r="AD947" s="1478"/>
      <c r="AE947" s="1478"/>
      <c r="AF947" s="1579"/>
      <c r="AZ947" s="2"/>
      <c r="BA947" s="2"/>
      <c r="BB947" s="2"/>
      <c r="BC947" s="2"/>
    </row>
    <row r="948" spans="1:55" ht="12.9" customHeight="1">
      <c r="F948" s="965" t="s">
        <v>1643</v>
      </c>
      <c r="G948" s="32"/>
      <c r="H948" s="32"/>
      <c r="I948" s="1588" t="s">
        <v>1349</v>
      </c>
      <c r="J948" s="1589"/>
      <c r="K948" s="1589"/>
      <c r="L948" s="1589"/>
      <c r="M948" s="1589"/>
      <c r="N948" s="1589"/>
      <c r="O948" s="1589"/>
      <c r="P948" s="1589"/>
      <c r="Q948" s="1589"/>
      <c r="R948" s="1589"/>
      <c r="S948" s="1589"/>
      <c r="T948" s="1590"/>
      <c r="U948" s="1574" t="s">
        <v>809</v>
      </c>
      <c r="V948" s="1372"/>
      <c r="W948" s="1372"/>
      <c r="X948" s="1372"/>
      <c r="Y948" s="1372"/>
      <c r="Z948" s="1373"/>
      <c r="AA948" s="1578"/>
      <c r="AB948" s="1478"/>
      <c r="AC948" s="1478"/>
      <c r="AD948" s="1478"/>
      <c r="AE948" s="1478"/>
      <c r="AF948" s="1579"/>
      <c r="AV948" s="1"/>
      <c r="AW948" s="1"/>
      <c r="AX948" s="1"/>
      <c r="AY948" s="1"/>
      <c r="AZ948" s="2"/>
      <c r="BA948" s="2"/>
      <c r="BB948" s="2"/>
      <c r="BC948" s="2"/>
    </row>
    <row r="949" spans="1:55" ht="12.9" customHeight="1">
      <c r="F949" s="31" t="s">
        <v>233</v>
      </c>
      <c r="G949" s="32"/>
      <c r="H949" s="32"/>
      <c r="I949" s="1588" t="s">
        <v>1644</v>
      </c>
      <c r="J949" s="1589"/>
      <c r="K949" s="1589"/>
      <c r="L949" s="1589"/>
      <c r="M949" s="1589"/>
      <c r="N949" s="1589"/>
      <c r="O949" s="1589"/>
      <c r="P949" s="1589"/>
      <c r="Q949" s="1589"/>
      <c r="R949" s="1589"/>
      <c r="S949" s="1589"/>
      <c r="T949" s="1590"/>
      <c r="U949" s="1574" t="s">
        <v>694</v>
      </c>
      <c r="V949" s="1372"/>
      <c r="W949" s="1372"/>
      <c r="X949" s="1372"/>
      <c r="Y949" s="1372"/>
      <c r="Z949" s="1373"/>
      <c r="AA949" s="1578">
        <v>8000000</v>
      </c>
      <c r="AB949" s="1478"/>
      <c r="AC949" s="1478"/>
      <c r="AD949" s="1478"/>
      <c r="AE949" s="1478"/>
      <c r="AF949" s="1579"/>
      <c r="AU949" s="1"/>
      <c r="AZ949" s="2"/>
      <c r="BA949" s="2"/>
      <c r="BB949" s="2"/>
      <c r="BC949" s="2"/>
    </row>
    <row r="950" spans="1:55" ht="12.9" customHeight="1">
      <c r="F950" s="31" t="s">
        <v>233</v>
      </c>
      <c r="G950" s="32"/>
      <c r="H950" s="32"/>
      <c r="I950" s="1588" t="s">
        <v>1445</v>
      </c>
      <c r="J950" s="1589"/>
      <c r="K950" s="1589"/>
      <c r="L950" s="1589"/>
      <c r="M950" s="1589"/>
      <c r="N950" s="1589"/>
      <c r="O950" s="1589"/>
      <c r="P950" s="1589"/>
      <c r="Q950" s="1589"/>
      <c r="R950" s="1589"/>
      <c r="S950" s="1589"/>
      <c r="T950" s="1590"/>
      <c r="U950" s="1574" t="s">
        <v>694</v>
      </c>
      <c r="V950" s="1372"/>
      <c r="W950" s="1372"/>
      <c r="X950" s="1372"/>
      <c r="Y950" s="1372"/>
      <c r="Z950" s="1373"/>
      <c r="AA950" s="1578">
        <v>1650000</v>
      </c>
      <c r="AB950" s="1478"/>
      <c r="AC950" s="1478"/>
      <c r="AD950" s="1478"/>
      <c r="AE950" s="1478"/>
      <c r="AF950" s="1579"/>
      <c r="AU950" s="1"/>
      <c r="AZ950" s="2"/>
      <c r="BA950" s="2"/>
      <c r="BB950" s="2"/>
      <c r="BC950" s="2"/>
    </row>
    <row r="951" spans="1:55" ht="12.9" customHeight="1">
      <c r="AU951" s="1"/>
      <c r="AZ951" s="2"/>
      <c r="BA951" s="2"/>
      <c r="BB951" s="2"/>
      <c r="BC951" s="2"/>
    </row>
    <row r="952" spans="1:55" ht="12.9" customHeight="1">
      <c r="A952" s="1" t="s">
        <v>911</v>
      </c>
      <c r="C952" s="1" t="s">
        <v>247</v>
      </c>
      <c r="AZ952" s="2"/>
      <c r="BA952" s="2"/>
      <c r="BB952" s="2"/>
      <c r="BC952" s="2"/>
    </row>
    <row r="953" spans="1:55" ht="12.9" customHeight="1">
      <c r="B953" s="1"/>
      <c r="C953" s="17" t="s">
        <v>1645</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Z953" s="2"/>
      <c r="BA953" s="2"/>
      <c r="BB953" s="2"/>
      <c r="BC953" s="2"/>
    </row>
    <row r="954" spans="1:55" ht="12.9" customHeight="1">
      <c r="AZ954" s="2"/>
      <c r="BA954" s="2"/>
      <c r="BB954" s="2"/>
      <c r="BC954" s="2"/>
    </row>
    <row r="955" spans="1:55" ht="12.9" customHeight="1">
      <c r="C955" s="967" t="s">
        <v>1646</v>
      </c>
      <c r="D955" s="4"/>
      <c r="E955" s="4"/>
      <c r="F955" s="4"/>
      <c r="G955" s="4"/>
      <c r="H955" s="4"/>
      <c r="I955" s="4"/>
      <c r="J955" s="4"/>
      <c r="K955" s="4"/>
      <c r="L955" s="966"/>
      <c r="M955" s="1643"/>
      <c r="N955" s="1471"/>
      <c r="O955" s="1471"/>
      <c r="P955" s="1471"/>
      <c r="Q955" s="1471"/>
      <c r="R955" s="1471"/>
      <c r="S955" s="1570"/>
      <c r="U955" s="967" t="s">
        <v>1646</v>
      </c>
      <c r="V955" s="4"/>
      <c r="W955" s="4"/>
      <c r="X955" s="4"/>
      <c r="Y955" s="4"/>
      <c r="Z955" s="4"/>
      <c r="AA955" s="4"/>
      <c r="AB955" s="4"/>
      <c r="AC955" s="4"/>
      <c r="AD955" s="966"/>
      <c r="AE955" s="1643"/>
      <c r="AF955" s="1471"/>
      <c r="AG955" s="1471"/>
      <c r="AH955" s="1471"/>
      <c r="AI955" s="1471"/>
      <c r="AJ955" s="1471"/>
      <c r="AK955" s="1570"/>
      <c r="AZ955" s="2"/>
      <c r="BA955" s="2"/>
      <c r="BB955" s="2"/>
      <c r="BC955" s="2"/>
    </row>
    <row r="956" spans="1:55" ht="12.9" customHeight="1">
      <c r="C956" s="967" t="s">
        <v>1647</v>
      </c>
      <c r="D956" s="4"/>
      <c r="E956" s="4"/>
      <c r="F956" s="4"/>
      <c r="G956" s="4"/>
      <c r="H956" s="4"/>
      <c r="I956" s="4"/>
      <c r="J956" s="4"/>
      <c r="K956" s="4"/>
      <c r="L956" s="966"/>
      <c r="M956" s="1606"/>
      <c r="N956" s="1421"/>
      <c r="O956" s="1421"/>
      <c r="P956" s="1421"/>
      <c r="Q956" s="1421"/>
      <c r="R956" s="1421"/>
      <c r="S956" s="1607"/>
      <c r="U956" s="967" t="s">
        <v>1647</v>
      </c>
      <c r="V956" s="4"/>
      <c r="W956" s="4"/>
      <c r="X956" s="4"/>
      <c r="Y956" s="4"/>
      <c r="Z956" s="4"/>
      <c r="AA956" s="4"/>
      <c r="AB956" s="4"/>
      <c r="AC956" s="4"/>
      <c r="AD956" s="966"/>
      <c r="AE956" s="1606"/>
      <c r="AF956" s="1421"/>
      <c r="AG956" s="1421"/>
      <c r="AH956" s="1421"/>
      <c r="AI956" s="1421"/>
      <c r="AJ956" s="1421"/>
      <c r="AK956" s="1607"/>
      <c r="AZ956" s="2"/>
      <c r="BA956" s="2"/>
      <c r="BB956" s="2"/>
      <c r="BC956" s="2"/>
    </row>
    <row r="957" spans="1:55" ht="12.9" customHeight="1">
      <c r="C957" s="967" t="s">
        <v>1648</v>
      </c>
      <c r="D957" s="4"/>
      <c r="E957" s="4"/>
      <c r="J957" s="1744" t="s">
        <v>547</v>
      </c>
      <c r="K957" s="1745"/>
      <c r="L957" s="1745"/>
      <c r="M957" s="1745"/>
      <c r="N957" s="1745"/>
      <c r="O957" s="1745"/>
      <c r="P957" s="1745"/>
      <c r="Q957" s="1745"/>
      <c r="R957" s="1745"/>
      <c r="S957" s="1746"/>
      <c r="U957" s="967" t="s">
        <v>1648</v>
      </c>
      <c r="V957" s="4"/>
      <c r="W957" s="4"/>
      <c r="AB957" s="1744" t="s">
        <v>547</v>
      </c>
      <c r="AC957" s="1745"/>
      <c r="AD957" s="1745"/>
      <c r="AE957" s="1745"/>
      <c r="AF957" s="1745"/>
      <c r="AG957" s="1745"/>
      <c r="AH957" s="1745"/>
      <c r="AI957" s="1745"/>
      <c r="AJ957" s="1745"/>
      <c r="AK957" s="1746"/>
      <c r="AZ957" s="2"/>
      <c r="BA957" s="2"/>
      <c r="BB957" s="2"/>
      <c r="BC957" s="2"/>
    </row>
    <row r="958" spans="1:55" ht="12.9" customHeight="1">
      <c r="C958" s="967" t="s">
        <v>1649</v>
      </c>
      <c r="D958" s="4"/>
      <c r="E958" s="4"/>
      <c r="F958" s="4"/>
      <c r="G958" s="4"/>
      <c r="H958" s="4"/>
      <c r="I958" s="4"/>
      <c r="J958" s="4"/>
      <c r="K958" s="4"/>
      <c r="L958" s="966"/>
      <c r="M958" s="1644"/>
      <c r="N958" s="1645"/>
      <c r="O958" s="1645"/>
      <c r="P958" s="1645"/>
      <c r="Q958" s="1645"/>
      <c r="R958" s="1645"/>
      <c r="S958" s="1646"/>
      <c r="U958" s="967" t="s">
        <v>1649</v>
      </c>
      <c r="V958" s="4"/>
      <c r="W958" s="4"/>
      <c r="X958" s="4"/>
      <c r="Y958" s="4"/>
      <c r="Z958" s="4"/>
      <c r="AA958" s="4"/>
      <c r="AB958" s="4"/>
      <c r="AC958" s="4"/>
      <c r="AD958" s="966"/>
      <c r="AE958" s="1718"/>
      <c r="AF958" s="1645"/>
      <c r="AG958" s="1645"/>
      <c r="AH958" s="1645"/>
      <c r="AI958" s="1645"/>
      <c r="AJ958" s="1645"/>
      <c r="AK958" s="1646"/>
      <c r="AZ958" s="2"/>
      <c r="BA958" s="2"/>
      <c r="BB958" s="2"/>
      <c r="BC958" s="2"/>
    </row>
    <row r="959" spans="1:55" ht="12.9" customHeight="1">
      <c r="C959" s="967" t="s">
        <v>1650</v>
      </c>
      <c r="D959" s="4"/>
      <c r="E959" s="4"/>
      <c r="F959" s="4"/>
      <c r="G959" s="4"/>
      <c r="H959" s="4"/>
      <c r="I959" s="4"/>
      <c r="J959" s="4"/>
      <c r="K959" s="4"/>
      <c r="L959" s="966"/>
      <c r="M959" s="1665"/>
      <c r="N959" s="1555"/>
      <c r="O959" s="1555"/>
      <c r="P959" s="1555"/>
      <c r="Q959" s="1555"/>
      <c r="R959" s="1555"/>
      <c r="S959" s="1556"/>
      <c r="U959" s="967" t="s">
        <v>1650</v>
      </c>
      <c r="V959" s="4"/>
      <c r="W959" s="4"/>
      <c r="X959" s="4"/>
      <c r="Y959" s="4"/>
      <c r="Z959" s="4"/>
      <c r="AA959" s="4"/>
      <c r="AB959" s="4"/>
      <c r="AC959" s="4"/>
      <c r="AD959" s="966"/>
      <c r="AE959" s="1665"/>
      <c r="AF959" s="1555"/>
      <c r="AG959" s="1555"/>
      <c r="AH959" s="1555"/>
      <c r="AI959" s="1555"/>
      <c r="AJ959" s="1555"/>
      <c r="AK959" s="1556"/>
      <c r="AV959" s="1"/>
      <c r="AW959" s="1"/>
      <c r="AX959" s="1"/>
      <c r="AY959" s="1"/>
      <c r="AZ959" s="2"/>
      <c r="BA959" s="2"/>
      <c r="BB959" s="2"/>
      <c r="BC959" s="2"/>
    </row>
    <row r="960" spans="1:55" ht="12.9" customHeight="1">
      <c r="C960" s="967" t="s">
        <v>1651</v>
      </c>
      <c r="D960" s="4"/>
      <c r="E960" s="4"/>
      <c r="F960" s="4"/>
      <c r="G960" s="4"/>
      <c r="H960" s="4"/>
      <c r="I960" s="4"/>
      <c r="J960" s="4"/>
      <c r="K960" s="4"/>
      <c r="L960" s="966"/>
      <c r="M960" s="1578"/>
      <c r="N960" s="1478"/>
      <c r="O960" s="1478"/>
      <c r="P960" s="1478"/>
      <c r="Q960" s="1478"/>
      <c r="R960" s="1478"/>
      <c r="S960" s="1579"/>
      <c r="U960" s="967" t="s">
        <v>1651</v>
      </c>
      <c r="V960" s="4"/>
      <c r="W960" s="4"/>
      <c r="X960" s="4"/>
      <c r="Y960" s="4"/>
      <c r="Z960" s="4"/>
      <c r="AA960" s="4"/>
      <c r="AB960" s="4"/>
      <c r="AC960" s="4"/>
      <c r="AD960" s="966"/>
      <c r="AE960" s="1578"/>
      <c r="AF960" s="1478"/>
      <c r="AG960" s="1478"/>
      <c r="AH960" s="1478"/>
      <c r="AI960" s="1478"/>
      <c r="AJ960" s="1478"/>
      <c r="AK960" s="1579"/>
      <c r="AV960" s="1"/>
      <c r="AW960" s="1"/>
      <c r="AX960" s="1"/>
      <c r="AY960" s="1"/>
      <c r="AZ960" s="2"/>
      <c r="BA960" s="2"/>
      <c r="BB960" s="2"/>
      <c r="BC960" s="2"/>
    </row>
    <row r="961" spans="1:64" ht="12.9" customHeight="1">
      <c r="C961" s="967" t="s">
        <v>1652</v>
      </c>
      <c r="D961" s="4"/>
      <c r="E961" s="4"/>
      <c r="F961" s="4"/>
      <c r="G961" s="4"/>
      <c r="H961" s="4"/>
      <c r="I961" s="4"/>
      <c r="J961" s="4"/>
      <c r="K961" s="4"/>
      <c r="L961" s="966"/>
      <c r="M961" s="1578"/>
      <c r="N961" s="1478"/>
      <c r="O961" s="1478"/>
      <c r="P961" s="1478"/>
      <c r="Q961" s="1478"/>
      <c r="R961" s="1478"/>
      <c r="S961" s="1579"/>
      <c r="U961" s="967" t="s">
        <v>1652</v>
      </c>
      <c r="V961" s="4"/>
      <c r="W961" s="4"/>
      <c r="X961" s="4"/>
      <c r="Y961" s="4"/>
      <c r="Z961" s="4"/>
      <c r="AA961" s="4"/>
      <c r="AB961" s="4"/>
      <c r="AC961" s="4"/>
      <c r="AD961" s="966"/>
      <c r="AE961" s="1578"/>
      <c r="AF961" s="1478"/>
      <c r="AG961" s="1478"/>
      <c r="AH961" s="1478"/>
      <c r="AI961" s="1478"/>
      <c r="AJ961" s="1478"/>
      <c r="AK961" s="1579"/>
      <c r="AV961" s="1"/>
      <c r="AW961" s="1"/>
      <c r="AX961" s="1"/>
      <c r="AY961" s="1"/>
      <c r="AZ961" s="2"/>
      <c r="BB961" s="2"/>
      <c r="BC961" s="2"/>
    </row>
    <row r="962" spans="1:64" ht="12.9" customHeight="1">
      <c r="C962" s="967" t="s">
        <v>1250</v>
      </c>
      <c r="D962" s="4"/>
      <c r="E962" s="4"/>
      <c r="F962" s="4"/>
      <c r="G962" s="4"/>
      <c r="H962" s="4"/>
      <c r="I962" s="4"/>
      <c r="J962" s="4"/>
      <c r="K962" s="4"/>
      <c r="L962" s="966"/>
      <c r="M962" s="1715"/>
      <c r="N962" s="1716"/>
      <c r="O962" s="1716"/>
      <c r="P962" s="1716"/>
      <c r="Q962" s="1716"/>
      <c r="R962" s="1716"/>
      <c r="S962" s="1717"/>
      <c r="U962" s="967" t="s">
        <v>1250</v>
      </c>
      <c r="V962" s="4"/>
      <c r="W962" s="4"/>
      <c r="X962" s="4"/>
      <c r="Y962" s="4"/>
      <c r="Z962" s="4"/>
      <c r="AA962" s="4"/>
      <c r="AB962" s="4"/>
      <c r="AC962" s="4"/>
      <c r="AD962" s="966"/>
      <c r="AE962" s="1715"/>
      <c r="AF962" s="1716"/>
      <c r="AG962" s="1716"/>
      <c r="AH962" s="1716"/>
      <c r="AI962" s="1716"/>
      <c r="AJ962" s="1716"/>
      <c r="AK962" s="1717"/>
      <c r="AZ962" s="2"/>
      <c r="BB962" s="2"/>
      <c r="BC962" s="2"/>
      <c r="BD962" s="2"/>
      <c r="BE962" s="2"/>
      <c r="BF962" s="2"/>
      <c r="BG962" s="2"/>
      <c r="BH962" s="2"/>
      <c r="BI962" s="2"/>
      <c r="BJ962" s="2"/>
      <c r="BK962" s="2"/>
      <c r="BL962" s="2"/>
    </row>
    <row r="963" spans="1:64" ht="12.9" customHeight="1">
      <c r="AZ963" s="2"/>
      <c r="BB963" s="2"/>
      <c r="BC963" s="2"/>
      <c r="BD963" s="2"/>
      <c r="BE963" s="2"/>
      <c r="BF963" s="2"/>
      <c r="BG963" s="2"/>
      <c r="BH963" s="2"/>
      <c r="BI963" s="2"/>
      <c r="BJ963" s="2"/>
      <c r="BK963" s="2"/>
      <c r="BL963" s="2"/>
    </row>
    <row r="964" spans="1:64" ht="12.9" customHeight="1">
      <c r="A964" s="1" t="s">
        <v>989</v>
      </c>
      <c r="C964" s="1" t="s">
        <v>1653</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Z964" s="2"/>
      <c r="BB964" s="2"/>
      <c r="BC964" s="2"/>
      <c r="BD964" s="2"/>
      <c r="BE964" s="2"/>
      <c r="BF964" s="2"/>
      <c r="BG964" s="2"/>
      <c r="BH964" s="2"/>
      <c r="BI964" s="2"/>
      <c r="BJ964" s="2"/>
      <c r="BK964" s="2"/>
      <c r="BL964" s="2"/>
    </row>
    <row r="965" spans="1:64" s="11" customFormat="1" ht="12.9" customHeight="1">
      <c r="A965"/>
      <c r="B965" s="1"/>
      <c r="C965" s="17" t="s">
        <v>1654</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c r="AW965"/>
      <c r="AX965"/>
      <c r="AY965"/>
      <c r="AZ965" s="2"/>
      <c r="BA965"/>
      <c r="BB965" s="2"/>
      <c r="BC965" s="2"/>
      <c r="BD965" s="2"/>
      <c r="BE965" s="2"/>
      <c r="BF965" s="2"/>
      <c r="BG965" s="2"/>
      <c r="BH965" s="2"/>
      <c r="BI965" s="2"/>
      <c r="BJ965" s="2"/>
      <c r="BK965" s="2"/>
      <c r="BL965" s="2"/>
    </row>
    <row r="966" spans="1:64" s="11" customFormat="1" ht="12.9" customHeight="1">
      <c r="A966"/>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009"/>
      <c r="AV966"/>
      <c r="AW966"/>
      <c r="AX966"/>
      <c r="AY966"/>
      <c r="AZ966" s="2"/>
      <c r="BA966"/>
      <c r="BB966" s="2"/>
      <c r="BC966" s="2"/>
      <c r="BD966" s="2"/>
      <c r="BE966" s="2"/>
      <c r="BF966" s="2"/>
      <c r="BG966" s="2"/>
      <c r="BH966" s="2"/>
      <c r="BI966" s="2"/>
      <c r="BJ966" s="2"/>
      <c r="BK966" s="2"/>
      <c r="BL966" s="2"/>
    </row>
    <row r="967" spans="1:64" s="11" customFormat="1" ht="12.9" customHeight="1">
      <c r="A967"/>
      <c r="B967"/>
      <c r="C967"/>
      <c r="D967"/>
      <c r="E967"/>
      <c r="F967" s="965" t="s">
        <v>1655</v>
      </c>
      <c r="G967" s="4"/>
      <c r="H967" s="4"/>
      <c r="I967" s="4"/>
      <c r="J967" s="4"/>
      <c r="K967" s="4"/>
      <c r="L967" s="966"/>
      <c r="M967" s="1604"/>
      <c r="N967" s="1393"/>
      <c r="O967" s="1393"/>
      <c r="P967" s="1393"/>
      <c r="Q967" s="1393"/>
      <c r="R967" s="1393"/>
      <c r="S967" s="1605"/>
      <c r="T967" s="967" t="s">
        <v>1656</v>
      </c>
      <c r="U967" s="4"/>
      <c r="V967" s="4"/>
      <c r="W967" s="4"/>
      <c r="X967" s="4"/>
      <c r="Y967" s="4"/>
      <c r="Z967" s="966"/>
      <c r="AA967" s="1604"/>
      <c r="AB967" s="1393"/>
      <c r="AC967" s="1393"/>
      <c r="AD967" s="1393"/>
      <c r="AE967" s="1393"/>
      <c r="AF967" s="1393"/>
      <c r="AG967" s="1605"/>
      <c r="AH967"/>
      <c r="AI967"/>
      <c r="AJ967"/>
      <c r="AK967"/>
      <c r="AL967"/>
      <c r="AM967"/>
      <c r="AN967"/>
      <c r="AO967"/>
      <c r="AP967"/>
      <c r="AQ967"/>
      <c r="AR967"/>
      <c r="AS967"/>
      <c r="AT967"/>
      <c r="AU967" s="1009"/>
      <c r="AV967"/>
      <c r="AW967"/>
      <c r="AX967"/>
      <c r="AY967"/>
      <c r="AZ967" s="2"/>
      <c r="BA967"/>
      <c r="BB967" s="2"/>
      <c r="BC967" s="2"/>
      <c r="BD967" s="2"/>
      <c r="BE967" s="2"/>
      <c r="BF967" s="2"/>
      <c r="BG967" s="2"/>
      <c r="BH967" s="2"/>
      <c r="BI967" s="2"/>
      <c r="BJ967" s="2"/>
      <c r="BK967" s="2"/>
      <c r="BL967" s="2"/>
    </row>
    <row r="968" spans="1:64" s="11" customFormat="1" ht="12.9" customHeight="1">
      <c r="A968"/>
      <c r="B968"/>
      <c r="C968"/>
      <c r="D968"/>
      <c r="E968"/>
      <c r="F968" s="965" t="s">
        <v>1657</v>
      </c>
      <c r="G968" s="4"/>
      <c r="H968" s="4"/>
      <c r="I968" s="4"/>
      <c r="J968" s="4"/>
      <c r="K968" s="4"/>
      <c r="L968" s="966"/>
      <c r="M968" s="1604"/>
      <c r="N968" s="1393"/>
      <c r="O968" s="1393"/>
      <c r="P968" s="1393"/>
      <c r="Q968" s="1393"/>
      <c r="R968" s="1393"/>
      <c r="S968" s="1605"/>
      <c r="T968" s="967" t="s">
        <v>1658</v>
      </c>
      <c r="U968" s="4"/>
      <c r="V968" s="4"/>
      <c r="W968" s="4"/>
      <c r="X968" s="4"/>
      <c r="Y968" s="4"/>
      <c r="Z968" s="966"/>
      <c r="AA968" s="1604"/>
      <c r="AB968" s="1393"/>
      <c r="AC968" s="1393"/>
      <c r="AD968" s="1393"/>
      <c r="AE968" s="1393"/>
      <c r="AF968" s="1393"/>
      <c r="AG968" s="1605"/>
      <c r="AH968"/>
      <c r="AI968"/>
      <c r="AJ968"/>
      <c r="AK968"/>
      <c r="AL968"/>
      <c r="AM968"/>
      <c r="AN968"/>
      <c r="AO968"/>
      <c r="AP968"/>
      <c r="AQ968"/>
      <c r="AR968"/>
      <c r="AS968"/>
      <c r="AT968"/>
      <c r="AU968" s="1009"/>
      <c r="AV968"/>
      <c r="AW968"/>
      <c r="AX968"/>
      <c r="AY968"/>
      <c r="AZ968" s="2"/>
      <c r="BA968"/>
      <c r="BB968" s="2"/>
      <c r="BC968" s="2"/>
      <c r="BD968" s="2"/>
      <c r="BE968" s="2"/>
      <c r="BF968"/>
      <c r="BG968"/>
      <c r="BH968"/>
      <c r="BI968"/>
      <c r="BJ968" s="2"/>
      <c r="BK968" s="2"/>
      <c r="BL968" s="2"/>
    </row>
    <row r="969" spans="1:64" s="11" customFormat="1" ht="12.9" customHeight="1">
      <c r="A969"/>
      <c r="B969"/>
      <c r="C969"/>
      <c r="D969"/>
      <c r="E969"/>
      <c r="F969" s="965" t="s">
        <v>1659</v>
      </c>
      <c r="G969" s="4"/>
      <c r="H969" s="4"/>
      <c r="I969" s="4"/>
      <c r="J969" s="4"/>
      <c r="K969" s="4"/>
      <c r="L969" s="966"/>
      <c r="M969" s="1647" t="s">
        <v>809</v>
      </c>
      <c r="N969" s="1648"/>
      <c r="O969" s="1648"/>
      <c r="P969" s="1648"/>
      <c r="Q969" s="1648"/>
      <c r="R969" s="1648"/>
      <c r="S969" s="1649"/>
      <c r="T969" s="965" t="s">
        <v>1660</v>
      </c>
      <c r="U969" s="4"/>
      <c r="V969" s="4"/>
      <c r="W969" s="4"/>
      <c r="X969" s="4"/>
      <c r="Y969" s="4"/>
      <c r="Z969" s="966"/>
      <c r="AA969" s="1604"/>
      <c r="AB969" s="1393"/>
      <c r="AC969" s="1393"/>
      <c r="AD969" s="1393"/>
      <c r="AE969" s="1393"/>
      <c r="AF969" s="1393"/>
      <c r="AG969" s="1605"/>
      <c r="AH969"/>
      <c r="AI969"/>
      <c r="AJ969"/>
      <c r="AK969"/>
      <c r="AL969"/>
      <c r="AM969"/>
      <c r="AN969"/>
      <c r="AO969"/>
      <c r="AP969"/>
      <c r="AQ969"/>
      <c r="AR969"/>
      <c r="AS969"/>
      <c r="AT969"/>
      <c r="AU969" s="1009"/>
      <c r="AV969"/>
      <c r="AW969"/>
      <c r="AX969"/>
      <c r="AY969"/>
      <c r="AZ969" s="2"/>
      <c r="BA969"/>
      <c r="BB969" s="2"/>
      <c r="BC969" s="2"/>
      <c r="BD969" s="2"/>
      <c r="BE969" s="2"/>
      <c r="BF969"/>
      <c r="BG969"/>
      <c r="BH969"/>
      <c r="BI969"/>
      <c r="BJ969" s="2"/>
      <c r="BK969" s="2"/>
      <c r="BL969" s="2"/>
    </row>
    <row r="970" spans="1:64" s="11" customFormat="1" ht="12.9" customHeight="1">
      <c r="A970"/>
      <c r="B970"/>
      <c r="C970"/>
      <c r="D970"/>
      <c r="E970"/>
      <c r="F970" s="965" t="s">
        <v>1661</v>
      </c>
      <c r="G970" s="4"/>
      <c r="H970" s="4"/>
      <c r="I970" s="4"/>
      <c r="J970" s="4"/>
      <c r="K970" s="4"/>
      <c r="L970" s="966"/>
      <c r="M970" s="1604"/>
      <c r="N970" s="1393"/>
      <c r="O970" s="1393"/>
      <c r="P970" s="1393"/>
      <c r="Q970" s="1393"/>
      <c r="R970" s="1393"/>
      <c r="S970" s="1605"/>
      <c r="T970" s="965" t="s">
        <v>1662</v>
      </c>
      <c r="U970" s="4"/>
      <c r="V970" s="4"/>
      <c r="W970" s="4"/>
      <c r="X970" s="4"/>
      <c r="Y970" s="4"/>
      <c r="Z970" s="966"/>
      <c r="AA970" s="1604"/>
      <c r="AB970" s="1393"/>
      <c r="AC970" s="1393"/>
      <c r="AD970" s="1393"/>
      <c r="AE970" s="1393"/>
      <c r="AF970" s="1393"/>
      <c r="AG970" s="1605"/>
      <c r="AH970"/>
      <c r="AI970"/>
      <c r="AJ970"/>
      <c r="AK970"/>
      <c r="AL970"/>
      <c r="AM970"/>
      <c r="AN970"/>
      <c r="AO970"/>
      <c r="AP970"/>
      <c r="AQ970"/>
      <c r="AR970"/>
      <c r="AS970"/>
      <c r="AT970"/>
      <c r="AU970" s="1009"/>
      <c r="AV970"/>
      <c r="AW970"/>
      <c r="AX970"/>
      <c r="AY970"/>
      <c r="AZ970" s="2"/>
      <c r="BA970"/>
      <c r="BB970" s="2"/>
      <c r="BC970" s="2"/>
      <c r="BD970" s="2"/>
      <c r="BE970" s="2"/>
      <c r="BF970"/>
      <c r="BG970"/>
      <c r="BH970"/>
      <c r="BI970"/>
      <c r="BJ970" s="2"/>
      <c r="BK970" s="2"/>
      <c r="BL970" s="2"/>
    </row>
    <row r="971" spans="1:64" s="11" customFormat="1" ht="12.9" customHeight="1">
      <c r="A971"/>
      <c r="B971"/>
      <c r="C971"/>
      <c r="D971"/>
      <c r="E971"/>
      <c r="F971" s="965" t="s">
        <v>1663</v>
      </c>
      <c r="G971" s="4"/>
      <c r="H971" s="4"/>
      <c r="I971" s="4"/>
      <c r="J971" s="4"/>
      <c r="K971" s="4"/>
      <c r="L971" s="966"/>
      <c r="M971" s="1604"/>
      <c r="N971" s="1393"/>
      <c r="O971" s="1393"/>
      <c r="P971" s="1393"/>
      <c r="Q971" s="1393"/>
      <c r="R971" s="1393"/>
      <c r="S971" s="1605"/>
      <c r="T971" s="965" t="s">
        <v>1664</v>
      </c>
      <c r="U971" s="4"/>
      <c r="V971" s="4"/>
      <c r="W971" s="4"/>
      <c r="X971" s="4"/>
      <c r="Y971" s="4"/>
      <c r="Z971" s="966"/>
      <c r="AA971" s="1604"/>
      <c r="AB971" s="1393"/>
      <c r="AC971" s="1393"/>
      <c r="AD971" s="1393"/>
      <c r="AE971" s="1393"/>
      <c r="AF971" s="1393"/>
      <c r="AG971" s="1605"/>
      <c r="AH971"/>
      <c r="AI971"/>
      <c r="AJ971"/>
      <c r="AK971"/>
      <c r="AL971"/>
      <c r="AM971"/>
      <c r="AN971"/>
      <c r="AO971"/>
      <c r="AP971"/>
      <c r="AQ971"/>
      <c r="AR971"/>
      <c r="AS971"/>
      <c r="AT971"/>
      <c r="AU971" s="1009"/>
      <c r="AV971"/>
      <c r="AW971"/>
      <c r="AX971"/>
      <c r="AY971"/>
      <c r="AZ971" s="2"/>
      <c r="BA971"/>
      <c r="BB971" s="2"/>
      <c r="BC971" s="2"/>
      <c r="BD971" s="2"/>
      <c r="BE971" s="2"/>
      <c r="BF971"/>
      <c r="BG971"/>
      <c r="BH971"/>
      <c r="BI971"/>
      <c r="BJ971" s="2"/>
      <c r="BK971" s="2"/>
      <c r="BL971" s="2"/>
    </row>
    <row r="972" spans="1:64" s="11" customFormat="1" ht="12.9" customHeight="1">
      <c r="A972"/>
      <c r="B972"/>
      <c r="C972"/>
      <c r="D972"/>
      <c r="E972"/>
      <c r="F972" s="1010" t="s">
        <v>1648</v>
      </c>
      <c r="G972" s="30"/>
      <c r="H972" s="30"/>
      <c r="I972" s="30"/>
      <c r="J972" s="30"/>
      <c r="K972" s="30"/>
      <c r="L972" s="39"/>
      <c r="M972" s="1744" t="s">
        <v>547</v>
      </c>
      <c r="N972" s="1745"/>
      <c r="O972" s="1745"/>
      <c r="P972" s="1745"/>
      <c r="Q972" s="1745"/>
      <c r="R972" s="1745"/>
      <c r="S972" s="1746"/>
      <c r="T972" s="1702"/>
      <c r="U972" s="1703"/>
      <c r="V972" s="1703"/>
      <c r="W972" s="1703"/>
      <c r="X972" s="1703"/>
      <c r="Y972" s="1703"/>
      <c r="Z972" s="1704"/>
      <c r="AA972" s="1604"/>
      <c r="AB972" s="1393"/>
      <c r="AC972" s="1393"/>
      <c r="AD972" s="1393"/>
      <c r="AE972" s="1393"/>
      <c r="AF972" s="1393"/>
      <c r="AG972" s="1605"/>
      <c r="AH972"/>
      <c r="AI972"/>
      <c r="AJ972"/>
      <c r="AK972"/>
      <c r="AL972"/>
      <c r="AM972"/>
      <c r="AN972"/>
      <c r="AO972"/>
      <c r="AP972"/>
      <c r="AQ972"/>
      <c r="AR972"/>
      <c r="AS972"/>
      <c r="AT972"/>
      <c r="AU972" s="1009"/>
      <c r="AV972"/>
      <c r="AW972"/>
      <c r="AX972"/>
      <c r="AY972"/>
      <c r="AZ972" s="2"/>
      <c r="BA972" s="2"/>
      <c r="BB972" s="2"/>
      <c r="BC972" s="2"/>
      <c r="BD972" s="2"/>
      <c r="BE972" s="2"/>
      <c r="BF972" s="2"/>
      <c r="BG972" s="2"/>
      <c r="BH972" s="2"/>
      <c r="BI972" s="2"/>
      <c r="BJ972" s="2"/>
      <c r="BK972" s="2"/>
      <c r="BL972" s="2"/>
    </row>
    <row r="973" spans="1:64" s="11" customFormat="1" ht="12.9" customHeight="1">
      <c r="A973"/>
      <c r="B973"/>
      <c r="C973"/>
      <c r="D973"/>
      <c r="E973"/>
      <c r="F973" s="29" t="s">
        <v>1665</v>
      </c>
      <c r="G973" s="30"/>
      <c r="H973" s="30"/>
      <c r="I973" s="30"/>
      <c r="J973" s="30"/>
      <c r="K973" s="30"/>
      <c r="L973" s="39"/>
      <c r="M973" s="1604"/>
      <c r="N973" s="1393"/>
      <c r="O973" s="1393"/>
      <c r="P973" s="1393"/>
      <c r="Q973" s="1393"/>
      <c r="R973" s="1393"/>
      <c r="S973" s="1605"/>
      <c r="T973" s="1702"/>
      <c r="U973" s="1703"/>
      <c r="V973" s="1703"/>
      <c r="W973" s="1703"/>
      <c r="X973" s="1703"/>
      <c r="Y973" s="1703"/>
      <c r="Z973" s="1704"/>
      <c r="AA973" s="1604"/>
      <c r="AB973" s="1393"/>
      <c r="AC973" s="1393"/>
      <c r="AD973" s="1393"/>
      <c r="AE973" s="1393"/>
      <c r="AF973" s="1393"/>
      <c r="AG973" s="1605"/>
      <c r="AH973"/>
      <c r="AI973"/>
      <c r="AJ973"/>
      <c r="AK973"/>
      <c r="AL973"/>
      <c r="AM973"/>
      <c r="AN973"/>
      <c r="AO973"/>
      <c r="AP973"/>
      <c r="AQ973"/>
      <c r="AR973"/>
      <c r="AS973"/>
      <c r="AT973"/>
      <c r="AU973" s="1009"/>
      <c r="AV973"/>
      <c r="AW973"/>
      <c r="AX973"/>
      <c r="AY973"/>
      <c r="AZ973" s="2"/>
      <c r="BA973" s="2"/>
      <c r="BB973" s="2"/>
      <c r="BC973" s="2"/>
      <c r="BD973" s="2"/>
      <c r="BE973" s="2"/>
      <c r="BF973" s="2"/>
      <c r="BG973" s="2"/>
      <c r="BH973" s="2"/>
      <c r="BI973" s="2"/>
      <c r="BJ973" s="2"/>
      <c r="BK973" s="2"/>
      <c r="BL973" s="2"/>
    </row>
    <row r="974" spans="1:64" ht="12.9" customHeight="1">
      <c r="F974" s="29" t="s">
        <v>1666</v>
      </c>
      <c r="G974" s="30"/>
      <c r="H974" s="30"/>
      <c r="I974" s="30"/>
      <c r="J974" s="30"/>
      <c r="K974" s="30"/>
      <c r="L974" s="30"/>
      <c r="M974" s="30"/>
      <c r="N974" s="30"/>
      <c r="O974" s="1327" t="s">
        <v>843</v>
      </c>
      <c r="P974" s="1329"/>
      <c r="Q974" s="52"/>
      <c r="R974" s="52"/>
      <c r="S974" s="53"/>
      <c r="T974" s="29" t="s">
        <v>233</v>
      </c>
      <c r="U974" s="30"/>
      <c r="V974" s="30"/>
      <c r="W974" s="1747" t="s">
        <v>1349</v>
      </c>
      <c r="X974" s="1748"/>
      <c r="Y974" s="1748"/>
      <c r="Z974" s="1748"/>
      <c r="AA974" s="1748"/>
      <c r="AB974" s="1748"/>
      <c r="AC974" s="1748"/>
      <c r="AD974" s="1748"/>
      <c r="AE974" s="1748"/>
      <c r="AF974" s="1748"/>
      <c r="AG974" s="1749"/>
      <c r="AU974" s="1009"/>
      <c r="AV974" s="54"/>
      <c r="AW974" s="54"/>
      <c r="AX974" s="54"/>
      <c r="AY974" s="54"/>
      <c r="AZ974" s="2"/>
      <c r="BB974" s="2"/>
      <c r="BC974" s="2"/>
      <c r="BD974" s="2"/>
      <c r="BE974" s="2"/>
      <c r="BF974" s="2"/>
      <c r="BG974" s="2"/>
      <c r="BH974" s="2"/>
      <c r="BI974" s="2"/>
      <c r="BJ974" s="2"/>
      <c r="BK974" s="2"/>
      <c r="BL974" s="2"/>
    </row>
    <row r="975" spans="1:64" ht="12.9" customHeight="1">
      <c r="F975" s="1550" t="s">
        <v>1667</v>
      </c>
      <c r="G975" s="1432"/>
      <c r="H975" s="1432"/>
      <c r="I975" s="1432"/>
      <c r="J975" s="1432"/>
      <c r="K975" s="1432"/>
      <c r="L975" s="1432"/>
      <c r="M975" s="1604"/>
      <c r="N975" s="1393"/>
      <c r="O975" s="1393"/>
      <c r="P975" s="1393"/>
      <c r="Q975" s="1393"/>
      <c r="R975" s="1393"/>
      <c r="S975" s="1605"/>
      <c r="T975" s="31"/>
      <c r="U975" s="32"/>
      <c r="V975" s="32"/>
      <c r="W975" s="32"/>
      <c r="X975" s="32"/>
      <c r="Y975" s="32"/>
      <c r="Z975" s="72" t="s">
        <v>1668</v>
      </c>
      <c r="AA975" s="1650"/>
      <c r="AB975" s="1700"/>
      <c r="AC975" s="1700"/>
      <c r="AD975" s="1700"/>
      <c r="AE975" s="1700"/>
      <c r="AF975" s="1700"/>
      <c r="AG975" s="1701"/>
      <c r="AU975" s="1009"/>
      <c r="AV975" s="54"/>
      <c r="AW975" s="54"/>
      <c r="AX975" s="54"/>
      <c r="AY975" s="54"/>
      <c r="AZ975" s="11"/>
      <c r="BA975" s="11"/>
      <c r="BB975" s="2"/>
      <c r="BC975" s="2"/>
      <c r="BD975" s="2"/>
      <c r="BE975" s="2"/>
      <c r="BF975" s="2"/>
      <c r="BG975" s="11"/>
      <c r="BH975" s="11"/>
      <c r="BI975" s="11"/>
      <c r="BJ975" s="11"/>
      <c r="BK975" s="11"/>
      <c r="BL975" s="11"/>
    </row>
    <row r="976" spans="1:64" ht="12.9" customHeight="1">
      <c r="AU976" s="1009"/>
      <c r="AV976" s="1009"/>
      <c r="AW976" s="1009"/>
      <c r="AX976" s="1009"/>
      <c r="AY976" s="1009"/>
      <c r="AZ976" s="11"/>
      <c r="BA976" s="11"/>
      <c r="BB976" s="11"/>
      <c r="BC976" s="11"/>
      <c r="BD976" s="11"/>
      <c r="BE976" s="11"/>
      <c r="BF976" s="11"/>
      <c r="BG976" s="1580"/>
      <c r="BH976" s="1580"/>
      <c r="BI976" s="1580"/>
      <c r="BJ976" s="1580"/>
      <c r="BK976" s="1580"/>
      <c r="BL976" s="1580"/>
    </row>
    <row r="977" spans="1:64" ht="12.9" customHeight="1">
      <c r="AU977" s="1009"/>
      <c r="AV977" s="1009"/>
      <c r="AW977" s="1009"/>
      <c r="AX977" s="1009"/>
      <c r="AY977" s="1009"/>
      <c r="AZ977" s="11"/>
      <c r="BA977" s="11"/>
      <c r="BB977" s="668"/>
      <c r="BC977" s="668"/>
      <c r="BD977" s="11"/>
      <c r="BE977" s="11"/>
      <c r="BF977" s="11"/>
      <c r="BG977" s="11"/>
      <c r="BH977" s="11"/>
      <c r="BI977" s="11"/>
      <c r="BJ977" s="11"/>
      <c r="BK977" s="11"/>
      <c r="BL977" s="11"/>
    </row>
    <row r="978" spans="1:64" ht="12.9" customHeight="1">
      <c r="AU978" s="1009"/>
      <c r="AV978" s="1009"/>
      <c r="AW978" s="1009"/>
      <c r="AX978" s="1009"/>
      <c r="AY978" s="1009"/>
      <c r="AZ978" s="11"/>
      <c r="BA978" s="11"/>
      <c r="BB978" s="668"/>
      <c r="BC978" s="668"/>
    </row>
    <row r="979" spans="1:64" ht="12.9" customHeight="1">
      <c r="A979" s="1491" t="s">
        <v>1669</v>
      </c>
      <c r="B979" s="1491"/>
      <c r="C979" s="1491"/>
      <c r="D979" s="1491"/>
      <c r="E979" s="1491"/>
      <c r="F979" s="1491"/>
      <c r="G979" s="1491"/>
      <c r="H979" s="1491"/>
      <c r="I979" s="1491"/>
      <c r="J979" s="1491"/>
      <c r="K979" s="1491"/>
      <c r="L979" s="1491"/>
      <c r="M979" s="1491"/>
      <c r="N979" s="1491"/>
      <c r="O979" s="1491"/>
      <c r="P979" s="1491"/>
      <c r="Q979" s="1491"/>
      <c r="R979" s="1491"/>
      <c r="S979" s="1491"/>
      <c r="T979" s="1491"/>
      <c r="U979" s="1491"/>
      <c r="V979" s="1491"/>
      <c r="W979" s="1491"/>
      <c r="X979" s="1491"/>
      <c r="Y979" s="1491"/>
      <c r="Z979" s="1491"/>
      <c r="AA979" s="1491"/>
      <c r="AB979" s="1491"/>
      <c r="AC979" s="1491"/>
      <c r="AD979" s="1491"/>
      <c r="AE979" s="1491"/>
      <c r="AF979" s="1491"/>
      <c r="AG979" s="1491"/>
      <c r="AH979" s="1491"/>
      <c r="AI979" s="1491"/>
      <c r="AJ979" s="1491"/>
      <c r="AK979" s="1491"/>
      <c r="AL979" s="1491"/>
      <c r="AM979" s="1491"/>
      <c r="AN979" s="1491"/>
      <c r="AO979" s="1491"/>
      <c r="AP979" s="1491"/>
      <c r="AQ979" s="1491"/>
      <c r="AR979" s="1491"/>
      <c r="AS979" s="1491"/>
      <c r="AT979" s="1491"/>
      <c r="AU979" s="1009"/>
      <c r="AV979" s="1009"/>
      <c r="AW979" s="1009"/>
      <c r="AX979" s="1009"/>
      <c r="AY979" s="1009"/>
      <c r="AZ979" s="11"/>
      <c r="BA979" s="11"/>
      <c r="BB979" s="668"/>
      <c r="BC979" s="668"/>
    </row>
    <row r="980" spans="1:64" ht="12.9" customHeight="1">
      <c r="A980" s="1491"/>
      <c r="B980" s="1491"/>
      <c r="C980" s="1491"/>
      <c r="D980" s="1491"/>
      <c r="E980" s="1491"/>
      <c r="F980" s="1491"/>
      <c r="G980" s="1491"/>
      <c r="H980" s="1491"/>
      <c r="I980" s="1491"/>
      <c r="J980" s="1491"/>
      <c r="K980" s="1491"/>
      <c r="L980" s="1491"/>
      <c r="M980" s="1491"/>
      <c r="N980" s="1491"/>
      <c r="O980" s="1491"/>
      <c r="P980" s="1491"/>
      <c r="Q980" s="1491"/>
      <c r="R980" s="1491"/>
      <c r="S980" s="1491"/>
      <c r="T980" s="1491"/>
      <c r="U980" s="1491"/>
      <c r="V980" s="1491"/>
      <c r="W980" s="1491"/>
      <c r="X980" s="1491"/>
      <c r="Y980" s="1491"/>
      <c r="Z980" s="1491"/>
      <c r="AA980" s="1491"/>
      <c r="AB980" s="1491"/>
      <c r="AC980" s="1491"/>
      <c r="AD980" s="1491"/>
      <c r="AE980" s="1491"/>
      <c r="AF980" s="1491"/>
      <c r="AG980" s="1491"/>
      <c r="AH980" s="1491"/>
      <c r="AI980" s="1491"/>
      <c r="AJ980" s="1491"/>
      <c r="AK980" s="1491"/>
      <c r="AL980" s="1491"/>
      <c r="AM980" s="1491"/>
      <c r="AN980" s="1491"/>
      <c r="AO980" s="1491"/>
      <c r="AP980" s="1491"/>
      <c r="AQ980" s="1491"/>
      <c r="AR980" s="1491"/>
      <c r="AS980" s="1491"/>
      <c r="AT980" s="1491"/>
      <c r="AU980" s="1009"/>
      <c r="AV980" s="1009"/>
      <c r="AW980" s="1009"/>
      <c r="AX980" s="1009"/>
      <c r="AY980" s="1009"/>
      <c r="AZ980" s="23"/>
      <c r="BA980" s="11"/>
      <c r="BB980" s="11"/>
      <c r="BC980" s="11"/>
    </row>
    <row r="981" spans="1:64" ht="12.9" customHeight="1">
      <c r="A981" s="1491"/>
      <c r="B981" s="1491"/>
      <c r="C981" s="1491"/>
      <c r="D981" s="1491"/>
      <c r="E981" s="1491"/>
      <c r="F981" s="1491"/>
      <c r="G981" s="1491"/>
      <c r="H981" s="1491"/>
      <c r="I981" s="1491"/>
      <c r="J981" s="1491"/>
      <c r="K981" s="1491"/>
      <c r="L981" s="1491"/>
      <c r="M981" s="1491"/>
      <c r="N981" s="1491"/>
      <c r="O981" s="1491"/>
      <c r="P981" s="1491"/>
      <c r="Q981" s="1491"/>
      <c r="R981" s="1491"/>
      <c r="S981" s="1491"/>
      <c r="T981" s="1491"/>
      <c r="U981" s="1491"/>
      <c r="V981" s="1491"/>
      <c r="W981" s="1491"/>
      <c r="X981" s="1491"/>
      <c r="Y981" s="1491"/>
      <c r="Z981" s="1491"/>
      <c r="AA981" s="1491"/>
      <c r="AB981" s="1491"/>
      <c r="AC981" s="1491"/>
      <c r="AD981" s="1491"/>
      <c r="AE981" s="1491"/>
      <c r="AF981" s="1491"/>
      <c r="AG981" s="1491"/>
      <c r="AH981" s="1491"/>
      <c r="AI981" s="1491"/>
      <c r="AJ981" s="1491"/>
      <c r="AK981" s="1491"/>
      <c r="AL981" s="1491"/>
      <c r="AM981" s="1491"/>
      <c r="AN981" s="1491"/>
      <c r="AO981" s="1491"/>
      <c r="AP981" s="1491"/>
      <c r="AQ981" s="1491"/>
      <c r="AR981" s="1491"/>
      <c r="AS981" s="1491"/>
      <c r="AT981" s="1491"/>
      <c r="AU981" s="1009"/>
      <c r="AV981" s="1009"/>
      <c r="AW981" s="1009"/>
      <c r="AX981" s="1009"/>
      <c r="AY981" s="1009"/>
      <c r="AZ981" s="23"/>
      <c r="BA981" s="11"/>
      <c r="BB981" s="11"/>
      <c r="BC981" s="11"/>
    </row>
    <row r="982" spans="1:64" ht="12.9" customHeight="1">
      <c r="A982" s="11"/>
      <c r="B982" s="11"/>
      <c r="C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009"/>
      <c r="AM982" s="1009"/>
      <c r="AN982" s="1009"/>
      <c r="AO982" s="1009"/>
      <c r="AP982" s="1009"/>
      <c r="AQ982" s="1009"/>
      <c r="AR982" s="1009"/>
      <c r="AS982" s="1009"/>
      <c r="AT982" s="1009"/>
      <c r="AU982" s="1009"/>
      <c r="AV982" s="1009"/>
      <c r="AW982" s="1009"/>
      <c r="AX982" s="1009"/>
      <c r="AY982" s="1009"/>
      <c r="AZ982" s="11"/>
      <c r="BA982" s="11"/>
      <c r="BB982" s="11"/>
      <c r="BC982" s="11"/>
    </row>
    <row r="983" spans="1:64" ht="12.9" customHeight="1">
      <c r="A983" s="1" t="s">
        <v>870</v>
      </c>
      <c r="C983" s="1" t="s">
        <v>253</v>
      </c>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009"/>
      <c r="AM983" s="1009"/>
      <c r="AN983" s="1009"/>
      <c r="AO983" s="1009"/>
      <c r="AP983" s="1009"/>
      <c r="AQ983" s="1009"/>
      <c r="AR983" s="1009"/>
      <c r="AS983" s="1009"/>
      <c r="AT983" s="1009"/>
      <c r="AU983" s="1009"/>
      <c r="AV983" s="1009"/>
      <c r="AW983" s="1009"/>
      <c r="AX983" s="1009"/>
      <c r="AY983" s="1009"/>
      <c r="AZ983" s="11"/>
      <c r="BA983" s="11"/>
      <c r="BB983" s="11"/>
      <c r="BC983" s="11"/>
    </row>
    <row r="984" spans="1:64" ht="12.9" customHeight="1">
      <c r="A984" s="1"/>
      <c r="C984" s="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009"/>
      <c r="AM984" s="1009"/>
      <c r="AN984" s="1009"/>
      <c r="AO984" s="1009"/>
      <c r="AP984" s="1009"/>
      <c r="AQ984" s="1009"/>
      <c r="AR984" s="1009"/>
      <c r="AS984" s="1009"/>
      <c r="AT984" s="1009"/>
      <c r="AU984" s="1009"/>
      <c r="AV984" s="1009"/>
      <c r="AW984" s="1009"/>
      <c r="AX984" s="1009"/>
      <c r="AY984" s="1009"/>
      <c r="AZ984" s="11"/>
      <c r="BA984" s="11"/>
      <c r="BB984" s="11"/>
      <c r="BC984" s="11"/>
    </row>
    <row r="985" spans="1:64" ht="12.9" customHeight="1">
      <c r="A985" s="11"/>
      <c r="B985" s="47"/>
      <c r="C985" s="1011"/>
      <c r="D985" s="1728" t="s">
        <v>1670</v>
      </c>
      <c r="E985" s="1729"/>
      <c r="F985" s="1729"/>
      <c r="G985" s="1729"/>
      <c r="H985" s="1729"/>
      <c r="I985" s="1729"/>
      <c r="J985" s="1729"/>
      <c r="K985" s="1729"/>
      <c r="L985" s="1729"/>
      <c r="M985" s="1729"/>
      <c r="N985" s="1729"/>
      <c r="O985" s="1729"/>
      <c r="P985" s="1729"/>
      <c r="Q985" s="1730"/>
      <c r="R985" s="1728" t="s">
        <v>1671</v>
      </c>
      <c r="S985" s="1729"/>
      <c r="T985" s="1729"/>
      <c r="U985" s="1729"/>
      <c r="V985" s="1729"/>
      <c r="W985" s="1729"/>
      <c r="X985" s="1729"/>
      <c r="Y985" s="1729"/>
      <c r="Z985" s="1729"/>
      <c r="AA985" s="1730"/>
      <c r="AB985" s="1728" t="s">
        <v>1672</v>
      </c>
      <c r="AC985" s="1729"/>
      <c r="AD985" s="1729"/>
      <c r="AE985" s="1729"/>
      <c r="AF985" s="1729"/>
      <c r="AG985" s="1729"/>
      <c r="AH985" s="1729"/>
      <c r="AI985" s="1730"/>
      <c r="AJ985" s="1728" t="s">
        <v>1673</v>
      </c>
      <c r="AK985" s="1729"/>
      <c r="AL985" s="1729"/>
      <c r="AM985" s="1729"/>
      <c r="AN985" s="1729"/>
      <c r="AO985" s="1729"/>
      <c r="AP985" s="1729"/>
      <c r="AQ985" s="1730"/>
      <c r="AR985" s="1009"/>
      <c r="AS985" s="1009"/>
      <c r="AT985" s="1009"/>
      <c r="AU985" s="1009"/>
      <c r="AV985" s="1009"/>
      <c r="AW985" s="1009"/>
      <c r="AX985" s="1009"/>
      <c r="AY985" s="1009"/>
      <c r="AZ985" s="23"/>
      <c r="BB985" s="11"/>
      <c r="BC985" s="11"/>
    </row>
    <row r="986" spans="1:64" ht="12.9" customHeight="1">
      <c r="A986" s="11"/>
      <c r="B986" s="44"/>
      <c r="C986" s="681"/>
      <c r="D986" s="1734" t="s">
        <v>835</v>
      </c>
      <c r="E986" s="1735"/>
      <c r="F986" s="1735"/>
      <c r="G986" s="1735"/>
      <c r="H986" s="1735"/>
      <c r="I986" s="1735"/>
      <c r="J986" s="1735"/>
      <c r="K986" s="1735"/>
      <c r="L986" s="1735"/>
      <c r="M986" s="1735"/>
      <c r="N986" s="1735"/>
      <c r="O986" s="1735"/>
      <c r="P986" s="1735"/>
      <c r="Q986" s="1736"/>
      <c r="R986" s="1723">
        <f>IF(ISNA(IF($CU$122="4%",(INDEX($CS$160:$CW$217,MATCH($DG$122,$CR$160:$CR$217,0),MATCH(D986,$CS$159:$CW$159,0))),(INDEX($CZ$160:$DD$217,MATCH($DG$122,$CY$160:$CY$217,0),MATCH(D986,$CZ$159:$DD$159,0))))),0,IF($CU$122="4%",(INDEX($CS$160:$CW$217,MATCH($DG$122,$CR$160:$CR$217,0),MATCH(D986,$CS$159:$CW$159,0))),(INDEX($CZ$160:$DD$217,MATCH($DG$122,$CY$160:$CY$217,0),MATCH(D986,$CZ$159:$DD$159,0)))))</f>
        <v>437727</v>
      </c>
      <c r="S986" s="1723"/>
      <c r="T986" s="1723"/>
      <c r="U986" s="1723"/>
      <c r="V986" s="1723"/>
      <c r="W986" s="1723"/>
      <c r="X986" s="1723"/>
      <c r="Y986" s="1723"/>
      <c r="Z986" s="1723"/>
      <c r="AA986" s="1723"/>
      <c r="AB986" s="1720">
        <f>CP802</f>
        <v>0</v>
      </c>
      <c r="AC986" s="1721"/>
      <c r="AD986" s="1721"/>
      <c r="AE986" s="1721"/>
      <c r="AF986" s="1721"/>
      <c r="AG986" s="1721"/>
      <c r="AH986" s="1721"/>
      <c r="AI986" s="1722"/>
      <c r="AJ986" s="1657">
        <f>IF(ISERROR((R986*AB986)),0,(R986*AB986))</f>
        <v>0</v>
      </c>
      <c r="AK986" s="1658"/>
      <c r="AL986" s="1658"/>
      <c r="AM986" s="1658"/>
      <c r="AN986" s="1658"/>
      <c r="AO986" s="1658"/>
      <c r="AP986" s="1658"/>
      <c r="AQ986" s="1659"/>
      <c r="AR986" s="1009"/>
      <c r="AS986" s="1009"/>
      <c r="AT986" s="1009"/>
      <c r="AU986" s="1009"/>
      <c r="AV986" s="1009"/>
      <c r="AW986" s="1009"/>
      <c r="AX986" s="1009"/>
      <c r="AY986" s="1009"/>
      <c r="AZ986" s="23"/>
      <c r="BB986" s="11"/>
      <c r="BC986" s="11"/>
    </row>
    <row r="987" spans="1:64" ht="12.9" customHeight="1">
      <c r="A987" s="11"/>
      <c r="B987" s="44"/>
      <c r="C987" s="48"/>
      <c r="D987" s="1734" t="s">
        <v>830</v>
      </c>
      <c r="E987" s="1735"/>
      <c r="F987" s="1735"/>
      <c r="G987" s="1735"/>
      <c r="H987" s="1735"/>
      <c r="I987" s="1735"/>
      <c r="J987" s="1735"/>
      <c r="K987" s="1735"/>
      <c r="L987" s="1735"/>
      <c r="M987" s="1735"/>
      <c r="N987" s="1735"/>
      <c r="O987" s="1735"/>
      <c r="P987" s="1735"/>
      <c r="Q987" s="1736"/>
      <c r="R987" s="1723">
        <f>IF(ISNA(IF($CU$122="4%",(INDEX($CS$160:$CW$217,MATCH($DG$122,$CR$160:$CR$217,0),MATCH(D987,$CS$159:$CW$159,0))),(INDEX($CZ$160:$DD$217,MATCH($DG$122,$CY$160:$CY$217,0),MATCH(D987,$CZ$159:$DD$159,0))))),0,IF($CU$122="4%",(INDEX($CS$160:$CW$217,MATCH($DG$122,$CR$160:$CR$217,0),MATCH(D987,$CS$159:$CW$159,0))),(INDEX($CZ$160:$DD$217,MATCH($DG$122,$CY$160:$CY$217,0),MATCH(D987,$CZ$159:$DD$159,0)))))</f>
        <v>504695</v>
      </c>
      <c r="S987" s="1723"/>
      <c r="T987" s="1723"/>
      <c r="U987" s="1723"/>
      <c r="V987" s="1723"/>
      <c r="W987" s="1723"/>
      <c r="X987" s="1723"/>
      <c r="Y987" s="1723"/>
      <c r="Z987" s="1723"/>
      <c r="AA987" s="1723"/>
      <c r="AB987" s="1720">
        <f>CU802</f>
        <v>57</v>
      </c>
      <c r="AC987" s="1721"/>
      <c r="AD987" s="1721"/>
      <c r="AE987" s="1721"/>
      <c r="AF987" s="1721"/>
      <c r="AG987" s="1721"/>
      <c r="AH987" s="1721"/>
      <c r="AI987" s="1722"/>
      <c r="AJ987" s="1657">
        <f>IF(ISERROR((R987*AB987)),0,(R987*AB987))</f>
        <v>28767615</v>
      </c>
      <c r="AK987" s="1658"/>
      <c r="AL987" s="1658"/>
      <c r="AM987" s="1658"/>
      <c r="AN987" s="1658"/>
      <c r="AO987" s="1658"/>
      <c r="AP987" s="1658"/>
      <c r="AQ987" s="1659"/>
      <c r="AR987" s="1009"/>
      <c r="AS987" s="1009"/>
      <c r="AT987" s="1009"/>
      <c r="AU987" s="1009"/>
      <c r="AV987" s="1009"/>
      <c r="AW987" s="1009"/>
      <c r="AX987" s="1009"/>
      <c r="AY987" s="1009"/>
      <c r="AZ987" s="23"/>
      <c r="BB987" s="11"/>
      <c r="BC987" s="11"/>
    </row>
    <row r="988" spans="1:64" ht="12.9" customHeight="1">
      <c r="A988" s="11"/>
      <c r="B988" s="44"/>
      <c r="C988" s="48"/>
      <c r="D988" s="1734" t="s">
        <v>831</v>
      </c>
      <c r="E988" s="1735"/>
      <c r="F988" s="1735"/>
      <c r="G988" s="1735"/>
      <c r="H988" s="1735"/>
      <c r="I988" s="1735"/>
      <c r="J988" s="1735"/>
      <c r="K988" s="1735"/>
      <c r="L988" s="1735"/>
      <c r="M988" s="1735"/>
      <c r="N988" s="1735"/>
      <c r="O988" s="1735"/>
      <c r="P988" s="1735"/>
      <c r="Q988" s="1736"/>
      <c r="R988" s="1723">
        <f>IF(ISNA(IF($CU$122="4%",(INDEX($CS$160:$CW$217,MATCH($DG$122,$CR$160:$CR$217,0),MATCH(D988,$CS$159:$CW$159,0))),(INDEX($CZ$160:$DD$217,MATCH($DG$122,$CY$160:$CY$217,0),MATCH(D988,$CZ$159:$DD$159,0))))),0,IF($CU$122="4%",(INDEX($CS$160:$CW$217,MATCH($DG$122,$CR$160:$CR$217,0),MATCH(D988,$CS$159:$CW$159,0))),(INDEX($CZ$160:$DD$217,MATCH($DG$122,$CY$160:$CY$217,0),MATCH(D988,$CZ$159:$DD$159,0)))))</f>
        <v>608800</v>
      </c>
      <c r="S988" s="1723"/>
      <c r="T988" s="1723"/>
      <c r="U988" s="1723"/>
      <c r="V988" s="1723"/>
      <c r="W988" s="1723"/>
      <c r="X988" s="1723"/>
      <c r="Y988" s="1723"/>
      <c r="Z988" s="1723"/>
      <c r="AA988" s="1723"/>
      <c r="AB988" s="1720">
        <f>CZ802</f>
        <v>35</v>
      </c>
      <c r="AC988" s="1721"/>
      <c r="AD988" s="1721"/>
      <c r="AE988" s="1721"/>
      <c r="AF988" s="1721"/>
      <c r="AG988" s="1721"/>
      <c r="AH988" s="1721"/>
      <c r="AI988" s="1722"/>
      <c r="AJ988" s="1657">
        <f>IF(ISERROR((R988*AB988)),0,(R988*AB988))</f>
        <v>21308000</v>
      </c>
      <c r="AK988" s="1658"/>
      <c r="AL988" s="1658"/>
      <c r="AM988" s="1658"/>
      <c r="AN988" s="1658"/>
      <c r="AO988" s="1658"/>
      <c r="AP988" s="1658"/>
      <c r="AQ988" s="1659"/>
      <c r="AR988" s="1009"/>
      <c r="AS988" s="1009"/>
      <c r="AT988" s="1009"/>
      <c r="AU988" s="1009"/>
      <c r="AV988" s="1009"/>
      <c r="AW988" s="1009"/>
      <c r="AX988" s="1009"/>
      <c r="AY988" s="1009"/>
      <c r="AZ988" s="23"/>
      <c r="BB988" s="11"/>
      <c r="BC988" s="11"/>
    </row>
    <row r="989" spans="1:64" ht="12.9" customHeight="1">
      <c r="A989" s="11"/>
      <c r="B989" s="44"/>
      <c r="C989" s="48"/>
      <c r="D989" s="1734" t="s">
        <v>832</v>
      </c>
      <c r="E989" s="1735"/>
      <c r="F989" s="1735"/>
      <c r="G989" s="1735"/>
      <c r="H989" s="1735"/>
      <c r="I989" s="1735"/>
      <c r="J989" s="1735"/>
      <c r="K989" s="1735"/>
      <c r="L989" s="1735"/>
      <c r="M989" s="1735"/>
      <c r="N989" s="1735"/>
      <c r="O989" s="1735"/>
      <c r="P989" s="1735"/>
      <c r="Q989" s="1736"/>
      <c r="R989" s="1723">
        <f>IF(ISNA(IF($CU$122="4%",(INDEX($CS$160:$CW$217,MATCH($DG$122,$CR$160:$CR$217,0),MATCH(D989,$CS$159:$CW$159,0))),(INDEX($CZ$160:$DD$217,MATCH($DG$122,$CY$160:$CY$217,0),MATCH(D989,$CZ$159:$DD$159,0))))),0,IF($CU$122="4%",(INDEX($CS$160:$CW$217,MATCH($DG$122,$CR$160:$CR$217,0),MATCH(D989,$CS$159:$CW$159,0))),(INDEX($CZ$160:$DD$217,MATCH($DG$122,$CY$160:$CY$217,0),MATCH(D989,$CZ$159:$DD$159,0)))))</f>
        <v>779264</v>
      </c>
      <c r="S989" s="1723"/>
      <c r="T989" s="1723"/>
      <c r="U989" s="1723"/>
      <c r="V989" s="1723"/>
      <c r="W989" s="1723"/>
      <c r="X989" s="1723"/>
      <c r="Y989" s="1723"/>
      <c r="Z989" s="1723"/>
      <c r="AA989" s="1723"/>
      <c r="AB989" s="1720">
        <f>DE802</f>
        <v>36</v>
      </c>
      <c r="AC989" s="1721"/>
      <c r="AD989" s="1721"/>
      <c r="AE989" s="1721"/>
      <c r="AF989" s="1721"/>
      <c r="AG989" s="1721"/>
      <c r="AH989" s="1721"/>
      <c r="AI989" s="1722"/>
      <c r="AJ989" s="1657">
        <f>IF(ISERROR((R989*AB989)),0,(R989*AB989))</f>
        <v>28053504</v>
      </c>
      <c r="AK989" s="1658"/>
      <c r="AL989" s="1658"/>
      <c r="AM989" s="1658"/>
      <c r="AN989" s="1658"/>
      <c r="AO989" s="1658"/>
      <c r="AP989" s="1658"/>
      <c r="AQ989" s="1659"/>
      <c r="AR989" s="1009"/>
      <c r="AS989" s="1009"/>
      <c r="AT989" s="1009"/>
      <c r="AU989" s="1009"/>
      <c r="AV989" s="1009"/>
      <c r="AW989" s="1009"/>
      <c r="AX989" s="1009"/>
      <c r="AY989" s="1009"/>
      <c r="AZ989" s="23"/>
      <c r="BA989" s="2"/>
      <c r="BB989" s="11"/>
      <c r="BC989" s="11"/>
    </row>
    <row r="990" spans="1:64" ht="12.9" customHeight="1">
      <c r="A990" s="11"/>
      <c r="B990" s="31"/>
      <c r="C990" s="46"/>
      <c r="D990" s="1734" t="s">
        <v>836</v>
      </c>
      <c r="E990" s="1735"/>
      <c r="F990" s="1735"/>
      <c r="G990" s="1735"/>
      <c r="H990" s="1735"/>
      <c r="I990" s="1735"/>
      <c r="J990" s="1735"/>
      <c r="K990" s="1735"/>
      <c r="L990" s="1735"/>
      <c r="M990" s="1735"/>
      <c r="N990" s="1735"/>
      <c r="O990" s="1735"/>
      <c r="P990" s="1735"/>
      <c r="Q990" s="1736"/>
      <c r="R990" s="1723">
        <f>IF(ISNA(IF($CU$122="4%",(INDEX($CS$160:$CW$217,MATCH($DG$122,$CR$160:$CR$217,0),MATCH(D990,$CS$159:$CW$159,0))),(INDEX($CZ$160:$DD$217,MATCH($DG$122,$CY$160:$CY$217,0),MATCH(D990,$CZ$159:$DD$159,0))))),0,IF($CU$122="4%",(INDEX($CS$160:$CW$217,MATCH($DG$122,$CR$160:$CR$217,0),MATCH(D990,$CS$159:$CW$159,0))),(INDEX($CZ$160:$DD$217,MATCH($DG$122,$CY$160:$CY$217,0),MATCH(D990,$CZ$159:$DD$159,0)))))</f>
        <v>868149</v>
      </c>
      <c r="S990" s="1723"/>
      <c r="T990" s="1723"/>
      <c r="U990" s="1723"/>
      <c r="V990" s="1723"/>
      <c r="W990" s="1723"/>
      <c r="X990" s="1723"/>
      <c r="Y990" s="1723"/>
      <c r="Z990" s="1723"/>
      <c r="AA990" s="1723"/>
      <c r="AB990" s="1720">
        <f>DO802+DJ802</f>
        <v>0</v>
      </c>
      <c r="AC990" s="1721"/>
      <c r="AD990" s="1721"/>
      <c r="AE990" s="1721"/>
      <c r="AF990" s="1721"/>
      <c r="AG990" s="1721"/>
      <c r="AH990" s="1721"/>
      <c r="AI990" s="1722"/>
      <c r="AJ990" s="1657">
        <f>IF(ISERROR((R990*AB990)),0,(R990*AB990))</f>
        <v>0</v>
      </c>
      <c r="AK990" s="1658"/>
      <c r="AL990" s="1658"/>
      <c r="AM990" s="1658"/>
      <c r="AN990" s="1658"/>
      <c r="AO990" s="1658"/>
      <c r="AP990" s="1658"/>
      <c r="AQ990" s="1659"/>
      <c r="AR990" s="1009"/>
      <c r="AS990" s="1009"/>
      <c r="AT990" s="1009"/>
      <c r="AU990" s="1009"/>
      <c r="AV990" s="1009"/>
      <c r="AW990" s="1009"/>
      <c r="AX990" s="1009"/>
      <c r="AY990" s="1009"/>
      <c r="AZ990" s="23"/>
      <c r="BB990" s="11"/>
      <c r="BC990" s="11"/>
    </row>
    <row r="991" spans="1:64" ht="12.9" customHeight="1">
      <c r="A991" s="11"/>
      <c r="B991" s="1678" t="s">
        <v>1674</v>
      </c>
      <c r="C991" s="1679"/>
      <c r="D991" s="1679"/>
      <c r="E991" s="1679"/>
      <c r="F991" s="1679"/>
      <c r="G991" s="1679"/>
      <c r="H991" s="1679"/>
      <c r="I991" s="1679"/>
      <c r="J991" s="1679"/>
      <c r="K991" s="1679"/>
      <c r="L991" s="1679"/>
      <c r="M991" s="1679"/>
      <c r="N991" s="1679"/>
      <c r="O991" s="1679"/>
      <c r="P991" s="1679"/>
      <c r="Q991" s="1679"/>
      <c r="R991" s="1679"/>
      <c r="S991" s="1679"/>
      <c r="T991" s="1679"/>
      <c r="U991" s="1679"/>
      <c r="V991" s="1679"/>
      <c r="W991" s="1679"/>
      <c r="X991" s="1679"/>
      <c r="Y991" s="1679"/>
      <c r="Z991" s="1679"/>
      <c r="AA991" s="1680"/>
      <c r="AB991" s="1720">
        <f>SUM(AB986:AI990)</f>
        <v>128</v>
      </c>
      <c r="AC991" s="1721"/>
      <c r="AD991" s="1721"/>
      <c r="AE991" s="1721"/>
      <c r="AF991" s="1721"/>
      <c r="AG991" s="1721"/>
      <c r="AH991" s="1721"/>
      <c r="AI991" s="1722"/>
      <c r="AJ991" s="1657"/>
      <c r="AK991" s="1658"/>
      <c r="AL991" s="1658"/>
      <c r="AM991" s="1658"/>
      <c r="AN991" s="1658"/>
      <c r="AO991" s="1658"/>
      <c r="AP991" s="1658"/>
      <c r="AQ991" s="1659"/>
      <c r="AR991" s="1009"/>
      <c r="AS991" s="1009"/>
      <c r="AT991" s="1009"/>
      <c r="AU991" s="1009"/>
      <c r="AV991" s="1009"/>
      <c r="AW991" s="1009"/>
      <c r="AX991" s="1009"/>
      <c r="AY991" s="1009"/>
      <c r="AZ991" s="2"/>
      <c r="BA991" s="2"/>
      <c r="BB991" s="11"/>
      <c r="BC991" s="11"/>
    </row>
    <row r="992" spans="1:64" ht="12.9" customHeight="1">
      <c r="A992" s="11"/>
      <c r="B992" s="1731" t="s">
        <v>1675</v>
      </c>
      <c r="C992" s="1732"/>
      <c r="D992" s="1732"/>
      <c r="E992" s="1732"/>
      <c r="F992" s="1732"/>
      <c r="G992" s="1732"/>
      <c r="H992" s="1732"/>
      <c r="I992" s="1732"/>
      <c r="J992" s="1732"/>
      <c r="K992" s="1732"/>
      <c r="L992" s="1732"/>
      <c r="M992" s="1732"/>
      <c r="N992" s="1732"/>
      <c r="O992" s="1732"/>
      <c r="P992" s="1732"/>
      <c r="Q992" s="1732"/>
      <c r="R992" s="1732"/>
      <c r="S992" s="1732"/>
      <c r="T992" s="1732"/>
      <c r="U992" s="1732"/>
      <c r="V992" s="1732"/>
      <c r="W992" s="1732"/>
      <c r="X992" s="1732"/>
      <c r="Y992" s="1732"/>
      <c r="Z992" s="1732"/>
      <c r="AA992" s="1732"/>
      <c r="AB992" s="1732"/>
      <c r="AC992" s="1732"/>
      <c r="AD992" s="1732"/>
      <c r="AE992" s="1732"/>
      <c r="AF992" s="1732"/>
      <c r="AG992" s="1732"/>
      <c r="AH992" s="1732"/>
      <c r="AI992" s="1733"/>
      <c r="AJ992" s="1657">
        <f>SUM(AJ986:AQ990)</f>
        <v>78129119</v>
      </c>
      <c r="AK992" s="1658"/>
      <c r="AL992" s="1658"/>
      <c r="AM992" s="1658"/>
      <c r="AN992" s="1658"/>
      <c r="AO992" s="1658"/>
      <c r="AP992" s="1658"/>
      <c r="AQ992" s="1659"/>
      <c r="AR992" s="1009"/>
      <c r="AS992" s="1009"/>
      <c r="AT992" s="1009"/>
      <c r="AU992" s="1009"/>
      <c r="AV992" s="1009"/>
      <c r="AW992" s="1009"/>
      <c r="AX992" s="1009"/>
      <c r="AY992" s="1009"/>
      <c r="AZ992" s="2"/>
      <c r="BB992" s="2"/>
      <c r="BC992" s="2"/>
    </row>
    <row r="993" spans="1:55" ht="12.9" customHeight="1">
      <c r="A993" s="11"/>
      <c r="B993" s="1687"/>
      <c r="C993" s="1688"/>
      <c r="D993" s="1688"/>
      <c r="E993" s="1688"/>
      <c r="F993" s="1688"/>
      <c r="G993" s="1688"/>
      <c r="H993" s="1688"/>
      <c r="I993" s="1688"/>
      <c r="J993" s="1688"/>
      <c r="K993" s="1688"/>
      <c r="L993" s="1688"/>
      <c r="M993" s="1688"/>
      <c r="N993" s="1688"/>
      <c r="O993" s="1688"/>
      <c r="P993" s="1688"/>
      <c r="Q993" s="1688"/>
      <c r="R993" s="1688"/>
      <c r="S993" s="1688"/>
      <c r="T993" s="1688"/>
      <c r="U993" s="1688"/>
      <c r="V993" s="1688"/>
      <c r="W993" s="1688"/>
      <c r="X993" s="1688"/>
      <c r="Y993" s="1688"/>
      <c r="Z993" s="1688"/>
      <c r="AA993" s="1688"/>
      <c r="AB993" s="1688"/>
      <c r="AC993" s="1688"/>
      <c r="AD993" s="1688"/>
      <c r="AE993" s="1689"/>
      <c r="AF993" s="1762" t="s">
        <v>1676</v>
      </c>
      <c r="AG993" s="1763"/>
      <c r="AH993" s="1763"/>
      <c r="AI993" s="1764"/>
      <c r="AJ993" s="1687"/>
      <c r="AK993" s="1688"/>
      <c r="AL993" s="1688"/>
      <c r="AM993" s="1688"/>
      <c r="AN993" s="1688"/>
      <c r="AO993" s="1688"/>
      <c r="AP993" s="1688"/>
      <c r="AQ993" s="1689"/>
      <c r="AR993" s="1009"/>
      <c r="AS993" s="1009"/>
      <c r="AT993" s="1009"/>
      <c r="AU993" s="1009"/>
      <c r="AV993" s="1009"/>
      <c r="AW993" s="1009"/>
      <c r="AX993" s="1009"/>
      <c r="AY993" s="1009"/>
      <c r="AZ993" s="2"/>
      <c r="BA993" s="2"/>
      <c r="BB993" s="2"/>
      <c r="BC993" s="2"/>
    </row>
    <row r="994" spans="1:55" ht="12.9" customHeight="1">
      <c r="A994" s="11"/>
      <c r="B994" s="44"/>
      <c r="C994" s="1012" t="s">
        <v>1677</v>
      </c>
      <c r="D994" s="1675" t="s">
        <v>1678</v>
      </c>
      <c r="E994" s="1676"/>
      <c r="F994" s="1676"/>
      <c r="G994" s="1676"/>
      <c r="H994" s="1676"/>
      <c r="I994" s="1676"/>
      <c r="J994" s="1676"/>
      <c r="K994" s="1676"/>
      <c r="L994" s="1676"/>
      <c r="M994" s="1676"/>
      <c r="N994" s="1676"/>
      <c r="O994" s="1676"/>
      <c r="P994" s="1676"/>
      <c r="Q994" s="1676"/>
      <c r="R994" s="1676"/>
      <c r="S994" s="1676"/>
      <c r="T994" s="1676"/>
      <c r="U994" s="1676"/>
      <c r="V994" s="1676"/>
      <c r="W994" s="1676"/>
      <c r="X994" s="1676"/>
      <c r="Y994" s="1676"/>
      <c r="Z994" s="1676"/>
      <c r="AA994" s="1676"/>
      <c r="AB994" s="1676"/>
      <c r="AC994" s="1676"/>
      <c r="AD994" s="1676"/>
      <c r="AE994" s="1677"/>
      <c r="AF994" s="47"/>
      <c r="AG994" s="1765" t="s">
        <v>694</v>
      </c>
      <c r="AH994" s="1766"/>
      <c r="AI994" s="50"/>
      <c r="AJ994" s="1666">
        <f>ROUND(IF(AND(AG994="yes",D1000&gt;0),AJ992*0.2,0),0)</f>
        <v>15625824</v>
      </c>
      <c r="AK994" s="1667"/>
      <c r="AL994" s="1667"/>
      <c r="AM994" s="1667"/>
      <c r="AN994" s="1667"/>
      <c r="AO994" s="1667"/>
      <c r="AP994" s="1667"/>
      <c r="AQ994" s="1668"/>
      <c r="AR994" s="1009"/>
      <c r="AS994" s="1009"/>
      <c r="AT994" s="1009"/>
      <c r="AU994" s="1009"/>
      <c r="AV994" s="1009"/>
      <c r="AW994" s="1009"/>
      <c r="AX994" s="1009"/>
      <c r="AY994" s="1009"/>
      <c r="AZ994" s="2"/>
      <c r="BA994" s="2"/>
      <c r="BB994" s="2"/>
      <c r="BC994" s="2"/>
    </row>
    <row r="995" spans="1:55" ht="12.9" customHeight="1">
      <c r="A995" s="11"/>
      <c r="B995" s="1013"/>
      <c r="C995" s="1014"/>
      <c r="D995" s="1708" t="s">
        <v>1679</v>
      </c>
      <c r="E995" s="1709"/>
      <c r="F995" s="1709"/>
      <c r="G995" s="1709"/>
      <c r="H995" s="1709"/>
      <c r="I995" s="1709"/>
      <c r="J995" s="1709"/>
      <c r="K995" s="1709"/>
      <c r="L995" s="1709"/>
      <c r="M995" s="1709"/>
      <c r="N995" s="1709"/>
      <c r="O995" s="1709"/>
      <c r="P995" s="1709"/>
      <c r="Q995" s="1709"/>
      <c r="R995" s="1709"/>
      <c r="S995" s="1709"/>
      <c r="T995" s="1709"/>
      <c r="U995" s="1709"/>
      <c r="V995" s="1709"/>
      <c r="W995" s="1709"/>
      <c r="X995" s="1709"/>
      <c r="Y995" s="1709"/>
      <c r="Z995" s="1709"/>
      <c r="AA995" s="1709"/>
      <c r="AB995" s="1709"/>
      <c r="AC995" s="1709"/>
      <c r="AD995" s="1709"/>
      <c r="AE995" s="1710"/>
      <c r="AF995" s="44"/>
      <c r="AG995" s="11"/>
      <c r="AH995" s="11"/>
      <c r="AI995" s="48"/>
      <c r="AJ995" s="1669"/>
      <c r="AK995" s="1670"/>
      <c r="AL995" s="1670"/>
      <c r="AM995" s="1670"/>
      <c r="AN995" s="1670"/>
      <c r="AO995" s="1670"/>
      <c r="AP995" s="1670"/>
      <c r="AQ995" s="1671"/>
      <c r="AR995" s="1009"/>
      <c r="AS995" s="1009"/>
      <c r="AT995" s="1009"/>
      <c r="AU995" s="1009"/>
      <c r="AV995" s="1009"/>
      <c r="AW995" s="1009"/>
      <c r="AX995" s="1009"/>
      <c r="AY995" s="1009"/>
      <c r="AZ995" s="2"/>
      <c r="BA995" s="2"/>
      <c r="BB995" s="2"/>
      <c r="BC995" s="2"/>
    </row>
    <row r="996" spans="1:55" ht="12.9" customHeight="1">
      <c r="A996" s="11"/>
      <c r="B996" s="1013"/>
      <c r="C996" s="1014"/>
      <c r="D996" s="1708"/>
      <c r="E996" s="1709"/>
      <c r="F996" s="1709"/>
      <c r="G996" s="1709"/>
      <c r="H996" s="1709"/>
      <c r="I996" s="1709"/>
      <c r="J996" s="1709"/>
      <c r="K996" s="1709"/>
      <c r="L996" s="1709"/>
      <c r="M996" s="1709"/>
      <c r="N996" s="1709"/>
      <c r="O996" s="1709"/>
      <c r="P996" s="1709"/>
      <c r="Q996" s="1709"/>
      <c r="R996" s="1709"/>
      <c r="S996" s="1709"/>
      <c r="T996" s="1709"/>
      <c r="U996" s="1709"/>
      <c r="V996" s="1709"/>
      <c r="W996" s="1709"/>
      <c r="X996" s="1709"/>
      <c r="Y996" s="1709"/>
      <c r="Z996" s="1709"/>
      <c r="AA996" s="1709"/>
      <c r="AB996" s="1709"/>
      <c r="AC996" s="1709"/>
      <c r="AD996" s="1709"/>
      <c r="AE996" s="1710"/>
      <c r="AF996" s="44"/>
      <c r="AG996" s="11"/>
      <c r="AH996" s="11"/>
      <c r="AI996" s="48"/>
      <c r="AJ996" s="1669"/>
      <c r="AK996" s="1670"/>
      <c r="AL996" s="1670"/>
      <c r="AM996" s="1670"/>
      <c r="AN996" s="1670"/>
      <c r="AO996" s="1670"/>
      <c r="AP996" s="1670"/>
      <c r="AQ996" s="1671"/>
      <c r="AR996" s="1009"/>
      <c r="AS996" s="1009"/>
      <c r="AT996" s="1009"/>
      <c r="AU996" s="1009"/>
      <c r="AV996" s="1009"/>
      <c r="AW996" s="1009"/>
      <c r="AX996" s="1009"/>
      <c r="AY996" s="1009"/>
      <c r="AZ996" s="2"/>
      <c r="BA996" s="2"/>
      <c r="BB996" s="2"/>
      <c r="BC996" s="2"/>
    </row>
    <row r="997" spans="1:55" ht="12.9" customHeight="1">
      <c r="A997" s="11"/>
      <c r="B997" s="1013"/>
      <c r="C997" s="1014"/>
      <c r="D997" s="1708"/>
      <c r="E997" s="1709"/>
      <c r="F997" s="1709"/>
      <c r="G997" s="1709"/>
      <c r="H997" s="1709"/>
      <c r="I997" s="1709"/>
      <c r="J997" s="1709"/>
      <c r="K997" s="1709"/>
      <c r="L997" s="1709"/>
      <c r="M997" s="1709"/>
      <c r="N997" s="1709"/>
      <c r="O997" s="1709"/>
      <c r="P997" s="1709"/>
      <c r="Q997" s="1709"/>
      <c r="R997" s="1709"/>
      <c r="S997" s="1709"/>
      <c r="T997" s="1709"/>
      <c r="U997" s="1709"/>
      <c r="V997" s="1709"/>
      <c r="W997" s="1709"/>
      <c r="X997" s="1709"/>
      <c r="Y997" s="1709"/>
      <c r="Z997" s="1709"/>
      <c r="AA997" s="1709"/>
      <c r="AB997" s="1709"/>
      <c r="AC997" s="1709"/>
      <c r="AD997" s="1709"/>
      <c r="AE997" s="1710"/>
      <c r="AF997" s="44"/>
      <c r="AG997" s="11"/>
      <c r="AH997" s="11"/>
      <c r="AI997" s="48"/>
      <c r="AJ997" s="1669"/>
      <c r="AK997" s="1670"/>
      <c r="AL997" s="1670"/>
      <c r="AM997" s="1670"/>
      <c r="AN997" s="1670"/>
      <c r="AO997" s="1670"/>
      <c r="AP997" s="1670"/>
      <c r="AQ997" s="1671"/>
      <c r="AR997" s="1009"/>
      <c r="AS997" s="1009"/>
      <c r="AT997" s="1009"/>
      <c r="AU997" s="1009"/>
      <c r="AV997" s="1009"/>
      <c r="AW997" s="1009"/>
      <c r="AX997" s="1009"/>
      <c r="AY997" s="1009"/>
      <c r="AZ997" s="2"/>
      <c r="BA997" s="2"/>
      <c r="BB997" s="2"/>
      <c r="BC997" s="2"/>
    </row>
    <row r="998" spans="1:55" ht="12.9" customHeight="1">
      <c r="A998" s="11"/>
      <c r="B998" s="1013"/>
      <c r="C998" s="1014"/>
      <c r="D998" s="1708"/>
      <c r="E998" s="1709"/>
      <c r="F998" s="1709"/>
      <c r="G998" s="1709"/>
      <c r="H998" s="1709"/>
      <c r="I998" s="1709"/>
      <c r="J998" s="1709"/>
      <c r="K998" s="1709"/>
      <c r="L998" s="1709"/>
      <c r="M998" s="1709"/>
      <c r="N998" s="1709"/>
      <c r="O998" s="1709"/>
      <c r="P998" s="1709"/>
      <c r="Q998" s="1709"/>
      <c r="R998" s="1709"/>
      <c r="S998" s="1709"/>
      <c r="T998" s="1709"/>
      <c r="U998" s="1709"/>
      <c r="V998" s="1709"/>
      <c r="W998" s="1709"/>
      <c r="X998" s="1709"/>
      <c r="Y998" s="1709"/>
      <c r="Z998" s="1709"/>
      <c r="AA998" s="1709"/>
      <c r="AB998" s="1709"/>
      <c r="AC998" s="1709"/>
      <c r="AD998" s="1709"/>
      <c r="AE998" s="1710"/>
      <c r="AF998" s="44"/>
      <c r="AG998" s="11"/>
      <c r="AH998" s="11"/>
      <c r="AI998" s="48"/>
      <c r="AJ998" s="1669"/>
      <c r="AK998" s="1670"/>
      <c r="AL998" s="1670"/>
      <c r="AM998" s="1670"/>
      <c r="AN998" s="1670"/>
      <c r="AO998" s="1670"/>
      <c r="AP998" s="1670"/>
      <c r="AQ998" s="1671"/>
      <c r="AR998" s="1009"/>
      <c r="AS998" s="1009"/>
      <c r="AT998" s="1009"/>
      <c r="AU998" s="1009"/>
      <c r="AV998" s="1009"/>
      <c r="AW998" s="1009"/>
      <c r="AX998" s="1009"/>
      <c r="AY998" s="1009"/>
      <c r="AZ998" s="2"/>
      <c r="BA998" s="2"/>
      <c r="BB998" s="2"/>
      <c r="BC998" s="2"/>
    </row>
    <row r="999" spans="1:55" ht="12.9" customHeight="1">
      <c r="A999" s="11"/>
      <c r="B999" s="1013"/>
      <c r="C999" s="1014"/>
      <c r="D999" s="1711" t="s">
        <v>1680</v>
      </c>
      <c r="E999" s="1712"/>
      <c r="F999" s="1712"/>
      <c r="G999" s="1712"/>
      <c r="H999" s="1712"/>
      <c r="I999" s="1712"/>
      <c r="J999" s="1712"/>
      <c r="K999" s="1712"/>
      <c r="L999" s="1712"/>
      <c r="M999" s="1712"/>
      <c r="N999" s="1712"/>
      <c r="O999" s="1712"/>
      <c r="P999" s="1712"/>
      <c r="Q999" s="1712"/>
      <c r="R999" s="1712"/>
      <c r="S999" s="1712"/>
      <c r="T999" s="1712"/>
      <c r="U999" s="1712"/>
      <c r="V999" s="1712"/>
      <c r="W999" s="1712"/>
      <c r="X999" s="1712"/>
      <c r="Y999" s="1712"/>
      <c r="Z999" s="1712"/>
      <c r="AA999" s="1712"/>
      <c r="AB999" s="1712"/>
      <c r="AC999" s="1712"/>
      <c r="AD999" s="1712"/>
      <c r="AE999" s="1713"/>
      <c r="AF999" s="44"/>
      <c r="AG999" s="11"/>
      <c r="AH999" s="11"/>
      <c r="AI999" s="48"/>
      <c r="AJ999" s="1669"/>
      <c r="AK999" s="1670"/>
      <c r="AL999" s="1670"/>
      <c r="AM999" s="1670"/>
      <c r="AN999" s="1670"/>
      <c r="AO999" s="1670"/>
      <c r="AP999" s="1670"/>
      <c r="AQ999" s="1671"/>
      <c r="AR999" s="1009"/>
      <c r="AS999" s="1009"/>
      <c r="AT999" s="1009"/>
      <c r="AU999" s="1009"/>
      <c r="AV999" s="1009"/>
      <c r="AW999" s="1009"/>
      <c r="AX999" s="1009"/>
      <c r="AY999" s="1009"/>
      <c r="AZ999" s="2"/>
      <c r="BA999" s="2"/>
      <c r="BB999" s="2"/>
      <c r="BC999" s="2"/>
    </row>
    <row r="1000" spans="1:55" ht="12.9" customHeight="1">
      <c r="A1000" s="11"/>
      <c r="B1000" s="1013"/>
      <c r="C1000" s="1014"/>
      <c r="D1000" s="1681" t="s">
        <v>1681</v>
      </c>
      <c r="E1000" s="1682"/>
      <c r="F1000" s="1682"/>
      <c r="G1000" s="1682"/>
      <c r="H1000" s="1682"/>
      <c r="I1000" s="1682"/>
      <c r="J1000" s="1682"/>
      <c r="K1000" s="1682"/>
      <c r="L1000" s="1682"/>
      <c r="M1000" s="1682"/>
      <c r="N1000" s="1682"/>
      <c r="O1000" s="1682"/>
      <c r="P1000" s="1682"/>
      <c r="Q1000" s="1682"/>
      <c r="R1000" s="1682"/>
      <c r="S1000" s="1682"/>
      <c r="T1000" s="1682"/>
      <c r="U1000" s="1682"/>
      <c r="V1000" s="1682"/>
      <c r="W1000" s="1682"/>
      <c r="X1000" s="1682"/>
      <c r="Y1000" s="1682"/>
      <c r="Z1000" s="1682"/>
      <c r="AA1000" s="1682"/>
      <c r="AB1000" s="1682"/>
      <c r="AC1000" s="1682"/>
      <c r="AD1000" s="1682"/>
      <c r="AE1000" s="1683"/>
      <c r="AF1000" s="45"/>
      <c r="AG1000" s="5"/>
      <c r="AH1000" s="5"/>
      <c r="AI1000" s="46"/>
      <c r="AJ1000" s="1672"/>
      <c r="AK1000" s="1673"/>
      <c r="AL1000" s="1673"/>
      <c r="AM1000" s="1673"/>
      <c r="AN1000" s="1673"/>
      <c r="AO1000" s="1673"/>
      <c r="AP1000" s="1673"/>
      <c r="AQ1000" s="1674"/>
      <c r="AR1000" s="1009"/>
      <c r="AS1000" s="1009"/>
      <c r="AT1000" s="1009"/>
      <c r="AU1000" s="1009"/>
      <c r="AV1000" s="1009"/>
      <c r="AW1000" s="1009"/>
      <c r="AX1000" s="1009"/>
      <c r="AY1000" s="1009"/>
      <c r="AZ1000" s="2"/>
      <c r="BA1000" s="2"/>
      <c r="BB1000" s="2"/>
      <c r="BC1000" s="2"/>
    </row>
    <row r="1001" spans="1:55" ht="12.9" customHeight="1">
      <c r="A1001" s="11"/>
      <c r="B1001" s="1015"/>
      <c r="C1001" s="1016"/>
      <c r="D1001" s="1705" t="s">
        <v>1682</v>
      </c>
      <c r="E1001" s="1706"/>
      <c r="F1001" s="1706"/>
      <c r="G1001" s="1706"/>
      <c r="H1001" s="1706"/>
      <c r="I1001" s="1706"/>
      <c r="J1001" s="1706"/>
      <c r="K1001" s="1706"/>
      <c r="L1001" s="1706"/>
      <c r="M1001" s="1706"/>
      <c r="N1001" s="1706"/>
      <c r="O1001" s="1706"/>
      <c r="P1001" s="1706"/>
      <c r="Q1001" s="1706"/>
      <c r="R1001" s="1706"/>
      <c r="S1001" s="1706"/>
      <c r="T1001" s="1706"/>
      <c r="U1001" s="1706"/>
      <c r="V1001" s="1706"/>
      <c r="W1001" s="1706"/>
      <c r="X1001" s="1706"/>
      <c r="Y1001" s="1706"/>
      <c r="Z1001" s="1706"/>
      <c r="AA1001" s="1706"/>
      <c r="AB1001" s="1706"/>
      <c r="AC1001" s="1706"/>
      <c r="AD1001" s="1706"/>
      <c r="AE1001" s="1707"/>
      <c r="AF1001" s="47"/>
      <c r="AG1001" s="1692" t="s">
        <v>843</v>
      </c>
      <c r="AH1001" s="1693"/>
      <c r="AI1001" s="50"/>
      <c r="AJ1001" s="1666">
        <f>ROUND(IF(AG1001="yes",AJ992*0.05,0),0)</f>
        <v>0</v>
      </c>
      <c r="AK1001" s="1667"/>
      <c r="AL1001" s="1667"/>
      <c r="AM1001" s="1667"/>
      <c r="AN1001" s="1667"/>
      <c r="AO1001" s="1667"/>
      <c r="AP1001" s="1667"/>
      <c r="AQ1001" s="1668"/>
      <c r="AR1001" s="1009"/>
      <c r="AS1001" s="1009"/>
      <c r="AT1001" s="1009"/>
      <c r="AU1001" s="1009"/>
      <c r="AV1001" s="1009"/>
      <c r="AW1001" s="1009"/>
      <c r="AX1001" s="1009"/>
      <c r="AY1001" s="1009"/>
      <c r="AZ1001" s="2"/>
      <c r="BA1001" s="2"/>
      <c r="BB1001" s="2"/>
      <c r="BC1001" s="2"/>
    </row>
    <row r="1002" spans="1:55" ht="12.9" customHeight="1">
      <c r="A1002" s="11"/>
      <c r="B1002" s="1013"/>
      <c r="C1002" s="1017"/>
      <c r="D1002" s="1708" t="s">
        <v>1683</v>
      </c>
      <c r="E1002" s="1709"/>
      <c r="F1002" s="1709"/>
      <c r="G1002" s="1709"/>
      <c r="H1002" s="1709"/>
      <c r="I1002" s="1709"/>
      <c r="J1002" s="1709"/>
      <c r="K1002" s="1709"/>
      <c r="L1002" s="1709"/>
      <c r="M1002" s="1709"/>
      <c r="N1002" s="1709"/>
      <c r="O1002" s="1709"/>
      <c r="P1002" s="1709"/>
      <c r="Q1002" s="1709"/>
      <c r="R1002" s="1709"/>
      <c r="S1002" s="1709"/>
      <c r="T1002" s="1709"/>
      <c r="U1002" s="1709"/>
      <c r="V1002" s="1709"/>
      <c r="W1002" s="1709"/>
      <c r="X1002" s="1709"/>
      <c r="Y1002" s="1709"/>
      <c r="Z1002" s="1709"/>
      <c r="AA1002" s="1709"/>
      <c r="AB1002" s="1709"/>
      <c r="AC1002" s="1709"/>
      <c r="AD1002" s="1709"/>
      <c r="AE1002" s="1710"/>
      <c r="AF1002" s="44"/>
      <c r="AG1002" s="11"/>
      <c r="AH1002" s="11"/>
      <c r="AI1002" s="48"/>
      <c r="AJ1002" s="1669"/>
      <c r="AK1002" s="1670"/>
      <c r="AL1002" s="1670"/>
      <c r="AM1002" s="1670"/>
      <c r="AN1002" s="1670"/>
      <c r="AO1002" s="1670"/>
      <c r="AP1002" s="1670"/>
      <c r="AQ1002" s="1671"/>
      <c r="AR1002" s="1009"/>
      <c r="AS1002" s="1009"/>
      <c r="AT1002" s="1009"/>
      <c r="AU1002" s="1009"/>
      <c r="AV1002" s="1009"/>
      <c r="AW1002" s="1009"/>
      <c r="AX1002" s="1009"/>
      <c r="AY1002" s="2"/>
      <c r="AZ1002" s="2"/>
      <c r="BB1002" s="2"/>
    </row>
    <row r="1003" spans="1:55" ht="12.9" customHeight="1">
      <c r="A1003" s="11"/>
      <c r="B1003" s="1013"/>
      <c r="C1003" s="1017"/>
      <c r="D1003" s="1708"/>
      <c r="E1003" s="1709"/>
      <c r="F1003" s="1709"/>
      <c r="G1003" s="1709"/>
      <c r="H1003" s="1709"/>
      <c r="I1003" s="1709"/>
      <c r="J1003" s="1709"/>
      <c r="K1003" s="1709"/>
      <c r="L1003" s="1709"/>
      <c r="M1003" s="1709"/>
      <c r="N1003" s="1709"/>
      <c r="O1003" s="1709"/>
      <c r="P1003" s="1709"/>
      <c r="Q1003" s="1709"/>
      <c r="R1003" s="1709"/>
      <c r="S1003" s="1709"/>
      <c r="T1003" s="1709"/>
      <c r="U1003" s="1709"/>
      <c r="V1003" s="1709"/>
      <c r="W1003" s="1709"/>
      <c r="X1003" s="1709"/>
      <c r="Y1003" s="1709"/>
      <c r="Z1003" s="1709"/>
      <c r="AA1003" s="1709"/>
      <c r="AB1003" s="1709"/>
      <c r="AC1003" s="1709"/>
      <c r="AD1003" s="1709"/>
      <c r="AE1003" s="1710"/>
      <c r="AF1003" s="44"/>
      <c r="AG1003" s="11"/>
      <c r="AH1003" s="11"/>
      <c r="AI1003" s="48"/>
      <c r="AJ1003" s="1669"/>
      <c r="AK1003" s="1670"/>
      <c r="AL1003" s="1670"/>
      <c r="AM1003" s="1670"/>
      <c r="AN1003" s="1670"/>
      <c r="AO1003" s="1670"/>
      <c r="AP1003" s="1670"/>
      <c r="AQ1003" s="1671"/>
      <c r="AR1003" s="1009"/>
      <c r="AS1003" s="1009"/>
      <c r="AT1003" s="1009"/>
      <c r="AU1003" s="1009"/>
      <c r="AV1003" s="1009"/>
      <c r="AW1003" s="1009"/>
      <c r="AX1003" s="1009"/>
      <c r="AY1003" s="1018">
        <f>G753+O797</f>
        <v>127</v>
      </c>
      <c r="AZ1003" s="2"/>
      <c r="BB1003" s="2"/>
    </row>
    <row r="1004" spans="1:55" ht="12.9" customHeight="1">
      <c r="A1004" s="11"/>
      <c r="B1004" s="1013"/>
      <c r="C1004" s="1017"/>
      <c r="D1004" s="1708"/>
      <c r="E1004" s="1709"/>
      <c r="F1004" s="1709"/>
      <c r="G1004" s="1709"/>
      <c r="H1004" s="1709"/>
      <c r="I1004" s="1709"/>
      <c r="J1004" s="1709"/>
      <c r="K1004" s="1709"/>
      <c r="L1004" s="1709"/>
      <c r="M1004" s="1709"/>
      <c r="N1004" s="1709"/>
      <c r="O1004" s="1709"/>
      <c r="P1004" s="1709"/>
      <c r="Q1004" s="1709"/>
      <c r="R1004" s="1709"/>
      <c r="S1004" s="1709"/>
      <c r="T1004" s="1709"/>
      <c r="U1004" s="1709"/>
      <c r="V1004" s="1709"/>
      <c r="W1004" s="1709"/>
      <c r="X1004" s="1709"/>
      <c r="Y1004" s="1709"/>
      <c r="Z1004" s="1709"/>
      <c r="AA1004" s="1709"/>
      <c r="AB1004" s="1709"/>
      <c r="AC1004" s="1709"/>
      <c r="AD1004" s="1709"/>
      <c r="AE1004" s="1710"/>
      <c r="AF1004" s="44"/>
      <c r="AG1004" s="11"/>
      <c r="AH1004" s="11"/>
      <c r="AI1004" s="48"/>
      <c r="AJ1004" s="1669"/>
      <c r="AK1004" s="1670"/>
      <c r="AL1004" s="1670"/>
      <c r="AM1004" s="1670"/>
      <c r="AN1004" s="1670"/>
      <c r="AO1004" s="1670"/>
      <c r="AP1004" s="1670"/>
      <c r="AQ1004" s="1671"/>
      <c r="AR1004" s="1009"/>
      <c r="AS1004" s="1009"/>
      <c r="AT1004" s="1009"/>
      <c r="AU1004" s="1009"/>
      <c r="AV1004" s="1009"/>
      <c r="AW1004" s="1009"/>
      <c r="AX1004" s="1009"/>
      <c r="AY1004" s="11"/>
      <c r="AZ1004" s="2"/>
      <c r="BB1004" s="2"/>
    </row>
    <row r="1005" spans="1:55" ht="12.9" customHeight="1">
      <c r="A1005" s="11"/>
      <c r="B1005" s="1013"/>
      <c r="C1005" s="1017"/>
      <c r="D1005" s="1708"/>
      <c r="E1005" s="1709"/>
      <c r="F1005" s="1709"/>
      <c r="G1005" s="1709"/>
      <c r="H1005" s="1709"/>
      <c r="I1005" s="1709"/>
      <c r="J1005" s="1709"/>
      <c r="K1005" s="1709"/>
      <c r="L1005" s="1709"/>
      <c r="M1005" s="1709"/>
      <c r="N1005" s="1709"/>
      <c r="O1005" s="1709"/>
      <c r="P1005" s="1709"/>
      <c r="Q1005" s="1709"/>
      <c r="R1005" s="1709"/>
      <c r="S1005" s="1709"/>
      <c r="T1005" s="1709"/>
      <c r="U1005" s="1709"/>
      <c r="V1005" s="1709"/>
      <c r="W1005" s="1709"/>
      <c r="X1005" s="1709"/>
      <c r="Y1005" s="1709"/>
      <c r="Z1005" s="1709"/>
      <c r="AA1005" s="1709"/>
      <c r="AB1005" s="1709"/>
      <c r="AC1005" s="1709"/>
      <c r="AD1005" s="1709"/>
      <c r="AE1005" s="1710"/>
      <c r="AF1005" s="44"/>
      <c r="AG1005" s="11"/>
      <c r="AH1005" s="11"/>
      <c r="AI1005" s="48"/>
      <c r="AJ1005" s="1669"/>
      <c r="AK1005" s="1670"/>
      <c r="AL1005" s="1670"/>
      <c r="AM1005" s="1670"/>
      <c r="AN1005" s="1670"/>
      <c r="AO1005" s="1670"/>
      <c r="AP1005" s="1670"/>
      <c r="AQ1005" s="1671"/>
      <c r="AR1005" s="1009"/>
      <c r="AS1005" s="1009"/>
      <c r="AT1005" s="1009"/>
      <c r="AU1005" s="1009"/>
      <c r="AV1005" s="1009"/>
      <c r="AW1005" s="1009"/>
      <c r="AX1005" s="1009"/>
      <c r="AY1005" s="1019">
        <f>ROUNDDOWN(X1048/I1048,2)</f>
        <v>0.11</v>
      </c>
      <c r="AZ1005" s="2"/>
      <c r="BB1005" s="2"/>
    </row>
    <row r="1006" spans="1:55" ht="12.9" customHeight="1">
      <c r="A1006" s="11"/>
      <c r="B1006" s="1020"/>
      <c r="C1006" s="1021"/>
      <c r="D1006" s="1711"/>
      <c r="E1006" s="1712"/>
      <c r="F1006" s="1712"/>
      <c r="G1006" s="1712"/>
      <c r="H1006" s="1712"/>
      <c r="I1006" s="1712"/>
      <c r="J1006" s="1712"/>
      <c r="K1006" s="1712"/>
      <c r="L1006" s="1712"/>
      <c r="M1006" s="1712"/>
      <c r="N1006" s="1712"/>
      <c r="O1006" s="1712"/>
      <c r="P1006" s="1712"/>
      <c r="Q1006" s="1712"/>
      <c r="R1006" s="1712"/>
      <c r="S1006" s="1712"/>
      <c r="T1006" s="1712"/>
      <c r="U1006" s="1712"/>
      <c r="V1006" s="1712"/>
      <c r="W1006" s="1712"/>
      <c r="X1006" s="1712"/>
      <c r="Y1006" s="1712"/>
      <c r="Z1006" s="1712"/>
      <c r="AA1006" s="1712"/>
      <c r="AB1006" s="1712"/>
      <c r="AC1006" s="1712"/>
      <c r="AD1006" s="1712"/>
      <c r="AE1006" s="1713"/>
      <c r="AF1006" s="45"/>
      <c r="AG1006" s="5"/>
      <c r="AH1006" s="5"/>
      <c r="AI1006" s="46"/>
      <c r="AJ1006" s="1672"/>
      <c r="AK1006" s="1673"/>
      <c r="AL1006" s="1673"/>
      <c r="AM1006" s="1673"/>
      <c r="AN1006" s="1673"/>
      <c r="AO1006" s="1673"/>
      <c r="AP1006" s="1673"/>
      <c r="AQ1006" s="1674"/>
      <c r="AR1006" s="1009"/>
      <c r="AS1006" s="1009"/>
      <c r="AT1006" s="1009"/>
      <c r="AU1006" s="1009"/>
      <c r="AV1006" s="1009"/>
      <c r="AW1006" s="1009"/>
      <c r="AX1006" s="1009"/>
      <c r="AY1006" s="1019">
        <f>ROUNDDOWN(X1052/I1052,2)</f>
        <v>0.11</v>
      </c>
      <c r="AZ1006" s="2"/>
      <c r="BB1006" s="2"/>
    </row>
    <row r="1007" spans="1:55" ht="12.9" customHeight="1">
      <c r="A1007" s="11"/>
      <c r="B1007" s="1015"/>
      <c r="C1007" s="188" t="s">
        <v>1684</v>
      </c>
      <c r="D1007" s="1705" t="s">
        <v>1685</v>
      </c>
      <c r="E1007" s="1706"/>
      <c r="F1007" s="1706"/>
      <c r="G1007" s="1706"/>
      <c r="H1007" s="1706"/>
      <c r="I1007" s="1706"/>
      <c r="J1007" s="1706"/>
      <c r="K1007" s="1706"/>
      <c r="L1007" s="1706"/>
      <c r="M1007" s="1706"/>
      <c r="N1007" s="1706"/>
      <c r="O1007" s="1706"/>
      <c r="P1007" s="1706"/>
      <c r="Q1007" s="1706"/>
      <c r="R1007" s="1706"/>
      <c r="S1007" s="1706"/>
      <c r="T1007" s="1706"/>
      <c r="U1007" s="1706"/>
      <c r="V1007" s="1706"/>
      <c r="W1007" s="1706"/>
      <c r="X1007" s="1706"/>
      <c r="Y1007" s="1706"/>
      <c r="Z1007" s="1706"/>
      <c r="AA1007" s="1706"/>
      <c r="AB1007" s="1706"/>
      <c r="AC1007" s="1706"/>
      <c r="AD1007" s="1706"/>
      <c r="AE1007" s="1707"/>
      <c r="AF1007" s="49"/>
      <c r="AG1007" s="1692" t="s">
        <v>843</v>
      </c>
      <c r="AH1007" s="1693"/>
      <c r="AI1007" s="50"/>
      <c r="AJ1007" s="1666">
        <f>ROUND(IF(AG1007="yes",AJ992*0.1,0),0)</f>
        <v>0</v>
      </c>
      <c r="AK1007" s="1667"/>
      <c r="AL1007" s="1667"/>
      <c r="AM1007" s="1667"/>
      <c r="AN1007" s="1667"/>
      <c r="AO1007" s="1667"/>
      <c r="AP1007" s="1667"/>
      <c r="AQ1007" s="1668"/>
      <c r="AR1007" s="1009"/>
      <c r="AS1007" s="1009"/>
      <c r="AT1007" s="1009"/>
      <c r="AU1007" s="1009"/>
      <c r="AV1007" s="1009"/>
      <c r="AW1007" s="1009"/>
      <c r="AX1007" s="1009"/>
      <c r="BB1007" s="2"/>
    </row>
    <row r="1008" spans="1:55" ht="12.9" customHeight="1">
      <c r="A1008" s="11"/>
      <c r="B1008" s="44"/>
      <c r="C1008" s="1022"/>
      <c r="D1008" s="1640" t="s">
        <v>1686</v>
      </c>
      <c r="E1008" s="1641"/>
      <c r="F1008" s="1641"/>
      <c r="G1008" s="1641"/>
      <c r="H1008" s="1641"/>
      <c r="I1008" s="1641"/>
      <c r="J1008" s="1641"/>
      <c r="K1008" s="1641"/>
      <c r="L1008" s="1641"/>
      <c r="M1008" s="1641"/>
      <c r="N1008" s="1641"/>
      <c r="O1008" s="1641"/>
      <c r="P1008" s="1641"/>
      <c r="Q1008" s="1641"/>
      <c r="R1008" s="1641"/>
      <c r="S1008" s="1641"/>
      <c r="T1008" s="1641"/>
      <c r="U1008" s="1641"/>
      <c r="V1008" s="1641"/>
      <c r="W1008" s="1641"/>
      <c r="X1008" s="1641"/>
      <c r="Y1008" s="1641"/>
      <c r="Z1008" s="1641"/>
      <c r="AA1008" s="1641"/>
      <c r="AB1008" s="1641"/>
      <c r="AC1008" s="1641"/>
      <c r="AD1008" s="1641"/>
      <c r="AE1008" s="1642"/>
      <c r="AF1008" s="44"/>
      <c r="AI1008" s="48"/>
      <c r="AJ1008" s="1669"/>
      <c r="AK1008" s="1670"/>
      <c r="AL1008" s="1670"/>
      <c r="AM1008" s="1670"/>
      <c r="AN1008" s="1670"/>
      <c r="AO1008" s="1670"/>
      <c r="AP1008" s="1670"/>
      <c r="AQ1008" s="1671"/>
      <c r="AR1008" s="1009"/>
      <c r="AS1008" s="1009"/>
      <c r="AT1008" s="1009"/>
      <c r="AU1008" s="1009"/>
      <c r="AV1008" s="1009"/>
      <c r="AW1008" s="1009"/>
      <c r="AX1008" s="1009"/>
    </row>
    <row r="1009" spans="1:52" ht="12.9" customHeight="1">
      <c r="A1009" s="11"/>
      <c r="B1009" s="44"/>
      <c r="C1009" s="1022"/>
      <c r="D1009" s="1640"/>
      <c r="E1009" s="1641"/>
      <c r="F1009" s="1641"/>
      <c r="G1009" s="1641"/>
      <c r="H1009" s="1641"/>
      <c r="I1009" s="1641"/>
      <c r="J1009" s="1641"/>
      <c r="K1009" s="1641"/>
      <c r="L1009" s="1641"/>
      <c r="M1009" s="1641"/>
      <c r="N1009" s="1641"/>
      <c r="O1009" s="1641"/>
      <c r="P1009" s="1641"/>
      <c r="Q1009" s="1641"/>
      <c r="R1009" s="1641"/>
      <c r="S1009" s="1641"/>
      <c r="T1009" s="1641"/>
      <c r="U1009" s="1641"/>
      <c r="V1009" s="1641"/>
      <c r="W1009" s="1641"/>
      <c r="X1009" s="1641"/>
      <c r="Y1009" s="1641"/>
      <c r="Z1009" s="1641"/>
      <c r="AA1009" s="1641"/>
      <c r="AB1009" s="1641"/>
      <c r="AC1009" s="1641"/>
      <c r="AD1009" s="1641"/>
      <c r="AE1009" s="1642"/>
      <c r="AF1009" s="44"/>
      <c r="AG1009" s="11"/>
      <c r="AH1009" s="11"/>
      <c r="AI1009" s="48"/>
      <c r="AJ1009" s="1669"/>
      <c r="AK1009" s="1670"/>
      <c r="AL1009" s="1670"/>
      <c r="AM1009" s="1670"/>
      <c r="AN1009" s="1670"/>
      <c r="AO1009" s="1670"/>
      <c r="AP1009" s="1670"/>
      <c r="AQ1009" s="1671"/>
      <c r="AR1009" s="1009"/>
      <c r="AS1009" s="1009"/>
      <c r="AT1009" s="1009"/>
      <c r="AU1009" s="1009"/>
      <c r="AV1009" s="1009"/>
      <c r="AW1009" s="1009"/>
      <c r="AX1009" s="1009"/>
    </row>
    <row r="1010" spans="1:52" ht="12.9" customHeight="1">
      <c r="A1010" s="11"/>
      <c r="B1010" s="1023"/>
      <c r="C1010" s="1021"/>
      <c r="D1010" s="1684"/>
      <c r="E1010" s="1685"/>
      <c r="F1010" s="1685"/>
      <c r="G1010" s="1685"/>
      <c r="H1010" s="1685"/>
      <c r="I1010" s="1685"/>
      <c r="J1010" s="1685"/>
      <c r="K1010" s="1685"/>
      <c r="L1010" s="1685"/>
      <c r="M1010" s="1685"/>
      <c r="N1010" s="1685"/>
      <c r="O1010" s="1685"/>
      <c r="P1010" s="1685"/>
      <c r="Q1010" s="1685"/>
      <c r="R1010" s="1685"/>
      <c r="S1010" s="1685"/>
      <c r="T1010" s="1685"/>
      <c r="U1010" s="1685"/>
      <c r="V1010" s="1685"/>
      <c r="W1010" s="1685"/>
      <c r="X1010" s="1685"/>
      <c r="Y1010" s="1685"/>
      <c r="Z1010" s="1685"/>
      <c r="AA1010" s="1685"/>
      <c r="AB1010" s="1685"/>
      <c r="AC1010" s="1685"/>
      <c r="AD1010" s="1685"/>
      <c r="AE1010" s="1686"/>
      <c r="AF1010" s="45"/>
      <c r="AG1010" s="5"/>
      <c r="AH1010" s="5"/>
      <c r="AI1010" s="46"/>
      <c r="AJ1010" s="1672"/>
      <c r="AK1010" s="1673"/>
      <c r="AL1010" s="1673"/>
      <c r="AM1010" s="1673"/>
      <c r="AN1010" s="1673"/>
      <c r="AO1010" s="1673"/>
      <c r="AP1010" s="1673"/>
      <c r="AQ1010" s="1674"/>
      <c r="AR1010" s="1009"/>
      <c r="AS1010" s="1009"/>
      <c r="AT1010" s="1009"/>
      <c r="AU1010" s="1009"/>
      <c r="AV1010" s="1009"/>
      <c r="AW1010" s="1009"/>
      <c r="AX1010" s="1009"/>
    </row>
    <row r="1011" spans="1:52" ht="12.9" customHeight="1">
      <c r="A1011" s="11"/>
      <c r="B1011" s="47"/>
      <c r="C1011" s="188" t="s">
        <v>1687</v>
      </c>
      <c r="D1011" s="1705" t="s">
        <v>1688</v>
      </c>
      <c r="E1011" s="1706"/>
      <c r="F1011" s="1706"/>
      <c r="G1011" s="1706"/>
      <c r="H1011" s="1706"/>
      <c r="I1011" s="1706"/>
      <c r="J1011" s="1706"/>
      <c r="K1011" s="1706"/>
      <c r="L1011" s="1706"/>
      <c r="M1011" s="1706"/>
      <c r="N1011" s="1706"/>
      <c r="O1011" s="1706"/>
      <c r="P1011" s="1706"/>
      <c r="Q1011" s="1706"/>
      <c r="R1011" s="1706"/>
      <c r="S1011" s="1706"/>
      <c r="T1011" s="1706"/>
      <c r="U1011" s="1706"/>
      <c r="V1011" s="1706"/>
      <c r="W1011" s="1706"/>
      <c r="X1011" s="1706"/>
      <c r="Y1011" s="1706"/>
      <c r="Z1011" s="1706"/>
      <c r="AA1011" s="1706"/>
      <c r="AB1011" s="1706"/>
      <c r="AC1011" s="1706"/>
      <c r="AD1011" s="1706"/>
      <c r="AE1011" s="1707"/>
      <c r="AF1011" s="47"/>
      <c r="AG1011" s="1692" t="s">
        <v>843</v>
      </c>
      <c r="AH1011" s="1693"/>
      <c r="AI1011" s="50"/>
      <c r="AJ1011" s="1666">
        <f>ROUND(IF(AG1011="yes",AJ992*0.02,0),0)</f>
        <v>0</v>
      </c>
      <c r="AK1011" s="1667"/>
      <c r="AL1011" s="1667"/>
      <c r="AM1011" s="1667"/>
      <c r="AN1011" s="1667"/>
      <c r="AO1011" s="1667"/>
      <c r="AP1011" s="1667"/>
      <c r="AQ1011" s="1668"/>
      <c r="AR1011" s="1009"/>
      <c r="AS1011" s="1009"/>
      <c r="AT1011" s="1009"/>
      <c r="AU1011" s="1009"/>
      <c r="AV1011" s="1009"/>
      <c r="AW1011" s="1009"/>
      <c r="AX1011" s="1009"/>
    </row>
    <row r="1012" spans="1:52" ht="14.25" customHeight="1">
      <c r="A1012" s="11"/>
      <c r="B1012" s="44"/>
      <c r="C1012" s="1022"/>
      <c r="D1012" s="1684" t="s">
        <v>1689</v>
      </c>
      <c r="E1012" s="1685"/>
      <c r="F1012" s="1685"/>
      <c r="G1012" s="1685"/>
      <c r="H1012" s="1685"/>
      <c r="I1012" s="1685"/>
      <c r="J1012" s="1685"/>
      <c r="K1012" s="1685"/>
      <c r="L1012" s="1685"/>
      <c r="M1012" s="1685"/>
      <c r="N1012" s="1685"/>
      <c r="O1012" s="1685"/>
      <c r="P1012" s="1685"/>
      <c r="Q1012" s="1685"/>
      <c r="R1012" s="1685"/>
      <c r="S1012" s="1685"/>
      <c r="T1012" s="1685"/>
      <c r="U1012" s="1685"/>
      <c r="V1012" s="1685"/>
      <c r="W1012" s="1685"/>
      <c r="X1012" s="1685"/>
      <c r="Y1012" s="1685"/>
      <c r="Z1012" s="1685"/>
      <c r="AA1012" s="1685"/>
      <c r="AB1012" s="1685"/>
      <c r="AC1012" s="1685"/>
      <c r="AD1012" s="1685"/>
      <c r="AE1012" s="1686"/>
      <c r="AF1012" s="45"/>
      <c r="AG1012" s="5"/>
      <c r="AH1012" s="5"/>
      <c r="AI1012" s="46"/>
      <c r="AJ1012" s="1672"/>
      <c r="AK1012" s="1673"/>
      <c r="AL1012" s="1673"/>
      <c r="AM1012" s="1673"/>
      <c r="AN1012" s="1673"/>
      <c r="AO1012" s="1673"/>
      <c r="AP1012" s="1673"/>
      <c r="AQ1012" s="1674"/>
      <c r="AR1012" s="1009"/>
      <c r="AS1012" s="1009"/>
      <c r="AT1012" s="1009"/>
      <c r="AU1012" s="1009"/>
      <c r="AV1012" s="1009"/>
      <c r="AW1012" s="1009"/>
      <c r="AX1012" s="2" t="s">
        <v>1690</v>
      </c>
      <c r="AZ1012" s="2" t="s">
        <v>1691</v>
      </c>
    </row>
    <row r="1013" spans="1:52" ht="12.9" customHeight="1">
      <c r="A1013" s="11"/>
      <c r="B1013" s="47"/>
      <c r="C1013" s="188" t="s">
        <v>1692</v>
      </c>
      <c r="D1013" s="1705" t="s">
        <v>1693</v>
      </c>
      <c r="E1013" s="1706"/>
      <c r="F1013" s="1706"/>
      <c r="G1013" s="1706"/>
      <c r="H1013" s="1706"/>
      <c r="I1013" s="1706"/>
      <c r="J1013" s="1706"/>
      <c r="K1013" s="1706"/>
      <c r="L1013" s="1706"/>
      <c r="M1013" s="1706"/>
      <c r="N1013" s="1706"/>
      <c r="O1013" s="1706"/>
      <c r="P1013" s="1706"/>
      <c r="Q1013" s="1706"/>
      <c r="R1013" s="1706"/>
      <c r="S1013" s="1706"/>
      <c r="T1013" s="1706"/>
      <c r="U1013" s="1706"/>
      <c r="V1013" s="1706"/>
      <c r="W1013" s="1706"/>
      <c r="X1013" s="1706"/>
      <c r="Y1013" s="1706"/>
      <c r="Z1013" s="1706"/>
      <c r="AA1013" s="1706"/>
      <c r="AB1013" s="1706"/>
      <c r="AC1013" s="1706"/>
      <c r="AD1013" s="1706"/>
      <c r="AE1013" s="1707"/>
      <c r="AF1013" s="47"/>
      <c r="AG1013" s="1692" t="s">
        <v>843</v>
      </c>
      <c r="AH1013" s="1693"/>
      <c r="AI1013" s="47"/>
      <c r="AJ1013" s="1666">
        <f>ROUND(IF(AG1013="yes",AJ992*0.02,0),0)</f>
        <v>0</v>
      </c>
      <c r="AK1013" s="1667"/>
      <c r="AL1013" s="1667"/>
      <c r="AM1013" s="1667"/>
      <c r="AN1013" s="1667"/>
      <c r="AO1013" s="1667"/>
      <c r="AP1013" s="1667"/>
      <c r="AQ1013" s="1668"/>
      <c r="AR1013" s="1009"/>
      <c r="AS1013" s="1009"/>
      <c r="AT1013" s="1009"/>
      <c r="AU1013" s="1009"/>
      <c r="AV1013" s="1009"/>
      <c r="AW1013" s="1009"/>
      <c r="AX1013" s="2">
        <v>1</v>
      </c>
      <c r="AY1013" s="1024">
        <f>IF((_xlfn.XLOOKUP(AX1013,$C$1065:$C$1103,$A$1065:$A$1103,"",0,1))="Yes",AZ1013,0)</f>
        <v>0</v>
      </c>
      <c r="AZ1013" s="960">
        <v>0.2</v>
      </c>
    </row>
    <row r="1014" spans="1:52" ht="12.9" customHeight="1">
      <c r="A1014" s="11"/>
      <c r="B1014" s="44"/>
      <c r="C1014" s="1022"/>
      <c r="D1014" s="1640" t="s">
        <v>1694</v>
      </c>
      <c r="E1014" s="1641"/>
      <c r="F1014" s="1641"/>
      <c r="G1014" s="1641"/>
      <c r="H1014" s="1641"/>
      <c r="I1014" s="1641"/>
      <c r="J1014" s="1641"/>
      <c r="K1014" s="1641"/>
      <c r="L1014" s="1641"/>
      <c r="M1014" s="1641"/>
      <c r="N1014" s="1641"/>
      <c r="O1014" s="1641"/>
      <c r="P1014" s="1641"/>
      <c r="Q1014" s="1641"/>
      <c r="R1014" s="1641"/>
      <c r="S1014" s="1641"/>
      <c r="T1014" s="1641"/>
      <c r="U1014" s="1641"/>
      <c r="V1014" s="1641"/>
      <c r="W1014" s="1641"/>
      <c r="X1014" s="1641"/>
      <c r="Y1014" s="1641"/>
      <c r="Z1014" s="1641"/>
      <c r="AA1014" s="1641"/>
      <c r="AB1014" s="1641"/>
      <c r="AC1014" s="1641"/>
      <c r="AD1014" s="1641"/>
      <c r="AE1014" s="1642"/>
      <c r="AF1014" s="1785" t="str">
        <f>IF(AND(AG1013="yes",T212&lt;&gt;1),"The project may not be eligible for this boost","")</f>
        <v/>
      </c>
      <c r="AG1014" s="1786"/>
      <c r="AH1014" s="1786"/>
      <c r="AI1014" s="1787"/>
      <c r="AJ1014" s="1669"/>
      <c r="AK1014" s="1670"/>
      <c r="AL1014" s="1670"/>
      <c r="AM1014" s="1670"/>
      <c r="AN1014" s="1670"/>
      <c r="AO1014" s="1670"/>
      <c r="AP1014" s="1670"/>
      <c r="AQ1014" s="1671"/>
      <c r="AR1014" s="1009"/>
      <c r="AS1014" s="1009"/>
      <c r="AT1014" s="1009"/>
      <c r="AU1014" s="1009"/>
      <c r="AV1014" s="1009"/>
      <c r="AW1014" s="1009"/>
      <c r="AX1014" s="2">
        <v>2</v>
      </c>
      <c r="AY1014" s="1024">
        <f t="shared" ref="AY1014:AY1023" si="55">IF((_xlfn.XLOOKUP(AX1014,$C$1065:$C$1103,$A$1065:$A$1103,"",0,1))="Yes",AZ1014,0)</f>
        <v>0</v>
      </c>
      <c r="AZ1014" s="960">
        <v>0.15</v>
      </c>
    </row>
    <row r="1015" spans="1:52" ht="12.9" customHeight="1">
      <c r="A1015" s="11"/>
      <c r="B1015" s="1020"/>
      <c r="C1015" s="1021"/>
      <c r="D1015" s="1684"/>
      <c r="E1015" s="1685"/>
      <c r="F1015" s="1685"/>
      <c r="G1015" s="1685"/>
      <c r="H1015" s="1685"/>
      <c r="I1015" s="1685"/>
      <c r="J1015" s="1685"/>
      <c r="K1015" s="1685"/>
      <c r="L1015" s="1685"/>
      <c r="M1015" s="1685"/>
      <c r="N1015" s="1685"/>
      <c r="O1015" s="1685"/>
      <c r="P1015" s="1685"/>
      <c r="Q1015" s="1685"/>
      <c r="R1015" s="1685"/>
      <c r="S1015" s="1685"/>
      <c r="T1015" s="1685"/>
      <c r="U1015" s="1685"/>
      <c r="V1015" s="1685"/>
      <c r="W1015" s="1685"/>
      <c r="X1015" s="1685"/>
      <c r="Y1015" s="1685"/>
      <c r="Z1015" s="1685"/>
      <c r="AA1015" s="1685"/>
      <c r="AB1015" s="1685"/>
      <c r="AC1015" s="1685"/>
      <c r="AD1015" s="1685"/>
      <c r="AE1015" s="1686"/>
      <c r="AF1015" s="1788"/>
      <c r="AG1015" s="1789"/>
      <c r="AH1015" s="1789"/>
      <c r="AI1015" s="1790"/>
      <c r="AJ1015" s="1672"/>
      <c r="AK1015" s="1673"/>
      <c r="AL1015" s="1673"/>
      <c r="AM1015" s="1673"/>
      <c r="AN1015" s="1673"/>
      <c r="AO1015" s="1673"/>
      <c r="AP1015" s="1673"/>
      <c r="AQ1015" s="1674"/>
      <c r="AR1015" s="1009"/>
      <c r="AS1015" s="1009"/>
      <c r="AT1015" s="1009"/>
      <c r="AU1015" s="1009"/>
      <c r="AV1015" s="1009"/>
      <c r="AW1015" s="1009"/>
      <c r="AX1015" s="2">
        <v>3</v>
      </c>
      <c r="AY1015" s="1024">
        <f t="shared" si="55"/>
        <v>0</v>
      </c>
      <c r="AZ1015" s="960">
        <v>0.05</v>
      </c>
    </row>
    <row r="1016" spans="1:52" ht="12.9" customHeight="1">
      <c r="A1016" s="11"/>
      <c r="B1016" s="47"/>
      <c r="C1016" s="188" t="s">
        <v>1695</v>
      </c>
      <c r="D1016" s="1675" t="s">
        <v>1696</v>
      </c>
      <c r="E1016" s="1676"/>
      <c r="F1016" s="1676"/>
      <c r="G1016" s="1676"/>
      <c r="H1016" s="1676"/>
      <c r="I1016" s="1676"/>
      <c r="J1016" s="1676"/>
      <c r="K1016" s="1676"/>
      <c r="L1016" s="1676"/>
      <c r="M1016" s="1676"/>
      <c r="N1016" s="1676"/>
      <c r="O1016" s="1676"/>
      <c r="P1016" s="1676"/>
      <c r="Q1016" s="1676"/>
      <c r="R1016" s="1676"/>
      <c r="S1016" s="1676"/>
      <c r="T1016" s="1676"/>
      <c r="U1016" s="1676"/>
      <c r="V1016" s="1676"/>
      <c r="W1016" s="1676"/>
      <c r="X1016" s="1676"/>
      <c r="Y1016" s="1676"/>
      <c r="Z1016" s="1676"/>
      <c r="AA1016" s="1676"/>
      <c r="AB1016" s="1676"/>
      <c r="AC1016" s="1676"/>
      <c r="AD1016" s="1676"/>
      <c r="AE1016" s="1677"/>
      <c r="AF1016" s="47"/>
      <c r="AG1016" s="1692" t="s">
        <v>843</v>
      </c>
      <c r="AH1016" s="1693"/>
      <c r="AI1016" s="50"/>
      <c r="AJ1016" s="1666">
        <f>IF(AG1016="yes",AJ992*AY1024,0)</f>
        <v>0</v>
      </c>
      <c r="AK1016" s="1667"/>
      <c r="AL1016" s="1667"/>
      <c r="AM1016" s="1667"/>
      <c r="AN1016" s="1667"/>
      <c r="AO1016" s="1667"/>
      <c r="AP1016" s="1667"/>
      <c r="AQ1016" s="1668"/>
      <c r="AR1016" s="1009"/>
      <c r="AS1016" s="1009"/>
      <c r="AT1016" s="1009"/>
      <c r="AU1016" s="1009"/>
      <c r="AV1016" s="1009"/>
      <c r="AW1016" s="1009"/>
      <c r="AX1016" s="2">
        <v>4</v>
      </c>
      <c r="AY1016" s="1024">
        <f t="shared" si="55"/>
        <v>0</v>
      </c>
      <c r="AZ1016" s="960">
        <v>0.02</v>
      </c>
    </row>
    <row r="1017" spans="1:52" ht="12.9" customHeight="1">
      <c r="A1017" s="11"/>
      <c r="B1017" s="44"/>
      <c r="C1017" s="1022"/>
      <c r="D1017" s="1640" t="s">
        <v>1697</v>
      </c>
      <c r="E1017" s="1641"/>
      <c r="F1017" s="1641"/>
      <c r="G1017" s="1641"/>
      <c r="H1017" s="1641"/>
      <c r="I1017" s="1641"/>
      <c r="J1017" s="1641"/>
      <c r="K1017" s="1641"/>
      <c r="L1017" s="1641"/>
      <c r="M1017" s="1641"/>
      <c r="N1017" s="1641"/>
      <c r="O1017" s="1641"/>
      <c r="P1017" s="1641"/>
      <c r="Q1017" s="1641"/>
      <c r="R1017" s="1641"/>
      <c r="S1017" s="1641"/>
      <c r="T1017" s="1641"/>
      <c r="U1017" s="1641"/>
      <c r="V1017" s="1641"/>
      <c r="W1017" s="1641"/>
      <c r="X1017" s="1641"/>
      <c r="Y1017" s="1641"/>
      <c r="Z1017" s="1641"/>
      <c r="AA1017" s="1641"/>
      <c r="AB1017" s="1641"/>
      <c r="AC1017" s="1641"/>
      <c r="AD1017" s="1641"/>
      <c r="AE1017" s="1642"/>
      <c r="AF1017" s="1779" t="str">
        <f>IF(AND(AG1016="Yes",AY1024=0),AY1027,"")</f>
        <v/>
      </c>
      <c r="AG1017" s="1780"/>
      <c r="AH1017" s="1780"/>
      <c r="AI1017" s="1781"/>
      <c r="AJ1017" s="1669"/>
      <c r="AK1017" s="1670"/>
      <c r="AL1017" s="1670"/>
      <c r="AM1017" s="1670"/>
      <c r="AN1017" s="1670"/>
      <c r="AO1017" s="1670"/>
      <c r="AP1017" s="1670"/>
      <c r="AQ1017" s="1671"/>
      <c r="AR1017" s="1009"/>
      <c r="AS1017" s="1009"/>
      <c r="AT1017" s="1009"/>
      <c r="AU1017" s="1009"/>
      <c r="AV1017" s="1009"/>
      <c r="AW1017" s="1009"/>
      <c r="AX1017" s="2">
        <v>5</v>
      </c>
      <c r="AY1017" s="1024">
        <f t="shared" si="55"/>
        <v>0</v>
      </c>
      <c r="AZ1017" s="960">
        <v>0.04</v>
      </c>
    </row>
    <row r="1018" spans="1:52" ht="12.9" customHeight="1">
      <c r="A1018" s="11"/>
      <c r="B1018" s="44"/>
      <c r="C1018" s="1022"/>
      <c r="D1018" s="1640"/>
      <c r="E1018" s="1641"/>
      <c r="F1018" s="1641"/>
      <c r="G1018" s="1641"/>
      <c r="H1018" s="1641"/>
      <c r="I1018" s="1641"/>
      <c r="J1018" s="1641"/>
      <c r="K1018" s="1641"/>
      <c r="L1018" s="1641"/>
      <c r="M1018" s="1641"/>
      <c r="N1018" s="1641"/>
      <c r="O1018" s="1641"/>
      <c r="P1018" s="1641"/>
      <c r="Q1018" s="1641"/>
      <c r="R1018" s="1641"/>
      <c r="S1018" s="1641"/>
      <c r="T1018" s="1641"/>
      <c r="U1018" s="1641"/>
      <c r="V1018" s="1641"/>
      <c r="W1018" s="1641"/>
      <c r="X1018" s="1641"/>
      <c r="Y1018" s="1641"/>
      <c r="Z1018" s="1641"/>
      <c r="AA1018" s="1641"/>
      <c r="AB1018" s="1641"/>
      <c r="AC1018" s="1641"/>
      <c r="AD1018" s="1641"/>
      <c r="AE1018" s="1642"/>
      <c r="AF1018" s="1779"/>
      <c r="AG1018" s="1780"/>
      <c r="AH1018" s="1780"/>
      <c r="AI1018" s="1781"/>
      <c r="AJ1018" s="1669"/>
      <c r="AK1018" s="1670"/>
      <c r="AL1018" s="1670"/>
      <c r="AM1018" s="1670"/>
      <c r="AN1018" s="1670"/>
      <c r="AO1018" s="1670"/>
      <c r="AP1018" s="1670"/>
      <c r="AQ1018" s="1671"/>
      <c r="AR1018" s="1009"/>
      <c r="AS1018" s="1009"/>
      <c r="AT1018" s="1009"/>
      <c r="AU1018" s="1009"/>
      <c r="AV1018" s="1009"/>
      <c r="AW1018" s="1009"/>
      <c r="AX1018" s="2">
        <v>6</v>
      </c>
      <c r="AY1018" s="1024">
        <f t="shared" si="55"/>
        <v>0</v>
      </c>
      <c r="AZ1018" s="960">
        <v>0.04</v>
      </c>
    </row>
    <row r="1019" spans="1:52" ht="12.9" customHeight="1">
      <c r="A1019" s="11"/>
      <c r="B1019" s="1025"/>
      <c r="C1019" s="1017"/>
      <c r="D1019" s="1684"/>
      <c r="E1019" s="1685"/>
      <c r="F1019" s="1685"/>
      <c r="G1019" s="1685"/>
      <c r="H1019" s="1685"/>
      <c r="I1019" s="1685"/>
      <c r="J1019" s="1685"/>
      <c r="K1019" s="1685"/>
      <c r="L1019" s="1685"/>
      <c r="M1019" s="1685"/>
      <c r="N1019" s="1685"/>
      <c r="O1019" s="1685"/>
      <c r="P1019" s="1685"/>
      <c r="Q1019" s="1685"/>
      <c r="R1019" s="1685"/>
      <c r="S1019" s="1685"/>
      <c r="T1019" s="1685"/>
      <c r="U1019" s="1685"/>
      <c r="V1019" s="1685"/>
      <c r="W1019" s="1685"/>
      <c r="X1019" s="1685"/>
      <c r="Y1019" s="1685"/>
      <c r="Z1019" s="1685"/>
      <c r="AA1019" s="1685"/>
      <c r="AB1019" s="1685"/>
      <c r="AC1019" s="1685"/>
      <c r="AD1019" s="1685"/>
      <c r="AE1019" s="1686"/>
      <c r="AF1019" s="1782"/>
      <c r="AG1019" s="1783"/>
      <c r="AH1019" s="1783"/>
      <c r="AI1019" s="1784"/>
      <c r="AJ1019" s="1672"/>
      <c r="AK1019" s="1673"/>
      <c r="AL1019" s="1673"/>
      <c r="AM1019" s="1673"/>
      <c r="AN1019" s="1673"/>
      <c r="AO1019" s="1673"/>
      <c r="AP1019" s="1673"/>
      <c r="AQ1019" s="1674"/>
      <c r="AR1019" s="1009"/>
      <c r="AS1019" s="1009"/>
      <c r="AT1019" s="1009"/>
      <c r="AU1019" s="1009"/>
      <c r="AV1019" s="1009"/>
      <c r="AW1019" s="1009"/>
      <c r="AX1019" s="2">
        <v>7</v>
      </c>
      <c r="AY1019" s="1024">
        <f t="shared" si="55"/>
        <v>0</v>
      </c>
      <c r="AZ1019" s="960">
        <v>0.01</v>
      </c>
    </row>
    <row r="1020" spans="1:52" ht="12.9" customHeight="1">
      <c r="A1020" s="11"/>
      <c r="B1020" s="47"/>
      <c r="C1020" s="188" t="s">
        <v>1698</v>
      </c>
      <c r="D1020" s="1750" t="s">
        <v>1699</v>
      </c>
      <c r="E1020" s="1751"/>
      <c r="F1020" s="1751"/>
      <c r="G1020" s="1751"/>
      <c r="H1020" s="1751"/>
      <c r="I1020" s="1751"/>
      <c r="J1020" s="1751"/>
      <c r="K1020" s="1751"/>
      <c r="L1020" s="1751"/>
      <c r="M1020" s="1751"/>
      <c r="N1020" s="1751"/>
      <c r="O1020" s="1751"/>
      <c r="P1020" s="1751"/>
      <c r="Q1020" s="1751"/>
      <c r="R1020" s="1751"/>
      <c r="S1020" s="1751"/>
      <c r="T1020" s="1751"/>
      <c r="U1020" s="1751"/>
      <c r="V1020" s="1751"/>
      <c r="W1020" s="1751"/>
      <c r="X1020" s="1751"/>
      <c r="Y1020" s="1751"/>
      <c r="Z1020" s="1751"/>
      <c r="AA1020" s="1751"/>
      <c r="AB1020" s="1751"/>
      <c r="AC1020" s="1751"/>
      <c r="AD1020" s="1751"/>
      <c r="AE1020" s="1752"/>
      <c r="AF1020" s="47"/>
      <c r="AG1020" s="1692" t="s">
        <v>843</v>
      </c>
      <c r="AH1020" s="1693"/>
      <c r="AI1020" s="50"/>
      <c r="AJ1020" s="1666">
        <f>ROUND(IF(AND(AG1020="Yes",J1024&lt;&gt;"N/A",AF1023&lt;&gt;""),MIN(AF1023,(0.15*AJ992)),0),0)</f>
        <v>0</v>
      </c>
      <c r="AK1020" s="1667"/>
      <c r="AL1020" s="1667"/>
      <c r="AM1020" s="1667"/>
      <c r="AN1020" s="1667"/>
      <c r="AO1020" s="1667"/>
      <c r="AP1020" s="1667"/>
      <c r="AQ1020" s="1668"/>
      <c r="AR1020" s="1009"/>
      <c r="AS1020" s="1009"/>
      <c r="AT1020" s="1009"/>
      <c r="AU1020" s="1009"/>
      <c r="AV1020" s="1009"/>
      <c r="AW1020" s="1009"/>
      <c r="AX1020" s="2">
        <v>8</v>
      </c>
      <c r="AY1020" s="1024">
        <f t="shared" si="55"/>
        <v>0</v>
      </c>
      <c r="AZ1020" s="960">
        <v>0.01</v>
      </c>
    </row>
    <row r="1021" spans="1:52" ht="12.9" customHeight="1">
      <c r="A1021" s="11"/>
      <c r="B1021" s="1025"/>
      <c r="C1021" s="1026"/>
      <c r="D1021" s="1753"/>
      <c r="E1021" s="1754"/>
      <c r="F1021" s="1754"/>
      <c r="G1021" s="1754"/>
      <c r="H1021" s="1754"/>
      <c r="I1021" s="1754"/>
      <c r="J1021" s="1754"/>
      <c r="K1021" s="1754"/>
      <c r="L1021" s="1754"/>
      <c r="M1021" s="1754"/>
      <c r="N1021" s="1754"/>
      <c r="O1021" s="1754"/>
      <c r="P1021" s="1754"/>
      <c r="Q1021" s="1754"/>
      <c r="R1021" s="1754"/>
      <c r="S1021" s="1754"/>
      <c r="T1021" s="1754"/>
      <c r="U1021" s="1754"/>
      <c r="V1021" s="1754"/>
      <c r="W1021" s="1754"/>
      <c r="X1021" s="1754"/>
      <c r="Y1021" s="1754"/>
      <c r="Z1021" s="1754"/>
      <c r="AA1021" s="1754"/>
      <c r="AB1021" s="1754"/>
      <c r="AC1021" s="1754"/>
      <c r="AD1021" s="1754"/>
      <c r="AE1021" s="1755"/>
      <c r="AF1021" s="1767" t="str">
        <f>IF(AG1020="yes","Please Select Type and Enter Amount:","")</f>
        <v/>
      </c>
      <c r="AG1021" s="1768"/>
      <c r="AH1021" s="1768"/>
      <c r="AI1021" s="1769"/>
      <c r="AJ1021" s="1669"/>
      <c r="AK1021" s="1670"/>
      <c r="AL1021" s="1670"/>
      <c r="AM1021" s="1670"/>
      <c r="AN1021" s="1670"/>
      <c r="AO1021" s="1670"/>
      <c r="AP1021" s="1670"/>
      <c r="AQ1021" s="1671"/>
      <c r="AR1021" s="1009"/>
      <c r="AS1021" s="1009"/>
      <c r="AT1021" s="1009"/>
      <c r="AU1021" s="1009"/>
      <c r="AV1021" s="1009"/>
      <c r="AW1021" s="1009"/>
      <c r="AX1021" s="2">
        <v>9</v>
      </c>
      <c r="AY1021" s="1024">
        <f t="shared" si="55"/>
        <v>0</v>
      </c>
      <c r="AZ1021" s="960">
        <v>0.01</v>
      </c>
    </row>
    <row r="1022" spans="1:52" ht="12.9" customHeight="1">
      <c r="A1022" s="11"/>
      <c r="B1022" s="1025"/>
      <c r="C1022" s="1026"/>
      <c r="D1022" s="1640" t="s">
        <v>1700</v>
      </c>
      <c r="E1022" s="1641"/>
      <c r="F1022" s="1641"/>
      <c r="G1022" s="1641"/>
      <c r="H1022" s="1641"/>
      <c r="I1022" s="1641"/>
      <c r="J1022" s="1641"/>
      <c r="K1022" s="1641"/>
      <c r="L1022" s="1641"/>
      <c r="M1022" s="1641"/>
      <c r="N1022" s="1641"/>
      <c r="O1022" s="1641"/>
      <c r="P1022" s="1641"/>
      <c r="Q1022" s="1641"/>
      <c r="R1022" s="1641"/>
      <c r="S1022" s="1641"/>
      <c r="T1022" s="1641"/>
      <c r="U1022" s="1641"/>
      <c r="V1022" s="1641"/>
      <c r="W1022" s="1641"/>
      <c r="X1022" s="1641"/>
      <c r="Y1022" s="1641"/>
      <c r="Z1022" s="1641"/>
      <c r="AA1022" s="1641"/>
      <c r="AB1022" s="1641"/>
      <c r="AC1022" s="1641"/>
      <c r="AD1022" s="1641"/>
      <c r="AE1022" s="1642"/>
      <c r="AF1022" s="1767"/>
      <c r="AG1022" s="1768"/>
      <c r="AH1022" s="1768"/>
      <c r="AI1022" s="1769"/>
      <c r="AJ1022" s="1669"/>
      <c r="AK1022" s="1670"/>
      <c r="AL1022" s="1670"/>
      <c r="AM1022" s="1670"/>
      <c r="AN1022" s="1670"/>
      <c r="AO1022" s="1670"/>
      <c r="AP1022" s="1670"/>
      <c r="AQ1022" s="1671"/>
      <c r="AR1022" s="1009"/>
      <c r="AS1022" s="1009"/>
      <c r="AT1022" s="1009"/>
      <c r="AU1022" s="1009"/>
      <c r="AV1022" s="1009"/>
      <c r="AW1022" s="1009"/>
      <c r="AX1022" s="2">
        <v>10</v>
      </c>
      <c r="AY1022" s="1024">
        <f t="shared" si="55"/>
        <v>0</v>
      </c>
      <c r="AZ1022" s="960">
        <v>0.02</v>
      </c>
    </row>
    <row r="1023" spans="1:52" ht="12.9" customHeight="1">
      <c r="A1023" s="11"/>
      <c r="B1023" s="1025"/>
      <c r="C1023" s="1026"/>
      <c r="D1023" s="1640"/>
      <c r="E1023" s="1641"/>
      <c r="F1023" s="1641"/>
      <c r="G1023" s="1641"/>
      <c r="H1023" s="1641"/>
      <c r="I1023" s="1641"/>
      <c r="J1023" s="1641"/>
      <c r="K1023" s="1641"/>
      <c r="L1023" s="1641"/>
      <c r="M1023" s="1641"/>
      <c r="N1023" s="1641"/>
      <c r="O1023" s="1641"/>
      <c r="P1023" s="1641"/>
      <c r="Q1023" s="1641"/>
      <c r="R1023" s="1641"/>
      <c r="S1023" s="1641"/>
      <c r="T1023" s="1641"/>
      <c r="U1023" s="1641"/>
      <c r="V1023" s="1641"/>
      <c r="W1023" s="1641"/>
      <c r="X1023" s="1641"/>
      <c r="Y1023" s="1641"/>
      <c r="Z1023" s="1641"/>
      <c r="AA1023" s="1641"/>
      <c r="AB1023" s="1641"/>
      <c r="AC1023" s="1641"/>
      <c r="AD1023" s="1641"/>
      <c r="AE1023" s="1642"/>
      <c r="AF1023" s="1714"/>
      <c r="AG1023" s="1714"/>
      <c r="AH1023" s="1714"/>
      <c r="AI1023" s="1714"/>
      <c r="AJ1023" s="1669"/>
      <c r="AK1023" s="1670"/>
      <c r="AL1023" s="1670"/>
      <c r="AM1023" s="1670"/>
      <c r="AN1023" s="1670"/>
      <c r="AO1023" s="1670"/>
      <c r="AP1023" s="1670"/>
      <c r="AQ1023" s="1671"/>
      <c r="AR1023" s="1009"/>
      <c r="AS1023" s="1009"/>
      <c r="AT1023" s="1009"/>
      <c r="AU1023" s="1009"/>
      <c r="AV1023" s="1009"/>
      <c r="AW1023" s="1009"/>
      <c r="AX1023" s="2">
        <v>11</v>
      </c>
      <c r="AY1023" s="1024">
        <f t="shared" si="55"/>
        <v>0</v>
      </c>
      <c r="AZ1023" s="960">
        <v>0.02</v>
      </c>
    </row>
    <row r="1024" spans="1:52" ht="12.9" customHeight="1">
      <c r="A1024" s="11"/>
      <c r="B1024" s="1025"/>
      <c r="C1024" s="1026"/>
      <c r="D1024" s="326" t="s">
        <v>1701</v>
      </c>
      <c r="E1024" s="51"/>
      <c r="F1024" s="51"/>
      <c r="G1024" s="658"/>
      <c r="H1024" s="658"/>
      <c r="I1024" s="33"/>
      <c r="J1024" s="1759" t="s">
        <v>809</v>
      </c>
      <c r="K1024" s="1760"/>
      <c r="L1024" s="1760"/>
      <c r="M1024" s="1760"/>
      <c r="N1024" s="1760"/>
      <c r="O1024" s="1760"/>
      <c r="P1024" s="1760"/>
      <c r="Q1024" s="1760"/>
      <c r="R1024" s="1760"/>
      <c r="S1024" s="1760"/>
      <c r="T1024" s="1760"/>
      <c r="U1024" s="1760"/>
      <c r="V1024" s="1760"/>
      <c r="W1024" s="1760"/>
      <c r="X1024" s="1760"/>
      <c r="Y1024" s="1760"/>
      <c r="Z1024" s="1760"/>
      <c r="AA1024" s="1760"/>
      <c r="AB1024" s="1760"/>
      <c r="AC1024" s="1760"/>
      <c r="AD1024" s="1760"/>
      <c r="AE1024" s="1761"/>
      <c r="AF1024" s="1714"/>
      <c r="AG1024" s="1714"/>
      <c r="AH1024" s="1714"/>
      <c r="AI1024" s="1714"/>
      <c r="AJ1024" s="1672"/>
      <c r="AK1024" s="1673"/>
      <c r="AL1024" s="1673"/>
      <c r="AM1024" s="1673"/>
      <c r="AN1024" s="1673"/>
      <c r="AO1024" s="1673"/>
      <c r="AP1024" s="1673"/>
      <c r="AQ1024" s="1674"/>
      <c r="AR1024" s="1009"/>
      <c r="AS1024" s="1009"/>
      <c r="AT1024" s="1009"/>
      <c r="AU1024" s="1009"/>
      <c r="AV1024" s="1009"/>
      <c r="AW1024" s="1009"/>
      <c r="AX1024" s="763" t="s">
        <v>1702</v>
      </c>
      <c r="AY1024" s="1027">
        <f>IF(SUM(AY1015:AY1023)&lt;=0.2,SUM(AY1015:AY1023),0.2)</f>
        <v>0</v>
      </c>
    </row>
    <row r="1025" spans="1:57" ht="12.9" customHeight="1">
      <c r="A1025" s="11"/>
      <c r="B1025" s="47"/>
      <c r="C1025" s="188" t="s">
        <v>1703</v>
      </c>
      <c r="D1025" s="1705" t="s">
        <v>1704</v>
      </c>
      <c r="E1025" s="1706"/>
      <c r="F1025" s="1706"/>
      <c r="G1025" s="1706"/>
      <c r="H1025" s="1706"/>
      <c r="I1025" s="1706"/>
      <c r="J1025" s="1706"/>
      <c r="K1025" s="1706"/>
      <c r="L1025" s="1706"/>
      <c r="M1025" s="1706"/>
      <c r="N1025" s="1706"/>
      <c r="O1025" s="1706"/>
      <c r="P1025" s="1706"/>
      <c r="Q1025" s="1706"/>
      <c r="R1025" s="1706"/>
      <c r="S1025" s="1706"/>
      <c r="T1025" s="1706"/>
      <c r="U1025" s="1706"/>
      <c r="V1025" s="1706"/>
      <c r="W1025" s="1706"/>
      <c r="X1025" s="1706"/>
      <c r="Y1025" s="1706"/>
      <c r="Z1025" s="1706"/>
      <c r="AA1025" s="1706"/>
      <c r="AB1025" s="1706"/>
      <c r="AC1025" s="1706"/>
      <c r="AD1025" s="1706"/>
      <c r="AE1025" s="1707"/>
      <c r="AF1025" s="47"/>
      <c r="AG1025" s="1692" t="s">
        <v>694</v>
      </c>
      <c r="AH1025" s="1693"/>
      <c r="AI1025" s="50"/>
      <c r="AJ1025" s="1666">
        <f>ROUND(IF(AG1025="Yes",AF1027,0),0)</f>
        <v>1920000</v>
      </c>
      <c r="AK1025" s="1667"/>
      <c r="AL1025" s="1667"/>
      <c r="AM1025" s="1667"/>
      <c r="AN1025" s="1667"/>
      <c r="AO1025" s="1667"/>
      <c r="AP1025" s="1667"/>
      <c r="AQ1025" s="1668"/>
      <c r="AR1025" s="1009"/>
      <c r="AS1025" s="1009"/>
      <c r="AT1025" s="1009"/>
      <c r="AU1025" s="1009"/>
      <c r="AV1025" s="1009"/>
      <c r="AW1025" s="1009"/>
      <c r="AX1025" s="1009"/>
      <c r="AY1025" s="1009"/>
    </row>
    <row r="1026" spans="1:57" ht="12.9" customHeight="1">
      <c r="A1026" s="11"/>
      <c r="B1026" s="44"/>
      <c r="C1026" s="1022"/>
      <c r="D1026" s="1640" t="s">
        <v>1705</v>
      </c>
      <c r="E1026" s="1641"/>
      <c r="F1026" s="1641"/>
      <c r="G1026" s="1641"/>
      <c r="H1026" s="1641"/>
      <c r="I1026" s="1641"/>
      <c r="J1026" s="1641"/>
      <c r="K1026" s="1641"/>
      <c r="L1026" s="1641"/>
      <c r="M1026" s="1641"/>
      <c r="N1026" s="1641"/>
      <c r="O1026" s="1641"/>
      <c r="P1026" s="1641"/>
      <c r="Q1026" s="1641"/>
      <c r="R1026" s="1641"/>
      <c r="S1026" s="1641"/>
      <c r="T1026" s="1641"/>
      <c r="U1026" s="1641"/>
      <c r="V1026" s="1641"/>
      <c r="W1026" s="1641"/>
      <c r="X1026" s="1641"/>
      <c r="Y1026" s="1641"/>
      <c r="Z1026" s="1641"/>
      <c r="AA1026" s="1641"/>
      <c r="AB1026" s="1641"/>
      <c r="AC1026" s="1641"/>
      <c r="AD1026" s="1641"/>
      <c r="AE1026" s="1642"/>
      <c r="AF1026" s="1756" t="str">
        <f>IF(AG1025="yes","Enter Amount:","")</f>
        <v>Enter Amount:</v>
      </c>
      <c r="AG1026" s="1757"/>
      <c r="AH1026" s="1757"/>
      <c r="AI1026" s="1758"/>
      <c r="AJ1026" s="1669"/>
      <c r="AK1026" s="1670"/>
      <c r="AL1026" s="1670"/>
      <c r="AM1026" s="1670"/>
      <c r="AN1026" s="1670"/>
      <c r="AO1026" s="1670"/>
      <c r="AP1026" s="1670"/>
      <c r="AQ1026" s="1671"/>
      <c r="AR1026" s="1009"/>
      <c r="AS1026" s="1009"/>
      <c r="AT1026" s="1009"/>
      <c r="AU1026" s="1009"/>
      <c r="AV1026" s="1009"/>
      <c r="AW1026" s="1009"/>
      <c r="AX1026" s="1009"/>
      <c r="AY1026" s="1009"/>
    </row>
    <row r="1027" spans="1:57" ht="12.9" customHeight="1">
      <c r="A1027" s="11"/>
      <c r="B1027" s="44"/>
      <c r="C1027" s="1022"/>
      <c r="D1027" s="1640"/>
      <c r="E1027" s="1641"/>
      <c r="F1027" s="1641"/>
      <c r="G1027" s="1641"/>
      <c r="H1027" s="1641"/>
      <c r="I1027" s="1641"/>
      <c r="J1027" s="1641"/>
      <c r="K1027" s="1641"/>
      <c r="L1027" s="1641"/>
      <c r="M1027" s="1641"/>
      <c r="N1027" s="1641"/>
      <c r="O1027" s="1641"/>
      <c r="P1027" s="1641"/>
      <c r="Q1027" s="1641"/>
      <c r="R1027" s="1641"/>
      <c r="S1027" s="1641"/>
      <c r="T1027" s="1641"/>
      <c r="U1027" s="1641"/>
      <c r="V1027" s="1641"/>
      <c r="W1027" s="1641"/>
      <c r="X1027" s="1641"/>
      <c r="Y1027" s="1641"/>
      <c r="Z1027" s="1641"/>
      <c r="AA1027" s="1641"/>
      <c r="AB1027" s="1641"/>
      <c r="AC1027" s="1641"/>
      <c r="AD1027" s="1641"/>
      <c r="AE1027" s="1642"/>
      <c r="AF1027" s="1714">
        <v>1920000</v>
      </c>
      <c r="AG1027" s="1714"/>
      <c r="AH1027" s="1714"/>
      <c r="AI1027" s="1714"/>
      <c r="AJ1027" s="1669"/>
      <c r="AK1027" s="1670"/>
      <c r="AL1027" s="1670"/>
      <c r="AM1027" s="1670"/>
      <c r="AN1027" s="1670"/>
      <c r="AO1027" s="1670"/>
      <c r="AP1027" s="1670"/>
      <c r="AQ1027" s="1671"/>
      <c r="AR1027" s="1009"/>
      <c r="AS1027" s="1009"/>
      <c r="AT1027" s="1009"/>
      <c r="AU1027" s="1009"/>
      <c r="AV1027" s="1009"/>
      <c r="AW1027" s="1009"/>
      <c r="AX1027" s="1009"/>
      <c r="AY1027" s="11" t="str">
        <f>"Select items beginning on row #"&amp;TEXT(ROW(A1061),"#")&amp;" to claim this boost"</f>
        <v>Select items beginning on row #1061 to claim this boost</v>
      </c>
    </row>
    <row r="1028" spans="1:57" ht="12.9" customHeight="1">
      <c r="A1028" s="11"/>
      <c r="B1028" s="1023"/>
      <c r="C1028" s="1026"/>
      <c r="D1028" s="1684"/>
      <c r="E1028" s="1685"/>
      <c r="F1028" s="1685"/>
      <c r="G1028" s="1685"/>
      <c r="H1028" s="1685"/>
      <c r="I1028" s="1685"/>
      <c r="J1028" s="1685"/>
      <c r="K1028" s="1685"/>
      <c r="L1028" s="1685"/>
      <c r="M1028" s="1685"/>
      <c r="N1028" s="1685"/>
      <c r="O1028" s="1685"/>
      <c r="P1028" s="1685"/>
      <c r="Q1028" s="1685"/>
      <c r="R1028" s="1685"/>
      <c r="S1028" s="1685"/>
      <c r="T1028" s="1685"/>
      <c r="U1028" s="1685"/>
      <c r="V1028" s="1685"/>
      <c r="W1028" s="1685"/>
      <c r="X1028" s="1685"/>
      <c r="Y1028" s="1685"/>
      <c r="Z1028" s="1685"/>
      <c r="AA1028" s="1685"/>
      <c r="AB1028" s="1685"/>
      <c r="AC1028" s="1685"/>
      <c r="AD1028" s="1685"/>
      <c r="AE1028" s="1686"/>
      <c r="AF1028" s="1714"/>
      <c r="AG1028" s="1714"/>
      <c r="AH1028" s="1714"/>
      <c r="AI1028" s="1714"/>
      <c r="AJ1028" s="1672"/>
      <c r="AK1028" s="1673"/>
      <c r="AL1028" s="1673"/>
      <c r="AM1028" s="1673"/>
      <c r="AN1028" s="1673"/>
      <c r="AO1028" s="1673"/>
      <c r="AP1028" s="1673"/>
      <c r="AQ1028" s="1674"/>
      <c r="AR1028" s="1009"/>
      <c r="AS1028" s="1009"/>
      <c r="AT1028" s="1009"/>
      <c r="AU1028" s="1009"/>
      <c r="AV1028" s="1009"/>
      <c r="AW1028" s="1009"/>
      <c r="AX1028" s="1009"/>
      <c r="AY1028" s="1009"/>
    </row>
    <row r="1029" spans="1:57" ht="12.9" customHeight="1">
      <c r="A1029" s="11"/>
      <c r="B1029" s="47"/>
      <c r="C1029" s="188" t="s">
        <v>1706</v>
      </c>
      <c r="D1029" s="1675" t="s">
        <v>1707</v>
      </c>
      <c r="E1029" s="1676"/>
      <c r="F1029" s="1676"/>
      <c r="G1029" s="1676"/>
      <c r="H1029" s="1676"/>
      <c r="I1029" s="1676"/>
      <c r="J1029" s="1676"/>
      <c r="K1029" s="1676"/>
      <c r="L1029" s="1676"/>
      <c r="M1029" s="1676"/>
      <c r="N1029" s="1676"/>
      <c r="O1029" s="1676"/>
      <c r="P1029" s="1676"/>
      <c r="Q1029" s="1676"/>
      <c r="R1029" s="1676"/>
      <c r="S1029" s="1676"/>
      <c r="T1029" s="1676"/>
      <c r="U1029" s="1676"/>
      <c r="V1029" s="1676"/>
      <c r="W1029" s="1676"/>
      <c r="X1029" s="1676"/>
      <c r="Y1029" s="1676"/>
      <c r="Z1029" s="1676"/>
      <c r="AA1029" s="1676"/>
      <c r="AB1029" s="1676"/>
      <c r="AC1029" s="1676"/>
      <c r="AD1029" s="1676"/>
      <c r="AE1029" s="1677"/>
      <c r="AF1029" s="47"/>
      <c r="AG1029" s="1692" t="s">
        <v>694</v>
      </c>
      <c r="AH1029" s="1693"/>
      <c r="AI1029" s="50"/>
      <c r="AJ1029" s="1666">
        <f>ROUND(IF(AG1029="yes",(AJ992*0.1),0),0)</f>
        <v>7812912</v>
      </c>
      <c r="AK1029" s="1667"/>
      <c r="AL1029" s="1667"/>
      <c r="AM1029" s="1667"/>
      <c r="AN1029" s="1667"/>
      <c r="AO1029" s="1667"/>
      <c r="AP1029" s="1667"/>
      <c r="AQ1029" s="1668"/>
      <c r="AR1029" s="1009"/>
      <c r="AS1029" s="1009"/>
      <c r="AT1029" s="1009"/>
      <c r="AU1029" s="1009"/>
      <c r="AV1029" s="1009"/>
      <c r="AW1029" s="1009"/>
      <c r="AX1029" s="1009"/>
      <c r="AY1029" s="1009"/>
    </row>
    <row r="1030" spans="1:57" ht="12.9" customHeight="1">
      <c r="A1030" s="11"/>
      <c r="B1030" s="44"/>
      <c r="C1030" s="1022"/>
      <c r="D1030" s="1640" t="s">
        <v>1708</v>
      </c>
      <c r="E1030" s="1641"/>
      <c r="F1030" s="1641"/>
      <c r="G1030" s="1641"/>
      <c r="H1030" s="1641"/>
      <c r="I1030" s="1641"/>
      <c r="J1030" s="1641"/>
      <c r="K1030" s="1641"/>
      <c r="L1030" s="1641"/>
      <c r="M1030" s="1641"/>
      <c r="N1030" s="1641"/>
      <c r="O1030" s="1641"/>
      <c r="P1030" s="1641"/>
      <c r="Q1030" s="1641"/>
      <c r="R1030" s="1641"/>
      <c r="S1030" s="1641"/>
      <c r="T1030" s="1641"/>
      <c r="U1030" s="1641"/>
      <c r="V1030" s="1641"/>
      <c r="W1030" s="1641"/>
      <c r="X1030" s="1641"/>
      <c r="Y1030" s="1641"/>
      <c r="Z1030" s="1641"/>
      <c r="AA1030" s="1641"/>
      <c r="AB1030" s="1641"/>
      <c r="AC1030" s="1641"/>
      <c r="AD1030" s="1641"/>
      <c r="AE1030" s="1642"/>
      <c r="AF1030" s="44"/>
      <c r="AG1030" s="11"/>
      <c r="AH1030" s="11"/>
      <c r="AI1030" s="48"/>
      <c r="AJ1030" s="1669"/>
      <c r="AK1030" s="1670"/>
      <c r="AL1030" s="1670"/>
      <c r="AM1030" s="1670"/>
      <c r="AN1030" s="1670"/>
      <c r="AO1030" s="1670"/>
      <c r="AP1030" s="1670"/>
      <c r="AQ1030" s="1671"/>
      <c r="AR1030" s="1009"/>
      <c r="AS1030" s="1009"/>
      <c r="AT1030" s="1009"/>
      <c r="AU1030" s="1009"/>
      <c r="AV1030" s="1009"/>
      <c r="AW1030" s="1009"/>
      <c r="AX1030" s="1009"/>
      <c r="AY1030" s="1009"/>
    </row>
    <row r="1031" spans="1:57" ht="12.9" customHeight="1">
      <c r="A1031" s="11"/>
      <c r="B1031" s="45"/>
      <c r="C1031" s="1022"/>
      <c r="D1031" s="1684"/>
      <c r="E1031" s="1685"/>
      <c r="F1031" s="1685"/>
      <c r="G1031" s="1685"/>
      <c r="H1031" s="1685"/>
      <c r="I1031" s="1685"/>
      <c r="J1031" s="1685"/>
      <c r="K1031" s="1685"/>
      <c r="L1031" s="1685"/>
      <c r="M1031" s="1685"/>
      <c r="N1031" s="1685"/>
      <c r="O1031" s="1685"/>
      <c r="P1031" s="1685"/>
      <c r="Q1031" s="1685"/>
      <c r="R1031" s="1685"/>
      <c r="S1031" s="1685"/>
      <c r="T1031" s="1685"/>
      <c r="U1031" s="1685"/>
      <c r="V1031" s="1685"/>
      <c r="W1031" s="1685"/>
      <c r="X1031" s="1685"/>
      <c r="Y1031" s="1685"/>
      <c r="Z1031" s="1685"/>
      <c r="AA1031" s="1685"/>
      <c r="AB1031" s="1685"/>
      <c r="AC1031" s="1685"/>
      <c r="AD1031" s="1685"/>
      <c r="AE1031" s="1686"/>
      <c r="AF1031" s="44"/>
      <c r="AG1031" s="11"/>
      <c r="AH1031" s="11"/>
      <c r="AI1031" s="48"/>
      <c r="AJ1031" s="1672"/>
      <c r="AK1031" s="1673"/>
      <c r="AL1031" s="1673"/>
      <c r="AM1031" s="1673"/>
      <c r="AN1031" s="1673"/>
      <c r="AO1031" s="1673"/>
      <c r="AP1031" s="1673"/>
      <c r="AQ1031" s="1674"/>
      <c r="AR1031" s="1009"/>
      <c r="AS1031" s="1009"/>
      <c r="AT1031" s="1009"/>
      <c r="AU1031" s="1009"/>
      <c r="AV1031" s="1009"/>
      <c r="AW1031" s="1009"/>
      <c r="AX1031" s="1009"/>
      <c r="AY1031" s="1009"/>
    </row>
    <row r="1032" spans="1:57" ht="12.9" customHeight="1">
      <c r="A1032" s="11"/>
      <c r="B1032" s="44"/>
      <c r="C1032" s="188" t="s">
        <v>22</v>
      </c>
      <c r="D1032" s="1705" t="s">
        <v>1709</v>
      </c>
      <c r="E1032" s="1706"/>
      <c r="F1032" s="1706"/>
      <c r="G1032" s="1706"/>
      <c r="H1032" s="1706"/>
      <c r="I1032" s="1706"/>
      <c r="J1032" s="1706"/>
      <c r="K1032" s="1706"/>
      <c r="L1032" s="1706"/>
      <c r="M1032" s="1706"/>
      <c r="N1032" s="1706"/>
      <c r="O1032" s="1706"/>
      <c r="P1032" s="1706"/>
      <c r="Q1032" s="1706"/>
      <c r="R1032" s="1706"/>
      <c r="S1032" s="1706"/>
      <c r="T1032" s="1706"/>
      <c r="U1032" s="1706"/>
      <c r="V1032" s="1706"/>
      <c r="W1032" s="1706"/>
      <c r="X1032" s="1706"/>
      <c r="Y1032" s="1706"/>
      <c r="Z1032" s="1706"/>
      <c r="AA1032" s="1706"/>
      <c r="AB1032" s="1706"/>
      <c r="AC1032" s="1706"/>
      <c r="AD1032" s="1706"/>
      <c r="AE1032" s="1707"/>
      <c r="AF1032" s="47"/>
      <c r="AG1032" s="1692" t="s">
        <v>843</v>
      </c>
      <c r="AH1032" s="1693"/>
      <c r="AI1032" s="50"/>
      <c r="AJ1032" s="1666">
        <f>ROUND(IF(AG1032="yes",(AJ992*0.15),0),0)</f>
        <v>0</v>
      </c>
      <c r="AK1032" s="1667"/>
      <c r="AL1032" s="1667"/>
      <c r="AM1032" s="1667"/>
      <c r="AN1032" s="1667"/>
      <c r="AO1032" s="1667"/>
      <c r="AP1032" s="1667"/>
      <c r="AQ1032" s="1668"/>
      <c r="AR1032" s="1009"/>
      <c r="AS1032" s="1009"/>
      <c r="AT1032" s="1009"/>
      <c r="AU1032" s="1009"/>
      <c r="AV1032" s="1009"/>
      <c r="AW1032" s="1009"/>
      <c r="AX1032" s="1009"/>
      <c r="AY1032" s="1009"/>
    </row>
    <row r="1033" spans="1:57" ht="12.9" customHeight="1">
      <c r="A1033" s="11"/>
      <c r="B1033" s="44"/>
      <c r="C1033" s="1022"/>
      <c r="D1033" s="1740" t="s">
        <v>1710</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741"/>
      <c r="AF1033" s="669"/>
      <c r="AG1033" s="670"/>
      <c r="AH1033" s="670"/>
      <c r="AI1033" s="671"/>
      <c r="AJ1033" s="1669"/>
      <c r="AK1033" s="1670"/>
      <c r="AL1033" s="1670"/>
      <c r="AM1033" s="1670"/>
      <c r="AN1033" s="1670"/>
      <c r="AO1033" s="1670"/>
      <c r="AP1033" s="1670"/>
      <c r="AQ1033" s="1671"/>
      <c r="AR1033" s="1009"/>
      <c r="AS1033" s="1009"/>
      <c r="AT1033" s="1009"/>
      <c r="AU1033" s="1009"/>
      <c r="AV1033" s="1009"/>
      <c r="AW1033" s="1009"/>
      <c r="AX1033" s="1009"/>
      <c r="AY1033" s="1009"/>
    </row>
    <row r="1034" spans="1:57" ht="12.9" customHeight="1">
      <c r="A1034" s="11"/>
      <c r="B1034" s="44"/>
      <c r="C1034" s="1022"/>
      <c r="D1034" s="1740"/>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741"/>
      <c r="AF1034" s="669"/>
      <c r="AG1034" s="670"/>
      <c r="AH1034" s="670"/>
      <c r="AI1034" s="671"/>
      <c r="AJ1034" s="1669"/>
      <c r="AK1034" s="1670"/>
      <c r="AL1034" s="1670"/>
      <c r="AM1034" s="1670"/>
      <c r="AN1034" s="1670"/>
      <c r="AO1034" s="1670"/>
      <c r="AP1034" s="1670"/>
      <c r="AQ1034" s="1671"/>
      <c r="AR1034" s="1009"/>
      <c r="AS1034" s="1009"/>
      <c r="AT1034" s="1009"/>
      <c r="AU1034" s="1009"/>
      <c r="AV1034" s="1009"/>
      <c r="AW1034" s="1009"/>
      <c r="AX1034" s="1009"/>
      <c r="AY1034" s="1009"/>
    </row>
    <row r="1035" spans="1:57" ht="12.9" customHeight="1">
      <c r="A1035" s="11"/>
      <c r="B1035" s="44"/>
      <c r="C1035" s="1022"/>
      <c r="D1035" s="1742"/>
      <c r="E1035" s="1507"/>
      <c r="F1035" s="1507"/>
      <c r="G1035" s="1507"/>
      <c r="H1035" s="1507"/>
      <c r="I1035" s="1507"/>
      <c r="J1035" s="1507"/>
      <c r="K1035" s="1507"/>
      <c r="L1035" s="1507"/>
      <c r="M1035" s="1507"/>
      <c r="N1035" s="1507"/>
      <c r="O1035" s="1507"/>
      <c r="P1035" s="1507"/>
      <c r="Q1035" s="1507"/>
      <c r="R1035" s="1507"/>
      <c r="S1035" s="1507"/>
      <c r="T1035" s="1507"/>
      <c r="U1035" s="1507"/>
      <c r="V1035" s="1507"/>
      <c r="W1035" s="1507"/>
      <c r="X1035" s="1507"/>
      <c r="Y1035" s="1507"/>
      <c r="Z1035" s="1507"/>
      <c r="AA1035" s="1507"/>
      <c r="AB1035" s="1507"/>
      <c r="AC1035" s="1507"/>
      <c r="AD1035" s="1507"/>
      <c r="AE1035" s="1743"/>
      <c r="AF1035" s="672"/>
      <c r="AG1035" s="673"/>
      <c r="AH1035" s="673"/>
      <c r="AI1035" s="674"/>
      <c r="AJ1035" s="1672"/>
      <c r="AK1035" s="1673"/>
      <c r="AL1035" s="1673"/>
      <c r="AM1035" s="1673"/>
      <c r="AN1035" s="1673"/>
      <c r="AO1035" s="1673"/>
      <c r="AP1035" s="1673"/>
      <c r="AQ1035" s="1674"/>
      <c r="AR1035" s="1009"/>
      <c r="AS1035" s="1009"/>
      <c r="AT1035" s="1009"/>
      <c r="AU1035" s="1009"/>
      <c r="AV1035" s="1009"/>
      <c r="AW1035" s="1009"/>
      <c r="AX1035" s="1009"/>
      <c r="AY1035" s="1009"/>
    </row>
    <row r="1036" spans="1:57" ht="12.9" customHeight="1">
      <c r="A1036" s="11"/>
      <c r="B1036" s="44"/>
      <c r="C1036" s="188" t="s">
        <v>22</v>
      </c>
      <c r="D1036" s="1675" t="s">
        <v>1711</v>
      </c>
      <c r="E1036" s="1676"/>
      <c r="F1036" s="1676"/>
      <c r="G1036" s="1676"/>
      <c r="H1036" s="1676"/>
      <c r="I1036" s="1676"/>
      <c r="J1036" s="1676"/>
      <c r="K1036" s="1676"/>
      <c r="L1036" s="1676"/>
      <c r="M1036" s="1676"/>
      <c r="N1036" s="1676"/>
      <c r="O1036" s="1676"/>
      <c r="P1036" s="1676"/>
      <c r="Q1036" s="1676"/>
      <c r="R1036" s="1676"/>
      <c r="S1036" s="1676"/>
      <c r="T1036" s="1676"/>
      <c r="U1036" s="1676"/>
      <c r="V1036" s="1676"/>
      <c r="W1036" s="1676"/>
      <c r="X1036" s="1676"/>
      <c r="Y1036" s="1676"/>
      <c r="Z1036" s="1676"/>
      <c r="AA1036" s="1676"/>
      <c r="AB1036" s="1676"/>
      <c r="AC1036" s="1676"/>
      <c r="AD1036" s="1676"/>
      <c r="AE1036" s="1677"/>
      <c r="AF1036" s="44"/>
      <c r="AG1036" s="1694" t="s">
        <v>843</v>
      </c>
      <c r="AH1036" s="1695"/>
      <c r="AI1036" s="48"/>
      <c r="AJ1036" s="1666">
        <f>ROUND(IF(AND(AG1036="yes",AJ1032=0),(AJ992*0.1),0),0)</f>
        <v>0</v>
      </c>
      <c r="AK1036" s="1667"/>
      <c r="AL1036" s="1667"/>
      <c r="AM1036" s="1667"/>
      <c r="AN1036" s="1667"/>
      <c r="AO1036" s="1667"/>
      <c r="AP1036" s="1667"/>
      <c r="AQ1036" s="1668"/>
      <c r="AR1036" s="1009"/>
      <c r="AS1036" s="1009"/>
      <c r="AT1036" s="1009"/>
      <c r="AU1036" s="1009"/>
      <c r="AV1036" s="1009"/>
      <c r="AW1036" s="1009"/>
      <c r="AX1036" s="1009"/>
      <c r="AY1036" s="1009"/>
    </row>
    <row r="1037" spans="1:57" ht="12.9" customHeight="1">
      <c r="A1037" s="11"/>
      <c r="B1037" s="44"/>
      <c r="C1037" s="1022"/>
      <c r="D1037" s="1740" t="s">
        <v>1712</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741"/>
      <c r="AF1037" s="44"/>
      <c r="AG1037" s="11"/>
      <c r="AH1037" s="11"/>
      <c r="AI1037" s="48"/>
      <c r="AJ1037" s="1669"/>
      <c r="AK1037" s="1670"/>
      <c r="AL1037" s="1670"/>
      <c r="AM1037" s="1670"/>
      <c r="AN1037" s="1670"/>
      <c r="AO1037" s="1670"/>
      <c r="AP1037" s="1670"/>
      <c r="AQ1037" s="1671"/>
      <c r="AR1037" s="1009"/>
      <c r="AS1037" s="1009"/>
      <c r="AT1037" s="1009"/>
      <c r="AU1037" s="1009"/>
      <c r="AV1037" s="1009"/>
      <c r="AW1037" s="1009"/>
      <c r="AX1037" s="1009"/>
      <c r="AY1037" s="1009"/>
    </row>
    <row r="1038" spans="1:57" ht="12.9" customHeight="1">
      <c r="A1038" s="11"/>
      <c r="B1038" s="44"/>
      <c r="C1038" s="1022"/>
      <c r="D1038" s="1740"/>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741"/>
      <c r="AF1038" s="44"/>
      <c r="AG1038" s="11"/>
      <c r="AH1038" s="11"/>
      <c r="AI1038" s="48"/>
      <c r="AJ1038" s="1669"/>
      <c r="AK1038" s="1670"/>
      <c r="AL1038" s="1670"/>
      <c r="AM1038" s="1670"/>
      <c r="AN1038" s="1670"/>
      <c r="AO1038" s="1670"/>
      <c r="AP1038" s="1670"/>
      <c r="AQ1038" s="1671"/>
      <c r="AR1038" s="1009"/>
      <c r="AS1038" s="1009"/>
      <c r="AT1038" s="1009"/>
      <c r="AU1038" s="1009"/>
      <c r="AV1038" s="1009"/>
      <c r="AW1038" s="1009"/>
      <c r="AX1038" s="1009"/>
      <c r="AY1038" s="1009"/>
      <c r="BA1038" s="894">
        <f>IFERROR(('Sources and Uses Budget'!$C$17+'Sources and Uses Budget'!$C$18+'Sources and Uses Budget'!$C$22)/$AG$437,0)</f>
        <v>0</v>
      </c>
      <c r="BB1038" s="894" t="s">
        <v>1713</v>
      </c>
      <c r="BC1038" s="894"/>
      <c r="BD1038" s="894"/>
      <c r="BE1038" s="894"/>
    </row>
    <row r="1039" spans="1:57" ht="12.9" customHeight="1">
      <c r="A1039" s="11"/>
      <c r="B1039" s="44"/>
      <c r="C1039" s="1022"/>
      <c r="D1039" s="1740"/>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741"/>
      <c r="AF1039" s="44"/>
      <c r="AG1039" s="11"/>
      <c r="AH1039" s="11"/>
      <c r="AI1039" s="48"/>
      <c r="AJ1039" s="1669"/>
      <c r="AK1039" s="1670"/>
      <c r="AL1039" s="1670"/>
      <c r="AM1039" s="1670"/>
      <c r="AN1039" s="1670"/>
      <c r="AO1039" s="1670"/>
      <c r="AP1039" s="1670"/>
      <c r="AQ1039" s="1671"/>
      <c r="AR1039" s="1009"/>
      <c r="AS1039" s="1009"/>
      <c r="AT1039" s="1009"/>
      <c r="AU1039" s="1009"/>
      <c r="AV1039" s="1009"/>
      <c r="AW1039" s="1009"/>
      <c r="AX1039" s="1009"/>
      <c r="AY1039" s="1009"/>
      <c r="BA1039">
        <f>IFERROR((($CI$753+$CM$753)/$AG$440),0)</f>
        <v>0.22047244094488189</v>
      </c>
      <c r="BB1039" s="2" t="s">
        <v>1714</v>
      </c>
    </row>
    <row r="1040" spans="1:57" ht="12.9" customHeight="1">
      <c r="A1040" s="11"/>
      <c r="B1040" s="44"/>
      <c r="C1040" s="1022"/>
      <c r="D1040" s="1742"/>
      <c r="E1040" s="1507"/>
      <c r="F1040" s="1507"/>
      <c r="G1040" s="1507"/>
      <c r="H1040" s="1507"/>
      <c r="I1040" s="1507"/>
      <c r="J1040" s="1507"/>
      <c r="K1040" s="1507"/>
      <c r="L1040" s="1507"/>
      <c r="M1040" s="1507"/>
      <c r="N1040" s="1507"/>
      <c r="O1040" s="1507"/>
      <c r="P1040" s="1507"/>
      <c r="Q1040" s="1507"/>
      <c r="R1040" s="1507"/>
      <c r="S1040" s="1507"/>
      <c r="T1040" s="1507"/>
      <c r="U1040" s="1507"/>
      <c r="V1040" s="1507"/>
      <c r="W1040" s="1507"/>
      <c r="X1040" s="1507"/>
      <c r="Y1040" s="1507"/>
      <c r="Z1040" s="1507"/>
      <c r="AA1040" s="1507"/>
      <c r="AB1040" s="1507"/>
      <c r="AC1040" s="1507"/>
      <c r="AD1040" s="1507"/>
      <c r="AE1040" s="1743"/>
      <c r="AF1040" s="44"/>
      <c r="AG1040" s="11"/>
      <c r="AH1040" s="11"/>
      <c r="AI1040" s="48"/>
      <c r="AJ1040" s="1669"/>
      <c r="AK1040" s="1670"/>
      <c r="AL1040" s="1670"/>
      <c r="AM1040" s="1670"/>
      <c r="AN1040" s="1670"/>
      <c r="AO1040" s="1670"/>
      <c r="AP1040" s="1670"/>
      <c r="AQ1040" s="1671"/>
      <c r="AR1040" s="1009"/>
      <c r="AS1040" s="1009"/>
      <c r="AT1040" s="1009"/>
      <c r="AU1040" s="1009"/>
      <c r="AV1040" s="1009"/>
      <c r="AW1040" s="1009"/>
      <c r="AX1040" s="1009"/>
      <c r="AY1040" s="1009"/>
      <c r="BA1040" t="b">
        <f>'Points System'!AJ164="Yes"</f>
        <v>0</v>
      </c>
      <c r="BB1040" s="2" t="s">
        <v>1715</v>
      </c>
    </row>
    <row r="1041" spans="1:56" ht="12.9" customHeight="1">
      <c r="A1041" s="11"/>
      <c r="B1041" s="47"/>
      <c r="C1041" s="1165" t="s">
        <v>1716</v>
      </c>
      <c r="D1041" s="1705" t="s">
        <v>1717</v>
      </c>
      <c r="E1041" s="1706"/>
      <c r="F1041" s="1706"/>
      <c r="G1041" s="1706"/>
      <c r="H1041" s="1706"/>
      <c r="I1041" s="1706"/>
      <c r="J1041" s="1706"/>
      <c r="K1041" s="1706"/>
      <c r="L1041" s="1706"/>
      <c r="M1041" s="1706"/>
      <c r="N1041" s="1706"/>
      <c r="O1041" s="1706"/>
      <c r="P1041" s="1706"/>
      <c r="Q1041" s="1706"/>
      <c r="R1041" s="1706"/>
      <c r="S1041" s="1706"/>
      <c r="T1041" s="1706"/>
      <c r="U1041" s="1706"/>
      <c r="V1041" s="1706"/>
      <c r="W1041" s="1706"/>
      <c r="X1041" s="1706"/>
      <c r="Y1041" s="1706"/>
      <c r="Z1041" s="1706"/>
      <c r="AA1041" s="1706"/>
      <c r="AB1041" s="1706"/>
      <c r="AC1041" s="1706"/>
      <c r="AD1041" s="1706"/>
      <c r="AE1041" s="1707"/>
      <c r="AF1041" s="47"/>
      <c r="AG1041" s="1692" t="s">
        <v>694</v>
      </c>
      <c r="AH1041" s="1693"/>
      <c r="AI1041" s="50"/>
      <c r="AJ1041" s="1666">
        <f>ROUND(IF(AG1041="yes",(AJ992*0.1),0),0)</f>
        <v>7812912</v>
      </c>
      <c r="AK1041" s="1667"/>
      <c r="AL1041" s="1667"/>
      <c r="AM1041" s="1667"/>
      <c r="AN1041" s="1667"/>
      <c r="AO1041" s="1667"/>
      <c r="AP1041" s="1667"/>
      <c r="AQ1041" s="1668"/>
      <c r="AR1041" s="1009"/>
      <c r="AS1041" s="1009"/>
      <c r="AT1041" s="1009"/>
      <c r="AU1041" s="1009"/>
      <c r="AV1041" s="1009"/>
      <c r="AW1041" s="1009"/>
      <c r="AX1041" s="1009"/>
      <c r="AY1041" s="1009"/>
      <c r="BA1041">
        <f>Q212</f>
        <v>0</v>
      </c>
      <c r="BB1041" s="2" t="s">
        <v>1718</v>
      </c>
    </row>
    <row r="1042" spans="1:56" ht="12.9" customHeight="1">
      <c r="A1042" s="11"/>
      <c r="B1042" s="44"/>
      <c r="C1042" s="1022"/>
      <c r="D1042" s="1640" t="s">
        <v>1719</v>
      </c>
      <c r="E1042" s="1641"/>
      <c r="F1042" s="1641"/>
      <c r="G1042" s="1641"/>
      <c r="H1042" s="1641"/>
      <c r="I1042" s="1641"/>
      <c r="J1042" s="1641"/>
      <c r="K1042" s="1641"/>
      <c r="L1042" s="1641"/>
      <c r="M1042" s="1641"/>
      <c r="N1042" s="1641"/>
      <c r="O1042" s="1641"/>
      <c r="P1042" s="1641"/>
      <c r="Q1042" s="1641"/>
      <c r="R1042" s="1641"/>
      <c r="S1042" s="1641"/>
      <c r="T1042" s="1641"/>
      <c r="U1042" s="1641"/>
      <c r="V1042" s="1641"/>
      <c r="W1042" s="1641"/>
      <c r="X1042" s="1641"/>
      <c r="Y1042" s="1641"/>
      <c r="Z1042" s="1641"/>
      <c r="AA1042" s="1641"/>
      <c r="AB1042" s="1641"/>
      <c r="AC1042" s="1641"/>
      <c r="AD1042" s="1641"/>
      <c r="AE1042" s="1642"/>
      <c r="AF1042" s="44"/>
      <c r="AG1042" s="11"/>
      <c r="AH1042" s="11"/>
      <c r="AI1042" s="48"/>
      <c r="AJ1042" s="1669"/>
      <c r="AK1042" s="1670"/>
      <c r="AL1042" s="1670"/>
      <c r="AM1042" s="1670"/>
      <c r="AN1042" s="1670"/>
      <c r="AO1042" s="1670"/>
      <c r="AP1042" s="1670"/>
      <c r="AQ1042" s="1671"/>
      <c r="AR1042" s="1009"/>
      <c r="AS1042" s="1009"/>
      <c r="AT1042" s="1009"/>
      <c r="AU1042" s="1009"/>
      <c r="AV1042" s="1009"/>
      <c r="AW1042" s="1009"/>
      <c r="AX1042" s="1009"/>
      <c r="AY1042" s="1009"/>
      <c r="BA1042" s="895">
        <f>T212</f>
        <v>0</v>
      </c>
      <c r="BB1042" s="2" t="s">
        <v>1720</v>
      </c>
    </row>
    <row r="1043" spans="1:56" ht="12.9" customHeight="1">
      <c r="A1043" s="11"/>
      <c r="B1043" s="44"/>
      <c r="C1043" s="1022"/>
      <c r="D1043" s="1640"/>
      <c r="E1043" s="1641"/>
      <c r="F1043" s="1641"/>
      <c r="G1043" s="1641"/>
      <c r="H1043" s="1641"/>
      <c r="I1043" s="1641"/>
      <c r="J1043" s="1641"/>
      <c r="K1043" s="1641"/>
      <c r="L1043" s="1641"/>
      <c r="M1043" s="1641"/>
      <c r="N1043" s="1641"/>
      <c r="O1043" s="1641"/>
      <c r="P1043" s="1641"/>
      <c r="Q1043" s="1641"/>
      <c r="R1043" s="1641"/>
      <c r="S1043" s="1641"/>
      <c r="T1043" s="1641"/>
      <c r="U1043" s="1641"/>
      <c r="V1043" s="1641"/>
      <c r="W1043" s="1641"/>
      <c r="X1043" s="1641"/>
      <c r="Y1043" s="1641"/>
      <c r="Z1043" s="1641"/>
      <c r="AA1043" s="1641"/>
      <c r="AB1043" s="1641"/>
      <c r="AC1043" s="1641"/>
      <c r="AD1043" s="1641"/>
      <c r="AE1043" s="1642"/>
      <c r="AF1043" s="44"/>
      <c r="AG1043" s="11"/>
      <c r="AH1043" s="11"/>
      <c r="AI1043" s="48"/>
      <c r="AJ1043" s="1669"/>
      <c r="AK1043" s="1670"/>
      <c r="AL1043" s="1670"/>
      <c r="AM1043" s="1670"/>
      <c r="AN1043" s="1670"/>
      <c r="AO1043" s="1670"/>
      <c r="AP1043" s="1670"/>
      <c r="AQ1043" s="1671"/>
      <c r="AR1043" s="1009"/>
      <c r="AS1043" s="1009"/>
      <c r="AT1043" s="1009"/>
      <c r="AU1043" s="1009"/>
      <c r="AV1043" s="1009"/>
      <c r="AW1043" s="1009"/>
      <c r="AX1043" s="1009"/>
      <c r="AY1043" s="1009"/>
    </row>
    <row r="1044" spans="1:56" ht="12.9" customHeight="1">
      <c r="A1044" s="11"/>
      <c r="B1044" s="44"/>
      <c r="C1044" s="1022"/>
      <c r="D1044" s="1684"/>
      <c r="E1044" s="1685"/>
      <c r="F1044" s="1685"/>
      <c r="G1044" s="1685"/>
      <c r="H1044" s="1685"/>
      <c r="I1044" s="1685"/>
      <c r="J1044" s="1685"/>
      <c r="K1044" s="1685"/>
      <c r="L1044" s="1685"/>
      <c r="M1044" s="1685"/>
      <c r="N1044" s="1685"/>
      <c r="O1044" s="1685"/>
      <c r="P1044" s="1685"/>
      <c r="Q1044" s="1685"/>
      <c r="R1044" s="1685"/>
      <c r="S1044" s="1685"/>
      <c r="T1044" s="1685"/>
      <c r="U1044" s="1685"/>
      <c r="V1044" s="1685"/>
      <c r="W1044" s="1685"/>
      <c r="X1044" s="1685"/>
      <c r="Y1044" s="1685"/>
      <c r="Z1044" s="1685"/>
      <c r="AA1044" s="1685"/>
      <c r="AB1044" s="1685"/>
      <c r="AC1044" s="1685"/>
      <c r="AD1044" s="1685"/>
      <c r="AE1044" s="1686"/>
      <c r="AF1044" s="44"/>
      <c r="AG1044" s="11"/>
      <c r="AH1044" s="11"/>
      <c r="AI1044" s="48"/>
      <c r="AJ1044" s="1672"/>
      <c r="AK1044" s="1673"/>
      <c r="AL1044" s="1673"/>
      <c r="AM1044" s="1673"/>
      <c r="AN1044" s="1673"/>
      <c r="AO1044" s="1673"/>
      <c r="AP1044" s="1673"/>
      <c r="AQ1044" s="1674"/>
      <c r="AR1044" s="1009"/>
      <c r="AS1044" s="1009"/>
      <c r="AT1044" s="1009"/>
      <c r="AU1044" s="1009"/>
      <c r="AV1044" s="1009"/>
      <c r="AW1044" s="1009"/>
      <c r="AX1044" s="1009"/>
      <c r="AY1044" s="1009"/>
    </row>
    <row r="1045" spans="1:56" ht="12.9" customHeight="1">
      <c r="A1045" s="11"/>
      <c r="B1045" s="47"/>
      <c r="C1045" s="1165" t="s">
        <v>1721</v>
      </c>
      <c r="D1045" s="1675" t="s">
        <v>1722</v>
      </c>
      <c r="E1045" s="1676"/>
      <c r="F1045" s="1676"/>
      <c r="G1045" s="1676"/>
      <c r="H1045" s="1676"/>
      <c r="I1045" s="1676"/>
      <c r="J1045" s="1676"/>
      <c r="K1045" s="1676"/>
      <c r="L1045" s="1676"/>
      <c r="M1045" s="1676"/>
      <c r="N1045" s="1676"/>
      <c r="O1045" s="1676"/>
      <c r="P1045" s="1676"/>
      <c r="Q1045" s="1676"/>
      <c r="R1045" s="1676"/>
      <c r="S1045" s="1676"/>
      <c r="T1045" s="1676"/>
      <c r="U1045" s="1676"/>
      <c r="V1045" s="1676"/>
      <c r="W1045" s="1676"/>
      <c r="X1045" s="1676"/>
      <c r="Y1045" s="1676"/>
      <c r="Z1045" s="1676"/>
      <c r="AA1045" s="1676"/>
      <c r="AB1045" s="1676"/>
      <c r="AC1045" s="1676"/>
      <c r="AD1045" s="1676"/>
      <c r="AE1045" s="1677"/>
      <c r="AF1045" s="47"/>
      <c r="AG1045" s="1690" t="str">
        <f>IF(X1048&gt;0,"Yes","No")</f>
        <v>Yes</v>
      </c>
      <c r="AH1045" s="1691"/>
      <c r="AI1045" s="50"/>
      <c r="AJ1045" s="1666">
        <f>IF((X1048=0),0,AY1005*AJ992)</f>
        <v>8594203.0899999999</v>
      </c>
      <c r="AK1045" s="1667"/>
      <c r="AL1045" s="1667"/>
      <c r="AM1045" s="1667"/>
      <c r="AN1045" s="1667"/>
      <c r="AO1045" s="1667"/>
      <c r="AP1045" s="1667"/>
      <c r="AQ1045" s="1668"/>
      <c r="AR1045" s="1009"/>
      <c r="AS1045" s="1009"/>
      <c r="AT1045" s="1009"/>
      <c r="AU1045" s="1009"/>
      <c r="AV1045" s="1009"/>
      <c r="AW1045" s="1009"/>
      <c r="AX1045" s="1009"/>
      <c r="AY1045" s="1009"/>
      <c r="AZ1045" s="892">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2" t="s">
        <v>1723</v>
      </c>
      <c r="BB1045" s="2"/>
      <c r="BC1045" s="2"/>
      <c r="BD1045" s="2"/>
    </row>
    <row r="1046" spans="1:56" ht="12.9" customHeight="1">
      <c r="A1046" s="11"/>
      <c r="B1046" s="44"/>
      <c r="C1046" s="263"/>
      <c r="D1046" s="1640" t="s">
        <v>1724</v>
      </c>
      <c r="E1046" s="1641"/>
      <c r="F1046" s="1641"/>
      <c r="G1046" s="1641"/>
      <c r="H1046" s="1641"/>
      <c r="I1046" s="1641"/>
      <c r="J1046" s="1641"/>
      <c r="K1046" s="1641"/>
      <c r="L1046" s="1641"/>
      <c r="M1046" s="1641"/>
      <c r="N1046" s="1641"/>
      <c r="O1046" s="1641"/>
      <c r="P1046" s="1641"/>
      <c r="Q1046" s="1641"/>
      <c r="R1046" s="1641"/>
      <c r="S1046" s="1641"/>
      <c r="T1046" s="1641"/>
      <c r="U1046" s="1641"/>
      <c r="V1046" s="1641"/>
      <c r="W1046" s="1641"/>
      <c r="X1046" s="1641"/>
      <c r="Y1046" s="1641"/>
      <c r="Z1046" s="1641"/>
      <c r="AA1046" s="1641"/>
      <c r="AB1046" s="1641"/>
      <c r="AC1046" s="1641"/>
      <c r="AD1046" s="1641"/>
      <c r="AE1046" s="1642"/>
      <c r="AF1046" s="44"/>
      <c r="AG1046" s="1028"/>
      <c r="AH1046" s="1028"/>
      <c r="AI1046" s="48"/>
      <c r="AJ1046" s="1669"/>
      <c r="AK1046" s="1670"/>
      <c r="AL1046" s="1670"/>
      <c r="AM1046" s="1670"/>
      <c r="AN1046" s="1670"/>
      <c r="AO1046" s="1670"/>
      <c r="AP1046" s="1670"/>
      <c r="AQ1046" s="1671"/>
      <c r="AR1046" s="1009"/>
      <c r="AS1046" s="1009"/>
      <c r="AT1046" s="1009"/>
      <c r="AU1046" s="1150"/>
      <c r="AV1046" s="1009"/>
      <c r="AW1046" s="1009"/>
      <c r="AX1046" s="1009"/>
      <c r="AY1046" s="1009"/>
      <c r="AZ1046" s="711">
        <f>'Sources and Uses Budget'!S97*BA1046</f>
        <v>11131453.5</v>
      </c>
      <c r="BA1046" s="893">
        <f>IF(BA1040,20%,15%)</f>
        <v>0.15</v>
      </c>
      <c r="BB1046" s="2" t="s">
        <v>1725</v>
      </c>
      <c r="BC1046" s="2" t="s">
        <v>1726</v>
      </c>
      <c r="BD1046" s="2"/>
    </row>
    <row r="1047" spans="1:56" ht="12.9" customHeight="1">
      <c r="A1047" s="11"/>
      <c r="B1047" s="44"/>
      <c r="C1047" s="263"/>
      <c r="D1047" s="1640"/>
      <c r="E1047" s="1641"/>
      <c r="F1047" s="1641"/>
      <c r="G1047" s="1641"/>
      <c r="H1047" s="1641"/>
      <c r="I1047" s="1641"/>
      <c r="J1047" s="1641"/>
      <c r="K1047" s="1641"/>
      <c r="L1047" s="1641"/>
      <c r="M1047" s="1641"/>
      <c r="N1047" s="1641"/>
      <c r="O1047" s="1641"/>
      <c r="P1047" s="1641"/>
      <c r="Q1047" s="1641"/>
      <c r="R1047" s="1641"/>
      <c r="S1047" s="1641"/>
      <c r="T1047" s="1641"/>
      <c r="U1047" s="1641"/>
      <c r="V1047" s="1641"/>
      <c r="W1047" s="1641"/>
      <c r="X1047" s="1641"/>
      <c r="Y1047" s="1641"/>
      <c r="Z1047" s="1641"/>
      <c r="AA1047" s="1641"/>
      <c r="AB1047" s="1641"/>
      <c r="AC1047" s="1641"/>
      <c r="AD1047" s="1641"/>
      <c r="AE1047" s="1642"/>
      <c r="AF1047" s="44"/>
      <c r="AG1047" s="1028"/>
      <c r="AH1047" s="1028"/>
      <c r="AI1047" s="48"/>
      <c r="AJ1047" s="1669"/>
      <c r="AK1047" s="1670"/>
      <c r="AL1047" s="1670"/>
      <c r="AM1047" s="1670"/>
      <c r="AN1047" s="1670"/>
      <c r="AO1047" s="1670"/>
      <c r="AP1047" s="1670"/>
      <c r="AQ1047" s="1671"/>
      <c r="AR1047" s="1009"/>
      <c r="AS1047" s="1009"/>
      <c r="AT1047" s="1009"/>
      <c r="AU1047" s="1150"/>
      <c r="AV1047" s="1009"/>
      <c r="AW1047" s="1009"/>
      <c r="AX1047" s="1009"/>
      <c r="AY1047" s="1009"/>
      <c r="AZ1047" s="711">
        <f>IF(M356="N/A",0,'Sources and Uses Budget'!T97*BA1047)</f>
        <v>0</v>
      </c>
      <c r="BA1047" s="893">
        <v>0.15</v>
      </c>
      <c r="BB1047" s="2" t="s">
        <v>1725</v>
      </c>
      <c r="BC1047" s="2" t="s">
        <v>1727</v>
      </c>
      <c r="BD1047" s="2"/>
    </row>
    <row r="1048" spans="1:56" ht="12.9" customHeight="1">
      <c r="A1048" s="11"/>
      <c r="B1048" s="45"/>
      <c r="C1048" s="46"/>
      <c r="D1048" s="76" t="s">
        <v>1728</v>
      </c>
      <c r="E1048" s="5"/>
      <c r="F1048" s="5"/>
      <c r="G1048" s="5"/>
      <c r="H1048" s="5"/>
      <c r="I1048" s="1726">
        <f>AY1003</f>
        <v>127</v>
      </c>
      <c r="J1048" s="1727"/>
      <c r="K1048" s="5"/>
      <c r="L1048" s="5"/>
      <c r="M1048" s="5"/>
      <c r="N1048" s="5"/>
      <c r="O1048" s="5"/>
      <c r="P1048" s="5"/>
      <c r="Q1048" s="5"/>
      <c r="R1048" s="5"/>
      <c r="S1048" s="5"/>
      <c r="T1048" s="5"/>
      <c r="U1048" s="5"/>
      <c r="V1048" s="77" t="s">
        <v>1729</v>
      </c>
      <c r="W1048" s="32"/>
      <c r="X1048" s="1690">
        <f>CI753</f>
        <v>14</v>
      </c>
      <c r="Y1048" s="1691"/>
      <c r="Z1048" s="32"/>
      <c r="AA1048" s="32"/>
      <c r="AB1048" s="32"/>
      <c r="AC1048" s="32"/>
      <c r="AD1048" s="32"/>
      <c r="AE1048" s="33"/>
      <c r="AF1048" s="678"/>
      <c r="AG1048" s="679"/>
      <c r="AH1048" s="679"/>
      <c r="AI1048" s="680"/>
      <c r="AJ1048" s="1672"/>
      <c r="AK1048" s="1673"/>
      <c r="AL1048" s="1673"/>
      <c r="AM1048" s="1673"/>
      <c r="AN1048" s="1673"/>
      <c r="AO1048" s="1673"/>
      <c r="AP1048" s="1673"/>
      <c r="AQ1048" s="1674"/>
      <c r="AR1048" s="1009"/>
      <c r="AS1048" s="1009"/>
      <c r="AT1048" s="1009"/>
      <c r="AU1048" s="11"/>
      <c r="AV1048" s="1009"/>
      <c r="AW1048" s="1009"/>
      <c r="AX1048" s="1009"/>
      <c r="AY1048" s="1009"/>
      <c r="AZ1048" s="711">
        <f>IF(M358="N/A",0,'Sources and Uses Budget'!T97*BA1048)</f>
        <v>0</v>
      </c>
      <c r="BA1048" s="893" cm="1">
        <f t="array" ref="BA1048">_xlfn.IFS(X180="Yes",5%,$BA$1038&gt;50000,15%,BA1039&gt;=30%,15%,TRUE,5%)</f>
        <v>0.05</v>
      </c>
      <c r="BB1048" s="2" t="s">
        <v>1725</v>
      </c>
      <c r="BC1048" s="2" t="s">
        <v>1730</v>
      </c>
      <c r="BD1048" s="2"/>
    </row>
    <row r="1049" spans="1:56" ht="12.9" customHeight="1">
      <c r="A1049" s="11"/>
      <c r="B1049" s="47"/>
      <c r="C1049" s="1165" t="s">
        <v>1731</v>
      </c>
      <c r="D1049" s="1705" t="s">
        <v>1732</v>
      </c>
      <c r="E1049" s="1706"/>
      <c r="F1049" s="1706"/>
      <c r="G1049" s="1706"/>
      <c r="H1049" s="1706"/>
      <c r="I1049" s="1706"/>
      <c r="J1049" s="1706"/>
      <c r="K1049" s="1706"/>
      <c r="L1049" s="1706"/>
      <c r="M1049" s="1706"/>
      <c r="N1049" s="1706"/>
      <c r="O1049" s="1706"/>
      <c r="P1049" s="1706"/>
      <c r="Q1049" s="1706"/>
      <c r="R1049" s="1706"/>
      <c r="S1049" s="1706"/>
      <c r="T1049" s="1706"/>
      <c r="U1049" s="1706"/>
      <c r="V1049" s="1706"/>
      <c r="W1049" s="1706"/>
      <c r="X1049" s="1706"/>
      <c r="Y1049" s="1706"/>
      <c r="Z1049" s="1706"/>
      <c r="AA1049" s="1706"/>
      <c r="AB1049" s="1706"/>
      <c r="AC1049" s="1706"/>
      <c r="AD1049" s="1706"/>
      <c r="AE1049" s="1707"/>
      <c r="AF1049" s="44"/>
      <c r="AG1049" s="1690" t="str">
        <f>IF(X1052&gt;0,"Yes","No")</f>
        <v>Yes</v>
      </c>
      <c r="AH1049" s="1691"/>
      <c r="AI1049" s="48"/>
      <c r="AJ1049" s="1666">
        <f>IF((X1052=0),0,(2*AY1006)*AJ992)</f>
        <v>17188406.18</v>
      </c>
      <c r="AK1049" s="1667"/>
      <c r="AL1049" s="1667"/>
      <c r="AM1049" s="1667"/>
      <c r="AN1049" s="1667"/>
      <c r="AO1049" s="1667"/>
      <c r="AP1049" s="1667"/>
      <c r="AQ1049" s="1668"/>
      <c r="AR1049" s="1009"/>
      <c r="AS1049" s="1009"/>
      <c r="AT1049" s="1009"/>
      <c r="AU1049" s="11"/>
      <c r="AV1049" s="1009"/>
      <c r="AW1049" s="1009"/>
      <c r="AX1049" s="1009"/>
      <c r="AY1049" s="1009"/>
      <c r="AZ1049" s="711">
        <f>AZ1045*BA1049</f>
        <v>0</v>
      </c>
      <c r="BA1049" s="893">
        <v>0.15</v>
      </c>
      <c r="BB1049" s="2" t="s">
        <v>1725</v>
      </c>
      <c r="BC1049" s="2" t="s">
        <v>1733</v>
      </c>
      <c r="BD1049" s="2"/>
    </row>
    <row r="1050" spans="1:56" ht="12.9" customHeight="1">
      <c r="A1050" s="11"/>
      <c r="B1050" s="44"/>
      <c r="C1050" s="263"/>
      <c r="D1050" s="1640" t="s">
        <v>1734</v>
      </c>
      <c r="E1050" s="1641"/>
      <c r="F1050" s="1641"/>
      <c r="G1050" s="1641"/>
      <c r="H1050" s="1641"/>
      <c r="I1050" s="1641"/>
      <c r="J1050" s="1641"/>
      <c r="K1050" s="1641"/>
      <c r="L1050" s="1641"/>
      <c r="M1050" s="1641"/>
      <c r="N1050" s="1641"/>
      <c r="O1050" s="1641"/>
      <c r="P1050" s="1641"/>
      <c r="Q1050" s="1641"/>
      <c r="R1050" s="1641"/>
      <c r="S1050" s="1641"/>
      <c r="T1050" s="1641"/>
      <c r="U1050" s="1641"/>
      <c r="V1050" s="1641"/>
      <c r="W1050" s="1641"/>
      <c r="X1050" s="1641"/>
      <c r="Y1050" s="1641"/>
      <c r="Z1050" s="1641"/>
      <c r="AA1050" s="1641"/>
      <c r="AB1050" s="1641"/>
      <c r="AC1050" s="1641"/>
      <c r="AD1050" s="1641"/>
      <c r="AE1050" s="1642"/>
      <c r="AF1050" s="44"/>
      <c r="AG1050" s="1028"/>
      <c r="AH1050" s="1028"/>
      <c r="AI1050" s="48"/>
      <c r="AJ1050" s="1669"/>
      <c r="AK1050" s="1670"/>
      <c r="AL1050" s="1670"/>
      <c r="AM1050" s="1670"/>
      <c r="AN1050" s="1670"/>
      <c r="AO1050" s="1670"/>
      <c r="AP1050" s="1670"/>
      <c r="AQ1050" s="1671"/>
      <c r="AR1050" s="1009"/>
      <c r="AS1050" s="1009"/>
      <c r="AT1050" s="1009"/>
      <c r="AU1050" s="1009"/>
      <c r="AV1050" s="1009"/>
      <c r="AW1050" s="1009"/>
      <c r="AX1050" s="1009"/>
      <c r="AY1050" s="1009"/>
      <c r="AZ1050" s="711"/>
      <c r="BA1050" s="2"/>
      <c r="BB1050" s="2"/>
      <c r="BC1050" s="2"/>
      <c r="BD1050" s="2"/>
    </row>
    <row r="1051" spans="1:56" ht="12.9" customHeight="1">
      <c r="A1051" s="11"/>
      <c r="B1051" s="44"/>
      <c r="C1051" s="48"/>
      <c r="D1051" s="1640"/>
      <c r="E1051" s="1641"/>
      <c r="F1051" s="1641"/>
      <c r="G1051" s="1641"/>
      <c r="H1051" s="1641"/>
      <c r="I1051" s="1641"/>
      <c r="J1051" s="1641"/>
      <c r="K1051" s="1641"/>
      <c r="L1051" s="1641"/>
      <c r="M1051" s="1641"/>
      <c r="N1051" s="1641"/>
      <c r="O1051" s="1641"/>
      <c r="P1051" s="1641"/>
      <c r="Q1051" s="1641"/>
      <c r="R1051" s="1641"/>
      <c r="S1051" s="1641"/>
      <c r="T1051" s="1641"/>
      <c r="U1051" s="1641"/>
      <c r="V1051" s="1641"/>
      <c r="W1051" s="1641"/>
      <c r="X1051" s="1641"/>
      <c r="Y1051" s="1641"/>
      <c r="Z1051" s="1641"/>
      <c r="AA1051" s="1641"/>
      <c r="AB1051" s="1641"/>
      <c r="AC1051" s="1641"/>
      <c r="AD1051" s="1641"/>
      <c r="AE1051" s="1642"/>
      <c r="AF1051" s="675"/>
      <c r="AG1051" s="676"/>
      <c r="AH1051" s="676"/>
      <c r="AI1051" s="677"/>
      <c r="AJ1051" s="1669"/>
      <c r="AK1051" s="1670"/>
      <c r="AL1051" s="1670"/>
      <c r="AM1051" s="1670"/>
      <c r="AN1051" s="1670"/>
      <c r="AO1051" s="1670"/>
      <c r="AP1051" s="1670"/>
      <c r="AQ1051" s="1671"/>
      <c r="AR1051" s="1009"/>
      <c r="AS1051" s="1009"/>
      <c r="AT1051" s="1009"/>
      <c r="AU1051" s="1009"/>
      <c r="AV1051" s="1009"/>
      <c r="AW1051" s="1009"/>
      <c r="AX1051" s="1009"/>
      <c r="AY1051" s="1009"/>
      <c r="AZ1051" s="711">
        <f>ROUNDDOWN(MIN(SUM(AZ1046,AZ1047,AZ1048,AZ1049),BD1051),0)</f>
        <v>2500000</v>
      </c>
      <c r="BA1051" s="2" t="s">
        <v>1735</v>
      </c>
      <c r="BB1051" s="2"/>
      <c r="BC1051" s="2"/>
      <c r="BD1051" s="2" cm="1">
        <f t="array" ref="BD1051">_xlfn.IFS(BA1040,3000000,AND(BA1041&gt;=25%,BA1042&gt;=15),2800000,TRUE,2500000)</f>
        <v>2500000</v>
      </c>
    </row>
    <row r="1052" spans="1:56" ht="12.9" customHeight="1">
      <c r="A1052" s="11"/>
      <c r="B1052" s="45"/>
      <c r="C1052" s="46"/>
      <c r="D1052" s="76" t="s">
        <v>1728</v>
      </c>
      <c r="E1052" s="5"/>
      <c r="F1052" s="5"/>
      <c r="G1052" s="5"/>
      <c r="H1052" s="5"/>
      <c r="I1052" s="1726">
        <f>AY1003</f>
        <v>127</v>
      </c>
      <c r="J1052" s="1727"/>
      <c r="K1052" s="11"/>
      <c r="L1052" s="5"/>
      <c r="M1052" s="5"/>
      <c r="N1052" s="5"/>
      <c r="O1052" s="5"/>
      <c r="P1052" s="5"/>
      <c r="Q1052" s="5"/>
      <c r="R1052" s="5"/>
      <c r="S1052" s="5"/>
      <c r="T1052" s="5"/>
      <c r="U1052" s="5"/>
      <c r="V1052" s="77" t="s">
        <v>1736</v>
      </c>
      <c r="X1052" s="1690">
        <f>CM753</f>
        <v>14</v>
      </c>
      <c r="Y1052" s="1691"/>
      <c r="AF1052" s="678"/>
      <c r="AG1052" s="679"/>
      <c r="AH1052" s="679"/>
      <c r="AI1052" s="680"/>
      <c r="AJ1052" s="1672"/>
      <c r="AK1052" s="1673"/>
      <c r="AL1052" s="1673"/>
      <c r="AM1052" s="1673"/>
      <c r="AN1052" s="1673"/>
      <c r="AO1052" s="1673"/>
      <c r="AP1052" s="1673"/>
      <c r="AQ1052" s="1674"/>
      <c r="AR1052" s="1009"/>
      <c r="AS1052" s="1009"/>
      <c r="AT1052" s="1009"/>
      <c r="AU1052" s="1009"/>
      <c r="AV1052" s="1009"/>
      <c r="AW1052" s="1009"/>
      <c r="AX1052" s="1009"/>
      <c r="AY1052" s="1009"/>
      <c r="AZ1052" s="711">
        <f>ROUNDDOWN(MAX(0,BA1052*(SUM(AG1093,AL1093,AZ1045)-BD1052))+BF1052,0)</f>
        <v>0</v>
      </c>
      <c r="BA1052" s="893">
        <f>IF(L1042,7%,5%)</f>
        <v>0.05</v>
      </c>
      <c r="BB1052" s="2" t="s">
        <v>1737</v>
      </c>
      <c r="BC1052" s="2"/>
      <c r="BD1052" s="2">
        <v>6666667</v>
      </c>
    </row>
    <row r="1053" spans="1:56" ht="12.9" customHeight="1">
      <c r="A1053" s="11"/>
      <c r="B1053" s="61"/>
      <c r="C1053" s="1029"/>
      <c r="D1053" s="1724" t="s">
        <v>1738</v>
      </c>
      <c r="E1053" s="1724"/>
      <c r="F1053" s="1724"/>
      <c r="G1053" s="1724"/>
      <c r="H1053" s="1724"/>
      <c r="I1053" s="1724"/>
      <c r="J1053" s="1724"/>
      <c r="K1053" s="1724"/>
      <c r="L1053" s="1724"/>
      <c r="M1053" s="1724"/>
      <c r="N1053" s="1724"/>
      <c r="O1053" s="1724"/>
      <c r="P1053" s="1724"/>
      <c r="Q1053" s="1724"/>
      <c r="R1053" s="1724"/>
      <c r="S1053" s="1724"/>
      <c r="T1053" s="1724"/>
      <c r="U1053" s="1724"/>
      <c r="V1053" s="1724"/>
      <c r="W1053" s="1724"/>
      <c r="X1053" s="1724"/>
      <c r="Y1053" s="1724"/>
      <c r="Z1053" s="1724"/>
      <c r="AA1053" s="1724"/>
      <c r="AB1053" s="1724"/>
      <c r="AC1053" s="1724"/>
      <c r="AD1053" s="1724"/>
      <c r="AE1053" s="1724"/>
      <c r="AF1053" s="1724"/>
      <c r="AG1053" s="1724"/>
      <c r="AH1053" s="1724"/>
      <c r="AI1053" s="1725"/>
      <c r="AJ1053" s="1737">
        <f>SUM(AJ992:AQ1052)</f>
        <v>137083376.27000001</v>
      </c>
      <c r="AK1053" s="1738"/>
      <c r="AL1053" s="1738"/>
      <c r="AM1053" s="1738"/>
      <c r="AN1053" s="1738"/>
      <c r="AO1053" s="1738"/>
      <c r="AP1053" s="1738"/>
      <c r="AQ1053" s="1739"/>
      <c r="AR1053" s="1009"/>
      <c r="AS1053" s="1009"/>
      <c r="AT1053" s="1009"/>
      <c r="AU1053" s="1009"/>
      <c r="AV1053" s="1009"/>
      <c r="AW1053" s="1009"/>
      <c r="AX1053" s="1009"/>
      <c r="AY1053" s="1009"/>
      <c r="AZ1053" s="892">
        <v>6000000</v>
      </c>
      <c r="BA1053" s="2" t="s">
        <v>1739</v>
      </c>
      <c r="BB1053" s="2"/>
      <c r="BC1053" s="2"/>
      <c r="BD1053" s="2"/>
    </row>
    <row r="1054" spans="1:56" ht="12.9" customHeight="1">
      <c r="A1054" s="11"/>
      <c r="B1054" s="11"/>
      <c r="C1054" s="1030"/>
      <c r="D1054" s="1031"/>
      <c r="E1054" s="1031"/>
      <c r="F1054" s="1031"/>
      <c r="G1054" s="1031"/>
      <c r="H1054" s="1031"/>
      <c r="I1054" s="1031"/>
      <c r="J1054" s="1031"/>
      <c r="K1054" s="1031"/>
      <c r="L1054" s="1031"/>
      <c r="M1054" s="1031"/>
      <c r="N1054" s="1031"/>
      <c r="O1054" s="1031"/>
      <c r="P1054" s="1031"/>
      <c r="Q1054" s="1031"/>
      <c r="R1054" s="1031"/>
      <c r="S1054" s="1031"/>
      <c r="T1054" s="1032"/>
      <c r="U1054" s="1032"/>
      <c r="V1054" s="1032"/>
      <c r="W1054" s="1032"/>
      <c r="X1054" s="1032"/>
      <c r="Y1054" s="1032"/>
      <c r="Z1054" s="1032"/>
      <c r="AA1054" s="1032"/>
      <c r="AB1054" s="1032"/>
      <c r="AC1054" s="1032"/>
      <c r="AD1054" s="110"/>
      <c r="AE1054" s="110"/>
      <c r="AF1054" s="110"/>
      <c r="AG1054" s="110"/>
      <c r="AH1054" s="110"/>
      <c r="AI1054" s="110"/>
      <c r="AJ1054" s="110"/>
      <c r="AK1054" s="110"/>
      <c r="AL1054" s="1009"/>
      <c r="AM1054" s="1009"/>
      <c r="AN1054" s="1009"/>
      <c r="AO1054" s="1009"/>
      <c r="AP1054" s="1009"/>
      <c r="AQ1054" s="1009"/>
      <c r="AR1054" s="1009"/>
      <c r="AS1054" s="1009"/>
      <c r="AT1054" s="1009"/>
      <c r="AU1054" s="1009"/>
      <c r="AV1054" s="1009"/>
      <c r="AW1054" s="1009"/>
      <c r="AX1054" s="1009"/>
      <c r="AY1054" s="1009"/>
      <c r="AZ1054" s="2"/>
      <c r="BA1054" s="2"/>
      <c r="BB1054" s="2"/>
      <c r="BC1054" s="2"/>
      <c r="BD1054" s="2"/>
    </row>
    <row r="1055" spans="1:56" ht="12.9" customHeight="1">
      <c r="A1055" s="11"/>
      <c r="B1055" s="1009"/>
      <c r="C1055" s="1009"/>
      <c r="D1055" s="1009"/>
      <c r="E1055" s="1009"/>
      <c r="F1055" s="1009"/>
      <c r="G1055" s="884" t="s">
        <v>1740</v>
      </c>
      <c r="H1055" s="885"/>
      <c r="I1055" s="885"/>
      <c r="J1055" s="885"/>
      <c r="K1055" s="885"/>
      <c r="L1055" s="885"/>
      <c r="M1055" s="885"/>
      <c r="N1055" s="885"/>
      <c r="O1055" s="885"/>
      <c r="P1055" s="885"/>
      <c r="Q1055" s="885"/>
      <c r="R1055" s="885"/>
      <c r="S1055" s="885"/>
      <c r="T1055" s="885"/>
      <c r="U1055" s="885"/>
      <c r="V1055" s="885"/>
      <c r="W1055" s="885"/>
      <c r="X1055" s="885"/>
      <c r="Y1055" s="885"/>
      <c r="Z1055" s="885"/>
      <c r="AA1055" s="885"/>
      <c r="AB1055" s="885"/>
      <c r="AC1055" s="885"/>
      <c r="AD1055" s="885"/>
      <c r="AE1055" s="885"/>
      <c r="AF1055" s="885"/>
      <c r="AG1055" s="886"/>
      <c r="AH1055" s="886"/>
      <c r="AI1055" s="886"/>
      <c r="AJ1055" s="886"/>
      <c r="AK1055" s="886"/>
      <c r="AL1055" s="886"/>
      <c r="AM1055" s="886"/>
      <c r="AN1055" s="886"/>
      <c r="AO1055" s="1009"/>
      <c r="AP1055" s="1009"/>
      <c r="AQ1055" s="1009"/>
      <c r="AR1055" s="1009"/>
      <c r="AS1055" s="1009"/>
      <c r="AT1055" s="1009"/>
      <c r="AU1055" s="1009"/>
      <c r="AV1055" s="1009"/>
      <c r="AW1055" s="1009"/>
      <c r="AX1055" s="1009"/>
      <c r="AY1055" s="1009"/>
      <c r="AZ1055" s="2"/>
      <c r="BA1055" s="711">
        <f>MIN(MIN(MAX(AZ1051,AZ1052),AZ1053),BA1056)</f>
        <v>2500000</v>
      </c>
      <c r="BB1055" s="2" t="s">
        <v>1741</v>
      </c>
      <c r="BC1055" s="2"/>
      <c r="BD1055" s="2"/>
    </row>
    <row r="1056" spans="1:56" ht="12.9" customHeight="1">
      <c r="A1056" s="11"/>
      <c r="B1056" s="1009"/>
      <c r="C1056" s="1009"/>
      <c r="D1056" s="1009"/>
      <c r="E1056" s="1009"/>
      <c r="F1056" s="1009"/>
      <c r="G1056" s="887" t="s">
        <v>1742</v>
      </c>
      <c r="H1056" s="888"/>
      <c r="I1056" s="888"/>
      <c r="J1056" s="888"/>
      <c r="K1056" s="888"/>
      <c r="L1056" s="888"/>
      <c r="M1056" s="888"/>
      <c r="N1056" s="888"/>
      <c r="O1056" s="888"/>
      <c r="P1056" s="888"/>
      <c r="Q1056" s="888"/>
      <c r="R1056" s="888"/>
      <c r="S1056" s="888"/>
      <c r="T1056" s="888"/>
      <c r="U1056" s="888"/>
      <c r="V1056" s="888"/>
      <c r="W1056" s="888"/>
      <c r="X1056" s="888"/>
      <c r="Y1056" s="888"/>
      <c r="Z1056" s="888"/>
      <c r="AA1056" s="1303">
        <f>'Sources and Uses Budget'!S107+'Sources and Uses Budget'!T107</f>
        <v>85341143</v>
      </c>
      <c r="AB1056" s="1303"/>
      <c r="AC1056" s="1303"/>
      <c r="AD1056" s="1303"/>
      <c r="AE1056" s="1303"/>
      <c r="AF1056" s="1303"/>
      <c r="AG1056" s="886"/>
      <c r="AH1056" s="886"/>
      <c r="AI1056" s="886"/>
      <c r="AJ1056" s="886"/>
      <c r="AK1056" s="886"/>
      <c r="AL1056" s="886"/>
      <c r="AM1056" s="886"/>
      <c r="AN1056" s="886"/>
      <c r="AO1056" s="1009"/>
      <c r="AP1056" s="1009"/>
      <c r="AQ1056" s="1009"/>
      <c r="AR1056" s="1009"/>
      <c r="AS1056" s="1009"/>
      <c r="AT1056" s="1009"/>
      <c r="AU1056" s="1009"/>
      <c r="AV1056" s="1150"/>
      <c r="AW1056" s="1150"/>
      <c r="AX1056" s="1150"/>
      <c r="AY1056" s="1150"/>
      <c r="AZ1056" s="2"/>
      <c r="BA1056" s="711">
        <f>SUM(AZ1046:AZ1049)</f>
        <v>11131453.5</v>
      </c>
      <c r="BB1056" s="2" t="s">
        <v>1743</v>
      </c>
      <c r="BC1056" s="2"/>
      <c r="BD1056" s="2"/>
    </row>
    <row r="1057" spans="1:54" ht="12.9" customHeight="1">
      <c r="A1057" s="11"/>
      <c r="B1057" s="1009"/>
      <c r="C1057" s="1009"/>
      <c r="D1057" s="1009"/>
      <c r="E1057" s="1009"/>
      <c r="F1057" s="1009"/>
      <c r="G1057" s="887"/>
      <c r="H1057" s="887" t="s">
        <v>1744</v>
      </c>
      <c r="I1057" s="888"/>
      <c r="J1057" s="888"/>
      <c r="K1057" s="888"/>
      <c r="L1057" s="888"/>
      <c r="M1057" s="888"/>
      <c r="N1057" s="888"/>
      <c r="O1057" s="888"/>
      <c r="P1057" s="888"/>
      <c r="Q1057" s="888"/>
      <c r="R1057" s="888"/>
      <c r="S1057" s="888"/>
      <c r="T1057" s="888"/>
      <c r="U1057" s="888"/>
      <c r="V1057" s="888"/>
      <c r="W1057" s="888"/>
      <c r="X1057" s="888"/>
      <c r="Y1057" s="888"/>
      <c r="Z1057" s="890"/>
      <c r="AA1057" s="1304">
        <f>IFERROR((AA1056-BA1059)/(AJ1053-AJ1045-AJ1049),"")</f>
        <v>0.6892107940280412</v>
      </c>
      <c r="AB1057" s="1305"/>
      <c r="AC1057" s="1305"/>
      <c r="AD1057" s="1305"/>
      <c r="AE1057" s="1305"/>
      <c r="AF1057" s="1306"/>
      <c r="AG1057" s="889"/>
      <c r="AH1057" s="886"/>
      <c r="AI1057" s="886"/>
      <c r="AJ1057" s="886"/>
      <c r="AK1057" s="886"/>
      <c r="AL1057" s="886"/>
      <c r="AM1057" s="886"/>
      <c r="AN1057" s="886"/>
      <c r="AO1057" s="1009"/>
      <c r="AP1057" s="1009"/>
      <c r="AQ1057" s="1009"/>
      <c r="AR1057" s="1009"/>
      <c r="AS1057" s="1009"/>
      <c r="AT1057" s="1009"/>
      <c r="AU1057" s="1009"/>
      <c r="AV1057" s="1150"/>
      <c r="AW1057" s="1150"/>
      <c r="AX1057" s="1150"/>
      <c r="AY1057" s="1150"/>
    </row>
    <row r="1058" spans="1:54" ht="12.9" customHeight="1">
      <c r="A1058" s="11"/>
      <c r="B1058" s="1009"/>
      <c r="C1058" s="1009"/>
      <c r="D1058" s="1009"/>
      <c r="E1058" s="1009"/>
      <c r="F1058" s="1009"/>
      <c r="G1058" s="130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7"/>
      <c r="I1058" s="1307"/>
      <c r="J1058" s="1307"/>
      <c r="K1058" s="1307"/>
      <c r="L1058" s="1307"/>
      <c r="M1058" s="1307"/>
      <c r="N1058" s="1307"/>
      <c r="O1058" s="1307"/>
      <c r="P1058" s="1307"/>
      <c r="Q1058" s="1307"/>
      <c r="R1058" s="1307"/>
      <c r="S1058" s="1307"/>
      <c r="T1058" s="1307"/>
      <c r="U1058" s="1307"/>
      <c r="V1058" s="1307"/>
      <c r="W1058" s="1307"/>
      <c r="X1058" s="1307"/>
      <c r="Y1058" s="1307"/>
      <c r="Z1058" s="1307"/>
      <c r="AA1058" s="1307"/>
      <c r="AB1058" s="1307"/>
      <c r="AC1058" s="1307"/>
      <c r="AD1058" s="1307"/>
      <c r="AE1058" s="1307"/>
      <c r="AF1058" s="1307"/>
      <c r="AG1058" s="1307"/>
      <c r="AH1058" s="1307"/>
      <c r="AI1058" s="1307"/>
      <c r="AJ1058" s="1307"/>
      <c r="AK1058" s="1307"/>
      <c r="AL1058" s="1307"/>
      <c r="AM1058" s="1307"/>
      <c r="AN1058" s="1307"/>
      <c r="AO1058" s="1009"/>
      <c r="AP1058" s="1009"/>
      <c r="AQ1058" s="1009"/>
      <c r="AR1058" s="1009"/>
      <c r="AS1058" s="1009"/>
      <c r="AT1058" s="1009"/>
      <c r="AU1058" s="1009"/>
      <c r="AV1058" s="11"/>
      <c r="AW1058" s="11"/>
      <c r="AX1058" s="11"/>
      <c r="AY1058" s="11"/>
      <c r="BA1058" s="896">
        <f>'Sources and Uses Budget'!$S$104+'Sources and Uses Budget'!$T$104</f>
        <v>11131453</v>
      </c>
      <c r="BB1058" s="2" t="s">
        <v>1745</v>
      </c>
    </row>
    <row r="1059" spans="1:54" ht="12.9" customHeight="1">
      <c r="A1059" s="11"/>
      <c r="B1059" s="11"/>
      <c r="C1059" s="1030"/>
      <c r="D1059" s="1033"/>
      <c r="E1059" s="1033"/>
      <c r="F1059" s="1033"/>
      <c r="G1059" s="1307"/>
      <c r="H1059" s="1307"/>
      <c r="I1059" s="1307"/>
      <c r="J1059" s="1307"/>
      <c r="K1059" s="1307"/>
      <c r="L1059" s="1307"/>
      <c r="M1059" s="1307"/>
      <c r="N1059" s="1307"/>
      <c r="O1059" s="1307"/>
      <c r="P1059" s="1307"/>
      <c r="Q1059" s="1307"/>
      <c r="R1059" s="1307"/>
      <c r="S1059" s="1307"/>
      <c r="T1059" s="1307"/>
      <c r="U1059" s="1307"/>
      <c r="V1059" s="1307"/>
      <c r="W1059" s="1307"/>
      <c r="X1059" s="1307"/>
      <c r="Y1059" s="1307"/>
      <c r="Z1059" s="1307"/>
      <c r="AA1059" s="1307"/>
      <c r="AB1059" s="1307"/>
      <c r="AC1059" s="1307"/>
      <c r="AD1059" s="1307"/>
      <c r="AE1059" s="1307"/>
      <c r="AF1059" s="1307"/>
      <c r="AG1059" s="1307"/>
      <c r="AH1059" s="1307"/>
      <c r="AI1059" s="1307"/>
      <c r="AJ1059" s="1307"/>
      <c r="AK1059" s="1307"/>
      <c r="AL1059" s="1307"/>
      <c r="AM1059" s="1307"/>
      <c r="AN1059" s="1307"/>
      <c r="AO1059" s="1009"/>
      <c r="AP1059" s="1009"/>
      <c r="AQ1059" s="1009"/>
      <c r="AR1059" s="1009"/>
      <c r="AS1059" s="1009"/>
      <c r="AT1059" s="1009"/>
      <c r="AU1059" s="1009"/>
      <c r="AV1059" s="11"/>
      <c r="AW1059" s="11"/>
      <c r="AX1059" s="11"/>
      <c r="AY1059" s="11"/>
      <c r="BA1059" s="1034">
        <f>MAX($BA$1058-$BA$1055,0)</f>
        <v>8631453</v>
      </c>
      <c r="BB1059" s="2" t="s">
        <v>1746</v>
      </c>
    </row>
    <row r="1060" spans="1:54" ht="12.9" customHeight="1">
      <c r="A1060" s="1035"/>
      <c r="B1060" s="883"/>
      <c r="C1060" s="883"/>
      <c r="D1060" s="883"/>
      <c r="E1060" s="883"/>
      <c r="F1060" s="883"/>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883"/>
      <c r="AP1060" s="883"/>
      <c r="AQ1060" s="1009"/>
      <c r="AR1060" s="1009"/>
      <c r="AS1060" s="1009"/>
      <c r="AT1060" s="1009"/>
      <c r="AU1060" s="1009"/>
      <c r="AV1060" s="1009"/>
      <c r="AW1060" s="1009"/>
      <c r="AX1060" s="1009"/>
      <c r="AY1060" s="1009"/>
    </row>
    <row r="1061" spans="1:54" ht="12.9" customHeight="1">
      <c r="A1061" s="1774" t="s">
        <v>1747</v>
      </c>
      <c r="B1061" s="1774"/>
      <c r="C1061" s="1774"/>
      <c r="D1061" s="1774"/>
      <c r="E1061" s="1774"/>
      <c r="F1061" s="1774"/>
      <c r="G1061" s="1774"/>
      <c r="H1061" s="1774"/>
      <c r="I1061" s="1774"/>
      <c r="J1061" s="1774"/>
      <c r="K1061" s="1774"/>
      <c r="L1061" s="1774"/>
      <c r="M1061" s="1774"/>
      <c r="N1061" s="1774"/>
      <c r="O1061" s="1774"/>
      <c r="P1061" s="1774"/>
      <c r="Q1061" s="1774"/>
      <c r="R1061" s="1774"/>
      <c r="S1061" s="1774"/>
      <c r="T1061" s="1774"/>
      <c r="U1061" s="1774"/>
      <c r="V1061" s="1774"/>
      <c r="W1061" s="1774"/>
      <c r="X1061" s="1774"/>
      <c r="Y1061" s="1774"/>
      <c r="Z1061" s="1774"/>
      <c r="AA1061" s="1774"/>
      <c r="AB1061" s="1774"/>
      <c r="AC1061" s="1774"/>
      <c r="AD1061" s="1774"/>
      <c r="AE1061" s="1774"/>
      <c r="AF1061" s="1774"/>
      <c r="AG1061" s="1774"/>
      <c r="AH1061" s="1774"/>
      <c r="AI1061" s="1774"/>
      <c r="AJ1061" s="1774"/>
      <c r="AK1061" s="1774"/>
      <c r="AL1061" s="1774"/>
      <c r="AM1061" s="1774"/>
      <c r="AN1061" s="1774"/>
      <c r="AO1061" s="1774"/>
      <c r="AP1061" s="1774"/>
      <c r="AQ1061" s="1774"/>
      <c r="AR1061" s="1150"/>
      <c r="AS1061" s="1150"/>
      <c r="AT1061" s="1150"/>
      <c r="AV1061" s="1009"/>
      <c r="AW1061" s="1009"/>
      <c r="AX1061" s="1009"/>
      <c r="AY1061" s="1009"/>
    </row>
    <row r="1062" spans="1:54" ht="12.9" customHeight="1">
      <c r="A1062" s="11"/>
      <c r="B1062" s="11"/>
      <c r="C1062" s="11"/>
      <c r="D1062" s="11"/>
      <c r="E1062" s="11"/>
      <c r="F1062" s="11"/>
      <c r="G1062" s="11"/>
      <c r="H1062" s="11"/>
      <c r="I1062" s="11"/>
      <c r="J1062" s="11"/>
      <c r="K1062" s="11"/>
      <c r="L1062" s="11"/>
      <c r="M1062" s="11"/>
      <c r="N1062" s="11"/>
      <c r="O1062" s="11"/>
      <c r="P1062" s="11"/>
      <c r="Q1062" s="1150"/>
      <c r="R1062" s="1150"/>
      <c r="S1062" s="1150"/>
      <c r="T1062" s="1150"/>
      <c r="U1062" s="1150"/>
      <c r="V1062" s="1150"/>
      <c r="W1062" s="1150"/>
      <c r="X1062" s="1150"/>
      <c r="Y1062" s="1150"/>
      <c r="Z1062" s="1150"/>
      <c r="AA1062" s="1150"/>
      <c r="AB1062" s="1150"/>
      <c r="AC1062" s="1150"/>
      <c r="AD1062" s="1150"/>
      <c r="AE1062" s="1150"/>
      <c r="AF1062" s="1150"/>
      <c r="AG1062" s="1150"/>
      <c r="AH1062" s="1150"/>
      <c r="AI1062" s="1150"/>
      <c r="AJ1062" s="1150"/>
      <c r="AK1062" s="1150"/>
      <c r="AL1062" s="1150"/>
      <c r="AM1062" s="1150"/>
      <c r="AN1062" s="1150"/>
      <c r="AO1062" s="1150"/>
      <c r="AP1062" s="1150"/>
      <c r="AQ1062" s="1150"/>
      <c r="AR1062" s="1150"/>
      <c r="AS1062" s="1150"/>
      <c r="AT1062" s="1150"/>
      <c r="AV1062" s="1009"/>
      <c r="AW1062" s="1009"/>
      <c r="AX1062" s="1009"/>
      <c r="AY1062" s="1009"/>
    </row>
    <row r="1063" spans="1:54" ht="12.9" customHeight="1">
      <c r="A1063" s="38" t="s">
        <v>1748</v>
      </c>
      <c r="B1063" s="1150"/>
      <c r="C1063" s="1150"/>
      <c r="D1063" s="1150"/>
      <c r="E1063" s="1150"/>
      <c r="F1063" s="1150"/>
      <c r="G1063" s="1150"/>
      <c r="H1063" s="1150"/>
      <c r="I1063" s="1150"/>
      <c r="J1063" s="1150"/>
      <c r="K1063" s="1150"/>
      <c r="L1063" s="1150"/>
      <c r="M1063" s="1150"/>
      <c r="N1063" s="1150"/>
      <c r="O1063" s="1150"/>
      <c r="P1063" s="1150"/>
      <c r="Q1063" s="1150"/>
      <c r="R1063" s="1150"/>
      <c r="S1063" s="1150"/>
      <c r="T1063" s="1150"/>
      <c r="U1063" s="1150"/>
      <c r="V1063" s="1150"/>
      <c r="W1063" s="1150"/>
      <c r="X1063" s="1150"/>
      <c r="AJ1063" s="11"/>
      <c r="AK1063" s="11"/>
      <c r="AL1063" s="11"/>
      <c r="AM1063" s="11"/>
      <c r="AN1063" s="11"/>
      <c r="AO1063" s="11"/>
      <c r="AP1063" s="11"/>
      <c r="AQ1063" s="11"/>
      <c r="AR1063" s="11"/>
      <c r="AS1063" s="11"/>
      <c r="AT1063" s="11"/>
      <c r="AV1063" s="1009"/>
      <c r="AW1063" s="1009"/>
      <c r="AX1063" s="1009"/>
      <c r="AY1063" s="1009"/>
    </row>
    <row r="1064" spans="1:54" ht="12.9" customHeight="1">
      <c r="A1064" s="104" t="s">
        <v>1749</v>
      </c>
      <c r="B1064" s="11"/>
      <c r="C1064" s="11"/>
      <c r="D1064" s="11"/>
      <c r="E1064" s="11"/>
      <c r="F1064" s="11"/>
      <c r="G1064" s="11"/>
      <c r="H1064" s="11"/>
      <c r="I1064" s="11"/>
      <c r="J1064" s="11"/>
      <c r="K1064" s="11"/>
      <c r="L1064" s="11"/>
      <c r="M1064" s="11"/>
      <c r="N1064" s="11"/>
      <c r="O1064" s="11"/>
      <c r="P1064" s="11"/>
      <c r="Q1064" s="1150"/>
      <c r="R1064" s="1150"/>
      <c r="S1064" s="1150"/>
      <c r="T1064" s="1150"/>
      <c r="U1064" s="1150"/>
      <c r="V1064" s="1150"/>
      <c r="W1064" s="1150"/>
      <c r="X1064" s="1150"/>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V1064" s="1009"/>
      <c r="AW1064" s="1009"/>
      <c r="AX1064" s="1009"/>
      <c r="AY1064" s="1009"/>
    </row>
    <row r="1065" spans="1:54" ht="12.9" customHeight="1">
      <c r="A1065" s="1440" t="s">
        <v>809</v>
      </c>
      <c r="B1065" s="1440"/>
      <c r="C1065" s="1580">
        <v>1</v>
      </c>
      <c r="D1065" s="1580"/>
      <c r="E1065" s="11" t="s">
        <v>1750</v>
      </c>
      <c r="F1065" s="11"/>
      <c r="G1065" s="11"/>
      <c r="H1065" s="11"/>
      <c r="I1065" s="11"/>
      <c r="J1065" s="11"/>
      <c r="K1065" s="11"/>
      <c r="L1065" s="11"/>
      <c r="M1065" s="11"/>
      <c r="N1065" s="11"/>
      <c r="O1065" s="11"/>
      <c r="P1065" s="11"/>
      <c r="Q1065" s="1150"/>
      <c r="R1065" s="1150"/>
      <c r="S1065" s="1150"/>
      <c r="T1065" s="1150"/>
      <c r="U1065" s="1150"/>
      <c r="V1065" s="1150"/>
      <c r="W1065" s="1150"/>
      <c r="X1065" s="1150"/>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V1065" s="1009"/>
      <c r="AW1065" s="1009"/>
      <c r="AX1065" s="1009"/>
      <c r="AY1065" s="1009"/>
    </row>
    <row r="1066" spans="1:54" ht="12.9" customHeight="1">
      <c r="A1066" s="104"/>
      <c r="B1066" s="11"/>
      <c r="C1066" s="1580"/>
      <c r="D1066" s="1580"/>
      <c r="E1066" s="11"/>
      <c r="F1066" s="11"/>
      <c r="G1066" s="11"/>
      <c r="H1066" s="11"/>
      <c r="I1066" s="11"/>
      <c r="J1066" s="11"/>
      <c r="K1066" s="11"/>
      <c r="L1066" s="11"/>
      <c r="M1066" s="11"/>
      <c r="N1066" s="11"/>
      <c r="O1066" s="11"/>
      <c r="P1066" s="11"/>
      <c r="Q1066" s="1150"/>
      <c r="R1066" s="1150"/>
      <c r="S1066" s="1150"/>
      <c r="T1066" s="1150"/>
      <c r="U1066" s="1150"/>
      <c r="V1066" s="1150"/>
      <c r="W1066" s="1150"/>
      <c r="X1066" s="1150"/>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V1066" s="1009"/>
      <c r="AW1066" s="1009"/>
      <c r="AX1066" s="1009"/>
      <c r="AY1066" s="1009"/>
    </row>
    <row r="1067" spans="1:54" ht="12.9" customHeight="1">
      <c r="A1067" s="1440" t="s">
        <v>809</v>
      </c>
      <c r="B1067" s="1440"/>
      <c r="C1067" s="1580">
        <v>2</v>
      </c>
      <c r="D1067" s="1580"/>
      <c r="E1067" s="1793" t="s">
        <v>1751</v>
      </c>
      <c r="F1067" s="1793"/>
      <c r="G1067" s="1793"/>
      <c r="H1067" s="1793"/>
      <c r="I1067" s="1793"/>
      <c r="J1067" s="1793"/>
      <c r="K1067" s="1793"/>
      <c r="L1067" s="1793"/>
      <c r="M1067" s="1793"/>
      <c r="N1067" s="1793"/>
      <c r="O1067" s="1793"/>
      <c r="P1067" s="1793"/>
      <c r="Q1067" s="1793"/>
      <c r="R1067" s="1793"/>
      <c r="S1067" s="1793"/>
      <c r="T1067" s="1793"/>
      <c r="U1067" s="1793"/>
      <c r="V1067" s="1793"/>
      <c r="W1067" s="1793"/>
      <c r="X1067" s="1793"/>
      <c r="Y1067" s="1793"/>
      <c r="Z1067" s="1793"/>
      <c r="AA1067" s="1793"/>
      <c r="AB1067" s="1793"/>
      <c r="AC1067" s="1793"/>
      <c r="AD1067" s="1793"/>
      <c r="AE1067" s="1793"/>
      <c r="AF1067" s="1793"/>
      <c r="AG1067" s="1793"/>
      <c r="AH1067" s="1793"/>
      <c r="AI1067" s="1793"/>
      <c r="AJ1067" s="1793"/>
      <c r="AK1067" s="1793"/>
      <c r="AL1067" s="1793"/>
      <c r="AM1067" s="1793"/>
      <c r="AN1067" s="1793"/>
      <c r="AO1067" s="1793"/>
      <c r="AP1067" s="1793"/>
      <c r="AQ1067" s="1793"/>
      <c r="AR1067" s="1793"/>
      <c r="AS1067" s="11"/>
      <c r="AT1067" s="11"/>
      <c r="AV1067" s="1009"/>
      <c r="AW1067" s="1009"/>
      <c r="AX1067" s="1009"/>
      <c r="AY1067" s="1009"/>
    </row>
    <row r="1068" spans="1:54" ht="12.9" customHeight="1">
      <c r="A1068" s="104"/>
      <c r="B1068" s="11"/>
      <c r="C1068" s="1580"/>
      <c r="D1068" s="1580"/>
      <c r="E1068" s="1793"/>
      <c r="F1068" s="1793"/>
      <c r="G1068" s="1793"/>
      <c r="H1068" s="1793"/>
      <c r="I1068" s="1793"/>
      <c r="J1068" s="1793"/>
      <c r="K1068" s="1793"/>
      <c r="L1068" s="1793"/>
      <c r="M1068" s="1793"/>
      <c r="N1068" s="1793"/>
      <c r="O1068" s="1793"/>
      <c r="P1068" s="1793"/>
      <c r="Q1068" s="1793"/>
      <c r="R1068" s="1793"/>
      <c r="S1068" s="1793"/>
      <c r="T1068" s="1793"/>
      <c r="U1068" s="1793"/>
      <c r="V1068" s="1793"/>
      <c r="W1068" s="1793"/>
      <c r="X1068" s="1793"/>
      <c r="Y1068" s="1793"/>
      <c r="Z1068" s="1793"/>
      <c r="AA1068" s="1793"/>
      <c r="AB1068" s="1793"/>
      <c r="AC1068" s="1793"/>
      <c r="AD1068" s="1793"/>
      <c r="AE1068" s="1793"/>
      <c r="AF1068" s="1793"/>
      <c r="AG1068" s="1793"/>
      <c r="AH1068" s="1793"/>
      <c r="AI1068" s="1793"/>
      <c r="AJ1068" s="1793"/>
      <c r="AK1068" s="1793"/>
      <c r="AL1068" s="1793"/>
      <c r="AM1068" s="1793"/>
      <c r="AN1068" s="1793"/>
      <c r="AO1068" s="1793"/>
      <c r="AP1068" s="1793"/>
      <c r="AQ1068" s="1793"/>
      <c r="AR1068" s="1793"/>
      <c r="AS1068" s="11"/>
      <c r="AT1068" s="11"/>
      <c r="AV1068" s="1009"/>
      <c r="AW1068" s="1009"/>
      <c r="AX1068" s="1009"/>
      <c r="AY1068" s="1009"/>
    </row>
    <row r="1069" spans="1:54" ht="12.9" customHeight="1">
      <c r="A1069" s="104"/>
      <c r="B1069" s="11"/>
      <c r="C1069" s="1580"/>
      <c r="D1069" s="1580"/>
      <c r="E1069" s="11"/>
      <c r="F1069" s="11"/>
      <c r="G1069" s="11"/>
      <c r="H1069" s="11"/>
      <c r="I1069" s="11"/>
      <c r="J1069" s="11"/>
      <c r="K1069" s="11"/>
      <c r="L1069" s="11"/>
      <c r="M1069" s="11"/>
      <c r="N1069" s="11"/>
      <c r="O1069" s="11"/>
      <c r="P1069" s="11"/>
      <c r="Q1069" s="1150"/>
      <c r="R1069" s="1150"/>
      <c r="S1069" s="1150"/>
      <c r="T1069" s="1150"/>
      <c r="U1069" s="1150"/>
      <c r="V1069" s="1150"/>
      <c r="W1069" s="1150"/>
      <c r="X1069" s="1150"/>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V1069" s="1009"/>
      <c r="AW1069" s="1009"/>
      <c r="AX1069" s="1009"/>
      <c r="AY1069" s="1009"/>
    </row>
    <row r="1070" spans="1:54" ht="12.9" customHeight="1">
      <c r="A1070" s="1440" t="s">
        <v>809</v>
      </c>
      <c r="B1070" s="1440"/>
      <c r="C1070" s="1381">
        <v>3</v>
      </c>
      <c r="D1070" s="1381"/>
      <c r="E1070" s="1291" t="s">
        <v>1752</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1"/>
      <c r="AT1070" s="1009"/>
      <c r="AV1070" s="1009"/>
      <c r="AW1070" s="1009"/>
      <c r="AX1070" s="1009"/>
      <c r="AY1070" s="1009"/>
    </row>
    <row r="1071" spans="1:54" ht="12.9" customHeight="1">
      <c r="A1071" s="1146"/>
      <c r="B1071" s="1146"/>
      <c r="C1071" s="1381"/>
      <c r="D1071" s="1381"/>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1"/>
      <c r="AT1071" s="1009"/>
      <c r="AV1071" s="1009"/>
      <c r="AW1071" s="1009"/>
      <c r="AX1071" s="1009"/>
      <c r="AY1071" s="1009"/>
    </row>
    <row r="1072" spans="1:54" ht="12.9" customHeight="1">
      <c r="A1072" s="1146"/>
      <c r="B1072" s="1146"/>
      <c r="C1072" s="1381"/>
      <c r="D1072" s="1381"/>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1"/>
      <c r="AT1072" s="1009"/>
      <c r="AV1072" s="1009"/>
      <c r="AW1072" s="1009"/>
      <c r="AX1072" s="1009"/>
      <c r="AY1072" s="1009"/>
    </row>
    <row r="1073" spans="1:51" ht="12.9" customHeight="1">
      <c r="A1073" s="1146"/>
      <c r="B1073" s="1146"/>
      <c r="C1073" s="1381"/>
      <c r="D1073" s="1381"/>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1"/>
      <c r="AT1073" s="1009"/>
      <c r="AV1073" s="1009"/>
      <c r="AW1073" s="1009"/>
      <c r="AX1073" s="1009"/>
      <c r="AY1073" s="1009"/>
    </row>
    <row r="1074" spans="1:51" ht="12.9" customHeight="1">
      <c r="A1074" s="1"/>
      <c r="B1074" s="19"/>
      <c r="C1074" s="1381"/>
      <c r="D1074" s="1381"/>
      <c r="E1074" s="1127"/>
      <c r="F1074" s="1127"/>
      <c r="G1074" s="1127"/>
      <c r="H1074" s="1127"/>
      <c r="I1074" s="1127"/>
      <c r="J1074" s="1127"/>
      <c r="K1074" s="1127"/>
      <c r="L1074" s="1127"/>
      <c r="M1074" s="1127"/>
      <c r="N1074" s="1127"/>
      <c r="O1074" s="1127"/>
      <c r="P1074" s="1127"/>
      <c r="Q1074" s="1127"/>
      <c r="R1074" s="1127"/>
      <c r="S1074" s="1127"/>
      <c r="T1074" s="1127"/>
      <c r="U1074" s="1127"/>
      <c r="V1074" s="1127"/>
      <c r="W1074" s="1127"/>
      <c r="X1074" s="1127"/>
      <c r="Y1074" s="1127"/>
      <c r="Z1074" s="1127"/>
      <c r="AA1074" s="1127"/>
      <c r="AB1074" s="1127"/>
      <c r="AC1074" s="1127"/>
      <c r="AD1074" s="1127"/>
      <c r="AE1074" s="1127"/>
      <c r="AF1074" s="1127"/>
      <c r="AG1074" s="1127"/>
      <c r="AH1074" s="1127"/>
      <c r="AI1074" s="1127"/>
      <c r="AJ1074" s="1127"/>
      <c r="AK1074" s="1127"/>
      <c r="AL1074" s="1009"/>
      <c r="AM1074" s="1009"/>
      <c r="AN1074" s="1009"/>
      <c r="AO1074" s="1009"/>
      <c r="AP1074" s="1009"/>
      <c r="AQ1074" s="1009"/>
      <c r="AR1074" s="1009"/>
      <c r="AS1074" s="11"/>
      <c r="AT1074" s="1009"/>
      <c r="AV1074" s="1009"/>
      <c r="AW1074" s="1009"/>
      <c r="AX1074" s="1009"/>
      <c r="AY1074" s="1009"/>
    </row>
    <row r="1075" spans="1:51" ht="12.9" customHeight="1">
      <c r="A1075" s="1440" t="s">
        <v>809</v>
      </c>
      <c r="B1075" s="1440"/>
      <c r="C1075" s="1381">
        <v>4</v>
      </c>
      <c r="D1075" s="1381"/>
      <c r="E1075" s="1291" t="s">
        <v>1753</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1"/>
      <c r="AT1075" s="1009"/>
    </row>
    <row r="1076" spans="1:51" ht="12.9" customHeight="1">
      <c r="A1076" s="1146"/>
      <c r="B1076" s="1146"/>
      <c r="C1076" s="1381"/>
      <c r="D1076" s="1381"/>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1"/>
      <c r="AT1076" s="1009"/>
    </row>
    <row r="1077" spans="1:51" ht="12.9" customHeight="1">
      <c r="A1077" s="1146"/>
      <c r="B1077" s="1146"/>
      <c r="C1077" s="1381"/>
      <c r="D1077" s="1381"/>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1"/>
      <c r="AT1077" s="1009"/>
    </row>
    <row r="1078" spans="1:51" ht="12.9" customHeight="1">
      <c r="A1078" s="1146"/>
      <c r="B1078" s="1146"/>
      <c r="C1078" s="1381"/>
      <c r="D1078" s="1381"/>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1"/>
      <c r="AT1078" s="1009"/>
    </row>
    <row r="1079" spans="1:51" ht="12.9" customHeight="1">
      <c r="A1079" s="1146"/>
      <c r="B1079" s="1146"/>
      <c r="C1079" s="1381"/>
      <c r="D1079" s="1381"/>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1"/>
      <c r="AT1079" s="1009"/>
    </row>
    <row r="1080" spans="1:51" ht="12.9" customHeight="1">
      <c r="A1080" s="1146"/>
      <c r="B1080" s="1146"/>
      <c r="C1080" s="1381"/>
      <c r="D1080" s="1381"/>
      <c r="E1080" s="1127"/>
      <c r="F1080" s="1127"/>
      <c r="G1080" s="1127"/>
      <c r="H1080" s="1127"/>
      <c r="I1080" s="1127"/>
      <c r="J1080" s="1127"/>
      <c r="K1080" s="1127"/>
      <c r="L1080" s="1127"/>
      <c r="M1080" s="1127"/>
      <c r="N1080" s="1127"/>
      <c r="O1080" s="1127"/>
      <c r="P1080" s="1127"/>
      <c r="Q1080" s="1127"/>
      <c r="R1080" s="1127"/>
      <c r="S1080" s="1127"/>
      <c r="T1080" s="1127"/>
      <c r="U1080" s="1127"/>
      <c r="V1080" s="1127"/>
      <c r="W1080" s="1127"/>
      <c r="X1080" s="1127"/>
      <c r="Y1080" s="1127"/>
      <c r="Z1080" s="1127"/>
      <c r="AA1080" s="1127"/>
      <c r="AB1080" s="1127"/>
      <c r="AC1080" s="1127"/>
      <c r="AD1080" s="1127"/>
      <c r="AE1080" s="1127"/>
      <c r="AF1080" s="1127"/>
      <c r="AG1080" s="1127"/>
      <c r="AH1080" s="1127"/>
      <c r="AI1080" s="1127"/>
      <c r="AJ1080" s="1127"/>
      <c r="AK1080" s="1127"/>
      <c r="AS1080" s="11"/>
    </row>
    <row r="1081" spans="1:51" ht="12.9" customHeight="1">
      <c r="A1081" s="1440" t="s">
        <v>809</v>
      </c>
      <c r="B1081" s="1440"/>
      <c r="C1081" s="1381">
        <v>5</v>
      </c>
      <c r="D1081" s="1381"/>
      <c r="E1081" s="1291" t="s">
        <v>1754</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1"/>
    </row>
    <row r="1082" spans="1:51" ht="12.9" customHeight="1">
      <c r="A1082" s="2"/>
      <c r="B1082" s="2"/>
      <c r="C1082" s="1381"/>
      <c r="D1082" s="1381"/>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1"/>
    </row>
    <row r="1083" spans="1:51" ht="12.9" customHeight="1">
      <c r="A1083" s="2"/>
      <c r="B1083" s="2"/>
      <c r="C1083" s="1381"/>
      <c r="D1083" s="1381"/>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1"/>
    </row>
    <row r="1084" spans="1:51" ht="12.9" customHeight="1">
      <c r="A1084" s="68"/>
      <c r="B1084" s="19"/>
      <c r="C1084" s="1381"/>
      <c r="D1084" s="1381"/>
      <c r="E1084" s="1127"/>
      <c r="F1084" s="1127"/>
      <c r="G1084" s="1127"/>
      <c r="H1084" s="1127"/>
      <c r="I1084" s="1127"/>
      <c r="J1084" s="1127"/>
      <c r="K1084" s="1127"/>
      <c r="L1084" s="1127"/>
      <c r="M1084" s="1127"/>
      <c r="N1084" s="1127"/>
      <c r="O1084" s="1127"/>
      <c r="P1084" s="1127"/>
      <c r="Q1084" s="1127"/>
      <c r="R1084" s="1127"/>
      <c r="S1084" s="1127"/>
      <c r="T1084" s="1127"/>
      <c r="U1084" s="1127"/>
      <c r="V1084" s="1127"/>
      <c r="W1084" s="1127"/>
      <c r="X1084" s="1127"/>
      <c r="Y1084" s="1127"/>
      <c r="Z1084" s="1127"/>
      <c r="AA1084" s="1127"/>
      <c r="AB1084" s="1127"/>
      <c r="AC1084" s="1127"/>
      <c r="AD1084" s="1127"/>
      <c r="AE1084" s="1127"/>
      <c r="AF1084" s="1127"/>
      <c r="AG1084" s="1127"/>
      <c r="AH1084" s="1127"/>
      <c r="AI1084" s="1127"/>
      <c r="AJ1084" s="1127"/>
      <c r="AK1084" s="1127"/>
      <c r="AS1084" s="11"/>
    </row>
    <row r="1085" spans="1:51" ht="12.9" customHeight="1">
      <c r="A1085" s="1440" t="s">
        <v>809</v>
      </c>
      <c r="B1085" s="1440"/>
      <c r="C1085" s="1381">
        <v>6</v>
      </c>
      <c r="D1085" s="1381"/>
      <c r="E1085" s="1291" t="s">
        <v>1755</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1"/>
    </row>
    <row r="1086" spans="1:51" ht="12.9" customHeight="1">
      <c r="A1086" s="1146"/>
      <c r="B1086" s="1146"/>
      <c r="C1086" s="1146"/>
      <c r="D1086" s="1146"/>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1"/>
    </row>
    <row r="1087" spans="1:51" ht="12.9" customHeight="1">
      <c r="A1087" s="1146"/>
      <c r="B1087" s="1146"/>
      <c r="C1087" s="1381"/>
      <c r="D1087" s="1381"/>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1"/>
    </row>
    <row r="1088" spans="1:51" ht="12.9" customHeight="1">
      <c r="A1088" s="68"/>
      <c r="B1088" s="19"/>
      <c r="C1088" s="1381"/>
      <c r="D1088" s="1381"/>
      <c r="E1088" s="1127"/>
      <c r="F1088" s="1127"/>
      <c r="G1088" s="1127"/>
      <c r="H1088" s="1127"/>
      <c r="I1088" s="1127"/>
      <c r="J1088" s="1127"/>
      <c r="K1088" s="1127"/>
      <c r="L1088" s="1127"/>
      <c r="M1088" s="1127"/>
      <c r="N1088" s="1127"/>
      <c r="O1088" s="1127"/>
      <c r="P1088" s="1127"/>
      <c r="Q1088" s="1127"/>
      <c r="R1088" s="1127"/>
      <c r="S1088" s="1127"/>
      <c r="T1088" s="1127"/>
      <c r="U1088" s="1127"/>
      <c r="V1088" s="1127"/>
      <c r="W1088" s="1127"/>
      <c r="X1088" s="1127"/>
      <c r="Y1088" s="1127"/>
      <c r="Z1088" s="1127"/>
      <c r="AA1088" s="1127"/>
      <c r="AB1088" s="1127"/>
      <c r="AC1088" s="1127"/>
      <c r="AD1088" s="1127"/>
      <c r="AE1088" s="1127"/>
      <c r="AF1088" s="1127"/>
      <c r="AG1088" s="1127"/>
      <c r="AH1088" s="1127"/>
      <c r="AI1088" s="1127"/>
      <c r="AJ1088" s="1127"/>
      <c r="AK1088" s="1127"/>
      <c r="AS1088" s="11"/>
    </row>
    <row r="1089" spans="1:45" ht="12.9" customHeight="1">
      <c r="A1089" s="1440" t="s">
        <v>809</v>
      </c>
      <c r="B1089" s="1440"/>
      <c r="C1089" s="1381">
        <v>7</v>
      </c>
      <c r="D1089" s="1381"/>
      <c r="E1089" s="1291" t="s">
        <v>1756</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1"/>
    </row>
    <row r="1090" spans="1:45" ht="12.9" customHeight="1">
      <c r="A1090" s="1146"/>
      <c r="B1090" s="1146"/>
      <c r="C1090" s="1381"/>
      <c r="D1090" s="1381"/>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1"/>
    </row>
    <row r="1091" spans="1:45" ht="12.9" customHeight="1">
      <c r="A1091" s="1146"/>
      <c r="B1091" s="1146"/>
      <c r="C1091" s="1381"/>
      <c r="D1091" s="1381"/>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1"/>
    </row>
    <row r="1092" spans="1:45" ht="12.9" customHeight="1">
      <c r="A1092" s="1146"/>
      <c r="B1092" s="1146"/>
      <c r="C1092" s="1381"/>
      <c r="D1092" s="1381"/>
      <c r="E1092" s="1127"/>
      <c r="F1092" s="1127"/>
      <c r="G1092" s="1127"/>
      <c r="H1092" s="1127"/>
      <c r="I1092" s="1127"/>
      <c r="J1092" s="1127"/>
      <c r="K1092" s="1127"/>
      <c r="L1092" s="1127"/>
      <c r="M1092" s="1127"/>
      <c r="N1092" s="1127"/>
      <c r="O1092" s="1127"/>
      <c r="P1092" s="1127"/>
      <c r="Q1092" s="1127"/>
      <c r="R1092" s="1127"/>
      <c r="S1092" s="1127"/>
      <c r="T1092" s="1127"/>
      <c r="U1092" s="1127"/>
      <c r="V1092" s="1127"/>
      <c r="W1092" s="1127"/>
      <c r="X1092" s="1127"/>
      <c r="Y1092" s="1127"/>
      <c r="Z1092" s="1127"/>
      <c r="AA1092" s="1127"/>
      <c r="AB1092" s="1127"/>
      <c r="AC1092" s="1127"/>
      <c r="AD1092" s="1127"/>
      <c r="AE1092" s="1127"/>
      <c r="AF1092" s="1127"/>
      <c r="AG1092" s="1127"/>
      <c r="AH1092" s="1127"/>
      <c r="AI1092" s="1127"/>
      <c r="AJ1092" s="1127"/>
      <c r="AK1092" s="1127"/>
    </row>
    <row r="1093" spans="1:45" ht="12.9" customHeight="1">
      <c r="A1093" s="68"/>
      <c r="B1093" s="19"/>
      <c r="C1093" s="1381"/>
      <c r="D1093" s="1381"/>
      <c r="E1093" s="1127"/>
      <c r="F1093" s="1127"/>
      <c r="G1093" s="1127"/>
      <c r="H1093" s="1127"/>
      <c r="I1093" s="1127"/>
      <c r="J1093" s="1127"/>
      <c r="K1093" s="1127"/>
      <c r="L1093" s="1127"/>
      <c r="M1093" s="1127"/>
      <c r="N1093" s="1127"/>
      <c r="O1093" s="1127"/>
      <c r="P1093" s="1127"/>
      <c r="Q1093" s="1127"/>
      <c r="R1093" s="1127"/>
      <c r="S1093" s="1127"/>
      <c r="T1093" s="1127"/>
      <c r="U1093" s="1127"/>
      <c r="V1093" s="1127"/>
      <c r="W1093" s="1127"/>
      <c r="X1093" s="1127"/>
      <c r="Y1093" s="1127"/>
      <c r="Z1093" s="1127"/>
      <c r="AA1093" s="1127"/>
      <c r="AB1093" s="1127"/>
      <c r="AC1093" s="1127"/>
      <c r="AD1093" s="1127"/>
      <c r="AE1093" s="1127"/>
      <c r="AF1093" s="1127"/>
      <c r="AG1093" s="1127"/>
      <c r="AH1093" s="1127"/>
      <c r="AI1093" s="1127"/>
      <c r="AJ1093" s="1127"/>
      <c r="AK1093" s="1127"/>
    </row>
    <row r="1094" spans="1:45" ht="12.9" customHeight="1">
      <c r="A1094" s="1440" t="s">
        <v>809</v>
      </c>
      <c r="B1094" s="1440"/>
      <c r="C1094" s="1381">
        <v>8</v>
      </c>
      <c r="D1094" s="1381"/>
      <c r="E1094" s="1291" t="s">
        <v>1757</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2.9" customHeight="1">
      <c r="A1095" s="68"/>
      <c r="B1095" s="19"/>
      <c r="C1095" s="1381"/>
      <c r="D1095" s="1381"/>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2.9" customHeight="1">
      <c r="A1096" s="68"/>
      <c r="B1096" s="19"/>
      <c r="C1096" s="1381"/>
      <c r="D1096" s="1381"/>
      <c r="E1096" s="1127"/>
      <c r="F1096" s="1127"/>
      <c r="G1096" s="1127"/>
      <c r="H1096" s="1127"/>
      <c r="I1096" s="1127"/>
      <c r="J1096" s="1127"/>
      <c r="K1096" s="1127"/>
      <c r="L1096" s="1127"/>
      <c r="M1096" s="1127"/>
      <c r="N1096" s="1127"/>
      <c r="O1096" s="1127"/>
      <c r="P1096" s="1127"/>
      <c r="Q1096" s="1127"/>
      <c r="R1096" s="1127"/>
      <c r="S1096" s="1127"/>
      <c r="T1096" s="1127"/>
      <c r="U1096" s="1127"/>
      <c r="V1096" s="1127"/>
      <c r="W1096" s="1127"/>
      <c r="X1096" s="1127"/>
      <c r="Y1096" s="1127"/>
      <c r="Z1096" s="1127"/>
      <c r="AA1096" s="1127"/>
      <c r="AB1096" s="1127"/>
      <c r="AC1096" s="1127"/>
      <c r="AD1096" s="1127"/>
      <c r="AE1096" s="1127"/>
      <c r="AF1096" s="1127"/>
      <c r="AG1096" s="1127"/>
      <c r="AH1096" s="1127"/>
      <c r="AI1096" s="1127"/>
      <c r="AJ1096" s="1127"/>
      <c r="AK1096" s="1127"/>
    </row>
    <row r="1097" spans="1:45" ht="12.9" customHeight="1">
      <c r="A1097" s="1440" t="s">
        <v>809</v>
      </c>
      <c r="B1097" s="1440"/>
      <c r="C1097" s="1580">
        <v>9</v>
      </c>
      <c r="D1097" s="1580"/>
      <c r="E1097" s="1291" t="s">
        <v>1758</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2.9" customHeight="1">
      <c r="A1098" s="1146"/>
      <c r="B1098" s="1146"/>
      <c r="C1098" s="1580"/>
      <c r="D1098" s="1580"/>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2.9" customHeight="1">
      <c r="A1099" s="68"/>
      <c r="B1099" s="19"/>
      <c r="C1099" s="1580"/>
      <c r="D1099" s="1580"/>
      <c r="E1099" s="1127"/>
      <c r="F1099" s="1127"/>
      <c r="G1099" s="1127"/>
      <c r="H1099" s="1127"/>
      <c r="I1099" s="1127"/>
      <c r="J1099" s="1127"/>
      <c r="K1099" s="1127"/>
      <c r="L1099" s="1127"/>
      <c r="M1099" s="1127"/>
      <c r="N1099" s="1127"/>
      <c r="O1099" s="1127"/>
      <c r="P1099" s="1127"/>
      <c r="Q1099" s="1127"/>
      <c r="R1099" s="1127"/>
      <c r="S1099" s="1127"/>
      <c r="T1099" s="1127"/>
      <c r="U1099" s="1127"/>
      <c r="V1099" s="1127"/>
      <c r="W1099" s="1127"/>
      <c r="X1099" s="1127"/>
      <c r="Y1099" s="1127"/>
      <c r="Z1099" s="1127"/>
      <c r="AA1099" s="1127"/>
      <c r="AB1099" s="1127"/>
      <c r="AC1099" s="1127"/>
      <c r="AD1099" s="1127"/>
      <c r="AE1099" s="1127"/>
      <c r="AF1099" s="1127"/>
      <c r="AG1099" s="1127"/>
      <c r="AH1099" s="1127"/>
      <c r="AI1099" s="1127"/>
      <c r="AJ1099" s="1127"/>
      <c r="AK1099" s="1127"/>
    </row>
    <row r="1100" spans="1:45" ht="12.9" customHeight="1">
      <c r="A1100" s="1440" t="s">
        <v>809</v>
      </c>
      <c r="B1100" s="1440"/>
      <c r="C1100" s="1580">
        <v>10</v>
      </c>
      <c r="D1100" s="1580"/>
      <c r="E1100" s="1792" t="s">
        <v>1759</v>
      </c>
      <c r="F1100" s="1792"/>
      <c r="G1100" s="1792"/>
      <c r="H1100" s="1792"/>
      <c r="I1100" s="1792"/>
      <c r="J1100" s="1792"/>
      <c r="K1100" s="1792"/>
      <c r="L1100" s="1792"/>
      <c r="M1100" s="1792"/>
      <c r="N1100" s="1792"/>
      <c r="O1100" s="1792"/>
      <c r="P1100" s="1792"/>
      <c r="Q1100" s="1792"/>
      <c r="R1100" s="1792"/>
      <c r="S1100" s="1792"/>
      <c r="T1100" s="1792"/>
      <c r="U1100" s="1792"/>
      <c r="V1100" s="1792"/>
      <c r="W1100" s="1792"/>
      <c r="X1100" s="1792"/>
      <c r="Y1100" s="1792"/>
      <c r="Z1100" s="1792"/>
      <c r="AA1100" s="1792"/>
      <c r="AB1100" s="1792"/>
      <c r="AC1100" s="1792"/>
      <c r="AD1100" s="1792"/>
      <c r="AE1100" s="1792"/>
      <c r="AF1100" s="1792"/>
      <c r="AG1100" s="1792"/>
      <c r="AH1100" s="1792"/>
      <c r="AI1100" s="1792"/>
      <c r="AJ1100" s="1792"/>
      <c r="AK1100" s="1792"/>
      <c r="AL1100" s="1792"/>
      <c r="AM1100" s="1792"/>
      <c r="AN1100" s="1792"/>
      <c r="AO1100" s="1792"/>
      <c r="AP1100" s="1792"/>
      <c r="AQ1100" s="1792"/>
      <c r="AR1100" s="1792"/>
    </row>
    <row r="1101" spans="1:45" ht="12.9" customHeight="1">
      <c r="A1101" s="1146"/>
      <c r="B1101" s="1146"/>
      <c r="C1101" s="1036"/>
      <c r="D1101" s="1145"/>
      <c r="E1101" s="1792"/>
      <c r="F1101" s="1792"/>
      <c r="G1101" s="1792"/>
      <c r="H1101" s="1792"/>
      <c r="I1101" s="1792"/>
      <c r="J1101" s="1792"/>
      <c r="K1101" s="1792"/>
      <c r="L1101" s="1792"/>
      <c r="M1101" s="1792"/>
      <c r="N1101" s="1792"/>
      <c r="O1101" s="1792"/>
      <c r="P1101" s="1792"/>
      <c r="Q1101" s="1792"/>
      <c r="R1101" s="1792"/>
      <c r="S1101" s="1792"/>
      <c r="T1101" s="1792"/>
      <c r="U1101" s="1792"/>
      <c r="V1101" s="1792"/>
      <c r="W1101" s="1792"/>
      <c r="X1101" s="1792"/>
      <c r="Y1101" s="1792"/>
      <c r="Z1101" s="1792"/>
      <c r="AA1101" s="1792"/>
      <c r="AB1101" s="1792"/>
      <c r="AC1101" s="1792"/>
      <c r="AD1101" s="1792"/>
      <c r="AE1101" s="1792"/>
      <c r="AF1101" s="1792"/>
      <c r="AG1101" s="1792"/>
      <c r="AH1101" s="1792"/>
      <c r="AI1101" s="1792"/>
      <c r="AJ1101" s="1792"/>
      <c r="AK1101" s="1792"/>
      <c r="AL1101" s="1792"/>
      <c r="AM1101" s="1792"/>
      <c r="AN1101" s="1792"/>
      <c r="AO1101" s="1792"/>
      <c r="AP1101" s="1792"/>
      <c r="AQ1101" s="1792"/>
      <c r="AR1101" s="1792"/>
    </row>
    <row r="1102" spans="1:45" ht="12.9" customHeight="1">
      <c r="A1102" s="1146"/>
      <c r="B1102" s="1146"/>
      <c r="C1102" s="1036"/>
      <c r="D1102" s="1145"/>
      <c r="E1102" s="1145"/>
      <c r="F1102" s="1145"/>
      <c r="G1102" s="1145"/>
      <c r="H1102" s="1145"/>
      <c r="I1102" s="1145"/>
      <c r="J1102" s="1145"/>
      <c r="K1102" s="1145"/>
      <c r="L1102" s="1145"/>
      <c r="M1102" s="1145"/>
      <c r="N1102" s="1145"/>
      <c r="O1102" s="1145"/>
      <c r="P1102" s="1145"/>
      <c r="Q1102" s="1145"/>
      <c r="R1102" s="1145"/>
      <c r="S1102" s="1145"/>
      <c r="T1102" s="1145"/>
      <c r="U1102" s="1145"/>
      <c r="V1102" s="1145"/>
      <c r="W1102" s="1145"/>
      <c r="X1102" s="1145"/>
      <c r="Y1102" s="1145"/>
      <c r="Z1102" s="1145"/>
      <c r="AA1102" s="1145"/>
      <c r="AB1102" s="1145"/>
      <c r="AC1102" s="1145"/>
      <c r="AD1102" s="1145"/>
      <c r="AE1102" s="1145"/>
      <c r="AF1102" s="1145"/>
      <c r="AG1102" s="1145"/>
      <c r="AH1102" s="1145"/>
      <c r="AI1102" s="1145"/>
      <c r="AJ1102" s="1145"/>
      <c r="AK1102" s="1145"/>
    </row>
    <row r="1103" spans="1:45" ht="12.9" customHeight="1">
      <c r="A1103" s="1440" t="s">
        <v>809</v>
      </c>
      <c r="B1103" s="1440"/>
      <c r="C1103" s="1580">
        <v>11</v>
      </c>
      <c r="D1103" s="1580"/>
      <c r="E1103" s="1792" t="s">
        <v>1760</v>
      </c>
      <c r="F1103" s="1792"/>
      <c r="G1103" s="1792"/>
      <c r="H1103" s="1792"/>
      <c r="I1103" s="1792"/>
      <c r="J1103" s="1792"/>
      <c r="K1103" s="1792"/>
      <c r="L1103" s="1792"/>
      <c r="M1103" s="1792"/>
      <c r="N1103" s="1792"/>
      <c r="O1103" s="1792"/>
      <c r="P1103" s="1792"/>
      <c r="Q1103" s="1792"/>
      <c r="R1103" s="1792"/>
      <c r="S1103" s="1792"/>
      <c r="T1103" s="1792"/>
      <c r="U1103" s="1792"/>
      <c r="V1103" s="1792"/>
      <c r="W1103" s="1792"/>
      <c r="X1103" s="1792"/>
      <c r="Y1103" s="1792"/>
      <c r="Z1103" s="1792"/>
      <c r="AA1103" s="1792"/>
      <c r="AB1103" s="1792"/>
      <c r="AC1103" s="1792"/>
      <c r="AD1103" s="1792"/>
      <c r="AE1103" s="1792"/>
      <c r="AF1103" s="1792"/>
      <c r="AG1103" s="1792"/>
      <c r="AH1103" s="1792"/>
      <c r="AI1103" s="1792"/>
      <c r="AJ1103" s="1792"/>
      <c r="AK1103" s="1792"/>
      <c r="AL1103" s="1792"/>
      <c r="AM1103" s="1792"/>
      <c r="AN1103" s="1792"/>
      <c r="AO1103" s="1792"/>
      <c r="AP1103" s="1792"/>
      <c r="AQ1103" s="1792"/>
      <c r="AR1103" s="1792"/>
    </row>
    <row r="1104" spans="1:45" ht="12.9" customHeight="1">
      <c r="A1104" s="1146"/>
      <c r="B1104" s="1146"/>
      <c r="C1104" s="1036"/>
      <c r="D1104" s="1145"/>
      <c r="E1104" s="1792"/>
      <c r="F1104" s="1792"/>
      <c r="G1104" s="1792"/>
      <c r="H1104" s="1792"/>
      <c r="I1104" s="1792"/>
      <c r="J1104" s="1792"/>
      <c r="K1104" s="1792"/>
      <c r="L1104" s="1792"/>
      <c r="M1104" s="1792"/>
      <c r="N1104" s="1792"/>
      <c r="O1104" s="1792"/>
      <c r="P1104" s="1792"/>
      <c r="Q1104" s="1792"/>
      <c r="R1104" s="1792"/>
      <c r="S1104" s="1792"/>
      <c r="T1104" s="1792"/>
      <c r="U1104" s="1792"/>
      <c r="V1104" s="1792"/>
      <c r="W1104" s="1792"/>
      <c r="X1104" s="1792"/>
      <c r="Y1104" s="1792"/>
      <c r="Z1104" s="1792"/>
      <c r="AA1104" s="1792"/>
      <c r="AB1104" s="1792"/>
      <c r="AC1104" s="1792"/>
      <c r="AD1104" s="1792"/>
      <c r="AE1104" s="1792"/>
      <c r="AF1104" s="1792"/>
      <c r="AG1104" s="1792"/>
      <c r="AH1104" s="1792"/>
      <c r="AI1104" s="1792"/>
      <c r="AJ1104" s="1792"/>
      <c r="AK1104" s="1792"/>
      <c r="AL1104" s="1792"/>
      <c r="AM1104" s="1792"/>
      <c r="AN1104" s="1792"/>
      <c r="AO1104" s="1792"/>
      <c r="AP1104" s="1792"/>
      <c r="AQ1104" s="1792"/>
      <c r="AR1104" s="1792"/>
    </row>
    <row r="1105" spans="1:37" ht="12.9" customHeight="1">
      <c r="A1105" s="1146"/>
      <c r="B1105" s="1146"/>
      <c r="C1105" s="1036"/>
      <c r="D1105" s="1145"/>
      <c r="E1105" s="1145"/>
      <c r="F1105" s="1145"/>
      <c r="G1105" s="1145"/>
      <c r="H1105" s="1145"/>
      <c r="I1105" s="1145"/>
      <c r="J1105" s="1145"/>
      <c r="K1105" s="1145"/>
      <c r="L1105" s="1145"/>
      <c r="M1105" s="1145"/>
      <c r="N1105" s="1145"/>
      <c r="O1105" s="1145"/>
      <c r="P1105" s="1145"/>
      <c r="Q1105" s="1145"/>
      <c r="R1105" s="1145"/>
      <c r="S1105" s="1145"/>
      <c r="T1105" s="1145"/>
      <c r="U1105" s="1145"/>
      <c r="V1105" s="1145"/>
      <c r="W1105" s="1145"/>
      <c r="X1105" s="1145"/>
      <c r="Y1105" s="1145"/>
      <c r="Z1105" s="1145"/>
      <c r="AA1105" s="1145"/>
      <c r="AB1105" s="1145"/>
      <c r="AC1105" s="1145"/>
      <c r="AD1105" s="1145"/>
      <c r="AE1105" s="1145"/>
      <c r="AF1105" s="1145"/>
      <c r="AG1105" s="1145"/>
      <c r="AH1105" s="1145"/>
      <c r="AI1105" s="1145"/>
      <c r="AJ1105" s="1145"/>
      <c r="AK1105" s="1145"/>
    </row>
    <row r="1106" spans="1:37" ht="12.9" hidden="1" customHeight="1">
      <c r="A1106" s="1146"/>
      <c r="B1106" s="1146"/>
      <c r="C1106" s="1036"/>
      <c r="D1106" s="1145"/>
      <c r="E1106" s="1145"/>
      <c r="F1106" s="1145"/>
      <c r="G1106" s="1145"/>
      <c r="H1106" s="1145"/>
      <c r="I1106" s="1145"/>
      <c r="J1106" s="1145"/>
      <c r="K1106" s="1145"/>
      <c r="L1106" s="1145"/>
      <c r="M1106" s="1145"/>
      <c r="N1106" s="1145"/>
      <c r="O1106" s="1145"/>
      <c r="P1106" s="1145"/>
      <c r="Q1106" s="1145"/>
      <c r="R1106" s="1145"/>
      <c r="S1106" s="1145"/>
      <c r="T1106" s="1145"/>
      <c r="U1106" s="1145"/>
      <c r="V1106" s="1145"/>
      <c r="W1106" s="1145"/>
      <c r="X1106" s="1145"/>
      <c r="Y1106" s="1145"/>
      <c r="Z1106" s="1145"/>
      <c r="AA1106" s="1145"/>
      <c r="AB1106" s="1145"/>
      <c r="AC1106" s="1145"/>
      <c r="AD1106" s="1145"/>
      <c r="AE1106" s="1145"/>
      <c r="AF1106" s="1145"/>
      <c r="AG1106" s="1145"/>
      <c r="AH1106" s="1145"/>
      <c r="AI1106" s="1145"/>
      <c r="AJ1106" s="1145"/>
      <c r="AK1106" s="1145"/>
    </row>
    <row r="1107" spans="1:37" ht="12.9" hidden="1" customHeight="1">
      <c r="A1107" s="1146"/>
      <c r="B1107" s="1146"/>
      <c r="C1107" s="1036"/>
      <c r="D1107" s="1145"/>
      <c r="E1107" s="1145"/>
      <c r="F1107" s="1145"/>
      <c r="G1107" s="1145"/>
      <c r="H1107" s="1145"/>
      <c r="I1107" s="1145"/>
      <c r="J1107" s="1145"/>
      <c r="K1107" s="1145"/>
      <c r="L1107" s="1145"/>
      <c r="M1107" s="1145"/>
      <c r="N1107" s="1145"/>
      <c r="O1107" s="1145"/>
      <c r="P1107" s="1145"/>
      <c r="Q1107" s="1145"/>
      <c r="R1107" s="1145"/>
      <c r="S1107" s="1145"/>
      <c r="T1107" s="1145"/>
      <c r="U1107" s="1145"/>
      <c r="V1107" s="1145"/>
      <c r="W1107" s="1145"/>
      <c r="X1107" s="1145"/>
      <c r="Y1107" s="1145"/>
      <c r="Z1107" s="1145"/>
      <c r="AA1107" s="1145"/>
      <c r="AB1107" s="1145"/>
      <c r="AC1107" s="1145"/>
      <c r="AD1107" s="1145"/>
      <c r="AE1107" s="1145"/>
      <c r="AF1107" s="1145"/>
      <c r="AG1107" s="1145"/>
      <c r="AH1107" s="1145"/>
      <c r="AI1107" s="1145"/>
      <c r="AJ1107" s="1145"/>
      <c r="AK1107" s="1145"/>
    </row>
    <row r="1108" spans="1:37" ht="12.9" hidden="1" customHeight="1">
      <c r="A1108" s="1146"/>
      <c r="B1108" s="1146"/>
      <c r="C1108" s="1036"/>
      <c r="D1108" s="1145"/>
      <c r="E1108" s="1145"/>
      <c r="F1108" s="1145"/>
      <c r="G1108" s="1145"/>
      <c r="H1108" s="1145"/>
      <c r="I1108" s="1145"/>
      <c r="J1108" s="1145"/>
      <c r="K1108" s="1145"/>
      <c r="L1108" s="1145"/>
      <c r="M1108" s="1145"/>
      <c r="N1108" s="1145"/>
      <c r="O1108" s="1145"/>
      <c r="P1108" s="1145"/>
      <c r="Q1108" s="1145"/>
      <c r="R1108" s="1145"/>
      <c r="S1108" s="1145"/>
      <c r="T1108" s="1145"/>
      <c r="U1108" s="1145"/>
      <c r="V1108" s="1145"/>
      <c r="W1108" s="1145"/>
      <c r="X1108" s="1145"/>
      <c r="Y1108" s="1145"/>
      <c r="Z1108" s="1145"/>
      <c r="AA1108" s="1145"/>
      <c r="AB1108" s="1145"/>
      <c r="AC1108" s="1145"/>
      <c r="AD1108" s="1145"/>
      <c r="AE1108" s="1145"/>
      <c r="AF1108" s="1145"/>
      <c r="AG1108" s="1145"/>
      <c r="AH1108" s="1145"/>
      <c r="AI1108" s="1145"/>
      <c r="AJ1108" s="1145"/>
      <c r="AK1108" s="1145"/>
    </row>
    <row r="1109" spans="1:37" ht="12.9" hidden="1" customHeight="1">
      <c r="A1109" s="1146"/>
      <c r="B1109" s="1146"/>
      <c r="C1109" s="1036"/>
      <c r="D1109" s="1145"/>
      <c r="E1109" s="1145"/>
      <c r="F1109" s="1145"/>
      <c r="G1109" s="1145"/>
      <c r="H1109" s="1145"/>
      <c r="I1109" s="1145"/>
      <c r="J1109" s="1145"/>
      <c r="K1109" s="1145"/>
      <c r="L1109" s="1145"/>
      <c r="M1109" s="1145"/>
      <c r="N1109" s="1145"/>
      <c r="O1109" s="1145"/>
      <c r="P1109" s="1145"/>
      <c r="Q1109" s="1145"/>
      <c r="R1109" s="1145"/>
      <c r="S1109" s="1145"/>
      <c r="T1109" s="1145"/>
      <c r="U1109" s="1145"/>
      <c r="V1109" s="1145"/>
      <c r="W1109" s="1145"/>
      <c r="X1109" s="1145"/>
      <c r="Y1109" s="1145"/>
      <c r="Z1109" s="1145"/>
      <c r="AA1109" s="1145"/>
      <c r="AB1109" s="1145"/>
      <c r="AC1109" s="1145"/>
      <c r="AD1109" s="1145"/>
      <c r="AE1109" s="1145"/>
      <c r="AF1109" s="1145"/>
      <c r="AG1109" s="1145"/>
      <c r="AH1109" s="1145"/>
      <c r="AI1109" s="1145"/>
      <c r="AJ1109" s="1145"/>
      <c r="AK1109" s="1145"/>
    </row>
    <row r="1110" spans="1:37" ht="12.9" hidden="1" customHeight="1">
      <c r="A1110" s="1146"/>
      <c r="B1110" s="1146"/>
      <c r="C1110" s="1036"/>
      <c r="D1110" s="1145"/>
      <c r="E1110" s="1145"/>
      <c r="F1110" s="1145"/>
      <c r="G1110" s="1145"/>
      <c r="H1110" s="1145"/>
      <c r="I1110" s="1145"/>
      <c r="J1110" s="1145"/>
      <c r="K1110" s="1145"/>
      <c r="L1110" s="1145"/>
      <c r="M1110" s="1145"/>
      <c r="N1110" s="1145"/>
      <c r="O1110" s="1145"/>
      <c r="P1110" s="1145"/>
      <c r="Q1110" s="1145"/>
      <c r="R1110" s="1145"/>
      <c r="S1110" s="1145"/>
      <c r="T1110" s="1145"/>
      <c r="U1110" s="1145"/>
      <c r="V1110" s="1145"/>
      <c r="W1110" s="1145"/>
      <c r="X1110" s="1145"/>
      <c r="Y1110" s="1145"/>
      <c r="Z1110" s="1145"/>
      <c r="AA1110" s="1145"/>
      <c r="AB1110" s="1145"/>
      <c r="AC1110" s="1145"/>
      <c r="AD1110" s="1145"/>
      <c r="AE1110" s="1145"/>
      <c r="AF1110" s="1145"/>
      <c r="AG1110" s="1145"/>
      <c r="AH1110" s="1145"/>
      <c r="AI1110" s="1145"/>
      <c r="AJ1110" s="1145"/>
      <c r="AK1110" s="1145"/>
    </row>
    <row r="1111" spans="1:37" ht="12.9" hidden="1" customHeight="1">
      <c r="A1111" s="1146"/>
      <c r="B1111" s="1146"/>
      <c r="C1111" s="1036"/>
      <c r="D1111" s="1145"/>
      <c r="E1111" s="1145"/>
      <c r="F1111" s="1145"/>
      <c r="G1111" s="1145"/>
      <c r="H1111" s="1145"/>
      <c r="I1111" s="1145"/>
      <c r="J1111" s="1145"/>
      <c r="K1111" s="1145"/>
      <c r="L1111" s="1145"/>
      <c r="M1111" s="1145"/>
      <c r="N1111" s="1145"/>
      <c r="O1111" s="1145"/>
      <c r="P1111" s="1145"/>
      <c r="Q1111" s="1145"/>
      <c r="R1111" s="1145"/>
      <c r="S1111" s="1145"/>
      <c r="T1111" s="1145"/>
      <c r="U1111" s="1145"/>
      <c r="V1111" s="1145"/>
      <c r="W1111" s="1145"/>
      <c r="X1111" s="1145"/>
      <c r="Y1111" s="1145"/>
      <c r="Z1111" s="1145"/>
      <c r="AA1111" s="1145"/>
      <c r="AB1111" s="1145"/>
      <c r="AC1111" s="1145"/>
      <c r="AD1111" s="1145"/>
      <c r="AE1111" s="1145"/>
      <c r="AF1111" s="1145"/>
      <c r="AG1111" s="1145"/>
      <c r="AH1111" s="1145"/>
      <c r="AI1111" s="1145"/>
      <c r="AJ1111" s="1145"/>
      <c r="AK1111" s="1145"/>
    </row>
    <row r="1112" spans="1:37" ht="12.9" hidden="1" customHeight="1">
      <c r="A1112" s="1146"/>
      <c r="B1112" s="1146"/>
      <c r="C1112" s="1036"/>
      <c r="D1112" s="1145"/>
      <c r="E1112" s="1145"/>
      <c r="F1112" s="1145"/>
      <c r="G1112" s="1145"/>
      <c r="H1112" s="1145"/>
      <c r="I1112" s="1145"/>
      <c r="J1112" s="1145"/>
      <c r="K1112" s="1145"/>
      <c r="L1112" s="1145"/>
      <c r="M1112" s="1145"/>
      <c r="N1112" s="1145"/>
      <c r="O1112" s="1145"/>
      <c r="P1112" s="1145"/>
      <c r="Q1112" s="1145"/>
      <c r="R1112" s="1145"/>
      <c r="S1112" s="1145"/>
      <c r="T1112" s="1145"/>
      <c r="U1112" s="1145"/>
      <c r="V1112" s="1145"/>
      <c r="W1112" s="1145"/>
      <c r="X1112" s="1145"/>
      <c r="Y1112" s="1145"/>
      <c r="Z1112" s="1145"/>
      <c r="AA1112" s="1145"/>
      <c r="AB1112" s="1145"/>
      <c r="AC1112" s="1145"/>
      <c r="AD1112" s="1145"/>
      <c r="AE1112" s="1145"/>
      <c r="AF1112" s="1145"/>
      <c r="AG1112" s="1145"/>
      <c r="AH1112" s="1145"/>
      <c r="AI1112" s="1145"/>
      <c r="AJ1112" s="1145"/>
      <c r="AK1112" s="1145"/>
    </row>
    <row r="1113" spans="1:37" ht="12.9" hidden="1" customHeight="1">
      <c r="A1113" s="1146"/>
      <c r="B1113" s="1146"/>
      <c r="C1113" s="1036"/>
      <c r="D1113" s="1145"/>
      <c r="E1113" s="1145"/>
      <c r="F1113" s="1145"/>
      <c r="G1113" s="1145"/>
      <c r="H1113" s="1145"/>
      <c r="I1113" s="1145"/>
      <c r="J1113" s="1145"/>
      <c r="K1113" s="1145"/>
      <c r="L1113" s="1145"/>
      <c r="M1113" s="1145"/>
      <c r="N1113" s="1145"/>
      <c r="O1113" s="1145"/>
      <c r="P1113" s="1145"/>
      <c r="Q1113" s="1145"/>
      <c r="R1113" s="1145"/>
      <c r="S1113" s="1145"/>
      <c r="T1113" s="1145"/>
      <c r="U1113" s="1145"/>
      <c r="V1113" s="1145"/>
      <c r="W1113" s="1145"/>
      <c r="X1113" s="1145"/>
      <c r="Y1113" s="1145"/>
      <c r="Z1113" s="1145"/>
      <c r="AA1113" s="1145"/>
      <c r="AB1113" s="1145"/>
      <c r="AC1113" s="1145"/>
      <c r="AD1113" s="1145"/>
      <c r="AE1113" s="1145"/>
      <c r="AF1113" s="1145"/>
      <c r="AG1113" s="1145"/>
      <c r="AH1113" s="1145"/>
      <c r="AI1113" s="1145"/>
      <c r="AJ1113" s="1145"/>
      <c r="AK1113" s="1145"/>
    </row>
    <row r="1114" spans="1:37" ht="12.9" hidden="1" customHeight="1">
      <c r="A1114" s="1146"/>
      <c r="B1114" s="1146"/>
      <c r="C1114" s="1036"/>
      <c r="D1114" s="1145"/>
      <c r="E1114" s="1145"/>
      <c r="F1114" s="1145"/>
      <c r="G1114" s="1145"/>
      <c r="H1114" s="1145"/>
      <c r="I1114" s="1145"/>
      <c r="J1114" s="1145"/>
      <c r="K1114" s="1145"/>
      <c r="L1114" s="1145"/>
      <c r="M1114" s="1145"/>
      <c r="N1114" s="1145"/>
      <c r="O1114" s="1145"/>
      <c r="P1114" s="1145"/>
      <c r="Q1114" s="1145"/>
      <c r="R1114" s="1145"/>
      <c r="S1114" s="1145"/>
      <c r="T1114" s="1145"/>
      <c r="U1114" s="1145"/>
      <c r="V1114" s="1145"/>
      <c r="W1114" s="1145"/>
      <c r="X1114" s="1145"/>
      <c r="Y1114" s="1145"/>
      <c r="Z1114" s="1145"/>
      <c r="AA1114" s="1145"/>
      <c r="AB1114" s="1145"/>
      <c r="AC1114" s="1145"/>
      <c r="AD1114" s="1145"/>
      <c r="AE1114" s="1145"/>
      <c r="AF1114" s="1145"/>
      <c r="AG1114" s="1145"/>
      <c r="AH1114" s="1145"/>
      <c r="AI1114" s="1145"/>
      <c r="AJ1114" s="1145"/>
      <c r="AK1114" s="1145"/>
    </row>
    <row r="1115" spans="1:37" ht="12.9" hidden="1" customHeight="1">
      <c r="A1115" s="1146"/>
      <c r="B1115" s="1146"/>
      <c r="C1115" s="1036"/>
      <c r="D1115" s="1145"/>
      <c r="E1115" s="1145"/>
      <c r="F1115" s="1145"/>
      <c r="G1115" s="1145"/>
      <c r="H1115" s="1145"/>
      <c r="I1115" s="1145"/>
      <c r="J1115" s="1145"/>
      <c r="K1115" s="1145"/>
      <c r="L1115" s="1145"/>
      <c r="M1115" s="1145"/>
      <c r="N1115" s="1145"/>
      <c r="O1115" s="1145"/>
      <c r="P1115" s="1145"/>
      <c r="Q1115" s="1145"/>
      <c r="R1115" s="1145"/>
      <c r="S1115" s="1145"/>
      <c r="T1115" s="1145"/>
      <c r="U1115" s="1145"/>
      <c r="V1115" s="1145"/>
      <c r="W1115" s="1145"/>
      <c r="X1115" s="1145"/>
      <c r="Y1115" s="1145"/>
      <c r="Z1115" s="1145"/>
      <c r="AA1115" s="1145"/>
      <c r="AB1115" s="1145"/>
      <c r="AC1115" s="1145"/>
      <c r="AD1115" s="1145"/>
      <c r="AE1115" s="1145"/>
      <c r="AF1115" s="1145"/>
      <c r="AG1115" s="1145"/>
      <c r="AH1115" s="1145"/>
      <c r="AI1115" s="1145"/>
      <c r="AJ1115" s="1145"/>
      <c r="AK1115" s="1145"/>
    </row>
    <row r="1116" spans="1:37" ht="12.9" hidden="1" customHeight="1">
      <c r="A1116" s="1146"/>
      <c r="B1116" s="1146"/>
      <c r="C1116" s="1036"/>
      <c r="D1116" s="1145"/>
      <c r="E1116" s="1145"/>
      <c r="F1116" s="1145"/>
      <c r="G1116" s="1145"/>
      <c r="H1116" s="1145"/>
      <c r="I1116" s="1145"/>
      <c r="J1116" s="1145"/>
      <c r="K1116" s="1145"/>
      <c r="L1116" s="1145"/>
      <c r="M1116" s="1145"/>
      <c r="N1116" s="1145"/>
      <c r="O1116" s="1145"/>
      <c r="P1116" s="1145"/>
      <c r="Q1116" s="1145"/>
      <c r="R1116" s="1145"/>
      <c r="S1116" s="1145"/>
      <c r="T1116" s="1145"/>
      <c r="U1116" s="1145"/>
      <c r="V1116" s="1145"/>
      <c r="W1116" s="1145"/>
      <c r="X1116" s="1145"/>
      <c r="Y1116" s="1145"/>
      <c r="Z1116" s="1145"/>
      <c r="AA1116" s="1145"/>
      <c r="AB1116" s="1145"/>
      <c r="AC1116" s="1145"/>
      <c r="AD1116" s="1145"/>
      <c r="AE1116" s="1145"/>
      <c r="AF1116" s="1145"/>
      <c r="AG1116" s="1145"/>
      <c r="AH1116" s="1145"/>
      <c r="AI1116" s="1145"/>
      <c r="AJ1116" s="1145"/>
      <c r="AK1116" s="1145"/>
    </row>
    <row r="1117" spans="1:37" ht="12.9" hidden="1" customHeight="1">
      <c r="A1117" s="1146"/>
      <c r="B1117" s="1146"/>
      <c r="C1117" s="1036"/>
      <c r="D1117" s="1145"/>
      <c r="E1117" s="1145"/>
      <c r="F1117" s="1145"/>
      <c r="G1117" s="1145"/>
      <c r="H1117" s="1145"/>
      <c r="I1117" s="1145"/>
      <c r="J1117" s="1145"/>
      <c r="K1117" s="1145"/>
      <c r="L1117" s="1145"/>
      <c r="M1117" s="1145"/>
      <c r="N1117" s="1145"/>
      <c r="O1117" s="1145"/>
      <c r="P1117" s="1145"/>
      <c r="Q1117" s="1145"/>
      <c r="R1117" s="1145"/>
      <c r="S1117" s="1145"/>
      <c r="T1117" s="1145"/>
      <c r="U1117" s="1145"/>
      <c r="V1117" s="1145"/>
      <c r="W1117" s="1145"/>
      <c r="X1117" s="1145"/>
      <c r="Y1117" s="1145"/>
      <c r="Z1117" s="1145"/>
      <c r="AA1117" s="1145"/>
      <c r="AB1117" s="1145"/>
      <c r="AC1117" s="1145"/>
      <c r="AD1117" s="1145"/>
      <c r="AE1117" s="1145"/>
      <c r="AF1117" s="1145"/>
      <c r="AG1117" s="1145"/>
      <c r="AH1117" s="1145"/>
      <c r="AI1117" s="1145"/>
      <c r="AJ1117" s="1145"/>
      <c r="AK1117" s="1145"/>
    </row>
    <row r="1118" spans="1:37" ht="12.9" hidden="1" customHeight="1">
      <c r="A1118" s="1146"/>
      <c r="B1118" s="1146"/>
      <c r="C1118" s="1036"/>
      <c r="D1118" s="1145"/>
      <c r="E1118" s="1145"/>
      <c r="F1118" s="1145"/>
      <c r="G1118" s="1145"/>
      <c r="H1118" s="1145"/>
      <c r="I1118" s="1145"/>
      <c r="J1118" s="1145"/>
      <c r="K1118" s="1145"/>
      <c r="L1118" s="1145"/>
      <c r="M1118" s="1145"/>
      <c r="N1118" s="1145"/>
      <c r="O1118" s="1145"/>
      <c r="P1118" s="1145"/>
      <c r="Q1118" s="1145"/>
      <c r="R1118" s="1145"/>
      <c r="S1118" s="1145"/>
      <c r="T1118" s="1145"/>
      <c r="U1118" s="1145"/>
      <c r="V1118" s="1145"/>
      <c r="W1118" s="1145"/>
      <c r="X1118" s="1145"/>
      <c r="Y1118" s="1145"/>
      <c r="Z1118" s="1145"/>
      <c r="AA1118" s="1145"/>
      <c r="AB1118" s="1145"/>
      <c r="AC1118" s="1145"/>
      <c r="AD1118" s="1145"/>
      <c r="AE1118" s="1145"/>
      <c r="AF1118" s="1145"/>
      <c r="AG1118" s="1145"/>
      <c r="AH1118" s="1145"/>
      <c r="AI1118" s="1145"/>
      <c r="AJ1118" s="1145"/>
      <c r="AK1118" s="1145"/>
    </row>
    <row r="1119" spans="1:37" ht="12.9" hidden="1" customHeight="1">
      <c r="A1119" s="1146"/>
      <c r="B1119" s="1146"/>
      <c r="C1119" s="1036"/>
      <c r="D1119" s="1145"/>
      <c r="E1119" s="1145"/>
      <c r="F1119" s="1145"/>
      <c r="G1119" s="1145"/>
      <c r="H1119" s="1145"/>
      <c r="I1119" s="1145"/>
      <c r="J1119" s="1145"/>
      <c r="K1119" s="1145"/>
      <c r="L1119" s="1145"/>
      <c r="M1119" s="1145"/>
      <c r="N1119" s="1145"/>
      <c r="O1119" s="1145"/>
      <c r="P1119" s="1145"/>
      <c r="Q1119" s="1145"/>
      <c r="R1119" s="1145"/>
      <c r="S1119" s="1145"/>
      <c r="T1119" s="1145"/>
      <c r="U1119" s="1145"/>
      <c r="V1119" s="1145"/>
      <c r="W1119" s="1145"/>
      <c r="X1119" s="1145"/>
      <c r="Y1119" s="1145"/>
      <c r="Z1119" s="1145"/>
      <c r="AA1119" s="1145"/>
      <c r="AB1119" s="1145"/>
      <c r="AC1119" s="1145"/>
      <c r="AD1119" s="1145"/>
      <c r="AE1119" s="1145"/>
      <c r="AF1119" s="1145"/>
      <c r="AG1119" s="1145"/>
      <c r="AH1119" s="1145"/>
      <c r="AI1119" s="1145"/>
      <c r="AJ1119" s="1145"/>
      <c r="AK1119" s="1145"/>
    </row>
    <row r="1120" spans="1:37" ht="12.9" hidden="1" customHeight="1">
      <c r="A1120" s="1146"/>
      <c r="B1120" s="1146"/>
      <c r="C1120" s="1036"/>
      <c r="D1120" s="1145"/>
      <c r="E1120" s="1145"/>
      <c r="F1120" s="1145"/>
      <c r="G1120" s="1145"/>
      <c r="H1120" s="1145"/>
      <c r="I1120" s="1145"/>
      <c r="J1120" s="1145"/>
      <c r="K1120" s="1145"/>
      <c r="L1120" s="1145"/>
      <c r="M1120" s="1145"/>
      <c r="N1120" s="1145"/>
      <c r="O1120" s="1145"/>
      <c r="P1120" s="1145"/>
      <c r="Q1120" s="1145"/>
      <c r="R1120" s="1145"/>
      <c r="S1120" s="1145"/>
      <c r="T1120" s="1145"/>
      <c r="U1120" s="1145"/>
      <c r="V1120" s="1145"/>
      <c r="W1120" s="1145"/>
      <c r="X1120" s="1145"/>
      <c r="Y1120" s="1145"/>
      <c r="Z1120" s="1145"/>
      <c r="AA1120" s="1145"/>
      <c r="AB1120" s="1145"/>
      <c r="AC1120" s="1145"/>
      <c r="AD1120" s="1145"/>
      <c r="AE1120" s="1145"/>
      <c r="AF1120" s="1145"/>
      <c r="AG1120" s="1145"/>
      <c r="AH1120" s="1145"/>
      <c r="AI1120" s="1145"/>
      <c r="AJ1120" s="1145"/>
      <c r="AK1120" s="1145"/>
    </row>
    <row r="1121" spans="1:37" ht="12.9" hidden="1" customHeight="1">
      <c r="A1121" s="1146"/>
      <c r="B1121" s="1146"/>
      <c r="C1121" s="1036"/>
      <c r="D1121" s="1145"/>
      <c r="E1121" s="1145"/>
      <c r="F1121" s="1145"/>
      <c r="G1121" s="1145"/>
      <c r="H1121" s="1145"/>
      <c r="I1121" s="1145"/>
      <c r="J1121" s="1145"/>
      <c r="K1121" s="1145"/>
      <c r="L1121" s="1145"/>
      <c r="M1121" s="1145"/>
      <c r="N1121" s="1145"/>
      <c r="O1121" s="1145"/>
      <c r="P1121" s="1145"/>
      <c r="Q1121" s="1145"/>
      <c r="R1121" s="1145"/>
      <c r="S1121" s="1145"/>
      <c r="T1121" s="1145"/>
      <c r="U1121" s="1145"/>
      <c r="V1121" s="1145"/>
      <c r="W1121" s="1145"/>
      <c r="X1121" s="1145"/>
      <c r="Y1121" s="1145"/>
      <c r="Z1121" s="1145"/>
      <c r="AA1121" s="1145"/>
      <c r="AB1121" s="1145"/>
      <c r="AC1121" s="1145"/>
      <c r="AD1121" s="1145"/>
      <c r="AE1121" s="1145"/>
      <c r="AF1121" s="1145"/>
      <c r="AG1121" s="1145"/>
      <c r="AH1121" s="1145"/>
      <c r="AI1121" s="1145"/>
      <c r="AJ1121" s="1145"/>
      <c r="AK1121" s="1145"/>
    </row>
    <row r="1122" spans="1:37" ht="12.9" hidden="1" customHeight="1">
      <c r="A1122" s="1146"/>
      <c r="B1122" s="1146"/>
      <c r="C1122" s="1036"/>
      <c r="D1122" s="1145"/>
      <c r="E1122" s="1145"/>
      <c r="F1122" s="1145"/>
      <c r="G1122" s="1145"/>
      <c r="H1122" s="1145"/>
      <c r="I1122" s="1145"/>
      <c r="J1122" s="1145"/>
      <c r="K1122" s="1145"/>
      <c r="L1122" s="1145"/>
      <c r="M1122" s="1145"/>
      <c r="N1122" s="1145"/>
      <c r="O1122" s="1145"/>
      <c r="P1122" s="1145"/>
      <c r="Q1122" s="1145"/>
      <c r="R1122" s="1145"/>
      <c r="S1122" s="1145"/>
      <c r="T1122" s="1145"/>
      <c r="U1122" s="1145"/>
      <c r="V1122" s="1145"/>
      <c r="W1122" s="1145"/>
      <c r="X1122" s="1145"/>
      <c r="Y1122" s="1145"/>
      <c r="Z1122" s="1145"/>
      <c r="AA1122" s="1145"/>
      <c r="AB1122" s="1145"/>
      <c r="AC1122" s="1145"/>
      <c r="AD1122" s="1145"/>
      <c r="AE1122" s="1145"/>
      <c r="AF1122" s="1145"/>
      <c r="AG1122" s="1145"/>
      <c r="AH1122" s="1145"/>
      <c r="AI1122" s="1145"/>
      <c r="AJ1122" s="1145"/>
      <c r="AK1122" s="1145"/>
    </row>
    <row r="1123" spans="1:37" ht="0" hidden="1" customHeight="1">
      <c r="A1123" s="1146"/>
      <c r="B1123" s="1146"/>
      <c r="C1123" s="1036"/>
      <c r="D1123" s="1145"/>
      <c r="E1123" s="1145"/>
      <c r="F1123" s="1145"/>
      <c r="G1123" s="1145"/>
      <c r="H1123" s="1145"/>
      <c r="I1123" s="1145"/>
      <c r="J1123" s="1145"/>
      <c r="K1123" s="1145"/>
      <c r="L1123" s="1145"/>
      <c r="M1123" s="1145"/>
      <c r="N1123" s="1145"/>
      <c r="O1123" s="1145"/>
      <c r="P1123" s="1145"/>
      <c r="Q1123" s="1145"/>
      <c r="R1123" s="1145"/>
      <c r="S1123" s="1145"/>
      <c r="T1123" s="1145"/>
      <c r="U1123" s="1145"/>
      <c r="V1123" s="1145"/>
      <c r="W1123" s="1145"/>
      <c r="X1123" s="1145"/>
      <c r="Y1123" s="1145"/>
      <c r="Z1123" s="1145"/>
      <c r="AA1123" s="1145"/>
      <c r="AB1123" s="1145"/>
      <c r="AC1123" s="1145"/>
      <c r="AD1123" s="1145"/>
      <c r="AE1123" s="1145"/>
      <c r="AF1123" s="1145"/>
      <c r="AG1123" s="1145"/>
      <c r="AH1123" s="1145"/>
      <c r="AI1123" s="1145"/>
      <c r="AJ1123" s="1145"/>
      <c r="AK1123" s="1145"/>
    </row>
    <row r="1124" spans="1:37" ht="0" hidden="1" customHeight="1">
      <c r="A1124" s="68"/>
      <c r="B1124" s="19"/>
      <c r="C1124" s="1036"/>
      <c r="D1124" s="1145"/>
      <c r="E1124" s="1145"/>
      <c r="F1124" s="1145"/>
      <c r="G1124" s="1145"/>
      <c r="H1124" s="1145"/>
      <c r="I1124" s="1145"/>
      <c r="J1124" s="1145"/>
      <c r="K1124" s="1145"/>
      <c r="L1124" s="1145"/>
      <c r="M1124" s="1145"/>
      <c r="N1124" s="1145"/>
      <c r="O1124" s="1145"/>
      <c r="P1124" s="1145"/>
      <c r="Q1124" s="1145"/>
      <c r="R1124" s="1145"/>
      <c r="S1124" s="1145"/>
      <c r="T1124" s="1145"/>
      <c r="U1124" s="1145"/>
      <c r="V1124" s="1145"/>
      <c r="W1124" s="1145"/>
      <c r="X1124" s="1145"/>
      <c r="Y1124" s="1145"/>
      <c r="Z1124" s="1145"/>
      <c r="AA1124" s="1145"/>
      <c r="AB1124" s="1145"/>
      <c r="AC1124" s="1145"/>
      <c r="AD1124" s="1145"/>
      <c r="AE1124" s="1145"/>
      <c r="AF1124" s="1145"/>
      <c r="AG1124" s="1145"/>
      <c r="AH1124" s="1145"/>
      <c r="AI1124" s="1145"/>
      <c r="AJ1124" s="1145"/>
      <c r="AK1124" s="1145"/>
    </row>
    <row r="1125" spans="1:37" ht="0" hidden="1" customHeight="1">
      <c r="A1125" s="1440" t="s">
        <v>809</v>
      </c>
      <c r="B1125" s="1440"/>
      <c r="C1125" s="1036">
        <v>9</v>
      </c>
      <c r="D1125" s="1223" t="s">
        <v>1761</v>
      </c>
      <c r="E1125" s="1223"/>
      <c r="F1125" s="1223"/>
      <c r="G1125" s="1223"/>
      <c r="H1125" s="1223"/>
      <c r="I1125" s="1223"/>
      <c r="J1125" s="1223"/>
      <c r="K1125" s="1223"/>
      <c r="L1125" s="1223"/>
      <c r="M1125" s="1223"/>
      <c r="N1125" s="1223"/>
      <c r="O1125" s="1223"/>
      <c r="P1125" s="1223"/>
      <c r="Q1125" s="1223"/>
      <c r="R1125" s="1223"/>
      <c r="S1125" s="1223"/>
      <c r="T1125" s="1223"/>
      <c r="U1125" s="1223"/>
      <c r="V1125" s="1223"/>
      <c r="W1125" s="1223"/>
      <c r="X1125" s="1223"/>
      <c r="Y1125" s="1223"/>
      <c r="Z1125" s="1223"/>
      <c r="AA1125" s="1223"/>
      <c r="AB1125" s="1223"/>
      <c r="AC1125" s="1223"/>
      <c r="AD1125" s="1223"/>
      <c r="AE1125" s="1223"/>
      <c r="AF1125" s="1223"/>
      <c r="AG1125" s="1223"/>
      <c r="AH1125" s="1223"/>
      <c r="AI1125" s="1223"/>
      <c r="AJ1125" s="1223"/>
      <c r="AK1125" s="1223"/>
    </row>
    <row r="1126" spans="1:37" ht="0" hidden="1" customHeight="1">
      <c r="A1126" s="68"/>
      <c r="B1126" s="19"/>
      <c r="C1126" s="1036"/>
      <c r="D1126" s="1223"/>
      <c r="E1126" s="1223"/>
      <c r="F1126" s="1223"/>
      <c r="G1126" s="1223"/>
      <c r="H1126" s="1223"/>
      <c r="I1126" s="1223"/>
      <c r="J1126" s="1223"/>
      <c r="K1126" s="1223"/>
      <c r="L1126" s="1223"/>
      <c r="M1126" s="1223"/>
      <c r="N1126" s="1223"/>
      <c r="O1126" s="1223"/>
      <c r="P1126" s="1223"/>
      <c r="Q1126" s="1223"/>
      <c r="R1126" s="1223"/>
      <c r="S1126" s="1223"/>
      <c r="T1126" s="1223"/>
      <c r="U1126" s="1223"/>
      <c r="V1126" s="1223"/>
      <c r="W1126" s="1223"/>
      <c r="X1126" s="1223"/>
      <c r="Y1126" s="1223"/>
      <c r="Z1126" s="1223"/>
      <c r="AA1126" s="1223"/>
      <c r="AB1126" s="1223"/>
      <c r="AC1126" s="1223"/>
      <c r="AD1126" s="1223"/>
      <c r="AE1126" s="1223"/>
      <c r="AF1126" s="1223"/>
      <c r="AG1126" s="1223"/>
      <c r="AH1126" s="1223"/>
      <c r="AI1126" s="1223"/>
      <c r="AJ1126" s="1223"/>
      <c r="AK1126" s="1223"/>
    </row>
    <row r="1127" spans="1:37" ht="0" hidden="1" customHeight="1">
      <c r="D1127" s="1223"/>
      <c r="E1127" s="1223"/>
      <c r="F1127" s="1223"/>
      <c r="G1127" s="1223"/>
      <c r="H1127" s="1223"/>
      <c r="I1127" s="1223"/>
      <c r="J1127" s="1223"/>
      <c r="K1127" s="1223"/>
      <c r="L1127" s="1223"/>
      <c r="M1127" s="1223"/>
      <c r="N1127" s="1223"/>
      <c r="O1127" s="1223"/>
      <c r="P1127" s="1223"/>
      <c r="Q1127" s="1223"/>
      <c r="R1127" s="1223"/>
      <c r="S1127" s="1223"/>
      <c r="T1127" s="1223"/>
      <c r="U1127" s="1223"/>
      <c r="V1127" s="1223"/>
      <c r="W1127" s="1223"/>
      <c r="X1127" s="1223"/>
      <c r="Y1127" s="1223"/>
      <c r="Z1127" s="1223"/>
      <c r="AA1127" s="1223"/>
      <c r="AB1127" s="1223"/>
      <c r="AC1127" s="1223"/>
      <c r="AD1127" s="1223"/>
      <c r="AE1127" s="1223"/>
      <c r="AF1127" s="1223"/>
      <c r="AG1127" s="1223"/>
      <c r="AH1127" s="1223"/>
      <c r="AI1127" s="1223"/>
      <c r="AJ1127" s="1223"/>
      <c r="AK1127" s="1223"/>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76">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Q486:AK486"/>
    <mergeCell ref="Q492:AK492"/>
    <mergeCell ref="Q493:AK493"/>
    <mergeCell ref="C556:L556"/>
    <mergeCell ref="C554:L554"/>
    <mergeCell ref="C555:L555"/>
    <mergeCell ref="G569:R569"/>
    <mergeCell ref="G571:R571"/>
    <mergeCell ref="G570:R570"/>
    <mergeCell ref="G572:L572"/>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T744:W744"/>
    <mergeCell ref="X721:AB721"/>
    <mergeCell ref="X727:AB727"/>
    <mergeCell ref="K745:N745"/>
    <mergeCell ref="G728:J728"/>
    <mergeCell ref="O737:S737"/>
    <mergeCell ref="O738:S738"/>
    <mergeCell ref="T740:W740"/>
    <mergeCell ref="G741:J741"/>
    <mergeCell ref="T739:W739"/>
    <mergeCell ref="K724:N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DJ723:DN723"/>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AK747:AO747"/>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J724:DN724"/>
    <mergeCell ref="DO727:DS727"/>
    <mergeCell ref="DO728:DS728"/>
    <mergeCell ref="DO722:DS722"/>
    <mergeCell ref="DO723:DS723"/>
    <mergeCell ref="DO724:DS724"/>
    <mergeCell ref="DJ721:DN721"/>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9:AH559"/>
    <mergeCell ref="AI559:AL559"/>
    <mergeCell ref="AO631:AS631"/>
    <mergeCell ref="W633:Y633"/>
    <mergeCell ref="J704:X704"/>
    <mergeCell ref="T714:W717"/>
    <mergeCell ref="H664:R664"/>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G723:J723"/>
    <mergeCell ref="O725:S725"/>
    <mergeCell ref="O726:S726"/>
    <mergeCell ref="T631:V631"/>
    <mergeCell ref="AC628:AE628"/>
    <mergeCell ref="C629:L629"/>
    <mergeCell ref="T629:V629"/>
    <mergeCell ref="Z613:AE613"/>
    <mergeCell ref="AC629:AE629"/>
    <mergeCell ref="AO633:AS633"/>
    <mergeCell ref="G677:R677"/>
    <mergeCell ref="Z678:AK678"/>
    <mergeCell ref="AO632:AS632"/>
    <mergeCell ref="CP719:CT719"/>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561:V561"/>
    <mergeCell ref="CU722:CY722"/>
    <mergeCell ref="AH509:AK509"/>
    <mergeCell ref="AM561:AS561"/>
    <mergeCell ref="Z631:AB631"/>
    <mergeCell ref="AF624:AJ626"/>
    <mergeCell ref="AM558:AS558"/>
    <mergeCell ref="AM566:AS566"/>
    <mergeCell ref="Q632:S632"/>
    <mergeCell ref="AM562:AS562"/>
    <mergeCell ref="Q624:S626"/>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Z603:AK603"/>
    <mergeCell ref="Q630:S630"/>
    <mergeCell ref="G589:L589"/>
    <mergeCell ref="H582:R582"/>
    <mergeCell ref="G577:R577"/>
    <mergeCell ref="AK624:AN626"/>
    <mergeCell ref="AG599:AH599"/>
    <mergeCell ref="G595:R595"/>
    <mergeCell ref="G596:R596"/>
    <mergeCell ref="H614:R614"/>
    <mergeCell ref="G613:L613"/>
    <mergeCell ref="Z577:AK577"/>
    <mergeCell ref="Z630:AB630"/>
    <mergeCell ref="W465:Y465"/>
    <mergeCell ref="AI565:AL565"/>
    <mergeCell ref="G568:R568"/>
    <mergeCell ref="M574:R574"/>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G605:L605"/>
    <mergeCell ref="G604:R604"/>
    <mergeCell ref="AF629:AJ629"/>
    <mergeCell ref="AC503:AF503"/>
    <mergeCell ref="AC513:AF513"/>
    <mergeCell ref="Z611:AK611"/>
    <mergeCell ref="AC518:AF518"/>
    <mergeCell ref="AH504:AK504"/>
    <mergeCell ref="AH517:AK517"/>
    <mergeCell ref="W471:Y471"/>
    <mergeCell ref="G474:V474"/>
    <mergeCell ref="AH526:AK526"/>
    <mergeCell ref="M561:P561"/>
    <mergeCell ref="W556:Y556"/>
    <mergeCell ref="B551:L553"/>
    <mergeCell ref="AH505:AK505"/>
    <mergeCell ref="AC527:AF527"/>
    <mergeCell ref="W551:Y553"/>
    <mergeCell ref="AH521:AK521"/>
    <mergeCell ref="AC530:AF530"/>
    <mergeCell ref="W469:Y469"/>
    <mergeCell ref="AH515:AK515"/>
    <mergeCell ref="AC516:AF516"/>
    <mergeCell ref="AE556:AH556"/>
    <mergeCell ref="T636:V636"/>
    <mergeCell ref="T637:V637"/>
    <mergeCell ref="O722:S722"/>
    <mergeCell ref="W563:Y563"/>
    <mergeCell ref="Z595:AK595"/>
    <mergeCell ref="G603:R603"/>
    <mergeCell ref="P597:R597"/>
    <mergeCell ref="G597:L597"/>
    <mergeCell ref="G602:R602"/>
    <mergeCell ref="W564:Y564"/>
    <mergeCell ref="W565:Y565"/>
    <mergeCell ref="M554:P554"/>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CK736:CL736"/>
    <mergeCell ref="M627:P627"/>
    <mergeCell ref="M629:P629"/>
    <mergeCell ref="W624:Y626"/>
    <mergeCell ref="W628:Y628"/>
    <mergeCell ref="X728:AB728"/>
    <mergeCell ref="CI717:CJ717"/>
    <mergeCell ref="G668:R668"/>
    <mergeCell ref="AG689:AH689"/>
    <mergeCell ref="M636:P636"/>
    <mergeCell ref="AA664:AK664"/>
    <mergeCell ref="T635:V635"/>
    <mergeCell ref="G644:R644"/>
    <mergeCell ref="P655:R655"/>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E562:AH562"/>
    <mergeCell ref="Q562:S562"/>
    <mergeCell ref="AH501:AK501"/>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6:CY726"/>
    <mergeCell ref="CZ726:DD726"/>
    <mergeCell ref="CK722:CL722"/>
    <mergeCell ref="CK719:CL719"/>
    <mergeCell ref="CZ722:DD722"/>
    <mergeCell ref="CG725:CH725"/>
    <mergeCell ref="CZ723:DD723"/>
    <mergeCell ref="DE731:DI731"/>
    <mergeCell ref="CI723:CJ723"/>
    <mergeCell ref="CM730:CN730"/>
    <mergeCell ref="CK727:CL727"/>
    <mergeCell ref="DE729:DI729"/>
    <mergeCell ref="DE726:DI726"/>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U727:CY727"/>
    <mergeCell ref="CK724:CL724"/>
    <mergeCell ref="DE730:DI730"/>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P726:CT726"/>
    <mergeCell ref="CU741:CY741"/>
    <mergeCell ref="CZ739:DD739"/>
    <mergeCell ref="CK734:CL734"/>
    <mergeCell ref="CM734:CN734"/>
    <mergeCell ref="CK738:CL738"/>
    <mergeCell ref="CI731:CJ731"/>
    <mergeCell ref="CI728:CJ728"/>
    <mergeCell ref="CP725:CT725"/>
    <mergeCell ref="CU740:CY740"/>
    <mergeCell ref="CI739:CJ739"/>
    <mergeCell ref="CZ727:DD727"/>
    <mergeCell ref="CG735:CH735"/>
    <mergeCell ref="CI737:CJ737"/>
    <mergeCell ref="CM728:CN728"/>
    <mergeCell ref="CM739:CN739"/>
    <mergeCell ref="CZ724:DD724"/>
    <mergeCell ref="CU736:CY736"/>
    <mergeCell ref="DE734:DI734"/>
    <mergeCell ref="CG737:CH737"/>
    <mergeCell ref="CZ729:DD729"/>
    <mergeCell ref="CG733:CH733"/>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K737:N737"/>
    <mergeCell ref="K720:N720"/>
    <mergeCell ref="CI732:CJ732"/>
    <mergeCell ref="DE746:DI746"/>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K725:CL725"/>
    <mergeCell ref="CI734:CJ734"/>
    <mergeCell ref="CI719:CJ719"/>
    <mergeCell ref="AK720:AO720"/>
    <mergeCell ref="AK721:AO721"/>
    <mergeCell ref="AC739:AG739"/>
    <mergeCell ref="X732:AB732"/>
    <mergeCell ref="AI655:AK655"/>
    <mergeCell ref="G662:R662"/>
    <mergeCell ref="AG681:AH681"/>
    <mergeCell ref="AI687:AK687"/>
    <mergeCell ref="J705:O705"/>
    <mergeCell ref="Z655:AE655"/>
    <mergeCell ref="CM718:CN718"/>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K734:N734"/>
    <mergeCell ref="AH733:AJ733"/>
    <mergeCell ref="G685:R685"/>
    <mergeCell ref="G719:J719"/>
    <mergeCell ref="G714:J717"/>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F628:AJ628"/>
    <mergeCell ref="N599:O599"/>
    <mergeCell ref="AA590:AK590"/>
    <mergeCell ref="AI589:AK589"/>
    <mergeCell ref="Z596:AK596"/>
    <mergeCell ref="H598:R598"/>
    <mergeCell ref="AG583:AH583"/>
    <mergeCell ref="G588:R588"/>
    <mergeCell ref="AI613:AK613"/>
    <mergeCell ref="AA614:AK614"/>
    <mergeCell ref="AC624:AE626"/>
    <mergeCell ref="P581:R581"/>
    <mergeCell ref="N591:O591"/>
    <mergeCell ref="P589:R589"/>
    <mergeCell ref="Z588:AK588"/>
    <mergeCell ref="G593:R593"/>
    <mergeCell ref="H606:R606"/>
    <mergeCell ref="AI597:AK597"/>
    <mergeCell ref="AI605:AK605"/>
    <mergeCell ref="T560:V560"/>
    <mergeCell ref="Z561:AD561"/>
    <mergeCell ref="G586:R586"/>
    <mergeCell ref="W560:Y560"/>
    <mergeCell ref="P572:R572"/>
    <mergeCell ref="Z559:AD559"/>
    <mergeCell ref="Z562:AD562"/>
    <mergeCell ref="W561:Y561"/>
    <mergeCell ref="W562:Y562"/>
    <mergeCell ref="T559:V559"/>
    <mergeCell ref="C558:L558"/>
    <mergeCell ref="AE560:AH560"/>
    <mergeCell ref="N575:O575"/>
    <mergeCell ref="AI558:AL558"/>
    <mergeCell ref="C627:L627"/>
    <mergeCell ref="Z585:AK585"/>
    <mergeCell ref="G579:R579"/>
    <mergeCell ref="G594:R594"/>
    <mergeCell ref="Z594:AK594"/>
    <mergeCell ref="Z610:AK610"/>
    <mergeCell ref="AG447:AJ447"/>
    <mergeCell ref="AC454:AF454"/>
    <mergeCell ref="AA336:AK336"/>
    <mergeCell ref="H333:R33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AI556:AL556"/>
    <mergeCell ref="T557:V557"/>
    <mergeCell ref="Q389:U389"/>
    <mergeCell ref="AJ357:AK357"/>
    <mergeCell ref="D444:AF444"/>
    <mergeCell ref="D469:V469"/>
    <mergeCell ref="W473:Y473"/>
    <mergeCell ref="Q394:U394"/>
    <mergeCell ref="AD412:AE412"/>
    <mergeCell ref="H414:AE415"/>
    <mergeCell ref="AE425:AF425"/>
    <mergeCell ref="S489:AK490"/>
    <mergeCell ref="AA323:AF323"/>
    <mergeCell ref="Z555:AD555"/>
    <mergeCell ref="O535:AA535"/>
    <mergeCell ref="AH523:AK523"/>
    <mergeCell ref="AE554:AH554"/>
    <mergeCell ref="I421:K421"/>
    <mergeCell ref="AH524:AK524"/>
    <mergeCell ref="AH525:AK525"/>
    <mergeCell ref="P418:R418"/>
    <mergeCell ref="AF418:AH418"/>
    <mergeCell ref="AC528:AF528"/>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AC456:AF456"/>
    <mergeCell ref="D448:AF448"/>
    <mergeCell ref="AG445:AJ445"/>
    <mergeCell ref="AC507:AF507"/>
    <mergeCell ref="AA299:AF299"/>
    <mergeCell ref="AI299:AK299"/>
    <mergeCell ref="AA319:AK319"/>
    <mergeCell ref="AA291:AF291"/>
    <mergeCell ref="AI291:AK291"/>
    <mergeCell ref="H314:R314"/>
    <mergeCell ref="H316:M316"/>
    <mergeCell ref="AA322:AK322"/>
    <mergeCell ref="H292:M292"/>
    <mergeCell ref="H309:R309"/>
    <mergeCell ref="O529:AA529"/>
    <mergeCell ref="AH533:AK533"/>
    <mergeCell ref="M356:N356"/>
    <mergeCell ref="B520:H542"/>
    <mergeCell ref="Z432:AA432"/>
    <mergeCell ref="Q487:AK487"/>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19:R319"/>
    <mergeCell ref="AA316:AF316"/>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P299:R299"/>
    <mergeCell ref="H293:R293"/>
    <mergeCell ref="M264:AE264"/>
    <mergeCell ref="AB276:AD276"/>
    <mergeCell ref="Y278:AD278"/>
    <mergeCell ref="AA295:AK295"/>
    <mergeCell ref="AF259:AK259"/>
    <mergeCell ref="AC261:AE261"/>
    <mergeCell ref="M262:AE262"/>
    <mergeCell ref="H328:R328"/>
    <mergeCell ref="AI323:AK323"/>
    <mergeCell ref="AA320:AK320"/>
    <mergeCell ref="H317:R317"/>
    <mergeCell ref="P323:R323"/>
    <mergeCell ref="AA315:AF315"/>
    <mergeCell ref="P349:AE349"/>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A293:AK293"/>
    <mergeCell ref="L280:AD280"/>
    <mergeCell ref="H290:R290"/>
    <mergeCell ref="V276:W276"/>
    <mergeCell ref="AA301:AK301"/>
    <mergeCell ref="AA296:AK296"/>
    <mergeCell ref="H301:R301"/>
    <mergeCell ref="L277:AD277"/>
    <mergeCell ref="AA298:AK298"/>
    <mergeCell ref="AA292:AF292"/>
    <mergeCell ref="H313:R313"/>
    <mergeCell ref="AA314:AK314"/>
    <mergeCell ref="AA313:AK313"/>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AH254:AK254"/>
    <mergeCell ref="M259:AE259"/>
    <mergeCell ref="L275:AD275"/>
    <mergeCell ref="M263:R263"/>
    <mergeCell ref="M265:T265"/>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M244:AE244"/>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297:R297"/>
    <mergeCell ref="AA300:AF300"/>
    <mergeCell ref="W261:X261"/>
    <mergeCell ref="U263:W263"/>
    <mergeCell ref="M257:T257"/>
    <mergeCell ref="M256:AE256"/>
    <mergeCell ref="AA297:AK297"/>
    <mergeCell ref="H288:R288"/>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M252:AE252"/>
    <mergeCell ref="AF251:AK251"/>
    <mergeCell ref="M247:R247"/>
    <mergeCell ref="O159:T159"/>
    <mergeCell ref="T278:V278"/>
    <mergeCell ref="P291:R291"/>
    <mergeCell ref="AA287:AK287"/>
    <mergeCell ref="AA335:AK335"/>
    <mergeCell ref="AC347:AE347"/>
    <mergeCell ref="P343:AE343"/>
    <mergeCell ref="AA340:AF340"/>
    <mergeCell ref="P344:AE344"/>
    <mergeCell ref="AA338:AK338"/>
    <mergeCell ref="H337:R337"/>
    <mergeCell ref="P345:AE345"/>
    <mergeCell ref="R412:S412"/>
    <mergeCell ref="Q429:R429"/>
    <mergeCell ref="AC370:AF370"/>
    <mergeCell ref="AE402:AJ402"/>
    <mergeCell ref="AC385:AJ385"/>
    <mergeCell ref="H336:R336"/>
    <mergeCell ref="D441:AF441"/>
    <mergeCell ref="P425:Q425"/>
    <mergeCell ref="J173:S173"/>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AG437:AJ437"/>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9:AF339"/>
    <mergeCell ref="M358:N358"/>
    <mergeCell ref="R411:S411"/>
    <mergeCell ref="Y364:Z364"/>
    <mergeCell ref="N378:P378"/>
    <mergeCell ref="W418:Y418"/>
    <mergeCell ref="AG439:AJ439"/>
    <mergeCell ref="AE424:AF424"/>
    <mergeCell ref="N371:Q371"/>
    <mergeCell ref="V382:W382"/>
    <mergeCell ref="J367:K367"/>
    <mergeCell ref="H340:M340"/>
    <mergeCell ref="S402:U402"/>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G395:AJ395"/>
    <mergeCell ref="AI392:AJ392"/>
    <mergeCell ref="AG394:AJ394"/>
    <mergeCell ref="E420:AJ420"/>
    <mergeCell ref="V377:W377"/>
    <mergeCell ref="S377:T377"/>
    <mergeCell ref="D437:AF437"/>
    <mergeCell ref="D442:AF442"/>
    <mergeCell ref="AF430:AG430"/>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X718:AB718"/>
    <mergeCell ref="T720:W720"/>
    <mergeCell ref="K714:N717"/>
    <mergeCell ref="C635:L635"/>
    <mergeCell ref="P663:R663"/>
    <mergeCell ref="O719:S719"/>
    <mergeCell ref="Q559:S559"/>
    <mergeCell ref="Q638:S638"/>
    <mergeCell ref="H648:R648"/>
    <mergeCell ref="G646:R646"/>
    <mergeCell ref="Z652:AK652"/>
    <mergeCell ref="D449:AF449"/>
    <mergeCell ref="AE555:AH555"/>
    <mergeCell ref="Q555:S555"/>
    <mergeCell ref="S405:AJ405"/>
    <mergeCell ref="AG379:AH379"/>
    <mergeCell ref="S392:U392"/>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K748:CL748"/>
    <mergeCell ref="CM748:CN748"/>
    <mergeCell ref="CG749:CH749"/>
    <mergeCell ref="CG724:CH724"/>
    <mergeCell ref="CG730:CH730"/>
    <mergeCell ref="CG728:CH728"/>
    <mergeCell ref="X724:AB724"/>
    <mergeCell ref="CK752:CL752"/>
    <mergeCell ref="CP747:CT747"/>
    <mergeCell ref="CG748:CH748"/>
    <mergeCell ref="Z634:AB634"/>
    <mergeCell ref="CZ750:DD750"/>
    <mergeCell ref="AO640:AS640"/>
    <mergeCell ref="W636:Y636"/>
    <mergeCell ref="AA680:AK680"/>
    <mergeCell ref="T742:W74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630:L630"/>
    <mergeCell ref="C631:L631"/>
    <mergeCell ref="C632:L632"/>
    <mergeCell ref="P687:R687"/>
    <mergeCell ref="R705:T705"/>
    <mergeCell ref="B723:F723"/>
    <mergeCell ref="AF630:AJ630"/>
    <mergeCell ref="N583:O583"/>
    <mergeCell ref="AI560:AL560"/>
    <mergeCell ref="M635:P635"/>
    <mergeCell ref="CK723:CL723"/>
    <mergeCell ref="CK721:CL721"/>
    <mergeCell ref="CM726:CN726"/>
    <mergeCell ref="T630:V630"/>
    <mergeCell ref="C561:L561"/>
    <mergeCell ref="N607:O607"/>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T556:V556"/>
    <mergeCell ref="AC520:AF520"/>
    <mergeCell ref="Z569:AK569"/>
    <mergeCell ref="X745:AB745"/>
    <mergeCell ref="X746:AB746"/>
    <mergeCell ref="CK746:CL746"/>
    <mergeCell ref="CM746:CN746"/>
    <mergeCell ref="CG739:CH739"/>
    <mergeCell ref="CG740:CH740"/>
    <mergeCell ref="CK737:CL737"/>
    <mergeCell ref="CG732:CH732"/>
    <mergeCell ref="CP734:CT734"/>
    <mergeCell ref="CP751:CT751"/>
    <mergeCell ref="CM751:CN751"/>
    <mergeCell ref="CP723:CT723"/>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AH513:AK513"/>
    <mergeCell ref="AC531:AF531"/>
    <mergeCell ref="AC539:AF539"/>
    <mergeCell ref="L508:AB508"/>
    <mergeCell ref="O520:AA520"/>
    <mergeCell ref="AH518:AK518"/>
    <mergeCell ref="AH514:AK514"/>
    <mergeCell ref="AH539:AK539"/>
    <mergeCell ref="AH541:AK541"/>
    <mergeCell ref="AC535:AF535"/>
    <mergeCell ref="AG443:AJ443"/>
    <mergeCell ref="M555:P555"/>
    <mergeCell ref="Q557:S557"/>
    <mergeCell ref="Z557:AD557"/>
    <mergeCell ref="M556:P556"/>
    <mergeCell ref="C559:L559"/>
    <mergeCell ref="AH510:AK510"/>
    <mergeCell ref="AA582:AK582"/>
    <mergeCell ref="B566:AL566"/>
    <mergeCell ref="Q554:S554"/>
    <mergeCell ref="AH529:AK529"/>
    <mergeCell ref="AH534:AK534"/>
    <mergeCell ref="AC510:AF510"/>
    <mergeCell ref="Z554:AD554"/>
    <mergeCell ref="M558:P558"/>
    <mergeCell ref="Q560:S560"/>
    <mergeCell ref="Q565:S565"/>
    <mergeCell ref="Q561:S561"/>
    <mergeCell ref="C562:L562"/>
    <mergeCell ref="AF574:AK574"/>
    <mergeCell ref="AH519:AK519"/>
    <mergeCell ref="AH536:AK536"/>
    <mergeCell ref="Q556:S556"/>
    <mergeCell ref="C565:L565"/>
    <mergeCell ref="W558:Y558"/>
    <mergeCell ref="AE558:AH558"/>
    <mergeCell ref="C557:L557"/>
    <mergeCell ref="Z570:AK570"/>
    <mergeCell ref="T565:V565"/>
    <mergeCell ref="C560:L560"/>
    <mergeCell ref="Z560:AD560"/>
    <mergeCell ref="AI563:AL563"/>
    <mergeCell ref="Z563:AD56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AH531:AK531"/>
    <mergeCell ref="AH540:AK540"/>
    <mergeCell ref="AC515:AF515"/>
    <mergeCell ref="AC514:AF514"/>
    <mergeCell ref="AH538:AK538"/>
    <mergeCell ref="Z551:AD553"/>
    <mergeCell ref="AI554:AL554"/>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Q551:S553"/>
    <mergeCell ref="T551:V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U741:DY741"/>
    <mergeCell ref="DZ741:ED741"/>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view="pageBreakPreview" topLeftCell="L28" zoomScale="85" zoomScaleNormal="70" zoomScaleSheetLayoutView="85" workbookViewId="0">
      <selection activeCell="S46" sqref="S46"/>
    </sheetView>
  </sheetViews>
  <sheetFormatPr defaultColWidth="0" defaultRowHeight="11.4" zeroHeight="1"/>
  <cols>
    <col min="1" max="1" width="35.6640625" style="99" customWidth="1"/>
    <col min="2" max="12" width="12.109375" style="85" customWidth="1"/>
    <col min="13" max="17" width="11.33203125" style="85" customWidth="1"/>
    <col min="18" max="18" width="12.6640625" style="85" customWidth="1"/>
    <col min="19" max="20" width="12.109375" style="85" customWidth="1"/>
    <col min="21" max="21" width="0.33203125" style="87" customWidth="1"/>
    <col min="22" max="16383" width="8.88671875" style="85" hidden="1"/>
    <col min="16384" max="16384" width="0.109375" style="85" customWidth="1"/>
  </cols>
  <sheetData>
    <row r="1" spans="1:21" s="62" customFormat="1" ht="13.8">
      <c r="A1" s="1037" t="s">
        <v>1762</v>
      </c>
      <c r="B1" s="73"/>
      <c r="C1" s="73"/>
      <c r="D1" s="73"/>
      <c r="E1" s="74"/>
      <c r="F1" s="1799" t="s">
        <v>1763</v>
      </c>
      <c r="G1" s="1800"/>
      <c r="H1" s="1800"/>
      <c r="I1" s="1800"/>
      <c r="J1" s="1800"/>
      <c r="K1" s="1800"/>
      <c r="L1" s="1800"/>
      <c r="M1" s="1800"/>
      <c r="N1" s="1800"/>
      <c r="O1" s="1800"/>
      <c r="P1" s="1800"/>
      <c r="Q1" s="1800"/>
      <c r="R1" s="1801"/>
      <c r="S1" s="64"/>
      <c r="T1" s="63"/>
      <c r="U1" s="65"/>
    </row>
    <row r="2" spans="1:21" s="79" customFormat="1" ht="71.25" customHeight="1">
      <c r="A2" s="78"/>
      <c r="B2" s="79" t="s">
        <v>1764</v>
      </c>
      <c r="C2" s="79" t="s">
        <v>1765</v>
      </c>
      <c r="D2" s="79" t="s">
        <v>1766</v>
      </c>
      <c r="E2" s="79" t="s">
        <v>1767</v>
      </c>
      <c r="F2" s="80" t="str">
        <f>Application!B627&amp;Application!C627</f>
        <v>1)CitiBank Permenant Loan</v>
      </c>
      <c r="G2" s="80" t="str">
        <f>Application!B628&amp;Application!C628</f>
        <v>2)Safehold TILoan</v>
      </c>
      <c r="H2" s="80" t="str">
        <f>Application!B629&amp;Application!C629</f>
        <v>3)Deferred Developer Fee</v>
      </c>
      <c r="I2" s="80" t="str">
        <f>Application!B630&amp;Application!C630</f>
        <v>4)</v>
      </c>
      <c r="J2" s="80" t="str">
        <f>Application!B631&amp;Application!C631</f>
        <v>5)</v>
      </c>
      <c r="K2" s="80" t="str">
        <f>Application!B632&amp;Application!C632</f>
        <v>6)</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1768</v>
      </c>
      <c r="S2" s="79" t="s">
        <v>1769</v>
      </c>
      <c r="T2" s="79" t="s">
        <v>1770</v>
      </c>
      <c r="U2" s="81"/>
    </row>
    <row r="3" spans="1:21" s="82" customFormat="1">
      <c r="A3" s="1038" t="s">
        <v>1771</v>
      </c>
      <c r="B3" s="1039"/>
      <c r="C3" s="1039"/>
      <c r="D3" s="1039"/>
      <c r="E3" s="1039"/>
      <c r="F3" s="1039"/>
      <c r="G3" s="1039"/>
      <c r="H3" s="1039"/>
      <c r="I3" s="1039"/>
      <c r="J3" s="1039"/>
      <c r="K3" s="1039"/>
      <c r="L3" s="1039"/>
      <c r="M3" s="1039"/>
      <c r="N3" s="1039"/>
      <c r="O3" s="1039"/>
      <c r="P3" s="1039"/>
      <c r="Q3" s="1039"/>
      <c r="R3" s="1039"/>
      <c r="S3" s="1039"/>
      <c r="T3" s="1039"/>
      <c r="U3" s="1040"/>
    </row>
    <row r="4" spans="1:21" s="82" customFormat="1">
      <c r="A4" s="1041" t="s">
        <v>1772</v>
      </c>
      <c r="B4" s="1042">
        <f>SUM(C4+D4)</f>
        <v>0</v>
      </c>
      <c r="C4" s="1043"/>
      <c r="D4" s="1043"/>
      <c r="E4" s="1043"/>
      <c r="F4" s="1043"/>
      <c r="G4" s="1043"/>
      <c r="H4" s="1043"/>
      <c r="I4" s="1043"/>
      <c r="J4" s="1043"/>
      <c r="K4" s="1043"/>
      <c r="L4" s="1043"/>
      <c r="M4" s="1043"/>
      <c r="N4" s="1043"/>
      <c r="O4" s="1043"/>
      <c r="P4" s="1043"/>
      <c r="Q4" s="1043"/>
      <c r="R4" s="1044">
        <f>SUM(E4:Q4)</f>
        <v>0</v>
      </c>
      <c r="S4" s="1045"/>
      <c r="T4" s="1045"/>
      <c r="U4" s="1040"/>
    </row>
    <row r="5" spans="1:21" s="82" customFormat="1">
      <c r="A5" s="1041" t="s">
        <v>690</v>
      </c>
      <c r="B5" s="1042">
        <f>SUM(C5+D5)</f>
        <v>0</v>
      </c>
      <c r="C5" s="1043"/>
      <c r="D5" s="1043"/>
      <c r="E5" s="1043"/>
      <c r="F5" s="1043"/>
      <c r="G5" s="1043"/>
      <c r="H5" s="1043"/>
      <c r="I5" s="1043"/>
      <c r="J5" s="1043"/>
      <c r="K5" s="1043"/>
      <c r="L5" s="1043"/>
      <c r="M5" s="1043"/>
      <c r="N5" s="1043"/>
      <c r="O5" s="1043"/>
      <c r="P5" s="1043"/>
      <c r="Q5" s="1043"/>
      <c r="R5" s="1044">
        <f>SUM(E5:Q5)</f>
        <v>0</v>
      </c>
      <c r="S5" s="1045"/>
      <c r="T5" s="1045"/>
      <c r="U5" s="1040"/>
    </row>
    <row r="6" spans="1:21" s="82" customFormat="1">
      <c r="A6" s="1041" t="s">
        <v>1773</v>
      </c>
      <c r="B6" s="1042">
        <f>SUM(C6+D6)</f>
        <v>0</v>
      </c>
      <c r="C6" s="1043"/>
      <c r="D6" s="1043"/>
      <c r="E6" s="1043"/>
      <c r="F6" s="1043"/>
      <c r="G6" s="1043"/>
      <c r="H6" s="1043"/>
      <c r="I6" s="1043"/>
      <c r="J6" s="1043"/>
      <c r="K6" s="1043"/>
      <c r="L6" s="1043"/>
      <c r="M6" s="1043"/>
      <c r="N6" s="1043"/>
      <c r="O6" s="1043"/>
      <c r="P6" s="1043"/>
      <c r="Q6" s="1043"/>
      <c r="R6" s="1044">
        <f>SUM(E6:Q6)</f>
        <v>0</v>
      </c>
      <c r="S6" s="1045"/>
      <c r="T6" s="1045"/>
      <c r="U6" s="1040"/>
    </row>
    <row r="7" spans="1:21" s="82" customFormat="1">
      <c r="A7" s="1041" t="s">
        <v>1774</v>
      </c>
      <c r="B7" s="1042">
        <f>SUM(C7+D7)</f>
        <v>0</v>
      </c>
      <c r="C7" s="1043"/>
      <c r="D7" s="1043"/>
      <c r="E7" s="1043"/>
      <c r="F7" s="1043"/>
      <c r="G7" s="1043"/>
      <c r="H7" s="1043"/>
      <c r="I7" s="1043"/>
      <c r="J7" s="1043"/>
      <c r="K7" s="1043"/>
      <c r="L7" s="1043"/>
      <c r="M7" s="1043"/>
      <c r="N7" s="1043"/>
      <c r="O7" s="1043"/>
      <c r="P7" s="1043"/>
      <c r="Q7" s="1043"/>
      <c r="R7" s="1044">
        <f>SUM(E7:Q7)</f>
        <v>0</v>
      </c>
      <c r="S7" s="1045"/>
      <c r="T7" s="1045"/>
      <c r="U7" s="1040"/>
    </row>
    <row r="8" spans="1:21" s="82" customFormat="1" ht="12">
      <c r="A8" s="1046" t="s">
        <v>1775</v>
      </c>
      <c r="B8" s="1042">
        <f>SUM(C8:D8)</f>
        <v>0</v>
      </c>
      <c r="C8" s="1042">
        <f t="shared" ref="C8:Q8" si="0">SUM(C4:C7)</f>
        <v>0</v>
      </c>
      <c r="D8" s="1042">
        <f t="shared" si="0"/>
        <v>0</v>
      </c>
      <c r="E8" s="1042">
        <f t="shared" si="0"/>
        <v>0</v>
      </c>
      <c r="F8" s="1042">
        <f t="shared" si="0"/>
        <v>0</v>
      </c>
      <c r="G8" s="1042">
        <f t="shared" si="0"/>
        <v>0</v>
      </c>
      <c r="H8" s="1042">
        <f t="shared" si="0"/>
        <v>0</v>
      </c>
      <c r="I8" s="1042">
        <f t="shared" si="0"/>
        <v>0</v>
      </c>
      <c r="J8" s="1042">
        <f t="shared" si="0"/>
        <v>0</v>
      </c>
      <c r="K8" s="1042">
        <f t="shared" si="0"/>
        <v>0</v>
      </c>
      <c r="L8" s="1042">
        <f t="shared" si="0"/>
        <v>0</v>
      </c>
      <c r="M8" s="1042">
        <f t="shared" si="0"/>
        <v>0</v>
      </c>
      <c r="N8" s="1042">
        <f t="shared" si="0"/>
        <v>0</v>
      </c>
      <c r="O8" s="1042">
        <f t="shared" si="0"/>
        <v>0</v>
      </c>
      <c r="P8" s="1042"/>
      <c r="Q8" s="1042">
        <f t="shared" si="0"/>
        <v>0</v>
      </c>
      <c r="R8" s="1042">
        <f>SUM(R4:R7)</f>
        <v>0</v>
      </c>
      <c r="S8" s="1045"/>
      <c r="T8" s="1045"/>
      <c r="U8" s="1040"/>
    </row>
    <row r="9" spans="1:21" s="82" customFormat="1">
      <c r="A9" s="1041" t="s">
        <v>1776</v>
      </c>
      <c r="B9" s="1042">
        <f>SUM(C9+D9)</f>
        <v>0</v>
      </c>
      <c r="C9" s="1043"/>
      <c r="D9" s="1043"/>
      <c r="E9" s="1043"/>
      <c r="F9" s="1043"/>
      <c r="G9" s="1043"/>
      <c r="H9" s="1043"/>
      <c r="I9" s="1043"/>
      <c r="J9" s="1043"/>
      <c r="K9" s="1043"/>
      <c r="L9" s="1043"/>
      <c r="M9" s="1043"/>
      <c r="N9" s="1043"/>
      <c r="O9" s="1043"/>
      <c r="P9" s="1043"/>
      <c r="Q9" s="1043"/>
      <c r="R9" s="1044">
        <f>SUM(E9:Q9)</f>
        <v>0</v>
      </c>
      <c r="S9" s="1045"/>
      <c r="T9" s="1043"/>
      <c r="U9" s="1040"/>
    </row>
    <row r="10" spans="1:21" s="82" customFormat="1">
      <c r="A10" s="1041" t="s">
        <v>1777</v>
      </c>
      <c r="B10" s="1042">
        <f>SUM(C10+D10)</f>
        <v>500000</v>
      </c>
      <c r="C10" s="1043">
        <v>500000</v>
      </c>
      <c r="D10" s="1043"/>
      <c r="E10" s="1043"/>
      <c r="F10" s="1043">
        <v>500000</v>
      </c>
      <c r="G10" s="1043"/>
      <c r="H10" s="1043"/>
      <c r="I10" s="1043"/>
      <c r="J10" s="1043"/>
      <c r="K10" s="1043"/>
      <c r="L10" s="1043"/>
      <c r="M10" s="1043"/>
      <c r="N10" s="1043"/>
      <c r="O10" s="1043"/>
      <c r="P10" s="1043"/>
      <c r="Q10" s="1043"/>
      <c r="R10" s="1044">
        <f>SUM(E10:Q10)</f>
        <v>500000</v>
      </c>
      <c r="S10" s="1043">
        <v>500000</v>
      </c>
      <c r="T10" s="1043"/>
      <c r="U10" s="1040"/>
    </row>
    <row r="11" spans="1:21" s="82" customFormat="1" ht="12">
      <c r="A11" s="1046" t="s">
        <v>1778</v>
      </c>
      <c r="B11" s="1042">
        <f>SUM(C11:D11)</f>
        <v>500000</v>
      </c>
      <c r="C11" s="1042">
        <f t="shared" ref="C11:Q11" si="1">SUM(C9:C10)</f>
        <v>500000</v>
      </c>
      <c r="D11" s="1042">
        <f t="shared" si="1"/>
        <v>0</v>
      </c>
      <c r="E11" s="1042">
        <f t="shared" si="1"/>
        <v>0</v>
      </c>
      <c r="F11" s="1042">
        <f t="shared" si="1"/>
        <v>500000</v>
      </c>
      <c r="G11" s="1042">
        <f t="shared" si="1"/>
        <v>0</v>
      </c>
      <c r="H11" s="1042">
        <f t="shared" si="1"/>
        <v>0</v>
      </c>
      <c r="I11" s="1042">
        <f t="shared" si="1"/>
        <v>0</v>
      </c>
      <c r="J11" s="1042">
        <f t="shared" si="1"/>
        <v>0</v>
      </c>
      <c r="K11" s="1042">
        <f t="shared" si="1"/>
        <v>0</v>
      </c>
      <c r="L11" s="1042">
        <f t="shared" si="1"/>
        <v>0</v>
      </c>
      <c r="M11" s="1042">
        <f t="shared" si="1"/>
        <v>0</v>
      </c>
      <c r="N11" s="1042">
        <f t="shared" si="1"/>
        <v>0</v>
      </c>
      <c r="O11" s="1042">
        <f t="shared" si="1"/>
        <v>0</v>
      </c>
      <c r="P11" s="1042"/>
      <c r="Q11" s="1042">
        <f t="shared" si="1"/>
        <v>0</v>
      </c>
      <c r="R11" s="1042">
        <f>SUM(R9:R10)</f>
        <v>500000</v>
      </c>
      <c r="S11" s="1045"/>
      <c r="T11" s="1047">
        <f>SUM(T9:T10)</f>
        <v>0</v>
      </c>
      <c r="U11" s="1040"/>
    </row>
    <row r="12" spans="1:21" s="82" customFormat="1" ht="12">
      <c r="A12" s="1046" t="s">
        <v>1779</v>
      </c>
      <c r="B12" s="1042">
        <f t="shared" ref="B12:Q12" si="2">SUM(B8+B11)</f>
        <v>500000</v>
      </c>
      <c r="C12" s="1042">
        <f t="shared" si="2"/>
        <v>500000</v>
      </c>
      <c r="D12" s="1042">
        <f t="shared" si="2"/>
        <v>0</v>
      </c>
      <c r="E12" s="1042">
        <f t="shared" si="2"/>
        <v>0</v>
      </c>
      <c r="F12" s="1042">
        <f t="shared" si="2"/>
        <v>500000</v>
      </c>
      <c r="G12" s="1042">
        <f t="shared" si="2"/>
        <v>0</v>
      </c>
      <c r="H12" s="1042">
        <f t="shared" si="2"/>
        <v>0</v>
      </c>
      <c r="I12" s="1042">
        <f t="shared" si="2"/>
        <v>0</v>
      </c>
      <c r="J12" s="1042">
        <f t="shared" si="2"/>
        <v>0</v>
      </c>
      <c r="K12" s="1042">
        <f t="shared" si="2"/>
        <v>0</v>
      </c>
      <c r="L12" s="1042">
        <f t="shared" si="2"/>
        <v>0</v>
      </c>
      <c r="M12" s="1042">
        <f t="shared" si="2"/>
        <v>0</v>
      </c>
      <c r="N12" s="1042">
        <f t="shared" si="2"/>
        <v>0</v>
      </c>
      <c r="O12" s="1042">
        <f t="shared" si="2"/>
        <v>0</v>
      </c>
      <c r="P12" s="1042"/>
      <c r="Q12" s="1042">
        <f t="shared" si="2"/>
        <v>0</v>
      </c>
      <c r="R12" s="1042">
        <f>SUM(R8+R11)</f>
        <v>500000</v>
      </c>
      <c r="S12" s="1045"/>
      <c r="T12" s="1045"/>
      <c r="U12" s="1040"/>
    </row>
    <row r="13" spans="1:21" s="82" customFormat="1">
      <c r="A13" s="1048" t="s">
        <v>1780</v>
      </c>
      <c r="B13" s="1042">
        <f>SUM(C13+D13)</f>
        <v>0</v>
      </c>
      <c r="C13" s="1043"/>
      <c r="D13" s="1043"/>
      <c r="E13" s="1043"/>
      <c r="F13" s="1043"/>
      <c r="G13" s="1043"/>
      <c r="H13" s="1043"/>
      <c r="I13" s="1043"/>
      <c r="J13" s="1043"/>
      <c r="K13" s="1043"/>
      <c r="L13" s="1043"/>
      <c r="M13" s="1043"/>
      <c r="N13" s="1043"/>
      <c r="O13" s="1043"/>
      <c r="P13" s="1043"/>
      <c r="Q13" s="1043"/>
      <c r="R13" s="1044">
        <f>SUM(E13:Q13)</f>
        <v>0</v>
      </c>
      <c r="S13" s="1043"/>
      <c r="T13" s="1043"/>
      <c r="U13" s="1040"/>
    </row>
    <row r="14" spans="1:21" s="82" customFormat="1" ht="22.8">
      <c r="A14" s="1049" t="s">
        <v>1781</v>
      </c>
      <c r="B14" s="1042">
        <f>SUM(C14+D14)</f>
        <v>0</v>
      </c>
      <c r="C14" s="1043"/>
      <c r="D14" s="1043"/>
      <c r="E14" s="1043"/>
      <c r="F14" s="1043"/>
      <c r="G14" s="1043"/>
      <c r="H14" s="1043"/>
      <c r="I14" s="1043"/>
      <c r="J14" s="1043"/>
      <c r="K14" s="1043"/>
      <c r="L14" s="1043"/>
      <c r="M14" s="1043"/>
      <c r="N14" s="1043"/>
      <c r="O14" s="1043"/>
      <c r="P14" s="1043"/>
      <c r="Q14" s="1043"/>
      <c r="R14" s="1044">
        <f>SUM(E14:Q14)</f>
        <v>0</v>
      </c>
      <c r="S14" s="1043"/>
      <c r="T14" s="1043"/>
      <c r="U14" s="1040"/>
    </row>
    <row r="15" spans="1:21" s="82" customFormat="1">
      <c r="A15" s="1049" t="s">
        <v>1782</v>
      </c>
      <c r="B15" s="1042">
        <f>SUM(C15+D15)</f>
        <v>0</v>
      </c>
      <c r="C15" s="1043"/>
      <c r="D15" s="1043"/>
      <c r="E15" s="1043"/>
      <c r="F15" s="1043"/>
      <c r="G15" s="1043"/>
      <c r="H15" s="1043"/>
      <c r="I15" s="1043"/>
      <c r="J15" s="1043"/>
      <c r="K15" s="1043"/>
      <c r="L15" s="1043"/>
      <c r="M15" s="1043"/>
      <c r="N15" s="1043"/>
      <c r="O15" s="1043"/>
      <c r="P15" s="1043"/>
      <c r="Q15" s="1043"/>
      <c r="R15" s="1044">
        <f>SUM(E15:Q15)</f>
        <v>0</v>
      </c>
      <c r="S15" s="1045"/>
      <c r="T15" s="1045"/>
      <c r="U15" s="1040"/>
    </row>
    <row r="16" spans="1:21" s="82" customFormat="1">
      <c r="A16" s="1038" t="s">
        <v>1783</v>
      </c>
      <c r="B16" s="1039"/>
      <c r="C16" s="1039"/>
      <c r="D16" s="1039"/>
      <c r="E16" s="1050"/>
      <c r="F16" s="1050"/>
      <c r="G16" s="1050"/>
      <c r="H16" s="1050"/>
      <c r="I16" s="1050"/>
      <c r="J16" s="1050"/>
      <c r="K16" s="1050"/>
      <c r="L16" s="1050"/>
      <c r="M16" s="1050"/>
      <c r="N16" s="1050"/>
      <c r="O16" s="1050"/>
      <c r="P16" s="1050"/>
      <c r="Q16" s="1050"/>
      <c r="R16" s="1050"/>
      <c r="S16" s="1039"/>
      <c r="T16" s="1039"/>
      <c r="U16" s="1040"/>
    </row>
    <row r="17" spans="1:21" s="82" customFormat="1">
      <c r="A17" s="1041" t="s">
        <v>1784</v>
      </c>
      <c r="B17" s="1042">
        <f t="shared" ref="B17:B26" si="3">SUM(C17+D17)</f>
        <v>0</v>
      </c>
      <c r="C17" s="1043"/>
      <c r="D17" s="1043"/>
      <c r="E17" s="1043"/>
      <c r="F17" s="1043"/>
      <c r="G17" s="1043"/>
      <c r="H17" s="1043"/>
      <c r="I17" s="1043"/>
      <c r="J17" s="1043"/>
      <c r="K17" s="1043"/>
      <c r="L17" s="1043"/>
      <c r="M17" s="1043"/>
      <c r="N17" s="1043"/>
      <c r="O17" s="1043"/>
      <c r="P17" s="1043"/>
      <c r="Q17" s="1043"/>
      <c r="R17" s="1044">
        <f>SUM(E17:Q17)</f>
        <v>0</v>
      </c>
      <c r="S17" s="1043"/>
      <c r="T17" s="1043"/>
      <c r="U17" s="1040"/>
    </row>
    <row r="18" spans="1:21" s="82" customFormat="1">
      <c r="A18" s="1041" t="s">
        <v>1785</v>
      </c>
      <c r="B18" s="1042">
        <f t="shared" si="3"/>
        <v>0</v>
      </c>
      <c r="C18" s="1043"/>
      <c r="D18" s="1043"/>
      <c r="E18" s="1043"/>
      <c r="F18" s="1043"/>
      <c r="G18" s="1043"/>
      <c r="H18" s="1043"/>
      <c r="I18" s="1043"/>
      <c r="J18" s="1043"/>
      <c r="K18" s="1043"/>
      <c r="L18" s="1043"/>
      <c r="M18" s="1043"/>
      <c r="N18" s="1043"/>
      <c r="O18" s="1043"/>
      <c r="P18" s="1043"/>
      <c r="Q18" s="1043"/>
      <c r="R18" s="1044">
        <f>SUM(E18:Q18)</f>
        <v>0</v>
      </c>
      <c r="S18" s="1043"/>
      <c r="T18" s="1043"/>
      <c r="U18" s="1040"/>
    </row>
    <row r="19" spans="1:21" s="82" customFormat="1">
      <c r="A19" s="1041" t="s">
        <v>1786</v>
      </c>
      <c r="B19" s="1042">
        <f t="shared" si="3"/>
        <v>0</v>
      </c>
      <c r="C19" s="1043"/>
      <c r="D19" s="1043"/>
      <c r="E19" s="1043"/>
      <c r="F19" s="1043"/>
      <c r="G19" s="1043"/>
      <c r="H19" s="1043"/>
      <c r="I19" s="1043"/>
      <c r="J19" s="1043"/>
      <c r="K19" s="1043"/>
      <c r="L19" s="1043"/>
      <c r="M19" s="1043"/>
      <c r="N19" s="1043"/>
      <c r="O19" s="1043"/>
      <c r="P19" s="1043"/>
      <c r="Q19" s="1043"/>
      <c r="R19" s="1044">
        <f>SUM(E19:Q19)</f>
        <v>0</v>
      </c>
      <c r="S19" s="1043"/>
      <c r="T19" s="1043"/>
      <c r="U19" s="1040"/>
    </row>
    <row r="20" spans="1:21" s="82" customFormat="1">
      <c r="A20" s="1041" t="s">
        <v>1787</v>
      </c>
      <c r="B20" s="1042">
        <f t="shared" si="3"/>
        <v>0</v>
      </c>
      <c r="C20" s="1043"/>
      <c r="D20" s="1043"/>
      <c r="E20" s="1043"/>
      <c r="F20" s="1043"/>
      <c r="G20" s="1043"/>
      <c r="H20" s="1043"/>
      <c r="I20" s="1043"/>
      <c r="J20" s="1043"/>
      <c r="K20" s="1043"/>
      <c r="L20" s="1043"/>
      <c r="M20" s="1043"/>
      <c r="N20" s="1043"/>
      <c r="O20" s="1043"/>
      <c r="P20" s="1043"/>
      <c r="Q20" s="1043"/>
      <c r="R20" s="1044">
        <f t="shared" ref="R20:R27" si="4">SUM(E20:Q20)</f>
        <v>0</v>
      </c>
      <c r="S20" s="1043"/>
      <c r="T20" s="1043"/>
      <c r="U20" s="1040"/>
    </row>
    <row r="21" spans="1:21" s="82" customFormat="1">
      <c r="A21" s="1041" t="s">
        <v>1788</v>
      </c>
      <c r="B21" s="1042">
        <f t="shared" si="3"/>
        <v>0</v>
      </c>
      <c r="C21" s="1043"/>
      <c r="D21" s="1043"/>
      <c r="E21" s="1043"/>
      <c r="F21" s="1043"/>
      <c r="G21" s="1043"/>
      <c r="H21" s="1043"/>
      <c r="I21" s="1043"/>
      <c r="J21" s="1043"/>
      <c r="K21" s="1043"/>
      <c r="L21" s="1043"/>
      <c r="M21" s="1043"/>
      <c r="N21" s="1043"/>
      <c r="O21" s="1043"/>
      <c r="P21" s="1043"/>
      <c r="Q21" s="1043"/>
      <c r="R21" s="1044">
        <f t="shared" si="4"/>
        <v>0</v>
      </c>
      <c r="S21" s="1043"/>
      <c r="T21" s="1043"/>
      <c r="U21" s="1040"/>
    </row>
    <row r="22" spans="1:21" s="82" customFormat="1">
      <c r="A22" s="1041" t="s">
        <v>1789</v>
      </c>
      <c r="B22" s="1042">
        <f t="shared" si="3"/>
        <v>0</v>
      </c>
      <c r="C22" s="1043"/>
      <c r="D22" s="1043"/>
      <c r="E22" s="1043"/>
      <c r="F22" s="1043"/>
      <c r="G22" s="1043"/>
      <c r="H22" s="1043"/>
      <c r="I22" s="1043"/>
      <c r="J22" s="1043"/>
      <c r="K22" s="1043"/>
      <c r="L22" s="1043"/>
      <c r="M22" s="1043"/>
      <c r="N22" s="1043"/>
      <c r="O22" s="1043"/>
      <c r="P22" s="1043"/>
      <c r="Q22" s="1043"/>
      <c r="R22" s="1044">
        <f t="shared" si="4"/>
        <v>0</v>
      </c>
      <c r="S22" s="1043"/>
      <c r="T22" s="1043"/>
      <c r="U22" s="1040"/>
    </row>
    <row r="23" spans="1:21" s="82" customFormat="1">
      <c r="A23" s="1041" t="s">
        <v>1790</v>
      </c>
      <c r="B23" s="1042">
        <f t="shared" si="3"/>
        <v>0</v>
      </c>
      <c r="C23" s="1043"/>
      <c r="D23" s="1043"/>
      <c r="E23" s="1043"/>
      <c r="F23" s="1043"/>
      <c r="G23" s="1043"/>
      <c r="H23" s="1043"/>
      <c r="I23" s="1043"/>
      <c r="J23" s="1043"/>
      <c r="K23" s="1043"/>
      <c r="L23" s="1043"/>
      <c r="M23" s="1043"/>
      <c r="N23" s="1043"/>
      <c r="O23" s="1043"/>
      <c r="P23" s="1043"/>
      <c r="Q23" s="1043"/>
      <c r="R23" s="1044">
        <f t="shared" si="4"/>
        <v>0</v>
      </c>
      <c r="S23" s="1043"/>
      <c r="T23" s="1043"/>
      <c r="U23" s="1040"/>
    </row>
    <row r="24" spans="1:21" s="82" customFormat="1">
      <c r="A24" s="1051" t="s">
        <v>1791</v>
      </c>
      <c r="B24" s="1042">
        <f t="shared" si="3"/>
        <v>0</v>
      </c>
      <c r="C24" s="1043"/>
      <c r="D24" s="1043"/>
      <c r="E24" s="1043"/>
      <c r="F24" s="1043"/>
      <c r="G24" s="1043"/>
      <c r="H24" s="1043"/>
      <c r="I24" s="1043"/>
      <c r="J24" s="1043"/>
      <c r="K24" s="1043"/>
      <c r="L24" s="1043"/>
      <c r="M24" s="1043"/>
      <c r="N24" s="1043"/>
      <c r="O24" s="1043"/>
      <c r="P24" s="1043"/>
      <c r="Q24" s="1043"/>
      <c r="R24" s="1044">
        <f t="shared" si="4"/>
        <v>0</v>
      </c>
      <c r="S24" s="1043"/>
      <c r="T24" s="1043"/>
      <c r="U24" s="1040"/>
    </row>
    <row r="25" spans="1:21" s="82" customFormat="1">
      <c r="A25" s="1052" t="s">
        <v>1792</v>
      </c>
      <c r="B25" s="1042">
        <f t="shared" si="3"/>
        <v>0</v>
      </c>
      <c r="C25" s="1043"/>
      <c r="D25" s="1043"/>
      <c r="E25" s="1043"/>
      <c r="F25" s="1043"/>
      <c r="G25" s="1043"/>
      <c r="H25" s="1043"/>
      <c r="I25" s="1043"/>
      <c r="J25" s="1043"/>
      <c r="K25" s="1043"/>
      <c r="L25" s="1043"/>
      <c r="M25" s="1043"/>
      <c r="N25" s="1043"/>
      <c r="O25" s="1043"/>
      <c r="P25" s="1043"/>
      <c r="Q25" s="1043"/>
      <c r="R25" s="1044">
        <f t="shared" si="4"/>
        <v>0</v>
      </c>
      <c r="S25" s="1043"/>
      <c r="T25" s="1043"/>
      <c r="U25" s="1040"/>
    </row>
    <row r="26" spans="1:21" s="82" customFormat="1" ht="12">
      <c r="A26" s="1046" t="s">
        <v>1793</v>
      </c>
      <c r="B26" s="1042">
        <f t="shared" si="3"/>
        <v>0</v>
      </c>
      <c r="C26" s="1042">
        <f>SUM(C17:C25)</f>
        <v>0</v>
      </c>
      <c r="D26" s="1042">
        <f t="shared" ref="D26:Q26" si="5">SUM(D17:D25)</f>
        <v>0</v>
      </c>
      <c r="E26" s="1042">
        <f t="shared" si="5"/>
        <v>0</v>
      </c>
      <c r="F26" s="1042">
        <f t="shared" si="5"/>
        <v>0</v>
      </c>
      <c r="G26" s="1042">
        <f t="shared" si="5"/>
        <v>0</v>
      </c>
      <c r="H26" s="1042">
        <f t="shared" si="5"/>
        <v>0</v>
      </c>
      <c r="I26" s="1042">
        <f t="shared" si="5"/>
        <v>0</v>
      </c>
      <c r="J26" s="1042">
        <f t="shared" si="5"/>
        <v>0</v>
      </c>
      <c r="K26" s="1042">
        <f t="shared" si="5"/>
        <v>0</v>
      </c>
      <c r="L26" s="1042">
        <f t="shared" si="5"/>
        <v>0</v>
      </c>
      <c r="M26" s="1042">
        <f t="shared" si="5"/>
        <v>0</v>
      </c>
      <c r="N26" s="1042">
        <f t="shared" si="5"/>
        <v>0</v>
      </c>
      <c r="O26" s="1042">
        <f t="shared" si="5"/>
        <v>0</v>
      </c>
      <c r="P26" s="1042">
        <f t="shared" si="5"/>
        <v>0</v>
      </c>
      <c r="Q26" s="1042">
        <f t="shared" si="5"/>
        <v>0</v>
      </c>
      <c r="R26" s="1042">
        <f>SUM(R17:R25)</f>
        <v>0</v>
      </c>
      <c r="S26" s="1047">
        <f>SUM(S17:S25)</f>
        <v>0</v>
      </c>
      <c r="T26" s="1047">
        <f>SUM(T17:T25)</f>
        <v>0</v>
      </c>
      <c r="U26" s="1040"/>
    </row>
    <row r="27" spans="1:21" s="82" customFormat="1" ht="12">
      <c r="A27" s="1046" t="s">
        <v>1794</v>
      </c>
      <c r="B27" s="1042">
        <f>SUM(C27:D27)</f>
        <v>0</v>
      </c>
      <c r="C27" s="1043"/>
      <c r="D27" s="1043"/>
      <c r="E27" s="1043"/>
      <c r="F27" s="1043"/>
      <c r="G27" s="1043"/>
      <c r="H27" s="1043"/>
      <c r="I27" s="1043"/>
      <c r="J27" s="1043"/>
      <c r="K27" s="1043"/>
      <c r="L27" s="1043"/>
      <c r="M27" s="1043"/>
      <c r="N27" s="1043"/>
      <c r="O27" s="1043"/>
      <c r="P27" s="1043"/>
      <c r="Q27" s="1043"/>
      <c r="R27" s="1044">
        <f t="shared" si="4"/>
        <v>0</v>
      </c>
      <c r="S27" s="1043"/>
      <c r="T27" s="1043"/>
      <c r="U27" s="1040"/>
    </row>
    <row r="28" spans="1:21" s="82" customFormat="1">
      <c r="A28" s="1038" t="s">
        <v>1795</v>
      </c>
      <c r="B28" s="1039"/>
      <c r="C28" s="1039"/>
      <c r="D28" s="1039"/>
      <c r="E28" s="1050"/>
      <c r="F28" s="1050"/>
      <c r="G28" s="1050"/>
      <c r="H28" s="1050"/>
      <c r="I28" s="1050"/>
      <c r="J28" s="1050"/>
      <c r="K28" s="1050"/>
      <c r="L28" s="1050"/>
      <c r="M28" s="1050"/>
      <c r="N28" s="1050"/>
      <c r="O28" s="1050"/>
      <c r="P28" s="1050"/>
      <c r="Q28" s="1050"/>
      <c r="R28" s="1050"/>
      <c r="S28" s="1039"/>
      <c r="T28" s="1039"/>
      <c r="U28" s="1040"/>
    </row>
    <row r="29" spans="1:21" s="82" customFormat="1">
      <c r="A29" s="1041" t="s">
        <v>1784</v>
      </c>
      <c r="B29" s="1042">
        <f t="shared" ref="B29:B38" si="6">SUM(C29+D29)</f>
        <v>1000000</v>
      </c>
      <c r="C29" s="1043">
        <v>1000000</v>
      </c>
      <c r="D29" s="1043"/>
      <c r="E29" s="1043"/>
      <c r="F29" s="1043">
        <v>1000000</v>
      </c>
      <c r="G29" s="1043"/>
      <c r="H29" s="1043"/>
      <c r="I29" s="1043"/>
      <c r="J29" s="1043"/>
      <c r="K29" s="1043"/>
      <c r="L29" s="1043"/>
      <c r="M29" s="1043"/>
      <c r="N29" s="1043"/>
      <c r="O29" s="1043"/>
      <c r="P29" s="1043"/>
      <c r="Q29" s="1043"/>
      <c r="R29" s="1044">
        <f t="shared" ref="R29:R37" si="7">SUM(E29:Q29)</f>
        <v>1000000</v>
      </c>
      <c r="S29" s="1043">
        <v>1000000</v>
      </c>
      <c r="T29" s="1043"/>
      <c r="U29" s="1040"/>
    </row>
    <row r="30" spans="1:21" s="82" customFormat="1">
      <c r="A30" s="1041" t="s">
        <v>1785</v>
      </c>
      <c r="B30" s="1042">
        <f t="shared" si="6"/>
        <v>41656632</v>
      </c>
      <c r="C30" s="1043">
        <f>41656632</f>
        <v>41656632</v>
      </c>
      <c r="D30" s="1043"/>
      <c r="E30" s="1043">
        <f>C30-F30-G30-H30</f>
        <v>37006632</v>
      </c>
      <c r="F30" s="1043">
        <v>3000000</v>
      </c>
      <c r="G30" s="1043">
        <v>1650000</v>
      </c>
      <c r="H30" s="1043"/>
      <c r="I30" s="1043"/>
      <c r="J30" s="1043"/>
      <c r="K30" s="1043"/>
      <c r="L30" s="1043"/>
      <c r="M30" s="1043"/>
      <c r="N30" s="1043"/>
      <c r="O30" s="1043"/>
      <c r="P30" s="1043"/>
      <c r="Q30" s="1043"/>
      <c r="R30" s="1044">
        <f t="shared" si="7"/>
        <v>41656632</v>
      </c>
      <c r="S30" s="1043">
        <f t="shared" ref="S30:S35" si="8">R30</f>
        <v>41656632</v>
      </c>
      <c r="T30" s="1043"/>
      <c r="U30" s="1040"/>
    </row>
    <row r="31" spans="1:21" s="82" customFormat="1">
      <c r="A31" s="1041" t="s">
        <v>1786</v>
      </c>
      <c r="B31" s="1042">
        <f t="shared" si="6"/>
        <v>3107278</v>
      </c>
      <c r="C31" s="1043">
        <v>3107278</v>
      </c>
      <c r="D31" s="1043"/>
      <c r="E31" s="1043">
        <f>C31</f>
        <v>3107278</v>
      </c>
      <c r="F31" s="1043"/>
      <c r="G31" s="1043"/>
      <c r="H31" s="1043"/>
      <c r="I31" s="1043"/>
      <c r="J31" s="1043"/>
      <c r="K31" s="1043"/>
      <c r="L31" s="1043"/>
      <c r="M31" s="1043"/>
      <c r="N31" s="1043"/>
      <c r="O31" s="1043"/>
      <c r="P31" s="1043"/>
      <c r="Q31" s="1043"/>
      <c r="R31" s="1044">
        <f t="shared" si="7"/>
        <v>3107278</v>
      </c>
      <c r="S31" s="1043">
        <f t="shared" si="8"/>
        <v>3107278</v>
      </c>
      <c r="T31" s="1043"/>
      <c r="U31" s="1040"/>
    </row>
    <row r="32" spans="1:21" s="82" customFormat="1">
      <c r="A32" s="1041" t="s">
        <v>1787</v>
      </c>
      <c r="B32" s="1042">
        <f t="shared" si="6"/>
        <v>2071518</v>
      </c>
      <c r="C32" s="1043">
        <v>2071518</v>
      </c>
      <c r="D32" s="1043"/>
      <c r="E32" s="1043">
        <f>C32</f>
        <v>2071518</v>
      </c>
      <c r="F32" s="1043"/>
      <c r="G32" s="1043"/>
      <c r="H32" s="1043"/>
      <c r="I32" s="1043"/>
      <c r="J32" s="1043"/>
      <c r="K32" s="1043"/>
      <c r="L32" s="1043"/>
      <c r="M32" s="1043"/>
      <c r="N32" s="1043"/>
      <c r="O32" s="1043"/>
      <c r="P32" s="1043"/>
      <c r="Q32" s="1043"/>
      <c r="R32" s="1044">
        <f t="shared" si="7"/>
        <v>2071518</v>
      </c>
      <c r="S32" s="1043">
        <f t="shared" si="8"/>
        <v>2071518</v>
      </c>
      <c r="T32" s="1043"/>
      <c r="U32" s="1040"/>
    </row>
    <row r="33" spans="1:21" s="82" customFormat="1">
      <c r="A33" s="1041" t="s">
        <v>1788</v>
      </c>
      <c r="B33" s="1042">
        <f t="shared" si="6"/>
        <v>2071518</v>
      </c>
      <c r="C33" s="1043">
        <v>2071518</v>
      </c>
      <c r="D33" s="1043"/>
      <c r="E33" s="1043">
        <f>C33</f>
        <v>2071518</v>
      </c>
      <c r="F33" s="1043"/>
      <c r="G33" s="1043"/>
      <c r="H33" s="1043"/>
      <c r="I33" s="1043"/>
      <c r="J33" s="1043"/>
      <c r="K33" s="1043"/>
      <c r="L33" s="1043"/>
      <c r="M33" s="1043"/>
      <c r="N33" s="1043"/>
      <c r="O33" s="1043"/>
      <c r="P33" s="1043"/>
      <c r="Q33" s="1043"/>
      <c r="R33" s="1044">
        <f t="shared" si="7"/>
        <v>2071518</v>
      </c>
      <c r="S33" s="1043">
        <f t="shared" si="8"/>
        <v>2071518</v>
      </c>
      <c r="T33" s="1043"/>
      <c r="U33" s="1040"/>
    </row>
    <row r="34" spans="1:21" s="82" customFormat="1">
      <c r="A34" s="1041" t="s">
        <v>1789</v>
      </c>
      <c r="B34" s="1042">
        <f t="shared" si="6"/>
        <v>8631326</v>
      </c>
      <c r="C34" s="1043">
        <v>8631326</v>
      </c>
      <c r="D34" s="1043"/>
      <c r="E34" s="1043">
        <f>C34</f>
        <v>8631326</v>
      </c>
      <c r="F34" s="1043"/>
      <c r="G34" s="1043"/>
      <c r="H34" s="1043"/>
      <c r="I34" s="1043"/>
      <c r="J34" s="1043"/>
      <c r="K34" s="1043"/>
      <c r="L34" s="1043"/>
      <c r="M34" s="1043"/>
      <c r="N34" s="1043"/>
      <c r="O34" s="1043"/>
      <c r="P34" s="1043"/>
      <c r="Q34" s="1043"/>
      <c r="R34" s="1044">
        <f t="shared" si="7"/>
        <v>8631326</v>
      </c>
      <c r="S34" s="1043">
        <f t="shared" si="8"/>
        <v>8631326</v>
      </c>
      <c r="T34" s="1043"/>
      <c r="U34" s="1040"/>
    </row>
    <row r="35" spans="1:21" s="82" customFormat="1">
      <c r="A35" s="1041" t="s">
        <v>1790</v>
      </c>
      <c r="B35" s="1042">
        <f t="shared" si="6"/>
        <v>590383</v>
      </c>
      <c r="C35" s="1043">
        <v>590383</v>
      </c>
      <c r="D35" s="1043"/>
      <c r="E35" s="1043">
        <f>C35</f>
        <v>590383</v>
      </c>
      <c r="F35" s="1043"/>
      <c r="G35" s="1043"/>
      <c r="H35" s="1043"/>
      <c r="I35" s="1043"/>
      <c r="J35" s="1043"/>
      <c r="K35" s="1043"/>
      <c r="L35" s="1043"/>
      <c r="M35" s="1043"/>
      <c r="N35" s="1043"/>
      <c r="O35" s="1043"/>
      <c r="P35" s="1043"/>
      <c r="Q35" s="1043"/>
      <c r="R35" s="1044">
        <f t="shared" si="7"/>
        <v>590383</v>
      </c>
      <c r="S35" s="1043">
        <f t="shared" si="8"/>
        <v>590383</v>
      </c>
      <c r="T35" s="1043"/>
      <c r="U35" s="1040"/>
    </row>
    <row r="36" spans="1:21" s="82" customFormat="1">
      <c r="A36" s="1041" t="s">
        <v>1791</v>
      </c>
      <c r="B36" s="1042">
        <f t="shared" si="6"/>
        <v>0</v>
      </c>
      <c r="C36" s="1043"/>
      <c r="D36" s="1043"/>
      <c r="E36" s="1043"/>
      <c r="F36" s="1043"/>
      <c r="G36" s="1043"/>
      <c r="H36" s="1043"/>
      <c r="I36" s="1043"/>
      <c r="J36" s="1043"/>
      <c r="K36" s="1043"/>
      <c r="L36" s="1043"/>
      <c r="M36" s="1043"/>
      <c r="N36" s="1043"/>
      <c r="O36" s="1043"/>
      <c r="P36" s="1043"/>
      <c r="Q36" s="1043"/>
      <c r="R36" s="1044">
        <f t="shared" si="7"/>
        <v>0</v>
      </c>
      <c r="S36" s="1043"/>
      <c r="T36" s="1043"/>
      <c r="U36" s="1040"/>
    </row>
    <row r="37" spans="1:21" s="82" customFormat="1">
      <c r="A37" s="1052" t="s">
        <v>1792</v>
      </c>
      <c r="B37" s="1042">
        <f t="shared" si="6"/>
        <v>0</v>
      </c>
      <c r="C37" s="1043"/>
      <c r="D37" s="1043"/>
      <c r="E37" s="1043"/>
      <c r="F37" s="1043"/>
      <c r="G37" s="1043"/>
      <c r="H37" s="1043"/>
      <c r="I37" s="1043"/>
      <c r="J37" s="1043"/>
      <c r="K37" s="1043"/>
      <c r="L37" s="1043"/>
      <c r="M37" s="1043"/>
      <c r="N37" s="1043"/>
      <c r="O37" s="1043"/>
      <c r="P37" s="1043"/>
      <c r="Q37" s="1043"/>
      <c r="R37" s="1044">
        <f t="shared" si="7"/>
        <v>0</v>
      </c>
      <c r="S37" s="1043"/>
      <c r="T37" s="1043"/>
      <c r="U37" s="1040"/>
    </row>
    <row r="38" spans="1:21" s="82" customFormat="1" ht="12">
      <c r="A38" s="1046" t="s">
        <v>1796</v>
      </c>
      <c r="B38" s="1042">
        <f t="shared" si="6"/>
        <v>59128655</v>
      </c>
      <c r="C38" s="1042">
        <f>SUM(C29:C37)</f>
        <v>59128655</v>
      </c>
      <c r="D38" s="1042">
        <f t="shared" ref="D38:Q38" si="9">SUM(D29:D37)</f>
        <v>0</v>
      </c>
      <c r="E38" s="1042">
        <f t="shared" si="9"/>
        <v>53478655</v>
      </c>
      <c r="F38" s="1042">
        <f t="shared" si="9"/>
        <v>4000000</v>
      </c>
      <c r="G38" s="1042">
        <f t="shared" si="9"/>
        <v>1650000</v>
      </c>
      <c r="H38" s="1042">
        <f t="shared" si="9"/>
        <v>0</v>
      </c>
      <c r="I38" s="1042">
        <f t="shared" si="9"/>
        <v>0</v>
      </c>
      <c r="J38" s="1042">
        <f t="shared" si="9"/>
        <v>0</v>
      </c>
      <c r="K38" s="1042">
        <f t="shared" si="9"/>
        <v>0</v>
      </c>
      <c r="L38" s="1042">
        <f t="shared" si="9"/>
        <v>0</v>
      </c>
      <c r="M38" s="1042">
        <f t="shared" si="9"/>
        <v>0</v>
      </c>
      <c r="N38" s="1042">
        <f t="shared" si="9"/>
        <v>0</v>
      </c>
      <c r="O38" s="1042">
        <f t="shared" si="9"/>
        <v>0</v>
      </c>
      <c r="P38" s="1042">
        <f t="shared" si="9"/>
        <v>0</v>
      </c>
      <c r="Q38" s="1042">
        <f t="shared" si="9"/>
        <v>0</v>
      </c>
      <c r="R38" s="1042">
        <f>SUM(R29:R37)</f>
        <v>59128655</v>
      </c>
      <c r="S38" s="1047">
        <f>SUM(S29:S37)</f>
        <v>59128655</v>
      </c>
      <c r="T38" s="1047">
        <f>SUM(T29:T37)</f>
        <v>0</v>
      </c>
      <c r="U38" s="1040"/>
    </row>
    <row r="39" spans="1:21" s="82" customFormat="1">
      <c r="A39" s="1038" t="s">
        <v>1797</v>
      </c>
      <c r="B39" s="1039"/>
      <c r="C39" s="1039"/>
      <c r="D39" s="1039"/>
      <c r="E39" s="1050"/>
      <c r="F39" s="1050"/>
      <c r="G39" s="1050"/>
      <c r="H39" s="1050"/>
      <c r="I39" s="1050"/>
      <c r="J39" s="1050"/>
      <c r="K39" s="1050"/>
      <c r="L39" s="1050"/>
      <c r="M39" s="1050"/>
      <c r="N39" s="1050"/>
      <c r="O39" s="1050"/>
      <c r="P39" s="1050"/>
      <c r="Q39" s="1050"/>
      <c r="R39" s="1050"/>
      <c r="S39" s="1039"/>
      <c r="T39" s="1039"/>
      <c r="U39" s="1040"/>
    </row>
    <row r="40" spans="1:21" s="82" customFormat="1">
      <c r="A40" s="1041" t="s">
        <v>1798</v>
      </c>
      <c r="B40" s="1042">
        <f>SUM(C40+D40)</f>
        <v>1200000</v>
      </c>
      <c r="C40" s="1043">
        <v>1200000</v>
      </c>
      <c r="D40" s="1043"/>
      <c r="E40" s="1043">
        <f>C40</f>
        <v>1200000</v>
      </c>
      <c r="F40" s="1043"/>
      <c r="G40" s="1043"/>
      <c r="H40" s="1043"/>
      <c r="I40" s="1043"/>
      <c r="J40" s="1043"/>
      <c r="K40" s="1043"/>
      <c r="L40" s="1043"/>
      <c r="M40" s="1043"/>
      <c r="N40" s="1043"/>
      <c r="O40" s="1043"/>
      <c r="P40" s="1043"/>
      <c r="Q40" s="1043"/>
      <c r="R40" s="1044">
        <f>SUM(E40:Q40)</f>
        <v>1200000</v>
      </c>
      <c r="S40" s="1043">
        <f>R40</f>
        <v>1200000</v>
      </c>
      <c r="T40" s="1043"/>
      <c r="U40" s="1040"/>
    </row>
    <row r="41" spans="1:21" s="82" customFormat="1">
      <c r="A41" s="1041" t="s">
        <v>1799</v>
      </c>
      <c r="B41" s="1042">
        <f>SUM(C41+D41)</f>
        <v>650000</v>
      </c>
      <c r="C41" s="1043">
        <v>650000</v>
      </c>
      <c r="D41" s="1043"/>
      <c r="E41" s="1043">
        <f>C41-F41</f>
        <v>650000</v>
      </c>
      <c r="F41" s="1043">
        <v>0</v>
      </c>
      <c r="G41" s="1043"/>
      <c r="H41" s="1043"/>
      <c r="I41" s="1043"/>
      <c r="J41" s="1043"/>
      <c r="K41" s="1043"/>
      <c r="L41" s="1043"/>
      <c r="M41" s="1043"/>
      <c r="N41" s="1043"/>
      <c r="O41" s="1043"/>
      <c r="P41" s="1043"/>
      <c r="Q41" s="1043"/>
      <c r="R41" s="1044">
        <f>SUM(E41:Q41)</f>
        <v>650000</v>
      </c>
      <c r="S41" s="1043">
        <f>R41</f>
        <v>650000</v>
      </c>
      <c r="T41" s="1043"/>
      <c r="U41" s="1040"/>
    </row>
    <row r="42" spans="1:21" s="82" customFormat="1" ht="12">
      <c r="A42" s="1046" t="s">
        <v>1800</v>
      </c>
      <c r="B42" s="1042">
        <f>SUM(C42:D42)</f>
        <v>1850000</v>
      </c>
      <c r="C42" s="1042">
        <f>SUM(C39:C41)</f>
        <v>1850000</v>
      </c>
      <c r="D42" s="1042">
        <f>SUM(D39:D41)</f>
        <v>0</v>
      </c>
      <c r="E42" s="1042">
        <f t="shared" ref="E42:T42" si="10">SUM(E40:E41)</f>
        <v>1850000</v>
      </c>
      <c r="F42" s="1042">
        <f t="shared" si="10"/>
        <v>0</v>
      </c>
      <c r="G42" s="1042">
        <f t="shared" si="10"/>
        <v>0</v>
      </c>
      <c r="H42" s="1042">
        <f t="shared" si="10"/>
        <v>0</v>
      </c>
      <c r="I42" s="1042">
        <f t="shared" si="10"/>
        <v>0</v>
      </c>
      <c r="J42" s="1042">
        <f t="shared" si="10"/>
        <v>0</v>
      </c>
      <c r="K42" s="1042">
        <f t="shared" si="10"/>
        <v>0</v>
      </c>
      <c r="L42" s="1042">
        <f t="shared" si="10"/>
        <v>0</v>
      </c>
      <c r="M42" s="1042">
        <f t="shared" si="10"/>
        <v>0</v>
      </c>
      <c r="N42" s="1042">
        <f t="shared" si="10"/>
        <v>0</v>
      </c>
      <c r="O42" s="1042">
        <f t="shared" si="10"/>
        <v>0</v>
      </c>
      <c r="P42" s="1042">
        <f t="shared" si="10"/>
        <v>0</v>
      </c>
      <c r="Q42" s="1042">
        <f t="shared" si="10"/>
        <v>0</v>
      </c>
      <c r="R42" s="1042">
        <f>SUM(R40:R41)</f>
        <v>1850000</v>
      </c>
      <c r="S42" s="1047">
        <f t="shared" si="10"/>
        <v>1850000</v>
      </c>
      <c r="T42" s="1047">
        <f t="shared" si="10"/>
        <v>0</v>
      </c>
      <c r="U42" s="1040"/>
    </row>
    <row r="43" spans="1:21" s="82" customFormat="1" ht="12">
      <c r="A43" s="1046" t="s">
        <v>1801</v>
      </c>
      <c r="B43" s="1042">
        <f>SUM(C43:D43)</f>
        <v>0</v>
      </c>
      <c r="C43" s="1043"/>
      <c r="D43" s="1043"/>
      <c r="E43" s="1043"/>
      <c r="F43" s="1043"/>
      <c r="G43" s="1043"/>
      <c r="H43" s="1043"/>
      <c r="I43" s="1043"/>
      <c r="J43" s="1043"/>
      <c r="K43" s="1043"/>
      <c r="L43" s="1043"/>
      <c r="M43" s="1043"/>
      <c r="N43" s="1043"/>
      <c r="O43" s="1043"/>
      <c r="P43" s="1043"/>
      <c r="Q43" s="1043"/>
      <c r="R43" s="1044">
        <f>SUM(E43:Q43)</f>
        <v>0</v>
      </c>
      <c r="S43" s="1043"/>
      <c r="T43" s="1043"/>
      <c r="U43" s="1040"/>
    </row>
    <row r="44" spans="1:21" s="82" customFormat="1">
      <c r="A44" s="1038" t="s">
        <v>1802</v>
      </c>
      <c r="B44" s="1039"/>
      <c r="C44" s="1039"/>
      <c r="D44" s="1039"/>
      <c r="E44" s="1050"/>
      <c r="F44" s="1050"/>
      <c r="G44" s="1050"/>
      <c r="H44" s="1050"/>
      <c r="I44" s="1050"/>
      <c r="J44" s="1050"/>
      <c r="K44" s="1050"/>
      <c r="L44" s="1050"/>
      <c r="M44" s="1050"/>
      <c r="N44" s="1050"/>
      <c r="O44" s="1050"/>
      <c r="P44" s="1050"/>
      <c r="Q44" s="1050"/>
      <c r="R44" s="1050"/>
      <c r="S44" s="1039"/>
      <c r="T44" s="1039"/>
      <c r="U44" s="1040"/>
    </row>
    <row r="45" spans="1:21" s="82" customFormat="1">
      <c r="A45" s="1041" t="s">
        <v>1803</v>
      </c>
      <c r="B45" s="1042">
        <f t="shared" ref="B45:B53" si="11">SUM(C45+D45)</f>
        <v>4915038</v>
      </c>
      <c r="C45" s="1043">
        <v>4915038</v>
      </c>
      <c r="D45" s="1043"/>
      <c r="E45" s="1043">
        <f>C45-F45</f>
        <v>3927105</v>
      </c>
      <c r="F45" s="1043">
        <v>987933</v>
      </c>
      <c r="G45" s="1043"/>
      <c r="H45" s="1043"/>
      <c r="I45" s="1043"/>
      <c r="J45" s="1043"/>
      <c r="K45" s="1043"/>
      <c r="L45" s="1043"/>
      <c r="M45" s="1043"/>
      <c r="N45" s="1043"/>
      <c r="O45" s="1043"/>
      <c r="P45" s="1043"/>
      <c r="Q45" s="1043"/>
      <c r="R45" s="1044">
        <f t="shared" ref="R45:R53" si="12">SUM(E45:Q45)</f>
        <v>4915038</v>
      </c>
      <c r="S45" s="1043">
        <f>2975558+2</f>
        <v>2975560</v>
      </c>
      <c r="T45" s="1043"/>
      <c r="U45" s="1040"/>
    </row>
    <row r="46" spans="1:21" s="82" customFormat="1">
      <c r="A46" s="1041" t="s">
        <v>1804</v>
      </c>
      <c r="B46" s="1042">
        <f t="shared" si="11"/>
        <v>451957</v>
      </c>
      <c r="C46" s="1043">
        <v>451957</v>
      </c>
      <c r="D46" s="1043"/>
      <c r="E46" s="1043"/>
      <c r="F46" s="1043">
        <f>C46</f>
        <v>451957</v>
      </c>
      <c r="G46" s="1043"/>
      <c r="H46" s="1043"/>
      <c r="I46" s="1043"/>
      <c r="J46" s="1043"/>
      <c r="K46" s="1043"/>
      <c r="L46" s="1043"/>
      <c r="M46" s="1043"/>
      <c r="N46" s="1043"/>
      <c r="O46" s="1043"/>
      <c r="P46" s="1043"/>
      <c r="Q46" s="1043"/>
      <c r="R46" s="1044">
        <f t="shared" si="12"/>
        <v>451957</v>
      </c>
      <c r="S46" s="1043">
        <v>338968</v>
      </c>
      <c r="T46" s="1043"/>
      <c r="U46" s="1040"/>
    </row>
    <row r="47" spans="1:21" s="82" customFormat="1">
      <c r="A47" s="1053" t="s">
        <v>1805</v>
      </c>
      <c r="B47" s="1042">
        <f t="shared" si="11"/>
        <v>15000</v>
      </c>
      <c r="C47" s="1043">
        <v>15000</v>
      </c>
      <c r="D47" s="1043"/>
      <c r="E47" s="1043"/>
      <c r="F47" s="1043">
        <f>C47</f>
        <v>15000</v>
      </c>
      <c r="G47" s="1043"/>
      <c r="H47" s="1043"/>
      <c r="I47" s="1043"/>
      <c r="J47" s="1043"/>
      <c r="K47" s="1043"/>
      <c r="L47" s="1043"/>
      <c r="M47" s="1043"/>
      <c r="N47" s="1043"/>
      <c r="O47" s="1043"/>
      <c r="P47" s="1043"/>
      <c r="Q47" s="1043"/>
      <c r="R47" s="1044">
        <f t="shared" si="12"/>
        <v>15000</v>
      </c>
      <c r="S47" s="1043">
        <v>11250</v>
      </c>
      <c r="T47" s="1043"/>
      <c r="U47" s="1040"/>
    </row>
    <row r="48" spans="1:21" s="82" customFormat="1">
      <c r="A48" s="1041" t="s">
        <v>1806</v>
      </c>
      <c r="B48" s="1042">
        <f t="shared" si="11"/>
        <v>531344</v>
      </c>
      <c r="C48" s="1043">
        <v>531344</v>
      </c>
      <c r="D48" s="1043"/>
      <c r="E48" s="1043"/>
      <c r="F48" s="1043">
        <f>C48</f>
        <v>531344</v>
      </c>
      <c r="G48" s="1043"/>
      <c r="H48" s="1043"/>
      <c r="I48" s="1043"/>
      <c r="J48" s="1043"/>
      <c r="K48" s="1043"/>
      <c r="L48" s="1043"/>
      <c r="M48" s="1043"/>
      <c r="N48" s="1043"/>
      <c r="O48" s="1043"/>
      <c r="P48" s="1043"/>
      <c r="Q48" s="1043"/>
      <c r="R48" s="1044">
        <f t="shared" si="12"/>
        <v>531344</v>
      </c>
      <c r="S48" s="1043">
        <f>R48</f>
        <v>531344</v>
      </c>
      <c r="T48" s="1043"/>
      <c r="U48" s="1040"/>
    </row>
    <row r="49" spans="1:21" s="82" customFormat="1">
      <c r="A49" s="1041" t="s">
        <v>1807</v>
      </c>
      <c r="B49" s="1042">
        <f t="shared" si="11"/>
        <v>112989</v>
      </c>
      <c r="C49" s="1043">
        <v>112989</v>
      </c>
      <c r="D49" s="1043"/>
      <c r="E49" s="1043"/>
      <c r="F49" s="1043">
        <f>C49</f>
        <v>112989</v>
      </c>
      <c r="G49" s="1043"/>
      <c r="H49" s="1043"/>
      <c r="I49" s="1043"/>
      <c r="J49" s="1043"/>
      <c r="K49" s="1043"/>
      <c r="L49" s="1043"/>
      <c r="M49" s="1043"/>
      <c r="N49" s="1043"/>
      <c r="O49" s="1043"/>
      <c r="P49" s="1043"/>
      <c r="Q49" s="1043"/>
      <c r="R49" s="1044">
        <f t="shared" si="12"/>
        <v>112989</v>
      </c>
      <c r="S49" s="1043">
        <v>112989</v>
      </c>
      <c r="T49" s="1043"/>
      <c r="U49" s="1040"/>
    </row>
    <row r="50" spans="1:21" s="82" customFormat="1">
      <c r="A50" s="1041" t="s">
        <v>1808</v>
      </c>
      <c r="B50" s="1042">
        <f t="shared" si="11"/>
        <v>100000</v>
      </c>
      <c r="C50" s="1043">
        <v>100000</v>
      </c>
      <c r="D50" s="1043"/>
      <c r="E50" s="1043"/>
      <c r="F50" s="1043">
        <v>100000</v>
      </c>
      <c r="G50" s="1043"/>
      <c r="H50" s="1043"/>
      <c r="I50" s="1043"/>
      <c r="J50" s="1043"/>
      <c r="K50" s="1043"/>
      <c r="L50" s="1043"/>
      <c r="M50" s="1043"/>
      <c r="N50" s="1043"/>
      <c r="O50" s="1043"/>
      <c r="P50" s="1043"/>
      <c r="Q50" s="1043"/>
      <c r="R50" s="1044">
        <f t="shared" si="12"/>
        <v>100000</v>
      </c>
      <c r="S50" s="1043">
        <v>75000</v>
      </c>
      <c r="T50" s="1043"/>
      <c r="U50" s="1040"/>
    </row>
    <row r="51" spans="1:21" s="82" customFormat="1">
      <c r="A51" s="1041" t="s">
        <v>1809</v>
      </c>
      <c r="B51" s="1042">
        <f t="shared" si="11"/>
        <v>105000</v>
      </c>
      <c r="C51" s="1043">
        <v>105000</v>
      </c>
      <c r="D51" s="1043"/>
      <c r="E51" s="1043"/>
      <c r="F51" s="1043">
        <v>105000</v>
      </c>
      <c r="G51" s="1043"/>
      <c r="H51" s="1043"/>
      <c r="I51" s="1043"/>
      <c r="J51" s="1043"/>
      <c r="K51" s="1043"/>
      <c r="L51" s="1043"/>
      <c r="M51" s="1043"/>
      <c r="N51" s="1043"/>
      <c r="O51" s="1043"/>
      <c r="P51" s="1043"/>
      <c r="Q51" s="1043"/>
      <c r="R51" s="1044">
        <f t="shared" si="12"/>
        <v>105000</v>
      </c>
      <c r="S51" s="1043">
        <v>105000</v>
      </c>
      <c r="T51" s="1043"/>
      <c r="U51" s="1040"/>
    </row>
    <row r="52" spans="1:21" s="82" customFormat="1">
      <c r="A52" s="1041" t="s">
        <v>1810</v>
      </c>
      <c r="B52" s="1042">
        <f t="shared" si="11"/>
        <v>902000</v>
      </c>
      <c r="C52" s="1043">
        <v>902000</v>
      </c>
      <c r="D52" s="1043"/>
      <c r="E52" s="1043"/>
      <c r="F52" s="1043">
        <f>C52</f>
        <v>902000</v>
      </c>
      <c r="G52" s="1043"/>
      <c r="H52" s="1043"/>
      <c r="I52" s="1043"/>
      <c r="J52" s="1043"/>
      <c r="K52" s="1043"/>
      <c r="L52" s="1043"/>
      <c r="M52" s="1043"/>
      <c r="N52" s="1043"/>
      <c r="O52" s="1043"/>
      <c r="P52" s="1043"/>
      <c r="Q52" s="1043"/>
      <c r="R52" s="1044">
        <f t="shared" si="12"/>
        <v>902000</v>
      </c>
      <c r="S52" s="1043">
        <f>R52</f>
        <v>902000</v>
      </c>
      <c r="T52" s="1043"/>
      <c r="U52" s="1040"/>
    </row>
    <row r="53" spans="1:21" s="82" customFormat="1">
      <c r="A53" s="1052" t="s">
        <v>1792</v>
      </c>
      <c r="B53" s="1042">
        <f t="shared" si="11"/>
        <v>0</v>
      </c>
      <c r="C53" s="1043"/>
      <c r="D53" s="1043"/>
      <c r="E53" s="1043"/>
      <c r="F53" s="1043"/>
      <c r="G53" s="1043"/>
      <c r="H53" s="1043"/>
      <c r="I53" s="1043"/>
      <c r="J53" s="1043"/>
      <c r="K53" s="1043"/>
      <c r="L53" s="1043"/>
      <c r="M53" s="1043"/>
      <c r="N53" s="1043"/>
      <c r="O53" s="1043"/>
      <c r="P53" s="1043"/>
      <c r="Q53" s="1043"/>
      <c r="R53" s="1044">
        <f t="shared" si="12"/>
        <v>0</v>
      </c>
      <c r="S53" s="1043"/>
      <c r="T53" s="1043"/>
      <c r="U53" s="1040"/>
    </row>
    <row r="54" spans="1:21" s="83" customFormat="1" ht="12">
      <c r="A54" s="1046" t="s">
        <v>1811</v>
      </c>
      <c r="B54" s="1047">
        <f>SUM(C54:D54)</f>
        <v>7133328</v>
      </c>
      <c r="C54" s="1047">
        <f t="shared" ref="C54:T54" si="13">SUM(C45:C53)</f>
        <v>7133328</v>
      </c>
      <c r="D54" s="1047">
        <f t="shared" si="13"/>
        <v>0</v>
      </c>
      <c r="E54" s="1047">
        <f t="shared" si="13"/>
        <v>3927105</v>
      </c>
      <c r="F54" s="1047">
        <f t="shared" si="13"/>
        <v>3206223</v>
      </c>
      <c r="G54" s="1047">
        <f t="shared" si="13"/>
        <v>0</v>
      </c>
      <c r="H54" s="1047">
        <f t="shared" si="13"/>
        <v>0</v>
      </c>
      <c r="I54" s="1047">
        <f t="shared" si="13"/>
        <v>0</v>
      </c>
      <c r="J54" s="1047">
        <f t="shared" si="13"/>
        <v>0</v>
      </c>
      <c r="K54" s="1047">
        <f t="shared" si="13"/>
        <v>0</v>
      </c>
      <c r="L54" s="1047">
        <f t="shared" si="13"/>
        <v>0</v>
      </c>
      <c r="M54" s="1047">
        <f t="shared" si="13"/>
        <v>0</v>
      </c>
      <c r="N54" s="1047">
        <f t="shared" si="13"/>
        <v>0</v>
      </c>
      <c r="O54" s="1047">
        <f t="shared" si="13"/>
        <v>0</v>
      </c>
      <c r="P54" s="1047">
        <f t="shared" si="13"/>
        <v>0</v>
      </c>
      <c r="Q54" s="1047">
        <f t="shared" si="13"/>
        <v>0</v>
      </c>
      <c r="R54" s="1042">
        <f t="shared" si="13"/>
        <v>7133328</v>
      </c>
      <c r="S54" s="1047">
        <f t="shared" si="13"/>
        <v>5052111</v>
      </c>
      <c r="T54" s="1047">
        <f t="shared" si="13"/>
        <v>0</v>
      </c>
      <c r="U54" s="1054"/>
    </row>
    <row r="55" spans="1:21" s="82" customFormat="1">
      <c r="A55" s="1038" t="s">
        <v>1362</v>
      </c>
      <c r="B55" s="1039"/>
      <c r="C55" s="1039"/>
      <c r="D55" s="1039"/>
      <c r="E55" s="1050"/>
      <c r="F55" s="1050"/>
      <c r="G55" s="1050"/>
      <c r="H55" s="1050"/>
      <c r="I55" s="1050"/>
      <c r="J55" s="1050"/>
      <c r="K55" s="1050"/>
      <c r="L55" s="1050"/>
      <c r="M55" s="1050"/>
      <c r="N55" s="1050"/>
      <c r="O55" s="1050"/>
      <c r="P55" s="1050"/>
      <c r="Q55" s="1050"/>
      <c r="R55" s="1050"/>
      <c r="S55" s="1039"/>
      <c r="T55" s="1039"/>
      <c r="U55" s="1040"/>
    </row>
    <row r="56" spans="1:21" s="82" customFormat="1">
      <c r="A56" s="1041" t="s">
        <v>1812</v>
      </c>
      <c r="B56" s="1042">
        <f t="shared" ref="B56:B61" si="14">SUM(C56+D56)</f>
        <v>0</v>
      </c>
      <c r="C56" s="1043"/>
      <c r="D56" s="1043"/>
      <c r="E56" s="1043"/>
      <c r="F56" s="1043"/>
      <c r="G56" s="1043"/>
      <c r="H56" s="1043"/>
      <c r="I56" s="1043"/>
      <c r="J56" s="1043"/>
      <c r="K56" s="1043"/>
      <c r="L56" s="1043"/>
      <c r="M56" s="1043"/>
      <c r="N56" s="1043"/>
      <c r="O56" s="1043"/>
      <c r="P56" s="1043"/>
      <c r="Q56" s="1043"/>
      <c r="R56" s="1044">
        <f t="shared" ref="R56:R61" si="15">SUM(E56:Q56)</f>
        <v>0</v>
      </c>
      <c r="S56" s="1045"/>
      <c r="T56" s="1045"/>
      <c r="U56" s="1040"/>
    </row>
    <row r="57" spans="1:21" s="101" customFormat="1">
      <c r="A57" s="1053" t="s">
        <v>1805</v>
      </c>
      <c r="B57" s="1055">
        <f t="shared" si="14"/>
        <v>0</v>
      </c>
      <c r="C57" s="1056"/>
      <c r="D57" s="1056"/>
      <c r="E57" s="1056"/>
      <c r="F57" s="1056"/>
      <c r="G57" s="1056"/>
      <c r="H57" s="1056"/>
      <c r="I57" s="1056"/>
      <c r="J57" s="1056"/>
      <c r="K57" s="1056"/>
      <c r="L57" s="1056"/>
      <c r="M57" s="1056"/>
      <c r="N57" s="1056"/>
      <c r="O57" s="1056"/>
      <c r="P57" s="1056"/>
      <c r="Q57" s="1056"/>
      <c r="R57" s="1044">
        <f t="shared" si="15"/>
        <v>0</v>
      </c>
      <c r="S57" s="1057"/>
      <c r="T57" s="1057"/>
      <c r="U57" s="1058"/>
    </row>
    <row r="58" spans="1:21" s="82" customFormat="1">
      <c r="A58" s="1041" t="s">
        <v>1808</v>
      </c>
      <c r="B58" s="1042">
        <f t="shared" si="14"/>
        <v>10000</v>
      </c>
      <c r="C58" s="1043">
        <v>10000</v>
      </c>
      <c r="D58" s="1043"/>
      <c r="E58" s="1043"/>
      <c r="F58" s="1043">
        <v>10000</v>
      </c>
      <c r="G58" s="1043"/>
      <c r="H58" s="1043"/>
      <c r="I58" s="1043"/>
      <c r="J58" s="1043"/>
      <c r="K58" s="1043"/>
      <c r="L58" s="1043"/>
      <c r="M58" s="1043"/>
      <c r="N58" s="1043"/>
      <c r="O58" s="1043"/>
      <c r="P58" s="1043"/>
      <c r="Q58" s="1043"/>
      <c r="R58" s="1044">
        <f t="shared" si="15"/>
        <v>10000</v>
      </c>
      <c r="S58" s="1045"/>
      <c r="T58" s="1045"/>
      <c r="U58" s="1040"/>
    </row>
    <row r="59" spans="1:21" s="82" customFormat="1">
      <c r="A59" s="1041" t="s">
        <v>1809</v>
      </c>
      <c r="B59" s="1042">
        <f t="shared" si="14"/>
        <v>0</v>
      </c>
      <c r="C59" s="1043"/>
      <c r="D59" s="1043"/>
      <c r="E59" s="1043"/>
      <c r="F59" s="1043"/>
      <c r="G59" s="1043"/>
      <c r="H59" s="1043"/>
      <c r="I59" s="1043"/>
      <c r="J59" s="1043"/>
      <c r="K59" s="1043"/>
      <c r="L59" s="1043"/>
      <c r="M59" s="1043"/>
      <c r="N59" s="1043"/>
      <c r="O59" s="1043"/>
      <c r="P59" s="1043"/>
      <c r="Q59" s="1043"/>
      <c r="R59" s="1044">
        <f t="shared" si="15"/>
        <v>0</v>
      </c>
      <c r="S59" s="1045"/>
      <c r="T59" s="1045"/>
      <c r="U59" s="1040"/>
    </row>
    <row r="60" spans="1:21" s="82" customFormat="1">
      <c r="A60" s="1041" t="s">
        <v>1810</v>
      </c>
      <c r="B60" s="1042">
        <f t="shared" si="14"/>
        <v>0</v>
      </c>
      <c r="C60" s="1043"/>
      <c r="D60" s="1043"/>
      <c r="E60" s="1043"/>
      <c r="F60" s="1043"/>
      <c r="G60" s="1043"/>
      <c r="H60" s="1043"/>
      <c r="I60" s="1043"/>
      <c r="J60" s="1043"/>
      <c r="K60" s="1043"/>
      <c r="L60" s="1043"/>
      <c r="M60" s="1043"/>
      <c r="N60" s="1043"/>
      <c r="O60" s="1043"/>
      <c r="P60" s="1043"/>
      <c r="Q60" s="1043"/>
      <c r="R60" s="1044">
        <f t="shared" si="15"/>
        <v>0</v>
      </c>
      <c r="S60" s="1045"/>
      <c r="T60" s="1045"/>
      <c r="U60" s="1040"/>
    </row>
    <row r="61" spans="1:21" s="82" customFormat="1">
      <c r="A61" s="1052" t="s">
        <v>1813</v>
      </c>
      <c r="B61" s="1042">
        <f t="shared" si="14"/>
        <v>15000</v>
      </c>
      <c r="C61" s="1043">
        <v>15000</v>
      </c>
      <c r="D61" s="1043"/>
      <c r="E61" s="1043"/>
      <c r="F61" s="1043">
        <v>15000</v>
      </c>
      <c r="G61" s="1043"/>
      <c r="H61" s="1043"/>
      <c r="I61" s="1043"/>
      <c r="J61" s="1043"/>
      <c r="K61" s="1043"/>
      <c r="L61" s="1043"/>
      <c r="M61" s="1043"/>
      <c r="N61" s="1043"/>
      <c r="O61" s="1043"/>
      <c r="P61" s="1043"/>
      <c r="Q61" s="1043"/>
      <c r="R61" s="1044">
        <f t="shared" si="15"/>
        <v>15000</v>
      </c>
      <c r="S61" s="1045"/>
      <c r="T61" s="1045"/>
      <c r="U61" s="1040"/>
    </row>
    <row r="62" spans="1:21" s="82" customFormat="1" ht="13.65" customHeight="1">
      <c r="A62" s="1046" t="s">
        <v>1814</v>
      </c>
      <c r="B62" s="1042">
        <f>SUM(C62:D62)</f>
        <v>25000</v>
      </c>
      <c r="C62" s="1042">
        <f t="shared" ref="C62:R62" si="16">SUM(C56:C61)</f>
        <v>25000</v>
      </c>
      <c r="D62" s="1042">
        <f t="shared" si="16"/>
        <v>0</v>
      </c>
      <c r="E62" s="1042">
        <f t="shared" si="16"/>
        <v>0</v>
      </c>
      <c r="F62" s="1042">
        <f t="shared" si="16"/>
        <v>25000</v>
      </c>
      <c r="G62" s="1042">
        <f t="shared" si="16"/>
        <v>0</v>
      </c>
      <c r="H62" s="1042">
        <f t="shared" si="16"/>
        <v>0</v>
      </c>
      <c r="I62" s="1042">
        <f t="shared" si="16"/>
        <v>0</v>
      </c>
      <c r="J62" s="1042">
        <f t="shared" si="16"/>
        <v>0</v>
      </c>
      <c r="K62" s="1042">
        <f t="shared" si="16"/>
        <v>0</v>
      </c>
      <c r="L62" s="1042">
        <f t="shared" si="16"/>
        <v>0</v>
      </c>
      <c r="M62" s="1042">
        <f t="shared" si="16"/>
        <v>0</v>
      </c>
      <c r="N62" s="1042">
        <f t="shared" si="16"/>
        <v>0</v>
      </c>
      <c r="O62" s="1042">
        <f t="shared" si="16"/>
        <v>0</v>
      </c>
      <c r="P62" s="1042">
        <f t="shared" si="16"/>
        <v>0</v>
      </c>
      <c r="Q62" s="1042">
        <f t="shared" si="16"/>
        <v>0</v>
      </c>
      <c r="R62" s="1042">
        <f t="shared" si="16"/>
        <v>25000</v>
      </c>
      <c r="S62" s="1045"/>
      <c r="T62" s="1045"/>
      <c r="U62" s="1040"/>
    </row>
    <row r="63" spans="1:21" s="82" customFormat="1">
      <c r="A63" s="1059" t="s">
        <v>1815</v>
      </c>
      <c r="B63" s="1042">
        <f t="shared" ref="B63:R63" si="17">SUM(B8+B11+B13+B14+B15+B26+B27+B38+B42+B43+B54+B62)</f>
        <v>68636983</v>
      </c>
      <c r="C63" s="1042">
        <f t="shared" si="17"/>
        <v>68636983</v>
      </c>
      <c r="D63" s="1042">
        <f t="shared" si="17"/>
        <v>0</v>
      </c>
      <c r="E63" s="1042">
        <f t="shared" si="17"/>
        <v>59255760</v>
      </c>
      <c r="F63" s="1042">
        <f t="shared" si="17"/>
        <v>7731223</v>
      </c>
      <c r="G63" s="1042">
        <f t="shared" si="17"/>
        <v>1650000</v>
      </c>
      <c r="H63" s="1042">
        <f t="shared" si="17"/>
        <v>0</v>
      </c>
      <c r="I63" s="1042">
        <f t="shared" si="17"/>
        <v>0</v>
      </c>
      <c r="J63" s="1042">
        <f t="shared" si="17"/>
        <v>0</v>
      </c>
      <c r="K63" s="1042">
        <f t="shared" si="17"/>
        <v>0</v>
      </c>
      <c r="L63" s="1042">
        <f t="shared" si="17"/>
        <v>0</v>
      </c>
      <c r="M63" s="1042">
        <f t="shared" si="17"/>
        <v>0</v>
      </c>
      <c r="N63" s="1042">
        <f t="shared" si="17"/>
        <v>0</v>
      </c>
      <c r="O63" s="1042">
        <f t="shared" si="17"/>
        <v>0</v>
      </c>
      <c r="P63" s="1042">
        <f t="shared" si="17"/>
        <v>0</v>
      </c>
      <c r="Q63" s="1042">
        <f t="shared" si="17"/>
        <v>0</v>
      </c>
      <c r="R63" s="1042">
        <f t="shared" si="17"/>
        <v>68636983</v>
      </c>
      <c r="S63" s="1042">
        <f>SUM(S10+S13+S14+S15+S26+S27+S38+S42+S43+S54)</f>
        <v>66530766</v>
      </c>
      <c r="T63" s="1042">
        <f>SUM(T11+T13+T14+T15+T26+T27+T38+T42+T43+T54)</f>
        <v>0</v>
      </c>
      <c r="U63" s="1040"/>
    </row>
    <row r="64" spans="1:21" s="82" customFormat="1" ht="22.8">
      <c r="A64" s="1038" t="s">
        <v>1816</v>
      </c>
      <c r="B64" s="1039"/>
      <c r="C64" s="1039"/>
      <c r="D64" s="1039"/>
      <c r="E64" s="1050"/>
      <c r="F64" s="1050"/>
      <c r="G64" s="1050"/>
      <c r="H64" s="1050"/>
      <c r="I64" s="1050"/>
      <c r="J64" s="1050"/>
      <c r="K64" s="1050"/>
      <c r="L64" s="1050"/>
      <c r="M64" s="1050"/>
      <c r="N64" s="1050"/>
      <c r="O64" s="1050"/>
      <c r="P64" s="1050"/>
      <c r="Q64" s="1050"/>
      <c r="R64" s="1050"/>
      <c r="S64" s="1039"/>
      <c r="T64" s="1039"/>
      <c r="U64" s="1040"/>
    </row>
    <row r="65" spans="1:21" s="82" customFormat="1">
      <c r="A65" s="1041" t="s">
        <v>1817</v>
      </c>
      <c r="B65" s="1042">
        <f>SUM(C65+D65)</f>
        <v>100000</v>
      </c>
      <c r="C65" s="1043">
        <v>100000</v>
      </c>
      <c r="D65" s="1043"/>
      <c r="E65" s="1043"/>
      <c r="F65" s="1043">
        <v>100000</v>
      </c>
      <c r="G65" s="1043"/>
      <c r="H65" s="1043"/>
      <c r="I65" s="1043"/>
      <c r="J65" s="1043"/>
      <c r="K65" s="1043"/>
      <c r="L65" s="1043"/>
      <c r="M65" s="1043"/>
      <c r="N65" s="1043"/>
      <c r="O65" s="1043"/>
      <c r="P65" s="1043"/>
      <c r="Q65" s="1043"/>
      <c r="R65" s="1044">
        <f>SUM(E65:Q65)</f>
        <v>100000</v>
      </c>
      <c r="S65" s="1043">
        <v>100000</v>
      </c>
      <c r="T65" s="1043"/>
      <c r="U65" s="1040"/>
    </row>
    <row r="66" spans="1:21" s="82" customFormat="1" ht="24" customHeight="1">
      <c r="A66" s="1041" t="s">
        <v>1818</v>
      </c>
      <c r="B66" s="1042">
        <f>SUM(C66+D66)</f>
        <v>0</v>
      </c>
      <c r="C66" s="1043"/>
      <c r="D66" s="1043"/>
      <c r="E66" s="1043"/>
      <c r="F66" s="1043"/>
      <c r="G66" s="1043"/>
      <c r="H66" s="1043"/>
      <c r="I66" s="1043"/>
      <c r="J66" s="1043"/>
      <c r="K66" s="1043"/>
      <c r="L66" s="1043"/>
      <c r="M66" s="1043"/>
      <c r="N66" s="1043"/>
      <c r="O66" s="1043"/>
      <c r="P66" s="1043"/>
      <c r="Q66" s="1043"/>
      <c r="R66" s="1044">
        <f>SUM(E66:Q66)</f>
        <v>0</v>
      </c>
      <c r="S66" s="1043"/>
      <c r="T66" s="1043"/>
      <c r="U66" s="1040"/>
    </row>
    <row r="67" spans="1:21" s="82" customFormat="1" ht="24" customHeight="1">
      <c r="A67" s="1041" t="s">
        <v>1819</v>
      </c>
      <c r="B67" s="1042">
        <f>SUM(C67+D67)</f>
        <v>0</v>
      </c>
      <c r="C67" s="1043"/>
      <c r="D67" s="1043"/>
      <c r="E67" s="1043"/>
      <c r="F67" s="1043"/>
      <c r="G67" s="1043"/>
      <c r="H67" s="1043"/>
      <c r="I67" s="1043"/>
      <c r="J67" s="1043"/>
      <c r="K67" s="1043"/>
      <c r="L67" s="1043"/>
      <c r="M67" s="1043"/>
      <c r="N67" s="1043"/>
      <c r="O67" s="1043"/>
      <c r="P67" s="1043"/>
      <c r="Q67" s="1043"/>
      <c r="R67" s="1044">
        <f>SUM(E67:Q67)</f>
        <v>0</v>
      </c>
      <c r="S67" s="1043"/>
      <c r="T67" s="1043"/>
      <c r="U67" s="1040"/>
    </row>
    <row r="68" spans="1:21" s="82" customFormat="1" ht="12" customHeight="1">
      <c r="A68" s="1041" t="s">
        <v>1820</v>
      </c>
      <c r="B68" s="1042">
        <f>SUM(C68+D68)</f>
        <v>0</v>
      </c>
      <c r="C68" s="1043"/>
      <c r="D68" s="1043"/>
      <c r="E68" s="1043"/>
      <c r="F68" s="1043"/>
      <c r="G68" s="1043"/>
      <c r="H68" s="1043"/>
      <c r="I68" s="1043"/>
      <c r="J68" s="1043"/>
      <c r="K68" s="1043"/>
      <c r="L68" s="1043"/>
      <c r="M68" s="1043"/>
      <c r="N68" s="1043"/>
      <c r="O68" s="1043"/>
      <c r="P68" s="1043"/>
      <c r="Q68" s="1043"/>
      <c r="R68" s="1044">
        <f>SUM(E68:Q68)</f>
        <v>0</v>
      </c>
      <c r="S68" s="1043"/>
      <c r="T68" s="1043"/>
      <c r="U68" s="1040"/>
    </row>
    <row r="69" spans="1:21" s="82" customFormat="1" ht="22.8">
      <c r="A69" s="1052" t="s">
        <v>1821</v>
      </c>
      <c r="B69" s="1042">
        <f>SUM(C69+D69)</f>
        <v>225000</v>
      </c>
      <c r="C69" s="1043">
        <f>75000+50000+50000+50000</f>
        <v>225000</v>
      </c>
      <c r="D69" s="1043"/>
      <c r="E69" s="1043"/>
      <c r="F69" s="1043">
        <v>225000</v>
      </c>
      <c r="G69" s="1043"/>
      <c r="H69" s="1043"/>
      <c r="I69" s="1043"/>
      <c r="J69" s="1043"/>
      <c r="K69" s="1043"/>
      <c r="L69" s="1043"/>
      <c r="M69" s="1043"/>
      <c r="N69" s="1043"/>
      <c r="O69" s="1043"/>
      <c r="P69" s="1043"/>
      <c r="Q69" s="1043"/>
      <c r="R69" s="1044">
        <f>SUM(E69:Q69)</f>
        <v>225000</v>
      </c>
      <c r="S69" s="1043">
        <v>75000</v>
      </c>
      <c r="T69" s="1043"/>
      <c r="U69" s="1040"/>
    </row>
    <row r="70" spans="1:21" s="82" customFormat="1" ht="12">
      <c r="A70" s="1046" t="s">
        <v>1822</v>
      </c>
      <c r="B70" s="1042">
        <f>SUM(C70:D70)</f>
        <v>325000</v>
      </c>
      <c r="C70" s="1042">
        <f>SUM(C65:C69)</f>
        <v>325000</v>
      </c>
      <c r="D70" s="1042">
        <f>SUM(D65:D69)</f>
        <v>0</v>
      </c>
      <c r="E70" s="1042">
        <f t="shared" ref="E70:T70" si="18">SUM(E65:E69)</f>
        <v>0</v>
      </c>
      <c r="F70" s="1042">
        <f t="shared" si="18"/>
        <v>325000</v>
      </c>
      <c r="G70" s="1042">
        <f t="shared" si="18"/>
        <v>0</v>
      </c>
      <c r="H70" s="1042">
        <f t="shared" si="18"/>
        <v>0</v>
      </c>
      <c r="I70" s="1042">
        <f t="shared" si="18"/>
        <v>0</v>
      </c>
      <c r="J70" s="1042">
        <f t="shared" si="18"/>
        <v>0</v>
      </c>
      <c r="K70" s="1042">
        <f t="shared" si="18"/>
        <v>0</v>
      </c>
      <c r="L70" s="1042">
        <f t="shared" si="18"/>
        <v>0</v>
      </c>
      <c r="M70" s="1042">
        <f t="shared" si="18"/>
        <v>0</v>
      </c>
      <c r="N70" s="1042">
        <f t="shared" si="18"/>
        <v>0</v>
      </c>
      <c r="O70" s="1042">
        <f t="shared" si="18"/>
        <v>0</v>
      </c>
      <c r="P70" s="1042">
        <f t="shared" si="18"/>
        <v>0</v>
      </c>
      <c r="Q70" s="1042">
        <f t="shared" si="18"/>
        <v>0</v>
      </c>
      <c r="R70" s="1042">
        <f t="shared" si="18"/>
        <v>325000</v>
      </c>
      <c r="S70" s="1047">
        <f t="shared" si="18"/>
        <v>175000</v>
      </c>
      <c r="T70" s="1047">
        <f t="shared" si="18"/>
        <v>0</v>
      </c>
      <c r="U70" s="1040"/>
    </row>
    <row r="71" spans="1:21" s="82" customFormat="1">
      <c r="A71" s="1038" t="s">
        <v>1823</v>
      </c>
      <c r="B71" s="1050"/>
      <c r="C71" s="1050"/>
      <c r="D71" s="1050"/>
      <c r="E71" s="1050"/>
      <c r="F71" s="1050"/>
      <c r="G71" s="1050"/>
      <c r="H71" s="1050"/>
      <c r="I71" s="1050"/>
      <c r="J71" s="1050"/>
      <c r="K71" s="1050"/>
      <c r="L71" s="1050"/>
      <c r="M71" s="1050"/>
      <c r="N71" s="1050"/>
      <c r="O71" s="1050"/>
      <c r="P71" s="1050"/>
      <c r="Q71" s="1050"/>
      <c r="R71" s="1050"/>
      <c r="S71" s="1050"/>
      <c r="T71" s="1050"/>
      <c r="U71" s="1040"/>
    </row>
    <row r="72" spans="1:21" s="82" customFormat="1">
      <c r="A72" s="1041" t="s">
        <v>1824</v>
      </c>
      <c r="B72" s="1042">
        <f>SUM(C72+D72)</f>
        <v>0</v>
      </c>
      <c r="C72" s="1043"/>
      <c r="D72" s="1043"/>
      <c r="E72" s="1043"/>
      <c r="F72" s="1043"/>
      <c r="G72" s="1043"/>
      <c r="H72" s="1043"/>
      <c r="I72" s="1043"/>
      <c r="J72" s="1043"/>
      <c r="K72" s="1043"/>
      <c r="L72" s="1043"/>
      <c r="M72" s="1043"/>
      <c r="N72" s="1043"/>
      <c r="O72" s="1043"/>
      <c r="P72" s="1043"/>
      <c r="Q72" s="1043"/>
      <c r="R72" s="1044">
        <f>SUM(E72:Q72)</f>
        <v>0</v>
      </c>
      <c r="S72" s="1045"/>
      <c r="T72" s="1045"/>
      <c r="U72" s="1040"/>
    </row>
    <row r="73" spans="1:21" s="82" customFormat="1">
      <c r="A73" s="1041" t="s">
        <v>1825</v>
      </c>
      <c r="B73" s="1042">
        <f>SUM(C73+D73)</f>
        <v>0</v>
      </c>
      <c r="C73" s="1043"/>
      <c r="D73" s="1043"/>
      <c r="E73" s="1043"/>
      <c r="F73" s="1043"/>
      <c r="G73" s="1043"/>
      <c r="H73" s="1043"/>
      <c r="I73" s="1043"/>
      <c r="J73" s="1043"/>
      <c r="K73" s="1043"/>
      <c r="L73" s="1043"/>
      <c r="M73" s="1043"/>
      <c r="N73" s="1043"/>
      <c r="O73" s="1043"/>
      <c r="P73" s="1043"/>
      <c r="Q73" s="1043"/>
      <c r="R73" s="1044">
        <f>SUM(E73:Q73)</f>
        <v>0</v>
      </c>
      <c r="S73" s="1045"/>
      <c r="T73" s="1045"/>
      <c r="U73" s="1040"/>
    </row>
    <row r="74" spans="1:21" s="82" customFormat="1">
      <c r="A74" s="1060" t="s">
        <v>1826</v>
      </c>
      <c r="B74" s="1042">
        <f>SUM(C74+D74)</f>
        <v>0</v>
      </c>
      <c r="C74" s="1043"/>
      <c r="D74" s="1043"/>
      <c r="E74" s="1043"/>
      <c r="F74" s="1043"/>
      <c r="G74" s="1043"/>
      <c r="H74" s="1043"/>
      <c r="I74" s="1043"/>
      <c r="J74" s="1043"/>
      <c r="K74" s="1043"/>
      <c r="L74" s="1043"/>
      <c r="M74" s="1043"/>
      <c r="N74" s="1043"/>
      <c r="O74" s="1043"/>
      <c r="P74" s="1043"/>
      <c r="Q74" s="1043"/>
      <c r="R74" s="1044">
        <f>SUM(E74:Q74)</f>
        <v>0</v>
      </c>
      <c r="S74" s="1045"/>
      <c r="T74" s="1045"/>
      <c r="U74" s="1040"/>
    </row>
    <row r="75" spans="1:21" s="82" customFormat="1">
      <c r="A75" s="1041" t="s">
        <v>1827</v>
      </c>
      <c r="B75" s="1042">
        <f>SUM(C75+D75)</f>
        <v>636771</v>
      </c>
      <c r="C75" s="1043">
        <v>636771</v>
      </c>
      <c r="D75" s="1043"/>
      <c r="E75" s="1043"/>
      <c r="F75" s="1043">
        <f>C75</f>
        <v>636771</v>
      </c>
      <c r="G75" s="1043"/>
      <c r="H75" s="1043"/>
      <c r="I75" s="1043"/>
      <c r="J75" s="1043"/>
      <c r="K75" s="1043"/>
      <c r="L75" s="1043"/>
      <c r="M75" s="1043"/>
      <c r="N75" s="1043"/>
      <c r="O75" s="1043"/>
      <c r="P75" s="1043"/>
      <c r="Q75" s="1043"/>
      <c r="R75" s="1044">
        <f>SUM(E75:Q75)</f>
        <v>636771</v>
      </c>
      <c r="S75" s="1045"/>
      <c r="T75" s="1045"/>
      <c r="U75" s="1040"/>
    </row>
    <row r="76" spans="1:21" s="82" customFormat="1">
      <c r="A76" s="1052" t="s">
        <v>1792</v>
      </c>
      <c r="B76" s="1042">
        <f>SUM(C76+D76)</f>
        <v>0</v>
      </c>
      <c r="C76" s="1043"/>
      <c r="D76" s="1043"/>
      <c r="E76" s="1043"/>
      <c r="F76" s="1043"/>
      <c r="G76" s="1043"/>
      <c r="H76" s="1043"/>
      <c r="I76" s="1043"/>
      <c r="J76" s="1043"/>
      <c r="K76" s="1043"/>
      <c r="L76" s="1043"/>
      <c r="M76" s="1043"/>
      <c r="N76" s="1043"/>
      <c r="O76" s="1043"/>
      <c r="P76" s="1043"/>
      <c r="Q76" s="1043"/>
      <c r="R76" s="1044">
        <f>SUM(E76:Q76)</f>
        <v>0</v>
      </c>
      <c r="S76" s="1045"/>
      <c r="T76" s="1045"/>
      <c r="U76" s="1040"/>
    </row>
    <row r="77" spans="1:21" s="82" customFormat="1" ht="12">
      <c r="A77" s="1046" t="s">
        <v>1828</v>
      </c>
      <c r="B77" s="1042">
        <f>SUM(C77:D77)</f>
        <v>636771</v>
      </c>
      <c r="C77" s="1042">
        <f>SUM(C72:C76)</f>
        <v>636771</v>
      </c>
      <c r="D77" s="1042">
        <f>SUM(D72:D76)</f>
        <v>0</v>
      </c>
      <c r="E77" s="1042">
        <f t="shared" ref="E77:Q77" si="19">SUM(E72:E76)</f>
        <v>0</v>
      </c>
      <c r="F77" s="1042">
        <f t="shared" si="19"/>
        <v>636771</v>
      </c>
      <c r="G77" s="1042">
        <f t="shared" si="19"/>
        <v>0</v>
      </c>
      <c r="H77" s="1042">
        <f t="shared" si="19"/>
        <v>0</v>
      </c>
      <c r="I77" s="1042">
        <f t="shared" si="19"/>
        <v>0</v>
      </c>
      <c r="J77" s="1042">
        <f t="shared" si="19"/>
        <v>0</v>
      </c>
      <c r="K77" s="1042">
        <f t="shared" si="19"/>
        <v>0</v>
      </c>
      <c r="L77" s="1042">
        <f t="shared" si="19"/>
        <v>0</v>
      </c>
      <c r="M77" s="1042">
        <f t="shared" si="19"/>
        <v>0</v>
      </c>
      <c r="N77" s="1042">
        <f t="shared" si="19"/>
        <v>0</v>
      </c>
      <c r="O77" s="1042">
        <f t="shared" si="19"/>
        <v>0</v>
      </c>
      <c r="P77" s="1042">
        <f t="shared" si="19"/>
        <v>0</v>
      </c>
      <c r="Q77" s="1042">
        <f t="shared" si="19"/>
        <v>0</v>
      </c>
      <c r="R77" s="1042">
        <f>SUM(R72:R76)</f>
        <v>636771</v>
      </c>
      <c r="S77" s="1045"/>
      <c r="T77" s="1045"/>
      <c r="U77" s="1040"/>
    </row>
    <row r="78" spans="1:21" s="82" customFormat="1">
      <c r="A78" s="1038" t="s">
        <v>1829</v>
      </c>
      <c r="B78" s="1050"/>
      <c r="C78" s="1050"/>
      <c r="D78" s="1050"/>
      <c r="E78" s="1050"/>
      <c r="F78" s="1050"/>
      <c r="G78" s="1050"/>
      <c r="H78" s="1050"/>
      <c r="I78" s="1050"/>
      <c r="J78" s="1050"/>
      <c r="K78" s="1050"/>
      <c r="L78" s="1050"/>
      <c r="M78" s="1050"/>
      <c r="N78" s="1050"/>
      <c r="O78" s="1050"/>
      <c r="P78" s="1050"/>
      <c r="Q78" s="1050"/>
      <c r="R78" s="1050"/>
      <c r="S78" s="1050"/>
      <c r="T78" s="1050"/>
      <c r="U78" s="1040"/>
    </row>
    <row r="79" spans="1:21" s="82" customFormat="1">
      <c r="A79" s="1041" t="s">
        <v>1830</v>
      </c>
      <c r="B79" s="1042">
        <f>SUM(C79:D79)</f>
        <v>3008000</v>
      </c>
      <c r="C79" s="1043">
        <v>3008000</v>
      </c>
      <c r="D79" s="1043"/>
      <c r="E79" s="1043"/>
      <c r="F79" s="1043">
        <f>C79</f>
        <v>3008000</v>
      </c>
      <c r="G79" s="1043"/>
      <c r="H79" s="1043"/>
      <c r="I79" s="1043"/>
      <c r="J79" s="1043"/>
      <c r="K79" s="1043"/>
      <c r="L79" s="1043"/>
      <c r="M79" s="1043"/>
      <c r="N79" s="1043"/>
      <c r="O79" s="1043"/>
      <c r="P79" s="1043"/>
      <c r="Q79" s="1043"/>
      <c r="R79" s="1044">
        <f>SUM(E79:Q79)</f>
        <v>3008000</v>
      </c>
      <c r="S79" s="1043">
        <f>R79</f>
        <v>3008000</v>
      </c>
      <c r="T79" s="1043"/>
      <c r="U79" s="1040"/>
    </row>
    <row r="80" spans="1:21" s="82" customFormat="1">
      <c r="A80" s="1041" t="s">
        <v>1831</v>
      </c>
      <c r="B80" s="1042">
        <f>SUM(C80:D80)</f>
        <v>550891</v>
      </c>
      <c r="C80" s="1043">
        <v>550891</v>
      </c>
      <c r="D80" s="1043"/>
      <c r="E80" s="1043"/>
      <c r="F80" s="1043">
        <f>C80</f>
        <v>550891</v>
      </c>
      <c r="G80" s="1043"/>
      <c r="H80" s="1043"/>
      <c r="I80" s="1043"/>
      <c r="J80" s="1043"/>
      <c r="K80" s="1043"/>
      <c r="L80" s="1043"/>
      <c r="M80" s="1043"/>
      <c r="N80" s="1043"/>
      <c r="O80" s="1043"/>
      <c r="P80" s="1043"/>
      <c r="Q80" s="1043"/>
      <c r="R80" s="1044">
        <f>SUM(E80:Q80)</f>
        <v>550891</v>
      </c>
      <c r="S80" s="1043">
        <f>R80</f>
        <v>550891</v>
      </c>
      <c r="T80" s="1043"/>
      <c r="U80" s="1040"/>
    </row>
    <row r="81" spans="1:21" s="82" customFormat="1" ht="12">
      <c r="A81" s="1046" t="s">
        <v>1832</v>
      </c>
      <c r="B81" s="1042">
        <f>SUM(C81:D81)</f>
        <v>3558891</v>
      </c>
      <c r="C81" s="1061">
        <f>SUM(C79:C80)</f>
        <v>3558891</v>
      </c>
      <c r="D81" s="1061">
        <f t="shared" ref="D81:T81" si="20">SUM(D79:D80)</f>
        <v>0</v>
      </c>
      <c r="E81" s="1061">
        <f t="shared" si="20"/>
        <v>0</v>
      </c>
      <c r="F81" s="1061">
        <f t="shared" si="20"/>
        <v>3558891</v>
      </c>
      <c r="G81" s="1061">
        <f t="shared" si="20"/>
        <v>0</v>
      </c>
      <c r="H81" s="1061">
        <f t="shared" si="20"/>
        <v>0</v>
      </c>
      <c r="I81" s="1061">
        <f t="shared" si="20"/>
        <v>0</v>
      </c>
      <c r="J81" s="1061">
        <f t="shared" si="20"/>
        <v>0</v>
      </c>
      <c r="K81" s="1061">
        <f t="shared" si="20"/>
        <v>0</v>
      </c>
      <c r="L81" s="1061">
        <f t="shared" si="20"/>
        <v>0</v>
      </c>
      <c r="M81" s="1061">
        <f t="shared" si="20"/>
        <v>0</v>
      </c>
      <c r="N81" s="1061">
        <f t="shared" si="20"/>
        <v>0</v>
      </c>
      <c r="O81" s="1061">
        <f t="shared" si="20"/>
        <v>0</v>
      </c>
      <c r="P81" s="1061">
        <f t="shared" si="20"/>
        <v>0</v>
      </c>
      <c r="Q81" s="1061">
        <f t="shared" si="20"/>
        <v>0</v>
      </c>
      <c r="R81" s="1061">
        <f t="shared" si="20"/>
        <v>3558891</v>
      </c>
      <c r="S81" s="1061">
        <f t="shared" si="20"/>
        <v>3558891</v>
      </c>
      <c r="T81" s="1061">
        <f t="shared" si="20"/>
        <v>0</v>
      </c>
      <c r="U81" s="1040"/>
    </row>
    <row r="82" spans="1:21" s="82" customFormat="1">
      <c r="A82" s="1038" t="s">
        <v>1833</v>
      </c>
      <c r="B82" s="1050"/>
      <c r="C82" s="1050"/>
      <c r="D82" s="1050"/>
      <c r="E82" s="1050"/>
      <c r="F82" s="1050"/>
      <c r="G82" s="1050"/>
      <c r="H82" s="1050"/>
      <c r="I82" s="1050"/>
      <c r="J82" s="1050"/>
      <c r="K82" s="1050"/>
      <c r="L82" s="1050"/>
      <c r="M82" s="1050"/>
      <c r="N82" s="1050"/>
      <c r="O82" s="1050"/>
      <c r="P82" s="1050"/>
      <c r="Q82" s="1050"/>
      <c r="R82" s="1050"/>
      <c r="S82" s="1050"/>
      <c r="T82" s="1050"/>
      <c r="U82" s="1040"/>
    </row>
    <row r="83" spans="1:21" s="82" customFormat="1" ht="13.65" customHeight="1">
      <c r="A83" s="1041" t="s">
        <v>1834</v>
      </c>
      <c r="B83" s="1042">
        <f t="shared" ref="B83:B95" si="21">SUM(C83+D83)</f>
        <v>135277</v>
      </c>
      <c r="C83" s="1043">
        <v>135277</v>
      </c>
      <c r="D83" s="1043"/>
      <c r="E83" s="1043"/>
      <c r="F83" s="1043">
        <f>C83</f>
        <v>135277</v>
      </c>
      <c r="G83" s="1043"/>
      <c r="H83" s="1043"/>
      <c r="I83" s="1043"/>
      <c r="J83" s="1043"/>
      <c r="K83" s="1043"/>
      <c r="L83" s="1043"/>
      <c r="M83" s="1043"/>
      <c r="N83" s="1043"/>
      <c r="O83" s="1043"/>
      <c r="P83" s="1043"/>
      <c r="Q83" s="1043"/>
      <c r="R83" s="1044">
        <f t="shared" ref="R83:R95" si="22">SUM(E83:Q83)</f>
        <v>135277</v>
      </c>
      <c r="S83" s="1045"/>
      <c r="T83" s="1045"/>
      <c r="U83" s="1040"/>
    </row>
    <row r="84" spans="1:21" s="82" customFormat="1">
      <c r="A84" s="1041" t="s">
        <v>1835</v>
      </c>
      <c r="B84" s="1042">
        <f t="shared" si="21"/>
        <v>50000</v>
      </c>
      <c r="C84" s="1043">
        <v>50000</v>
      </c>
      <c r="D84" s="1043"/>
      <c r="E84" s="1043"/>
      <c r="F84" s="1043">
        <f t="shared" ref="F84:F95" si="23">C84</f>
        <v>50000</v>
      </c>
      <c r="G84" s="1043"/>
      <c r="H84" s="1043"/>
      <c r="I84" s="1043"/>
      <c r="J84" s="1043"/>
      <c r="K84" s="1043"/>
      <c r="L84" s="1043"/>
      <c r="M84" s="1043"/>
      <c r="N84" s="1043"/>
      <c r="O84" s="1043"/>
      <c r="P84" s="1043"/>
      <c r="Q84" s="1043"/>
      <c r="R84" s="1044">
        <f t="shared" si="22"/>
        <v>50000</v>
      </c>
      <c r="S84" s="1043">
        <v>50000</v>
      </c>
      <c r="T84" s="1043"/>
      <c r="U84" s="1040"/>
    </row>
    <row r="85" spans="1:21" s="82" customFormat="1">
      <c r="A85" s="1041" t="s">
        <v>1836</v>
      </c>
      <c r="B85" s="1042">
        <f t="shared" si="21"/>
        <v>1920000</v>
      </c>
      <c r="C85" s="1043">
        <v>1920000</v>
      </c>
      <c r="D85" s="1043"/>
      <c r="E85" s="1043"/>
      <c r="F85" s="1043">
        <f t="shared" si="23"/>
        <v>1920000</v>
      </c>
      <c r="G85" s="1043"/>
      <c r="H85" s="1043"/>
      <c r="I85" s="1043"/>
      <c r="J85" s="1043"/>
      <c r="K85" s="1043"/>
      <c r="L85" s="1043"/>
      <c r="M85" s="1043"/>
      <c r="N85" s="1043"/>
      <c r="O85" s="1043"/>
      <c r="P85" s="1043"/>
      <c r="Q85" s="1043"/>
      <c r="R85" s="1044">
        <f t="shared" si="22"/>
        <v>1920000</v>
      </c>
      <c r="S85" s="1043">
        <v>1920000</v>
      </c>
      <c r="T85" s="1043"/>
      <c r="U85" s="1040"/>
    </row>
    <row r="86" spans="1:21" s="82" customFormat="1">
      <c r="A86" s="1041" t="s">
        <v>1837</v>
      </c>
      <c r="B86" s="1042">
        <f t="shared" si="21"/>
        <v>1280000</v>
      </c>
      <c r="C86" s="1043">
        <v>1280000</v>
      </c>
      <c r="D86" s="1043"/>
      <c r="E86" s="1043"/>
      <c r="F86" s="1043">
        <f t="shared" si="23"/>
        <v>1280000</v>
      </c>
      <c r="G86" s="1043"/>
      <c r="H86" s="1043"/>
      <c r="I86" s="1043"/>
      <c r="J86" s="1043"/>
      <c r="K86" s="1043"/>
      <c r="L86" s="1043"/>
      <c r="M86" s="1043"/>
      <c r="N86" s="1043"/>
      <c r="O86" s="1043"/>
      <c r="P86" s="1043"/>
      <c r="Q86" s="1043"/>
      <c r="R86" s="1044">
        <f t="shared" si="22"/>
        <v>1280000</v>
      </c>
      <c r="S86" s="1043">
        <v>1280000</v>
      </c>
      <c r="T86" s="1043"/>
      <c r="U86" s="1040"/>
    </row>
    <row r="87" spans="1:21" s="82" customFormat="1">
      <c r="A87" s="1041" t="s">
        <v>1838</v>
      </c>
      <c r="B87" s="1042">
        <f t="shared" si="21"/>
        <v>0</v>
      </c>
      <c r="C87" s="1043"/>
      <c r="D87" s="1043"/>
      <c r="E87" s="1043"/>
      <c r="F87" s="1043"/>
      <c r="G87" s="1043"/>
      <c r="H87" s="1043"/>
      <c r="I87" s="1043"/>
      <c r="J87" s="1043"/>
      <c r="K87" s="1043"/>
      <c r="L87" s="1043"/>
      <c r="M87" s="1043"/>
      <c r="N87" s="1043"/>
      <c r="O87" s="1043"/>
      <c r="P87" s="1043"/>
      <c r="Q87" s="1043"/>
      <c r="R87" s="1044">
        <f t="shared" si="22"/>
        <v>0</v>
      </c>
      <c r="S87" s="1043"/>
      <c r="T87" s="1043"/>
      <c r="U87" s="1040"/>
    </row>
    <row r="88" spans="1:21" s="82" customFormat="1">
      <c r="A88" s="1041" t="s">
        <v>1839</v>
      </c>
      <c r="B88" s="1042">
        <f t="shared" si="21"/>
        <v>100000</v>
      </c>
      <c r="C88" s="1043">
        <v>100000</v>
      </c>
      <c r="D88" s="1043"/>
      <c r="E88" s="1043"/>
      <c r="F88" s="1043">
        <f t="shared" si="23"/>
        <v>100000</v>
      </c>
      <c r="G88" s="1043"/>
      <c r="H88" s="1043"/>
      <c r="I88" s="1043"/>
      <c r="J88" s="1043"/>
      <c r="K88" s="1043"/>
      <c r="L88" s="1043"/>
      <c r="M88" s="1043"/>
      <c r="N88" s="1043"/>
      <c r="O88" s="1043"/>
      <c r="P88" s="1043"/>
      <c r="Q88" s="1043"/>
      <c r="R88" s="1044">
        <f t="shared" si="22"/>
        <v>100000</v>
      </c>
      <c r="S88" s="1045"/>
      <c r="T88" s="1045"/>
      <c r="U88" s="1040"/>
    </row>
    <row r="89" spans="1:21" s="82" customFormat="1">
      <c r="A89" s="1041" t="s">
        <v>1840</v>
      </c>
      <c r="B89" s="1042">
        <f t="shared" si="21"/>
        <v>100000</v>
      </c>
      <c r="C89" s="1043">
        <v>100000</v>
      </c>
      <c r="D89" s="1043"/>
      <c r="E89" s="1043"/>
      <c r="F89" s="1043">
        <f t="shared" si="23"/>
        <v>100000</v>
      </c>
      <c r="G89" s="1043"/>
      <c r="H89" s="1043"/>
      <c r="I89" s="1043"/>
      <c r="J89" s="1043"/>
      <c r="K89" s="1043"/>
      <c r="L89" s="1043"/>
      <c r="M89" s="1043"/>
      <c r="N89" s="1043"/>
      <c r="O89" s="1043"/>
      <c r="P89" s="1043"/>
      <c r="Q89" s="1043"/>
      <c r="R89" s="1044">
        <f t="shared" si="22"/>
        <v>100000</v>
      </c>
      <c r="S89" s="1043">
        <v>100000</v>
      </c>
      <c r="T89" s="1043"/>
      <c r="U89" s="1040"/>
    </row>
    <row r="90" spans="1:21" s="82" customFormat="1">
      <c r="A90" s="1041" t="s">
        <v>1841</v>
      </c>
      <c r="B90" s="1042">
        <f t="shared" si="21"/>
        <v>15000</v>
      </c>
      <c r="C90" s="1043">
        <v>15000</v>
      </c>
      <c r="D90" s="1043"/>
      <c r="E90" s="1043"/>
      <c r="F90" s="1043">
        <f t="shared" si="23"/>
        <v>15000</v>
      </c>
      <c r="G90" s="1043"/>
      <c r="H90" s="1043"/>
      <c r="I90" s="1043"/>
      <c r="J90" s="1043"/>
      <c r="K90" s="1043"/>
      <c r="L90" s="1043"/>
      <c r="M90" s="1043"/>
      <c r="N90" s="1043"/>
      <c r="O90" s="1043"/>
      <c r="P90" s="1043"/>
      <c r="Q90" s="1043"/>
      <c r="R90" s="1044">
        <f t="shared" si="22"/>
        <v>15000</v>
      </c>
      <c r="S90" s="1043">
        <v>15000</v>
      </c>
      <c r="T90" s="1043"/>
      <c r="U90" s="1040"/>
    </row>
    <row r="91" spans="1:21" s="82" customFormat="1">
      <c r="A91" s="1041" t="s">
        <v>1842</v>
      </c>
      <c r="B91" s="1042">
        <f t="shared" si="21"/>
        <v>50000</v>
      </c>
      <c r="C91" s="1043">
        <v>50000</v>
      </c>
      <c r="D91" s="1043"/>
      <c r="E91" s="1043"/>
      <c r="F91" s="1043">
        <f t="shared" si="23"/>
        <v>50000</v>
      </c>
      <c r="G91" s="1043"/>
      <c r="H91" s="1043"/>
      <c r="I91" s="1043"/>
      <c r="J91" s="1043"/>
      <c r="K91" s="1043"/>
      <c r="L91" s="1043"/>
      <c r="M91" s="1043"/>
      <c r="N91" s="1043"/>
      <c r="O91" s="1043"/>
      <c r="P91" s="1043"/>
      <c r="Q91" s="1043"/>
      <c r="R91" s="1044">
        <f t="shared" si="22"/>
        <v>50000</v>
      </c>
      <c r="S91" s="1043">
        <v>50000</v>
      </c>
      <c r="T91" s="1043"/>
      <c r="U91" s="1040"/>
    </row>
    <row r="92" spans="1:21" s="82" customFormat="1">
      <c r="A92" s="1041" t="s">
        <v>1843</v>
      </c>
      <c r="B92" s="1042">
        <f t="shared" si="21"/>
        <v>20000</v>
      </c>
      <c r="C92" s="1043">
        <v>20000</v>
      </c>
      <c r="D92" s="1043"/>
      <c r="E92" s="1043"/>
      <c r="F92" s="1043">
        <f t="shared" si="23"/>
        <v>20000</v>
      </c>
      <c r="G92" s="1043"/>
      <c r="H92" s="1043"/>
      <c r="I92" s="1043"/>
      <c r="J92" s="1043"/>
      <c r="K92" s="1043"/>
      <c r="L92" s="1043"/>
      <c r="M92" s="1043"/>
      <c r="N92" s="1043"/>
      <c r="O92" s="1043"/>
      <c r="P92" s="1043"/>
      <c r="Q92" s="1043"/>
      <c r="R92" s="1044">
        <f t="shared" si="22"/>
        <v>20000</v>
      </c>
      <c r="S92" s="1043">
        <v>20000</v>
      </c>
      <c r="T92" s="1043"/>
      <c r="U92" s="1040"/>
    </row>
    <row r="93" spans="1:21" s="82" customFormat="1">
      <c r="A93" s="1052" t="s">
        <v>1844</v>
      </c>
      <c r="B93" s="1042">
        <f t="shared" si="21"/>
        <v>42000</v>
      </c>
      <c r="C93" s="1043">
        <v>42000</v>
      </c>
      <c r="D93" s="1043"/>
      <c r="E93" s="1043"/>
      <c r="F93" s="1043">
        <f t="shared" si="23"/>
        <v>42000</v>
      </c>
      <c r="G93" s="1043"/>
      <c r="H93" s="1043"/>
      <c r="I93" s="1043"/>
      <c r="J93" s="1043"/>
      <c r="K93" s="1043"/>
      <c r="L93" s="1043"/>
      <c r="M93" s="1043"/>
      <c r="N93" s="1043"/>
      <c r="O93" s="1043"/>
      <c r="P93" s="1043"/>
      <c r="Q93" s="1043"/>
      <c r="R93" s="1044">
        <f t="shared" si="22"/>
        <v>42000</v>
      </c>
      <c r="S93" s="1043">
        <v>42000</v>
      </c>
      <c r="T93" s="1043"/>
      <c r="U93" s="1040"/>
    </row>
    <row r="94" spans="1:21" s="82" customFormat="1">
      <c r="A94" s="1052" t="s">
        <v>1845</v>
      </c>
      <c r="B94" s="1042">
        <f t="shared" si="21"/>
        <v>250000</v>
      </c>
      <c r="C94" s="1043">
        <f>250000</f>
        <v>250000</v>
      </c>
      <c r="D94" s="1043"/>
      <c r="E94" s="1043"/>
      <c r="F94" s="1043">
        <f t="shared" si="23"/>
        <v>250000</v>
      </c>
      <c r="G94" s="1043"/>
      <c r="H94" s="1043"/>
      <c r="I94" s="1043"/>
      <c r="J94" s="1043"/>
      <c r="K94" s="1043"/>
      <c r="L94" s="1043"/>
      <c r="M94" s="1043"/>
      <c r="N94" s="1043"/>
      <c r="O94" s="1043"/>
      <c r="P94" s="1043"/>
      <c r="Q94" s="1043"/>
      <c r="R94" s="1044">
        <f t="shared" si="22"/>
        <v>250000</v>
      </c>
      <c r="S94" s="1043">
        <f>R94</f>
        <v>250000</v>
      </c>
      <c r="T94" s="1043"/>
      <c r="U94" s="1040"/>
    </row>
    <row r="95" spans="1:21" s="82" customFormat="1">
      <c r="A95" s="1052" t="s">
        <v>1846</v>
      </c>
      <c r="B95" s="1042">
        <f t="shared" si="21"/>
        <v>218033</v>
      </c>
      <c r="C95" s="1043">
        <f>18033+200000</f>
        <v>218033</v>
      </c>
      <c r="D95" s="1043"/>
      <c r="E95" s="1043"/>
      <c r="F95" s="1043">
        <f t="shared" si="23"/>
        <v>218033</v>
      </c>
      <c r="G95" s="1043"/>
      <c r="H95" s="1043"/>
      <c r="I95" s="1043"/>
      <c r="J95" s="1043"/>
      <c r="K95" s="1043"/>
      <c r="L95" s="1043"/>
      <c r="M95" s="1043"/>
      <c r="N95" s="1043"/>
      <c r="O95" s="1043"/>
      <c r="P95" s="1043"/>
      <c r="Q95" s="1043"/>
      <c r="R95" s="1044">
        <f t="shared" si="22"/>
        <v>218033</v>
      </c>
      <c r="S95" s="1043">
        <f>R95</f>
        <v>218033</v>
      </c>
      <c r="T95" s="1043"/>
      <c r="U95" s="1040"/>
    </row>
    <row r="96" spans="1:21" s="82" customFormat="1" ht="12">
      <c r="A96" s="1046" t="s">
        <v>1847</v>
      </c>
      <c r="B96" s="1042">
        <f>SUM(C96:D96)</f>
        <v>4180310</v>
      </c>
      <c r="C96" s="1042">
        <f t="shared" ref="C96:R96" si="24">SUM(C83:C95)</f>
        <v>4180310</v>
      </c>
      <c r="D96" s="1042">
        <f t="shared" si="24"/>
        <v>0</v>
      </c>
      <c r="E96" s="1042">
        <f t="shared" si="24"/>
        <v>0</v>
      </c>
      <c r="F96" s="1042">
        <f t="shared" si="24"/>
        <v>4180310</v>
      </c>
      <c r="G96" s="1042">
        <f t="shared" si="24"/>
        <v>0</v>
      </c>
      <c r="H96" s="1042">
        <f t="shared" si="24"/>
        <v>0</v>
      </c>
      <c r="I96" s="1042">
        <f t="shared" si="24"/>
        <v>0</v>
      </c>
      <c r="J96" s="1042">
        <f t="shared" si="24"/>
        <v>0</v>
      </c>
      <c r="K96" s="1042">
        <f t="shared" si="24"/>
        <v>0</v>
      </c>
      <c r="L96" s="1042">
        <f t="shared" si="24"/>
        <v>0</v>
      </c>
      <c r="M96" s="1042">
        <f t="shared" si="24"/>
        <v>0</v>
      </c>
      <c r="N96" s="1042">
        <f t="shared" si="24"/>
        <v>0</v>
      </c>
      <c r="O96" s="1042">
        <f t="shared" si="24"/>
        <v>0</v>
      </c>
      <c r="P96" s="1042">
        <f t="shared" si="24"/>
        <v>0</v>
      </c>
      <c r="Q96" s="1042">
        <f t="shared" si="24"/>
        <v>0</v>
      </c>
      <c r="R96" s="1042">
        <f t="shared" si="24"/>
        <v>4180310</v>
      </c>
      <c r="S96" s="1047">
        <f>SUM(S84:S87,S89:S95)</f>
        <v>3945033</v>
      </c>
      <c r="T96" s="1042">
        <f>SUM(T84:T87,T89:T95)</f>
        <v>0</v>
      </c>
      <c r="U96" s="1040"/>
    </row>
    <row r="97" spans="1:21" s="82" customFormat="1" ht="12">
      <c r="A97" s="1046" t="s">
        <v>1848</v>
      </c>
      <c r="B97" s="1042">
        <f>SUM(C97:D97)</f>
        <v>77337955</v>
      </c>
      <c r="C97" s="1042">
        <f t="shared" ref="C97:R97" si="25">SUM(C63+C70+C77+C81+C96)</f>
        <v>77337955</v>
      </c>
      <c r="D97" s="1042">
        <f t="shared" si="25"/>
        <v>0</v>
      </c>
      <c r="E97" s="1042">
        <f t="shared" si="25"/>
        <v>59255760</v>
      </c>
      <c r="F97" s="1042">
        <f t="shared" si="25"/>
        <v>16432195</v>
      </c>
      <c r="G97" s="1042">
        <f t="shared" si="25"/>
        <v>1650000</v>
      </c>
      <c r="H97" s="1042">
        <f t="shared" si="25"/>
        <v>0</v>
      </c>
      <c r="I97" s="1042">
        <f t="shared" si="25"/>
        <v>0</v>
      </c>
      <c r="J97" s="1042">
        <f t="shared" si="25"/>
        <v>0</v>
      </c>
      <c r="K97" s="1042">
        <f t="shared" si="25"/>
        <v>0</v>
      </c>
      <c r="L97" s="1042">
        <f t="shared" si="25"/>
        <v>0</v>
      </c>
      <c r="M97" s="1042">
        <f t="shared" si="25"/>
        <v>0</v>
      </c>
      <c r="N97" s="1042">
        <f t="shared" si="25"/>
        <v>0</v>
      </c>
      <c r="O97" s="1042">
        <f t="shared" si="25"/>
        <v>0</v>
      </c>
      <c r="P97" s="1042">
        <f t="shared" si="25"/>
        <v>0</v>
      </c>
      <c r="Q97" s="1042">
        <f t="shared" si="25"/>
        <v>0</v>
      </c>
      <c r="R97" s="1042">
        <f t="shared" si="25"/>
        <v>77337955</v>
      </c>
      <c r="S97" s="1042">
        <f>SUM(S63+S70+S81+S96)</f>
        <v>74209690</v>
      </c>
      <c r="T97" s="1042">
        <f>SUM(T63+T70+T81+T96)</f>
        <v>0</v>
      </c>
      <c r="U97" s="1040"/>
    </row>
    <row r="98" spans="1:21" s="82" customFormat="1">
      <c r="A98" s="1038" t="s">
        <v>1849</v>
      </c>
      <c r="B98" s="1050"/>
      <c r="C98" s="1050"/>
      <c r="D98" s="1050"/>
      <c r="E98" s="1050"/>
      <c r="F98" s="1050"/>
      <c r="G98" s="1050"/>
      <c r="H98" s="1050"/>
      <c r="I98" s="1050"/>
      <c r="J98" s="1050"/>
      <c r="K98" s="1050"/>
      <c r="L98" s="1050"/>
      <c r="M98" s="1050"/>
      <c r="N98" s="1050"/>
      <c r="O98" s="1050"/>
      <c r="P98" s="1050"/>
      <c r="Q98" s="1050"/>
      <c r="R98" s="1050"/>
      <c r="S98" s="1050"/>
      <c r="T98" s="1050"/>
      <c r="U98" s="1040"/>
    </row>
    <row r="99" spans="1:21" s="82" customFormat="1">
      <c r="A99" s="1041" t="s">
        <v>1850</v>
      </c>
      <c r="B99" s="1042">
        <f>SUM(C99+D99)</f>
        <v>11131453</v>
      </c>
      <c r="C99" s="1043">
        <v>11131453</v>
      </c>
      <c r="D99" s="1043"/>
      <c r="E99" s="1043">
        <f>C99-H99</f>
        <v>2388712</v>
      </c>
      <c r="F99" s="1043"/>
      <c r="G99" s="1043"/>
      <c r="H99" s="1043">
        <v>8742741</v>
      </c>
      <c r="I99" s="1043"/>
      <c r="J99" s="1043"/>
      <c r="K99" s="1043"/>
      <c r="L99" s="1043"/>
      <c r="M99" s="1043"/>
      <c r="N99" s="1043"/>
      <c r="O99" s="1043"/>
      <c r="P99" s="1043"/>
      <c r="Q99" s="1043"/>
      <c r="R99" s="1044">
        <f>SUM(E99:Q99)</f>
        <v>11131453</v>
      </c>
      <c r="S99" s="1043">
        <f>R99</f>
        <v>11131453</v>
      </c>
      <c r="T99" s="1043"/>
      <c r="U99" s="1040"/>
    </row>
    <row r="100" spans="1:21" s="82" customFormat="1">
      <c r="A100" s="1041" t="s">
        <v>1851</v>
      </c>
      <c r="B100" s="1042">
        <f>SUM(C100+D100)</f>
        <v>0</v>
      </c>
      <c r="C100" s="1043"/>
      <c r="D100" s="1043"/>
      <c r="E100" s="1043"/>
      <c r="F100" s="1043"/>
      <c r="G100" s="1043"/>
      <c r="H100" s="1043"/>
      <c r="I100" s="1043"/>
      <c r="J100" s="1043"/>
      <c r="K100" s="1043"/>
      <c r="L100" s="1043"/>
      <c r="M100" s="1043"/>
      <c r="N100" s="1043"/>
      <c r="O100" s="1043"/>
      <c r="P100" s="1043"/>
      <c r="Q100" s="1043"/>
      <c r="R100" s="1044">
        <f>SUM(E100:Q100)</f>
        <v>0</v>
      </c>
      <c r="S100" s="1043"/>
      <c r="T100" s="1043"/>
      <c r="U100" s="1040"/>
    </row>
    <row r="101" spans="1:21" s="82" customFormat="1" ht="12" customHeight="1">
      <c r="A101" s="1041" t="s">
        <v>1852</v>
      </c>
      <c r="B101" s="1042">
        <f>SUM(C101+D101)</f>
        <v>0</v>
      </c>
      <c r="C101" s="1043"/>
      <c r="D101" s="1043"/>
      <c r="E101" s="1043"/>
      <c r="F101" s="1043"/>
      <c r="G101" s="1043"/>
      <c r="H101" s="1043"/>
      <c r="I101" s="1043"/>
      <c r="J101" s="1043"/>
      <c r="K101" s="1043"/>
      <c r="L101" s="1043"/>
      <c r="M101" s="1043"/>
      <c r="N101" s="1043"/>
      <c r="O101" s="1043"/>
      <c r="P101" s="1043"/>
      <c r="Q101" s="1043"/>
      <c r="R101" s="1044">
        <f>SUM(E101:Q101)</f>
        <v>0</v>
      </c>
      <c r="S101" s="1043"/>
      <c r="T101" s="1043"/>
      <c r="U101" s="1040"/>
    </row>
    <row r="102" spans="1:21" s="82" customFormat="1">
      <c r="A102" s="1041" t="s">
        <v>1853</v>
      </c>
      <c r="B102" s="1042">
        <f>SUM(C102+D102)</f>
        <v>0</v>
      </c>
      <c r="C102" s="1043"/>
      <c r="D102" s="1043"/>
      <c r="E102" s="1043"/>
      <c r="F102" s="1043"/>
      <c r="G102" s="1043"/>
      <c r="H102" s="1043"/>
      <c r="I102" s="1043"/>
      <c r="J102" s="1043"/>
      <c r="K102" s="1043"/>
      <c r="L102" s="1043"/>
      <c r="M102" s="1043"/>
      <c r="N102" s="1043"/>
      <c r="O102" s="1043"/>
      <c r="P102" s="1043"/>
      <c r="Q102" s="1043"/>
      <c r="R102" s="1044">
        <f>SUM(E102:Q102)</f>
        <v>0</v>
      </c>
      <c r="S102" s="1043"/>
      <c r="T102" s="1043"/>
      <c r="U102" s="1040"/>
    </row>
    <row r="103" spans="1:21" s="82" customFormat="1">
      <c r="A103" s="1052" t="s">
        <v>1792</v>
      </c>
      <c r="B103" s="1042">
        <f>SUM(C103+D103)</f>
        <v>0</v>
      </c>
      <c r="C103" s="1043"/>
      <c r="D103" s="1043"/>
      <c r="E103" s="1043"/>
      <c r="F103" s="1043"/>
      <c r="G103" s="1043"/>
      <c r="H103" s="1043"/>
      <c r="I103" s="1043"/>
      <c r="J103" s="1043"/>
      <c r="K103" s="1043"/>
      <c r="L103" s="1043"/>
      <c r="M103" s="1043"/>
      <c r="N103" s="1043"/>
      <c r="O103" s="1043"/>
      <c r="P103" s="1043"/>
      <c r="Q103" s="1043"/>
      <c r="R103" s="1044">
        <f>SUM(E103:Q103)</f>
        <v>0</v>
      </c>
      <c r="S103" s="1043"/>
      <c r="T103" s="1043"/>
      <c r="U103" s="1040"/>
    </row>
    <row r="104" spans="1:21" s="82" customFormat="1" ht="12">
      <c r="A104" s="1046" t="s">
        <v>1854</v>
      </c>
      <c r="B104" s="1042">
        <f>SUM(C104:D104)</f>
        <v>11131453</v>
      </c>
      <c r="C104" s="1042">
        <f>SUM(C99:C103)</f>
        <v>11131453</v>
      </c>
      <c r="D104" s="1042">
        <f t="shared" ref="D104:T104" si="26">SUM(D99:D103)</f>
        <v>0</v>
      </c>
      <c r="E104" s="1042">
        <f t="shared" si="26"/>
        <v>2388712</v>
      </c>
      <c r="F104" s="1042">
        <f t="shared" si="26"/>
        <v>0</v>
      </c>
      <c r="G104" s="1042">
        <f t="shared" si="26"/>
        <v>0</v>
      </c>
      <c r="H104" s="1042">
        <f t="shared" si="26"/>
        <v>8742741</v>
      </c>
      <c r="I104" s="1042">
        <f t="shared" si="26"/>
        <v>0</v>
      </c>
      <c r="J104" s="1042">
        <f t="shared" si="26"/>
        <v>0</v>
      </c>
      <c r="K104" s="1042">
        <f t="shared" si="26"/>
        <v>0</v>
      </c>
      <c r="L104" s="1042">
        <f t="shared" si="26"/>
        <v>0</v>
      </c>
      <c r="M104" s="1042">
        <f t="shared" si="26"/>
        <v>0</v>
      </c>
      <c r="N104" s="1042">
        <f t="shared" si="26"/>
        <v>0</v>
      </c>
      <c r="O104" s="1042">
        <f t="shared" si="26"/>
        <v>0</v>
      </c>
      <c r="P104" s="1042">
        <f t="shared" si="26"/>
        <v>0</v>
      </c>
      <c r="Q104" s="1042">
        <f t="shared" si="26"/>
        <v>0</v>
      </c>
      <c r="R104" s="1042">
        <f t="shared" si="26"/>
        <v>11131453</v>
      </c>
      <c r="S104" s="1047">
        <f t="shared" si="26"/>
        <v>11131453</v>
      </c>
      <c r="T104" s="1047">
        <f t="shared" si="26"/>
        <v>0</v>
      </c>
      <c r="U104" s="1040"/>
    </row>
    <row r="105" spans="1:21" s="82" customFormat="1" ht="12">
      <c r="A105" s="1046" t="s">
        <v>1855</v>
      </c>
      <c r="B105" s="1047">
        <f>SUM(C105:D105)</f>
        <v>88469408</v>
      </c>
      <c r="C105" s="1047">
        <f t="shared" ref="C105:R105" si="27">SUM(C97+C104)</f>
        <v>88469408</v>
      </c>
      <c r="D105" s="1047">
        <f t="shared" si="27"/>
        <v>0</v>
      </c>
      <c r="E105" s="1047">
        <f t="shared" si="27"/>
        <v>61644472</v>
      </c>
      <c r="F105" s="1047">
        <f t="shared" si="27"/>
        <v>16432195</v>
      </c>
      <c r="G105" s="1047">
        <f t="shared" si="27"/>
        <v>1650000</v>
      </c>
      <c r="H105" s="1047">
        <f t="shared" si="27"/>
        <v>8742741</v>
      </c>
      <c r="I105" s="1047">
        <f t="shared" si="27"/>
        <v>0</v>
      </c>
      <c r="J105" s="1047">
        <f t="shared" si="27"/>
        <v>0</v>
      </c>
      <c r="K105" s="1047">
        <f t="shared" si="27"/>
        <v>0</v>
      </c>
      <c r="L105" s="1047">
        <f t="shared" si="27"/>
        <v>0</v>
      </c>
      <c r="M105" s="1047">
        <f t="shared" si="27"/>
        <v>0</v>
      </c>
      <c r="N105" s="1047">
        <f t="shared" si="27"/>
        <v>0</v>
      </c>
      <c r="O105" s="1047">
        <f t="shared" si="27"/>
        <v>0</v>
      </c>
      <c r="P105" s="1047">
        <f t="shared" si="27"/>
        <v>0</v>
      </c>
      <c r="Q105" s="1047">
        <f t="shared" si="27"/>
        <v>0</v>
      </c>
      <c r="R105" s="1042">
        <f t="shared" si="27"/>
        <v>88469408</v>
      </c>
      <c r="S105" s="1047">
        <f>S97+S104</f>
        <v>85341143</v>
      </c>
      <c r="T105" s="1047">
        <f>T97+T104</f>
        <v>0</v>
      </c>
      <c r="U105" s="1040"/>
    </row>
    <row r="106" spans="1:21" ht="12">
      <c r="A106" s="317" t="s">
        <v>1856</v>
      </c>
      <c r="B106" s="1062"/>
      <c r="C106" s="1062"/>
      <c r="D106" s="1062"/>
      <c r="E106" s="1182"/>
      <c r="F106" s="1182"/>
      <c r="G106" s="1182"/>
      <c r="H106" s="177" t="s">
        <v>1857</v>
      </c>
      <c r="I106" s="177"/>
      <c r="J106" s="177"/>
      <c r="K106" s="1182"/>
      <c r="L106" s="1182"/>
      <c r="M106" s="1182"/>
      <c r="N106" s="1182"/>
      <c r="O106" s="1182"/>
      <c r="P106" s="1182"/>
      <c r="Q106" s="1182"/>
      <c r="R106" s="86" t="s">
        <v>1858</v>
      </c>
      <c r="S106" s="1043"/>
      <c r="T106" s="1043"/>
      <c r="U106" s="178"/>
    </row>
    <row r="107" spans="1:21" ht="12">
      <c r="A107" s="1062" t="s">
        <v>1859</v>
      </c>
      <c r="B107" s="1182"/>
      <c r="C107" s="1062"/>
      <c r="D107" s="1062"/>
      <c r="E107" s="1182"/>
      <c r="F107" s="1182"/>
      <c r="G107" s="1182"/>
      <c r="H107" s="1182"/>
      <c r="I107" s="88" t="s">
        <v>1860</v>
      </c>
      <c r="J107" s="88"/>
      <c r="K107" s="1182"/>
      <c r="L107" s="1182"/>
      <c r="M107" s="1182"/>
      <c r="N107" s="1182"/>
      <c r="O107" s="1182"/>
      <c r="P107" s="1182"/>
      <c r="Q107" s="1182"/>
      <c r="R107" s="86" t="s">
        <v>1861</v>
      </c>
      <c r="S107" s="1047">
        <f>S105+S106</f>
        <v>85341143</v>
      </c>
      <c r="T107" s="1047">
        <f>T105+T106</f>
        <v>0</v>
      </c>
      <c r="U107" s="178"/>
    </row>
    <row r="108" spans="1:21" s="100" customFormat="1" ht="12">
      <c r="A108" s="88" t="s">
        <v>1862</v>
      </c>
      <c r="B108" s="1062"/>
      <c r="C108" s="1062"/>
      <c r="D108" s="1062"/>
      <c r="E108" s="1063">
        <f>Application!AO640</f>
        <v>61644472</v>
      </c>
      <c r="F108" s="1063">
        <f>Application!AO627</f>
        <v>16432195</v>
      </c>
      <c r="G108" s="1063">
        <f>Application!AO628</f>
        <v>1650000</v>
      </c>
      <c r="H108" s="1063">
        <f>Application!AO629</f>
        <v>8742741</v>
      </c>
      <c r="I108" s="1063">
        <f>Application!AO630</f>
        <v>0</v>
      </c>
      <c r="J108" s="1063">
        <f>Application!AO631</f>
        <v>0</v>
      </c>
      <c r="K108" s="1063">
        <f>Application!AO632</f>
        <v>0</v>
      </c>
      <c r="L108" s="1063">
        <f>Application!AO633</f>
        <v>0</v>
      </c>
      <c r="M108" s="1063">
        <f>Application!AO634</f>
        <v>0</v>
      </c>
      <c r="N108" s="1063">
        <f>Application!AO635</f>
        <v>0</v>
      </c>
      <c r="O108" s="1063">
        <f>Application!AO636</f>
        <v>0</v>
      </c>
      <c r="P108" s="1063">
        <f>Application!AO637</f>
        <v>0</v>
      </c>
      <c r="Q108" s="1063">
        <f>Application!AO638</f>
        <v>0</v>
      </c>
      <c r="R108" s="1182"/>
      <c r="S108" s="1182"/>
      <c r="T108" s="1182"/>
      <c r="U108" s="1064"/>
    </row>
    <row r="109" spans="1:21" ht="10.35" customHeight="1">
      <c r="A109" s="1062"/>
      <c r="B109" s="1062"/>
      <c r="C109" s="1062"/>
      <c r="D109" s="1062"/>
      <c r="E109" s="1182"/>
      <c r="F109" s="1182"/>
      <c r="G109" s="1182"/>
      <c r="H109" s="1182"/>
      <c r="I109" s="1182"/>
      <c r="J109" s="1182"/>
      <c r="K109" s="1182"/>
      <c r="L109" s="1182"/>
      <c r="M109" s="1182"/>
      <c r="N109" s="1182"/>
      <c r="O109" s="1182"/>
      <c r="P109" s="1182"/>
      <c r="Q109" s="1182"/>
      <c r="R109" s="1182"/>
      <c r="S109" s="1182"/>
      <c r="T109" s="1182"/>
      <c r="U109" s="178"/>
    </row>
    <row r="110" spans="1:21" ht="12">
      <c r="A110" s="88" t="s">
        <v>1863</v>
      </c>
      <c r="B110" s="1062"/>
      <c r="C110" s="1062"/>
      <c r="D110" s="1062"/>
      <c r="E110" s="1182"/>
      <c r="F110" s="1182"/>
      <c r="G110" s="1182"/>
      <c r="H110" s="1182"/>
      <c r="I110" s="1182"/>
      <c r="J110" s="1182"/>
      <c r="K110" s="1182"/>
      <c r="L110" s="1182"/>
      <c r="M110" s="1182"/>
      <c r="N110" s="1182"/>
      <c r="O110" s="1182"/>
      <c r="P110" s="1182"/>
      <c r="Q110" s="1182"/>
      <c r="R110" s="1182"/>
      <c r="S110" s="1182"/>
      <c r="T110" s="1182"/>
      <c r="U110" s="178"/>
    </row>
    <row r="111" spans="1:21" ht="12">
      <c r="A111" s="84" t="s">
        <v>1864</v>
      </c>
      <c r="B111" s="1062"/>
      <c r="C111" s="1062"/>
      <c r="D111" s="1062"/>
      <c r="E111" s="1182"/>
      <c r="F111" s="1182"/>
      <c r="G111" s="1182"/>
      <c r="H111" s="1182"/>
      <c r="I111" s="1182"/>
      <c r="J111" s="1182"/>
      <c r="K111" s="1182"/>
      <c r="L111" s="1182"/>
      <c r="M111" s="1182"/>
      <c r="N111" s="1182"/>
      <c r="O111" s="1182"/>
      <c r="P111" s="1182"/>
      <c r="Q111" s="1182"/>
      <c r="R111" s="1182"/>
      <c r="S111" s="1182"/>
      <c r="T111" s="1182"/>
      <c r="U111" s="178"/>
    </row>
    <row r="112" spans="1:21" ht="12" customHeight="1">
      <c r="A112" s="1142"/>
      <c r="B112" s="1062"/>
      <c r="C112" s="1062"/>
      <c r="D112" s="1062"/>
      <c r="E112" s="1182"/>
      <c r="F112" s="1182"/>
      <c r="G112" s="1182"/>
      <c r="H112" s="1182"/>
      <c r="I112" s="1182"/>
      <c r="J112" s="1182"/>
      <c r="K112" s="1182"/>
      <c r="L112" s="1182"/>
      <c r="M112" s="1182"/>
      <c r="N112" s="1182"/>
      <c r="O112" s="1182"/>
      <c r="P112" s="1182"/>
      <c r="Q112" s="1182"/>
      <c r="R112" s="1182"/>
      <c r="S112" s="1182"/>
      <c r="T112" s="1182"/>
      <c r="U112" s="178"/>
    </row>
    <row r="113" spans="1:21" ht="12">
      <c r="A113" s="84" t="s">
        <v>1865</v>
      </c>
      <c r="B113" s="1062"/>
      <c r="C113" s="1062"/>
      <c r="D113" s="1062"/>
      <c r="E113" s="1182"/>
      <c r="F113" s="1182"/>
      <c r="G113" s="1182"/>
      <c r="H113" s="1182"/>
      <c r="I113" s="1182"/>
      <c r="J113" s="1182"/>
      <c r="K113" s="1182"/>
      <c r="L113" s="1182"/>
      <c r="M113" s="1182"/>
      <c r="N113" s="1182"/>
      <c r="O113" s="1182"/>
      <c r="P113" s="1182"/>
      <c r="Q113" s="1182"/>
      <c r="R113" s="1182"/>
      <c r="S113" s="1182"/>
      <c r="T113" s="1182"/>
      <c r="U113" s="178"/>
    </row>
    <row r="114" spans="1:21" ht="12">
      <c r="A114" s="84" t="s">
        <v>1866</v>
      </c>
      <c r="B114" s="1062"/>
      <c r="C114" s="1062"/>
      <c r="D114" s="1062"/>
      <c r="E114" s="1182"/>
      <c r="F114" s="1182"/>
      <c r="G114" s="1182"/>
      <c r="H114" s="1182"/>
      <c r="I114" s="1182"/>
      <c r="J114" s="1182"/>
      <c r="K114" s="1182"/>
      <c r="L114" s="1182"/>
      <c r="M114" s="1182"/>
      <c r="N114" s="1182"/>
      <c r="O114" s="1182"/>
      <c r="P114" s="1182"/>
      <c r="Q114" s="1182"/>
      <c r="R114" s="1182"/>
      <c r="S114" s="1182"/>
      <c r="T114" s="1182"/>
      <c r="U114" s="178"/>
    </row>
    <row r="115" spans="1:21" ht="12" customHeight="1">
      <c r="A115" s="1142"/>
      <c r="B115" s="1062"/>
      <c r="C115" s="1062"/>
      <c r="D115" s="1062"/>
      <c r="E115" s="1182"/>
      <c r="F115" s="1182"/>
      <c r="G115" s="1182"/>
      <c r="H115" s="1182"/>
      <c r="I115" s="1182"/>
      <c r="J115" s="1182"/>
      <c r="K115" s="1182"/>
      <c r="L115" s="1182"/>
      <c r="M115" s="1182"/>
      <c r="N115" s="1182"/>
      <c r="O115" s="1182"/>
      <c r="P115" s="1182"/>
      <c r="Q115" s="1182"/>
      <c r="R115" s="1182"/>
      <c r="S115" s="1182"/>
      <c r="T115" s="1182"/>
      <c r="U115" s="178"/>
    </row>
    <row r="116" spans="1:21" ht="12">
      <c r="A116" s="191" t="s">
        <v>1867</v>
      </c>
      <c r="B116" s="1062"/>
      <c r="C116" s="1062"/>
      <c r="D116" s="1062"/>
      <c r="E116" s="1182"/>
      <c r="F116" s="1182"/>
      <c r="G116" s="1182"/>
      <c r="H116" s="1182"/>
      <c r="I116" s="1182"/>
      <c r="J116" s="1182"/>
      <c r="K116" s="1182"/>
      <c r="L116" s="1182"/>
      <c r="M116" s="1182"/>
      <c r="N116" s="1182"/>
      <c r="O116" s="1182"/>
      <c r="P116" s="1182"/>
      <c r="Q116" s="1182"/>
      <c r="R116" s="1182"/>
      <c r="S116" s="1182"/>
      <c r="T116" s="1182"/>
      <c r="U116" s="178"/>
    </row>
    <row r="117" spans="1:21" ht="12">
      <c r="A117" s="191" t="s">
        <v>1868</v>
      </c>
      <c r="B117" s="1062"/>
      <c r="C117" s="1062"/>
      <c r="D117" s="1062"/>
      <c r="E117" s="1182"/>
      <c r="F117" s="1182"/>
      <c r="G117" s="1182"/>
      <c r="H117" s="1182"/>
      <c r="I117" s="1182"/>
      <c r="J117" s="1182"/>
      <c r="K117" s="1182"/>
      <c r="L117" s="1182"/>
      <c r="M117" s="1182"/>
      <c r="N117" s="1182"/>
      <c r="O117" s="1182"/>
      <c r="P117" s="1182"/>
      <c r="Q117" s="1182"/>
      <c r="R117" s="1182"/>
      <c r="S117" s="1182"/>
      <c r="T117" s="1182"/>
      <c r="U117" s="178"/>
    </row>
    <row r="118" spans="1:21" ht="12">
      <c r="A118" s="191" t="s">
        <v>1869</v>
      </c>
      <c r="B118" s="1062"/>
      <c r="C118" s="1062"/>
      <c r="D118" s="1062"/>
      <c r="E118" s="1182"/>
      <c r="F118" s="1182"/>
      <c r="G118" s="1182"/>
      <c r="H118" s="1182"/>
      <c r="I118" s="1182"/>
      <c r="J118" s="1182"/>
      <c r="K118" s="1182"/>
      <c r="L118" s="1182"/>
      <c r="M118" s="1182"/>
      <c r="N118" s="1182"/>
      <c r="O118" s="1182"/>
      <c r="P118" s="1182"/>
      <c r="Q118" s="1182"/>
      <c r="R118" s="1182"/>
      <c r="S118" s="1182"/>
      <c r="T118" s="1182"/>
      <c r="U118" s="178"/>
    </row>
    <row r="119" spans="1:21" ht="12">
      <c r="A119" s="191" t="s">
        <v>1870</v>
      </c>
      <c r="B119" s="1062"/>
      <c r="C119" s="1062"/>
      <c r="D119" s="1062"/>
      <c r="E119" s="1182"/>
      <c r="F119" s="1182"/>
      <c r="G119" s="1182"/>
      <c r="H119" s="1182"/>
      <c r="I119" s="1182"/>
      <c r="J119" s="1182"/>
      <c r="K119" s="1182"/>
      <c r="L119" s="1182"/>
      <c r="M119" s="1182"/>
      <c r="N119" s="1182"/>
      <c r="O119" s="1182"/>
      <c r="P119" s="1182"/>
      <c r="Q119" s="1182"/>
      <c r="R119" s="1182"/>
      <c r="S119" s="1182"/>
      <c r="T119" s="1182"/>
      <c r="U119" s="178"/>
    </row>
    <row r="120" spans="1:21" ht="12" customHeight="1">
      <c r="A120" s="190"/>
      <c r="B120" s="1062"/>
      <c r="C120" s="1062"/>
      <c r="D120" s="1062"/>
      <c r="E120" s="1182"/>
      <c r="F120" s="1182"/>
      <c r="G120" s="1182"/>
      <c r="H120" s="1182"/>
      <c r="I120" s="1182"/>
      <c r="J120" s="1182"/>
      <c r="K120" s="1182"/>
      <c r="L120" s="1182"/>
      <c r="M120" s="1182"/>
      <c r="N120" s="1182"/>
      <c r="O120" s="1182"/>
      <c r="P120" s="1182"/>
      <c r="Q120" s="1182"/>
      <c r="R120" s="1182"/>
      <c r="S120" s="1182"/>
      <c r="T120" s="1182"/>
      <c r="U120" s="178"/>
    </row>
    <row r="121" spans="1:21" ht="15.6">
      <c r="A121" s="187" t="s">
        <v>1871</v>
      </c>
      <c r="B121" s="1062"/>
      <c r="C121" s="1062"/>
      <c r="D121" s="1062"/>
      <c r="E121" s="1182"/>
      <c r="F121" s="1182"/>
      <c r="G121" s="1182"/>
      <c r="H121" s="1182"/>
      <c r="I121" s="1182"/>
      <c r="J121" s="1182"/>
      <c r="K121" s="1182"/>
      <c r="L121" s="1182"/>
      <c r="M121" s="1182"/>
      <c r="N121" s="1182"/>
      <c r="O121" s="1182"/>
      <c r="P121" s="1182"/>
      <c r="Q121" s="1182"/>
      <c r="R121" s="1182"/>
      <c r="S121" s="1182"/>
      <c r="T121" s="1182"/>
      <c r="U121" s="178"/>
    </row>
    <row r="122" spans="1:21">
      <c r="A122" s="177" t="s">
        <v>1872</v>
      </c>
      <c r="B122" s="1182"/>
      <c r="C122" s="1182"/>
      <c r="D122" s="1803" t="s">
        <v>1873</v>
      </c>
      <c r="E122" s="1803"/>
      <c r="F122" s="1803"/>
      <c r="G122" s="1182"/>
      <c r="H122" s="1182"/>
      <c r="I122" s="1182"/>
      <c r="J122" s="1182"/>
      <c r="K122" s="1182"/>
      <c r="L122" s="1182"/>
      <c r="M122" s="1182"/>
      <c r="N122" s="1182"/>
      <c r="O122" s="1182"/>
      <c r="P122" s="1182"/>
      <c r="Q122" s="1182"/>
      <c r="R122" s="1182"/>
      <c r="S122" s="1182"/>
      <c r="T122" s="1182"/>
      <c r="U122" s="178"/>
    </row>
    <row r="123" spans="1:21">
      <c r="A123" s="1182" t="s">
        <v>1874</v>
      </c>
      <c r="B123" s="185"/>
      <c r="C123" s="1182"/>
      <c r="D123" s="1796" t="s">
        <v>1875</v>
      </c>
      <c r="E123" s="1504"/>
      <c r="F123" s="1504"/>
      <c r="G123" s="1504"/>
      <c r="H123" s="1504"/>
      <c r="I123" s="1504"/>
      <c r="J123" s="1504"/>
      <c r="K123" s="1504"/>
      <c r="L123" s="1504"/>
      <c r="M123" s="1504"/>
      <c r="N123" s="1504"/>
      <c r="O123" s="1504"/>
      <c r="P123" s="1504"/>
      <c r="Q123" s="1504"/>
      <c r="R123" s="1504"/>
      <c r="S123" s="1504"/>
      <c r="T123" s="1182"/>
      <c r="U123" s="178"/>
    </row>
    <row r="124" spans="1:21" ht="13.2">
      <c r="A124" s="1127" t="s">
        <v>1876</v>
      </c>
      <c r="B124" s="185"/>
      <c r="C124" s="1127"/>
      <c r="D124" s="1504"/>
      <c r="E124" s="1504"/>
      <c r="F124" s="1504"/>
      <c r="G124" s="1504"/>
      <c r="H124" s="1504"/>
      <c r="I124" s="1504"/>
      <c r="J124" s="1504"/>
      <c r="K124" s="1504"/>
      <c r="L124" s="1504"/>
      <c r="M124" s="1504"/>
      <c r="N124" s="1504"/>
      <c r="O124" s="1504"/>
      <c r="P124" s="1504"/>
      <c r="Q124" s="1504"/>
      <c r="R124" s="1504"/>
      <c r="S124" s="1504"/>
      <c r="T124" s="1182"/>
      <c r="U124" s="178"/>
    </row>
    <row r="125" spans="1:21" ht="13.2">
      <c r="A125" s="1127" t="s">
        <v>1877</v>
      </c>
      <c r="B125" s="185"/>
      <c r="C125" s="1127"/>
      <c r="D125" s="1504"/>
      <c r="E125" s="1504"/>
      <c r="F125" s="1504"/>
      <c r="G125" s="1504"/>
      <c r="H125" s="1504"/>
      <c r="I125" s="1504"/>
      <c r="J125" s="1504"/>
      <c r="K125" s="1504"/>
      <c r="L125" s="1504"/>
      <c r="M125" s="1504"/>
      <c r="N125" s="1504"/>
      <c r="O125" s="1504"/>
      <c r="P125" s="1504"/>
      <c r="Q125" s="1504"/>
      <c r="R125" s="1504"/>
      <c r="S125" s="1504"/>
      <c r="T125" s="1182"/>
      <c r="U125" s="178"/>
    </row>
    <row r="126" spans="1:21" ht="13.2">
      <c r="A126" s="1127" t="s">
        <v>1878</v>
      </c>
      <c r="B126" s="185"/>
      <c r="C126" s="1127"/>
      <c r="D126" s="69"/>
      <c r="E126" s="69"/>
      <c r="F126" s="69"/>
      <c r="G126" s="69"/>
      <c r="H126" s="69"/>
      <c r="I126" s="69"/>
      <c r="J126" s="69"/>
      <c r="K126" s="69"/>
      <c r="L126" s="69"/>
      <c r="M126" s="69"/>
      <c r="N126" s="69"/>
      <c r="O126" s="1127"/>
      <c r="P126" s="1127"/>
      <c r="Q126" s="1127"/>
      <c r="R126" s="1127"/>
      <c r="S126" s="1127"/>
      <c r="T126" s="1182"/>
      <c r="U126" s="178"/>
    </row>
    <row r="127" spans="1:21" ht="13.2">
      <c r="A127" s="1127" t="s">
        <v>1879</v>
      </c>
      <c r="B127" s="185"/>
      <c r="C127" s="1127"/>
      <c r="D127" s="69"/>
      <c r="E127" s="69"/>
      <c r="F127" s="69"/>
      <c r="G127" s="69"/>
      <c r="H127" s="69"/>
      <c r="I127" s="69"/>
      <c r="J127" s="69"/>
      <c r="K127" s="69"/>
      <c r="L127" s="69"/>
      <c r="M127" s="69"/>
      <c r="N127" s="69"/>
      <c r="O127" s="1127"/>
      <c r="P127" s="1127"/>
      <c r="Q127" s="1127"/>
      <c r="R127" s="1127"/>
      <c r="S127" s="1127"/>
      <c r="T127" s="1182"/>
      <c r="U127" s="178"/>
    </row>
    <row r="128" spans="1:21" ht="13.2">
      <c r="A128" s="1127" t="s">
        <v>1880</v>
      </c>
      <c r="B128" s="185"/>
      <c r="C128" s="1127"/>
      <c r="D128" s="1798"/>
      <c r="E128" s="1798"/>
      <c r="F128" s="1798"/>
      <c r="G128" s="1798"/>
      <c r="H128" s="1798"/>
      <c r="I128" s="1127"/>
      <c r="J128" s="1795"/>
      <c r="K128" s="1795"/>
      <c r="L128" s="1127"/>
      <c r="M128" s="1127"/>
      <c r="N128" s="1127"/>
      <c r="O128" s="1127"/>
      <c r="P128" s="1127"/>
      <c r="Q128" s="1127"/>
      <c r="R128" s="1127"/>
      <c r="S128" s="1127"/>
      <c r="T128" s="1182"/>
      <c r="U128" s="178"/>
    </row>
    <row r="129" spans="1:21" ht="13.2">
      <c r="A129" s="1127" t="s">
        <v>1052</v>
      </c>
      <c r="B129" s="185"/>
      <c r="C129" s="1127"/>
      <c r="D129" s="1802" t="s">
        <v>1881</v>
      </c>
      <c r="E129" s="1802"/>
      <c r="F129" s="1802"/>
      <c r="G129" s="1802"/>
      <c r="H129" s="1802"/>
      <c r="I129" s="1127"/>
      <c r="J129" s="1127" t="s">
        <v>1882</v>
      </c>
      <c r="K129" s="1127"/>
      <c r="L129" s="1127"/>
      <c r="M129" s="1127"/>
      <c r="N129" s="1127"/>
      <c r="O129" s="1127"/>
      <c r="P129" s="1127"/>
      <c r="Q129" s="1127"/>
      <c r="R129" s="1127"/>
      <c r="S129" s="1127"/>
      <c r="T129" s="1182"/>
      <c r="U129" s="178"/>
    </row>
    <row r="130" spans="1:21" ht="12" customHeight="1">
      <c r="A130" s="1127"/>
      <c r="B130" s="184"/>
      <c r="C130" s="1127"/>
      <c r="D130" s="1127"/>
      <c r="E130" s="1127"/>
      <c r="F130" s="1127"/>
      <c r="G130" s="1127"/>
      <c r="H130" s="1127"/>
      <c r="I130" s="1127"/>
      <c r="J130" s="1127"/>
      <c r="K130" s="1127"/>
      <c r="L130" s="1127"/>
      <c r="M130" s="1127"/>
      <c r="N130" s="1127"/>
      <c r="O130" s="1127"/>
      <c r="P130" s="1127"/>
      <c r="Q130" s="1127"/>
      <c r="R130" s="1127"/>
      <c r="S130" s="1127"/>
      <c r="T130" s="1182"/>
      <c r="U130" s="178"/>
    </row>
    <row r="131" spans="1:21" ht="13.2">
      <c r="A131" s="1119" t="s">
        <v>1883</v>
      </c>
      <c r="B131" s="186">
        <f>SUM(B123:B129)</f>
        <v>0</v>
      </c>
      <c r="C131" s="1127"/>
      <c r="D131" s="1480"/>
      <c r="E131" s="1480"/>
      <c r="F131" s="1480"/>
      <c r="G131" s="1480"/>
      <c r="H131" s="1480"/>
      <c r="I131" s="1127"/>
      <c r="J131" s="1480"/>
      <c r="K131" s="1480"/>
      <c r="L131" s="1480"/>
      <c r="M131" s="1480"/>
      <c r="N131" s="1127"/>
      <c r="O131" s="1127"/>
      <c r="P131" s="1127"/>
      <c r="Q131" s="1127"/>
      <c r="R131" s="1127"/>
      <c r="S131" s="1127"/>
      <c r="T131" s="1182"/>
      <c r="U131" s="178"/>
    </row>
    <row r="132" spans="1:21" ht="12" customHeight="1">
      <c r="A132" s="1065"/>
      <c r="B132" s="1127"/>
      <c r="C132" s="1127"/>
      <c r="D132" s="1291" t="s">
        <v>1884</v>
      </c>
      <c r="E132" s="1291"/>
      <c r="F132" s="1291"/>
      <c r="G132" s="1291"/>
      <c r="H132" s="1291"/>
      <c r="I132" s="1127"/>
      <c r="J132" s="1291" t="s">
        <v>1885</v>
      </c>
      <c r="K132" s="1291"/>
      <c r="L132" s="1291"/>
      <c r="M132" s="1291"/>
      <c r="N132" s="1127"/>
      <c r="O132" s="1127"/>
      <c r="P132" s="1127"/>
      <c r="Q132" s="1127"/>
      <c r="R132" s="1127"/>
      <c r="S132" s="1127"/>
      <c r="T132" s="1182"/>
      <c r="U132" s="178"/>
    </row>
    <row r="133" spans="1:21" ht="12" customHeight="1">
      <c r="A133" s="1065"/>
      <c r="B133" s="1127"/>
      <c r="C133" s="1127"/>
      <c r="D133" s="1127"/>
      <c r="E133" s="1127"/>
      <c r="F133" s="1127"/>
      <c r="G133" s="1127"/>
      <c r="H133" s="1127"/>
      <c r="I133" s="1127"/>
      <c r="J133" s="1127"/>
      <c r="K133" s="1127"/>
      <c r="L133" s="1127"/>
      <c r="M133" s="1127"/>
      <c r="N133" s="1127"/>
      <c r="O133" s="1127"/>
      <c r="P133" s="1127"/>
      <c r="Q133" s="1127"/>
      <c r="R133" s="1127"/>
      <c r="S133" s="1127"/>
      <c r="T133" s="1182"/>
      <c r="U133" s="178"/>
    </row>
    <row r="134" spans="1:21" ht="13.2">
      <c r="A134" s="1126" t="s">
        <v>1886</v>
      </c>
      <c r="B134" s="1127"/>
      <c r="C134" s="1127"/>
      <c r="D134" s="1127"/>
      <c r="E134" s="1127"/>
      <c r="F134" s="1127"/>
      <c r="G134" s="1127"/>
      <c r="H134" s="1127"/>
      <c r="I134" s="1127"/>
      <c r="J134" s="1127"/>
      <c r="K134" s="1127"/>
      <c r="L134" s="1127"/>
      <c r="M134" s="1127"/>
      <c r="N134" s="1127"/>
      <c r="O134" s="1127"/>
      <c r="P134" s="1127"/>
      <c r="Q134" s="1127"/>
      <c r="R134" s="1127"/>
      <c r="S134" s="1127"/>
      <c r="T134" s="1182"/>
      <c r="U134" s="178"/>
    </row>
    <row r="135" spans="1:21" ht="13.2">
      <c r="A135" s="1142" t="s">
        <v>1887</v>
      </c>
      <c r="B135" s="1127"/>
      <c r="C135" s="1127"/>
      <c r="D135" s="1127"/>
      <c r="E135" s="1127"/>
      <c r="F135" s="1127"/>
      <c r="G135" s="1127"/>
      <c r="H135" s="1127"/>
      <c r="I135" s="1127"/>
      <c r="J135" s="1127"/>
      <c r="K135" s="1127"/>
      <c r="L135" s="1127"/>
      <c r="M135" s="1127"/>
      <c r="N135" s="1066"/>
      <c r="O135" s="1127"/>
      <c r="P135" s="1127"/>
      <c r="Q135" s="1127"/>
      <c r="R135" s="1127"/>
      <c r="S135" s="1127"/>
      <c r="T135" s="1182"/>
      <c r="U135" s="178"/>
    </row>
    <row r="136" spans="1:21" ht="12" customHeight="1">
      <c r="A136" s="1065"/>
      <c r="B136" s="1127"/>
      <c r="C136" s="1127"/>
      <c r="D136" s="1127"/>
      <c r="E136" s="1127"/>
      <c r="F136" s="1127"/>
      <c r="G136" s="1127"/>
      <c r="H136" s="1127"/>
      <c r="I136" s="1127"/>
      <c r="J136" s="1127"/>
      <c r="K136" s="1127"/>
      <c r="L136" s="1127"/>
      <c r="M136" s="1127"/>
      <c r="N136" s="1127"/>
      <c r="O136" s="1127"/>
      <c r="P136" s="1127"/>
      <c r="Q136" s="1127"/>
      <c r="R136" s="1127"/>
      <c r="S136" s="1127"/>
      <c r="T136" s="182"/>
      <c r="U136" s="183"/>
    </row>
    <row r="137" spans="1:21" ht="13.2">
      <c r="A137" s="1065"/>
      <c r="B137" s="1127"/>
      <c r="C137" s="1127"/>
      <c r="D137" s="1127"/>
      <c r="E137" s="1127"/>
      <c r="F137" s="1127"/>
      <c r="G137" s="1127"/>
      <c r="H137" s="1127"/>
      <c r="I137" s="1127"/>
      <c r="J137" s="1127"/>
      <c r="K137" s="1127"/>
      <c r="L137" s="1127"/>
      <c r="M137" s="1127"/>
      <c r="N137" s="1127"/>
      <c r="O137" s="1127"/>
      <c r="P137" s="1127"/>
      <c r="Q137" s="1127"/>
      <c r="R137" s="1127"/>
      <c r="S137" s="1127"/>
      <c r="T137" s="182"/>
      <c r="U137" s="183"/>
    </row>
    <row r="138" spans="1:21" ht="12" customHeight="1">
      <c r="A138" s="1797"/>
      <c r="B138" s="1798"/>
      <c r="C138" s="1798"/>
      <c r="D138" s="180"/>
      <c r="E138" s="1795"/>
      <c r="F138" s="1795"/>
      <c r="G138" s="1127"/>
      <c r="H138" s="1127"/>
      <c r="I138" s="1127"/>
      <c r="J138" s="1127"/>
      <c r="K138" s="1127"/>
      <c r="L138" s="1127"/>
      <c r="M138" s="1127"/>
      <c r="N138" s="1127"/>
      <c r="O138" s="1127"/>
      <c r="P138" s="1127"/>
      <c r="Q138" s="1127"/>
      <c r="R138" s="1127"/>
      <c r="S138" s="1127"/>
      <c r="T138" s="182"/>
      <c r="U138" s="183"/>
    </row>
    <row r="139" spans="1:21" ht="13.2">
      <c r="A139" s="1794" t="s">
        <v>1888</v>
      </c>
      <c r="B139" s="1794"/>
      <c r="C139" s="1794"/>
      <c r="D139" s="180"/>
      <c r="E139" s="1127" t="s">
        <v>1882</v>
      </c>
      <c r="F139" s="1127"/>
      <c r="G139" s="1127"/>
      <c r="H139" s="1127"/>
      <c r="I139" s="1127"/>
      <c r="J139" s="1127"/>
      <c r="K139" s="1127"/>
      <c r="L139" s="1127"/>
      <c r="M139" s="1127"/>
      <c r="N139" s="1127"/>
      <c r="O139" s="1127"/>
      <c r="P139" s="1127"/>
      <c r="Q139" s="1127"/>
      <c r="R139" s="1127"/>
      <c r="S139" s="1127"/>
      <c r="T139" s="182"/>
      <c r="U139" s="183"/>
    </row>
    <row r="140" spans="1:21" ht="13.2">
      <c r="A140" s="1065"/>
      <c r="B140" s="1127"/>
      <c r="C140" s="1127"/>
      <c r="D140" s="180"/>
      <c r="E140" s="1127"/>
      <c r="F140" s="1127"/>
      <c r="G140" s="1127"/>
      <c r="H140" s="1127"/>
      <c r="I140" s="1127"/>
      <c r="J140" s="1127"/>
      <c r="K140" s="1127"/>
      <c r="L140" s="1127"/>
      <c r="M140" s="1127"/>
      <c r="N140" s="1127"/>
      <c r="O140" s="1127"/>
      <c r="P140" s="1127"/>
      <c r="Q140" s="1127"/>
      <c r="R140" s="1127"/>
      <c r="S140" s="1127"/>
      <c r="T140" s="179"/>
      <c r="U140" s="181"/>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6" workbookViewId="0">
      <selection activeCell="D98" sqref="D98"/>
    </sheetView>
  </sheetViews>
  <sheetFormatPr defaultColWidth="0" defaultRowHeight="12" zeroHeight="1"/>
  <cols>
    <col min="1" max="1" width="32.6640625" style="225" customWidth="1"/>
    <col min="2" max="3" width="12.109375" style="221" customWidth="1"/>
    <col min="4" max="6" width="12.88671875" style="221" customWidth="1"/>
    <col min="7" max="9" width="12.109375" style="221" customWidth="1"/>
    <col min="10" max="10" width="12.109375" style="222" customWidth="1"/>
    <col min="11" max="11" width="8.88671875" style="223" hidden="1" customWidth="1"/>
    <col min="12" max="21" width="8.88671875" style="221" hidden="1" customWidth="1"/>
    <col min="22" max="23" width="0" style="221" hidden="1"/>
    <col min="24" max="256" width="8.88671875" style="221" hidden="1"/>
    <col min="257" max="257" width="32.6640625" style="221" hidden="1" customWidth="1"/>
    <col min="258" max="259" width="12.109375" style="221" hidden="1" customWidth="1"/>
    <col min="260" max="260" width="12.88671875" style="221" hidden="1" customWidth="1"/>
    <col min="261" max="266" width="12.109375" style="221" hidden="1" customWidth="1"/>
    <col min="267" max="277" width="8.88671875" style="221" hidden="1" customWidth="1"/>
    <col min="278" max="512" width="8.88671875" style="221" hidden="1"/>
    <col min="513" max="513" width="32.6640625" style="221" hidden="1" customWidth="1"/>
    <col min="514" max="515" width="12.109375" style="221" hidden="1" customWidth="1"/>
    <col min="516" max="516" width="12.88671875" style="221" hidden="1" customWidth="1"/>
    <col min="517" max="522" width="12.109375" style="221" hidden="1" customWidth="1"/>
    <col min="523" max="533" width="8.88671875" style="221" hidden="1" customWidth="1"/>
    <col min="534" max="768" width="8.88671875" style="221" hidden="1"/>
    <col min="769" max="769" width="32.6640625" style="221" hidden="1" customWidth="1"/>
    <col min="770" max="771" width="12.109375" style="221" hidden="1" customWidth="1"/>
    <col min="772" max="772" width="12.88671875" style="221" hidden="1" customWidth="1"/>
    <col min="773" max="778" width="12.109375" style="221" hidden="1" customWidth="1"/>
    <col min="779" max="789" width="8.88671875" style="221" hidden="1" customWidth="1"/>
    <col min="790" max="1024" width="8.88671875" style="221" hidden="1"/>
    <col min="1025" max="1025" width="32.6640625" style="221" hidden="1" customWidth="1"/>
    <col min="1026" max="1027" width="12.109375" style="221" hidden="1" customWidth="1"/>
    <col min="1028" max="1028" width="12.88671875" style="221" hidden="1" customWidth="1"/>
    <col min="1029" max="1034" width="12.109375" style="221" hidden="1" customWidth="1"/>
    <col min="1035" max="1045" width="8.88671875" style="221" hidden="1" customWidth="1"/>
    <col min="1046" max="1280" width="8.88671875" style="221" hidden="1"/>
    <col min="1281" max="1281" width="32.6640625" style="221" hidden="1" customWidth="1"/>
    <col min="1282" max="1283" width="12.109375" style="221" hidden="1" customWidth="1"/>
    <col min="1284" max="1284" width="12.88671875" style="221" hidden="1" customWidth="1"/>
    <col min="1285" max="1290" width="12.109375" style="221" hidden="1" customWidth="1"/>
    <col min="1291" max="1301" width="8.88671875" style="221" hidden="1" customWidth="1"/>
    <col min="1302" max="1536" width="8.88671875" style="221" hidden="1"/>
    <col min="1537" max="1537" width="32.6640625" style="221" hidden="1" customWidth="1"/>
    <col min="1538" max="1539" width="12.109375" style="221" hidden="1" customWidth="1"/>
    <col min="1540" max="1540" width="12.88671875" style="221" hidden="1" customWidth="1"/>
    <col min="1541" max="1546" width="12.109375" style="221" hidden="1" customWidth="1"/>
    <col min="1547" max="1557" width="8.88671875" style="221" hidden="1" customWidth="1"/>
    <col min="1558" max="1792" width="8.88671875" style="221" hidden="1"/>
    <col min="1793" max="1793" width="32.6640625" style="221" hidden="1" customWidth="1"/>
    <col min="1794" max="1795" width="12.109375" style="221" hidden="1" customWidth="1"/>
    <col min="1796" max="1796" width="12.88671875" style="221" hidden="1" customWidth="1"/>
    <col min="1797" max="1802" width="12.109375" style="221" hidden="1" customWidth="1"/>
    <col min="1803" max="1813" width="8.88671875" style="221" hidden="1" customWidth="1"/>
    <col min="1814" max="2048" width="8.88671875" style="221" hidden="1"/>
    <col min="2049" max="2049" width="32.6640625" style="221" hidden="1" customWidth="1"/>
    <col min="2050" max="2051" width="12.109375" style="221" hidden="1" customWidth="1"/>
    <col min="2052" max="2052" width="12.88671875" style="221" hidden="1" customWidth="1"/>
    <col min="2053" max="2058" width="12.109375" style="221" hidden="1" customWidth="1"/>
    <col min="2059" max="2069" width="8.88671875" style="221" hidden="1" customWidth="1"/>
    <col min="2070" max="2304" width="8.88671875" style="221" hidden="1"/>
    <col min="2305" max="2305" width="32.6640625" style="221" hidden="1" customWidth="1"/>
    <col min="2306" max="2307" width="12.109375" style="221" hidden="1" customWidth="1"/>
    <col min="2308" max="2308" width="12.88671875" style="221" hidden="1" customWidth="1"/>
    <col min="2309" max="2314" width="12.109375" style="221" hidden="1" customWidth="1"/>
    <col min="2315" max="2325" width="8.88671875" style="221" hidden="1" customWidth="1"/>
    <col min="2326" max="2560" width="8.88671875" style="221" hidden="1"/>
    <col min="2561" max="2561" width="32.6640625" style="221" hidden="1" customWidth="1"/>
    <col min="2562" max="2563" width="12.109375" style="221" hidden="1" customWidth="1"/>
    <col min="2564" max="2564" width="12.88671875" style="221" hidden="1" customWidth="1"/>
    <col min="2565" max="2570" width="12.109375" style="221" hidden="1" customWidth="1"/>
    <col min="2571" max="2581" width="8.88671875" style="221" hidden="1" customWidth="1"/>
    <col min="2582" max="2816" width="8.88671875" style="221" hidden="1"/>
    <col min="2817" max="2817" width="32.6640625" style="221" hidden="1" customWidth="1"/>
    <col min="2818" max="2819" width="12.109375" style="221" hidden="1" customWidth="1"/>
    <col min="2820" max="2820" width="12.88671875" style="221" hidden="1" customWidth="1"/>
    <col min="2821" max="2826" width="12.109375" style="221" hidden="1" customWidth="1"/>
    <col min="2827" max="2837" width="8.88671875" style="221" hidden="1" customWidth="1"/>
    <col min="2838" max="3072" width="8.88671875" style="221" hidden="1"/>
    <col min="3073" max="3073" width="32.6640625" style="221" hidden="1" customWidth="1"/>
    <col min="3074" max="3075" width="12.109375" style="221" hidden="1" customWidth="1"/>
    <col min="3076" max="3076" width="12.88671875" style="221" hidden="1" customWidth="1"/>
    <col min="3077" max="3082" width="12.109375" style="221" hidden="1" customWidth="1"/>
    <col min="3083" max="3093" width="8.88671875" style="221" hidden="1" customWidth="1"/>
    <col min="3094" max="3328" width="8.88671875" style="221" hidden="1"/>
    <col min="3329" max="3329" width="32.6640625" style="221" hidden="1" customWidth="1"/>
    <col min="3330" max="3331" width="12.109375" style="221" hidden="1" customWidth="1"/>
    <col min="3332" max="3332" width="12.88671875" style="221" hidden="1" customWidth="1"/>
    <col min="3333" max="3338" width="12.109375" style="221" hidden="1" customWidth="1"/>
    <col min="3339" max="3349" width="8.88671875" style="221" hidden="1" customWidth="1"/>
    <col min="3350" max="3584" width="8.88671875" style="221" hidden="1"/>
    <col min="3585" max="3585" width="32.6640625" style="221" hidden="1" customWidth="1"/>
    <col min="3586" max="3587" width="12.109375" style="221" hidden="1" customWidth="1"/>
    <col min="3588" max="3588" width="12.88671875" style="221" hidden="1" customWidth="1"/>
    <col min="3589" max="3594" width="12.109375" style="221" hidden="1" customWidth="1"/>
    <col min="3595" max="3605" width="8.88671875" style="221" hidden="1" customWidth="1"/>
    <col min="3606" max="3840" width="8.88671875" style="221" hidden="1"/>
    <col min="3841" max="3841" width="32.6640625" style="221" hidden="1" customWidth="1"/>
    <col min="3842" max="3843" width="12.109375" style="221" hidden="1" customWidth="1"/>
    <col min="3844" max="3844" width="12.88671875" style="221" hidden="1" customWidth="1"/>
    <col min="3845" max="3850" width="12.109375" style="221" hidden="1" customWidth="1"/>
    <col min="3851" max="3861" width="8.88671875" style="221" hidden="1" customWidth="1"/>
    <col min="3862" max="4096" width="8.88671875" style="221" hidden="1"/>
    <col min="4097" max="4097" width="32.6640625" style="221" hidden="1" customWidth="1"/>
    <col min="4098" max="4099" width="12.109375" style="221" hidden="1" customWidth="1"/>
    <col min="4100" max="4100" width="12.88671875" style="221" hidden="1" customWidth="1"/>
    <col min="4101" max="4106" width="12.109375" style="221" hidden="1" customWidth="1"/>
    <col min="4107" max="4117" width="8.88671875" style="221" hidden="1" customWidth="1"/>
    <col min="4118" max="4352" width="8.88671875" style="221" hidden="1"/>
    <col min="4353" max="4353" width="32.6640625" style="221" hidden="1" customWidth="1"/>
    <col min="4354" max="4355" width="12.109375" style="221" hidden="1" customWidth="1"/>
    <col min="4356" max="4356" width="12.88671875" style="221" hidden="1" customWidth="1"/>
    <col min="4357" max="4362" width="12.109375" style="221" hidden="1" customWidth="1"/>
    <col min="4363" max="4373" width="8.88671875" style="221" hidden="1" customWidth="1"/>
    <col min="4374" max="4608" width="8.88671875" style="221" hidden="1"/>
    <col min="4609" max="4609" width="32.6640625" style="221" hidden="1" customWidth="1"/>
    <col min="4610" max="4611" width="12.109375" style="221" hidden="1" customWidth="1"/>
    <col min="4612" max="4612" width="12.88671875" style="221" hidden="1" customWidth="1"/>
    <col min="4613" max="4618" width="12.109375" style="221" hidden="1" customWidth="1"/>
    <col min="4619" max="4629" width="8.88671875" style="221" hidden="1" customWidth="1"/>
    <col min="4630" max="4864" width="8.88671875" style="221" hidden="1"/>
    <col min="4865" max="4865" width="32.6640625" style="221" hidden="1" customWidth="1"/>
    <col min="4866" max="4867" width="12.109375" style="221" hidden="1" customWidth="1"/>
    <col min="4868" max="4868" width="12.88671875" style="221" hidden="1" customWidth="1"/>
    <col min="4869" max="4874" width="12.109375" style="221" hidden="1" customWidth="1"/>
    <col min="4875" max="4885" width="8.88671875" style="221" hidden="1" customWidth="1"/>
    <col min="4886" max="5120" width="8.88671875" style="221" hidden="1"/>
    <col min="5121" max="5121" width="32.6640625" style="221" hidden="1" customWidth="1"/>
    <col min="5122" max="5123" width="12.109375" style="221" hidden="1" customWidth="1"/>
    <col min="5124" max="5124" width="12.88671875" style="221" hidden="1" customWidth="1"/>
    <col min="5125" max="5130" width="12.109375" style="221" hidden="1" customWidth="1"/>
    <col min="5131" max="5141" width="8.88671875" style="221" hidden="1" customWidth="1"/>
    <col min="5142" max="5376" width="8.88671875" style="221" hidden="1"/>
    <col min="5377" max="5377" width="32.6640625" style="221" hidden="1" customWidth="1"/>
    <col min="5378" max="5379" width="12.109375" style="221" hidden="1" customWidth="1"/>
    <col min="5380" max="5380" width="12.88671875" style="221" hidden="1" customWidth="1"/>
    <col min="5381" max="5386" width="12.109375" style="221" hidden="1" customWidth="1"/>
    <col min="5387" max="5397" width="8.88671875" style="221" hidden="1" customWidth="1"/>
    <col min="5398" max="5632" width="8.88671875" style="221" hidden="1"/>
    <col min="5633" max="5633" width="32.6640625" style="221" hidden="1" customWidth="1"/>
    <col min="5634" max="5635" width="12.109375" style="221" hidden="1" customWidth="1"/>
    <col min="5636" max="5636" width="12.88671875" style="221" hidden="1" customWidth="1"/>
    <col min="5637" max="5642" width="12.109375" style="221" hidden="1" customWidth="1"/>
    <col min="5643" max="5653" width="8.88671875" style="221" hidden="1" customWidth="1"/>
    <col min="5654" max="5888" width="8.88671875" style="221" hidden="1"/>
    <col min="5889" max="5889" width="32.6640625" style="221" hidden="1" customWidth="1"/>
    <col min="5890" max="5891" width="12.109375" style="221" hidden="1" customWidth="1"/>
    <col min="5892" max="5892" width="12.88671875" style="221" hidden="1" customWidth="1"/>
    <col min="5893" max="5898" width="12.109375" style="221" hidden="1" customWidth="1"/>
    <col min="5899" max="5909" width="8.88671875" style="221" hidden="1" customWidth="1"/>
    <col min="5910" max="6144" width="8.88671875" style="221" hidden="1"/>
    <col min="6145" max="6145" width="32.6640625" style="221" hidden="1" customWidth="1"/>
    <col min="6146" max="6147" width="12.109375" style="221" hidden="1" customWidth="1"/>
    <col min="6148" max="6148" width="12.88671875" style="221" hidden="1" customWidth="1"/>
    <col min="6149" max="6154" width="12.109375" style="221" hidden="1" customWidth="1"/>
    <col min="6155" max="6165" width="8.88671875" style="221" hidden="1" customWidth="1"/>
    <col min="6166" max="6400" width="8.88671875" style="221" hidden="1"/>
    <col min="6401" max="6401" width="32.6640625" style="221" hidden="1" customWidth="1"/>
    <col min="6402" max="6403" width="12.109375" style="221" hidden="1" customWidth="1"/>
    <col min="6404" max="6404" width="12.88671875" style="221" hidden="1" customWidth="1"/>
    <col min="6405" max="6410" width="12.109375" style="221" hidden="1" customWidth="1"/>
    <col min="6411" max="6421" width="8.88671875" style="221" hidden="1" customWidth="1"/>
    <col min="6422" max="6656" width="8.88671875" style="221" hidden="1"/>
    <col min="6657" max="6657" width="32.6640625" style="221" hidden="1" customWidth="1"/>
    <col min="6658" max="6659" width="12.109375" style="221" hidden="1" customWidth="1"/>
    <col min="6660" max="6660" width="12.88671875" style="221" hidden="1" customWidth="1"/>
    <col min="6661" max="6666" width="12.109375" style="221" hidden="1" customWidth="1"/>
    <col min="6667" max="6677" width="8.88671875" style="221" hidden="1" customWidth="1"/>
    <col min="6678" max="6912" width="8.88671875" style="221" hidden="1"/>
    <col min="6913" max="6913" width="32.6640625" style="221" hidden="1" customWidth="1"/>
    <col min="6914" max="6915" width="12.109375" style="221" hidden="1" customWidth="1"/>
    <col min="6916" max="6916" width="12.88671875" style="221" hidden="1" customWidth="1"/>
    <col min="6917" max="6922" width="12.109375" style="221" hidden="1" customWidth="1"/>
    <col min="6923" max="6933" width="8.88671875" style="221" hidden="1" customWidth="1"/>
    <col min="6934" max="7168" width="8.88671875" style="221" hidden="1"/>
    <col min="7169" max="7169" width="32.6640625" style="221" hidden="1" customWidth="1"/>
    <col min="7170" max="7171" width="12.109375" style="221" hidden="1" customWidth="1"/>
    <col min="7172" max="7172" width="12.88671875" style="221" hidden="1" customWidth="1"/>
    <col min="7173" max="7178" width="12.109375" style="221" hidden="1" customWidth="1"/>
    <col min="7179" max="7189" width="8.88671875" style="221" hidden="1" customWidth="1"/>
    <col min="7190" max="7424" width="8.88671875" style="221" hidden="1"/>
    <col min="7425" max="7425" width="32.6640625" style="221" hidden="1" customWidth="1"/>
    <col min="7426" max="7427" width="12.109375" style="221" hidden="1" customWidth="1"/>
    <col min="7428" max="7428" width="12.88671875" style="221" hidden="1" customWidth="1"/>
    <col min="7429" max="7434" width="12.109375" style="221" hidden="1" customWidth="1"/>
    <col min="7435" max="7445" width="8.88671875" style="221" hidden="1" customWidth="1"/>
    <col min="7446" max="7680" width="8.88671875" style="221" hidden="1"/>
    <col min="7681" max="7681" width="32.6640625" style="221" hidden="1" customWidth="1"/>
    <col min="7682" max="7683" width="12.109375" style="221" hidden="1" customWidth="1"/>
    <col min="7684" max="7684" width="12.88671875" style="221" hidden="1" customWidth="1"/>
    <col min="7685" max="7690" width="12.109375" style="221" hidden="1" customWidth="1"/>
    <col min="7691" max="7701" width="8.88671875" style="221" hidden="1" customWidth="1"/>
    <col min="7702" max="7936" width="8.88671875" style="221" hidden="1"/>
    <col min="7937" max="7937" width="32.6640625" style="221" hidden="1" customWidth="1"/>
    <col min="7938" max="7939" width="12.109375" style="221" hidden="1" customWidth="1"/>
    <col min="7940" max="7940" width="12.88671875" style="221" hidden="1" customWidth="1"/>
    <col min="7941" max="7946" width="12.109375" style="221" hidden="1" customWidth="1"/>
    <col min="7947" max="7957" width="8.88671875" style="221" hidden="1" customWidth="1"/>
    <col min="7958" max="8192" width="8.88671875" style="221" hidden="1"/>
    <col min="8193" max="8193" width="32.6640625" style="221" hidden="1" customWidth="1"/>
    <col min="8194" max="8195" width="12.109375" style="221" hidden="1" customWidth="1"/>
    <col min="8196" max="8196" width="12.88671875" style="221" hidden="1" customWidth="1"/>
    <col min="8197" max="8202" width="12.109375" style="221" hidden="1" customWidth="1"/>
    <col min="8203" max="8213" width="8.88671875" style="221" hidden="1" customWidth="1"/>
    <col min="8214" max="8448" width="8.88671875" style="221" hidden="1"/>
    <col min="8449" max="8449" width="32.6640625" style="221" hidden="1" customWidth="1"/>
    <col min="8450" max="8451" width="12.109375" style="221" hidden="1" customWidth="1"/>
    <col min="8452" max="8452" width="12.88671875" style="221" hidden="1" customWidth="1"/>
    <col min="8453" max="8458" width="12.109375" style="221" hidden="1" customWidth="1"/>
    <col min="8459" max="8469" width="8.88671875" style="221" hidden="1" customWidth="1"/>
    <col min="8470" max="8704" width="8.88671875" style="221" hidden="1"/>
    <col min="8705" max="8705" width="32.6640625" style="221" hidden="1" customWidth="1"/>
    <col min="8706" max="8707" width="12.109375" style="221" hidden="1" customWidth="1"/>
    <col min="8708" max="8708" width="12.88671875" style="221" hidden="1" customWidth="1"/>
    <col min="8709" max="8714" width="12.109375" style="221" hidden="1" customWidth="1"/>
    <col min="8715" max="8725" width="8.88671875" style="221" hidden="1" customWidth="1"/>
    <col min="8726" max="8960" width="8.88671875" style="221" hidden="1"/>
    <col min="8961" max="8961" width="32.6640625" style="221" hidden="1" customWidth="1"/>
    <col min="8962" max="8963" width="12.109375" style="221" hidden="1" customWidth="1"/>
    <col min="8964" max="8964" width="12.88671875" style="221" hidden="1" customWidth="1"/>
    <col min="8965" max="8970" width="12.109375" style="221" hidden="1" customWidth="1"/>
    <col min="8971" max="8981" width="8.88671875" style="221" hidden="1" customWidth="1"/>
    <col min="8982" max="9216" width="8.88671875" style="221" hidden="1"/>
    <col min="9217" max="9217" width="32.6640625" style="221" hidden="1" customWidth="1"/>
    <col min="9218" max="9219" width="12.109375" style="221" hidden="1" customWidth="1"/>
    <col min="9220" max="9220" width="12.88671875" style="221" hidden="1" customWidth="1"/>
    <col min="9221" max="9226" width="12.109375" style="221" hidden="1" customWidth="1"/>
    <col min="9227" max="9237" width="8.88671875" style="221" hidden="1" customWidth="1"/>
    <col min="9238" max="9472" width="8.88671875" style="221" hidden="1"/>
    <col min="9473" max="9473" width="32.6640625" style="221" hidden="1" customWidth="1"/>
    <col min="9474" max="9475" width="12.109375" style="221" hidden="1" customWidth="1"/>
    <col min="9476" max="9476" width="12.88671875" style="221" hidden="1" customWidth="1"/>
    <col min="9477" max="9482" width="12.109375" style="221" hidden="1" customWidth="1"/>
    <col min="9483" max="9493" width="8.88671875" style="221" hidden="1" customWidth="1"/>
    <col min="9494" max="9728" width="8.88671875" style="221" hidden="1"/>
    <col min="9729" max="9729" width="32.6640625" style="221" hidden="1" customWidth="1"/>
    <col min="9730" max="9731" width="12.109375" style="221" hidden="1" customWidth="1"/>
    <col min="9732" max="9732" width="12.88671875" style="221" hidden="1" customWidth="1"/>
    <col min="9733" max="9738" width="12.109375" style="221" hidden="1" customWidth="1"/>
    <col min="9739" max="9749" width="8.88671875" style="221" hidden="1" customWidth="1"/>
    <col min="9750" max="9984" width="8.88671875" style="221" hidden="1"/>
    <col min="9985" max="9985" width="32.6640625" style="221" hidden="1" customWidth="1"/>
    <col min="9986" max="9987" width="12.109375" style="221" hidden="1" customWidth="1"/>
    <col min="9988" max="9988" width="12.88671875" style="221" hidden="1" customWidth="1"/>
    <col min="9989" max="9994" width="12.109375" style="221" hidden="1" customWidth="1"/>
    <col min="9995" max="10005" width="8.88671875" style="221" hidden="1" customWidth="1"/>
    <col min="10006" max="10240" width="8.88671875" style="221" hidden="1"/>
    <col min="10241" max="10241" width="32.6640625" style="221" hidden="1" customWidth="1"/>
    <col min="10242" max="10243" width="12.109375" style="221" hidden="1" customWidth="1"/>
    <col min="10244" max="10244" width="12.88671875" style="221" hidden="1" customWidth="1"/>
    <col min="10245" max="10250" width="12.109375" style="221" hidden="1" customWidth="1"/>
    <col min="10251" max="10261" width="8.88671875" style="221" hidden="1" customWidth="1"/>
    <col min="10262" max="10496" width="8.88671875" style="221" hidden="1"/>
    <col min="10497" max="10497" width="32.6640625" style="221" hidden="1" customWidth="1"/>
    <col min="10498" max="10499" width="12.109375" style="221" hidden="1" customWidth="1"/>
    <col min="10500" max="10500" width="12.88671875" style="221" hidden="1" customWidth="1"/>
    <col min="10501" max="10506" width="12.109375" style="221" hidden="1" customWidth="1"/>
    <col min="10507" max="10517" width="8.88671875" style="221" hidden="1" customWidth="1"/>
    <col min="10518" max="10752" width="8.88671875" style="221" hidden="1"/>
    <col min="10753" max="10753" width="32.6640625" style="221" hidden="1" customWidth="1"/>
    <col min="10754" max="10755" width="12.109375" style="221" hidden="1" customWidth="1"/>
    <col min="10756" max="10756" width="12.88671875" style="221" hidden="1" customWidth="1"/>
    <col min="10757" max="10762" width="12.109375" style="221" hidden="1" customWidth="1"/>
    <col min="10763" max="10773" width="8.88671875" style="221" hidden="1" customWidth="1"/>
    <col min="10774" max="11008" width="8.88671875" style="221" hidden="1"/>
    <col min="11009" max="11009" width="32.6640625" style="221" hidden="1" customWidth="1"/>
    <col min="11010" max="11011" width="12.109375" style="221" hidden="1" customWidth="1"/>
    <col min="11012" max="11012" width="12.88671875" style="221" hidden="1" customWidth="1"/>
    <col min="11013" max="11018" width="12.109375" style="221" hidden="1" customWidth="1"/>
    <col min="11019" max="11029" width="8.88671875" style="221" hidden="1" customWidth="1"/>
    <col min="11030" max="11264" width="8.88671875" style="221" hidden="1"/>
    <col min="11265" max="11265" width="32.6640625" style="221" hidden="1" customWidth="1"/>
    <col min="11266" max="11267" width="12.109375" style="221" hidden="1" customWidth="1"/>
    <col min="11268" max="11268" width="12.88671875" style="221" hidden="1" customWidth="1"/>
    <col min="11269" max="11274" width="12.109375" style="221" hidden="1" customWidth="1"/>
    <col min="11275" max="11285" width="8.88671875" style="221" hidden="1" customWidth="1"/>
    <col min="11286" max="11520" width="8.88671875" style="221" hidden="1"/>
    <col min="11521" max="11521" width="32.6640625" style="221" hidden="1" customWidth="1"/>
    <col min="11522" max="11523" width="12.109375" style="221" hidden="1" customWidth="1"/>
    <col min="11524" max="11524" width="12.88671875" style="221" hidden="1" customWidth="1"/>
    <col min="11525" max="11530" width="12.109375" style="221" hidden="1" customWidth="1"/>
    <col min="11531" max="11541" width="8.88671875" style="221" hidden="1" customWidth="1"/>
    <col min="11542" max="11776" width="8.88671875" style="221" hidden="1"/>
    <col min="11777" max="11777" width="32.6640625" style="221" hidden="1" customWidth="1"/>
    <col min="11778" max="11779" width="12.109375" style="221" hidden="1" customWidth="1"/>
    <col min="11780" max="11780" width="12.88671875" style="221" hidden="1" customWidth="1"/>
    <col min="11781" max="11786" width="12.109375" style="221" hidden="1" customWidth="1"/>
    <col min="11787" max="11797" width="8.88671875" style="221" hidden="1" customWidth="1"/>
    <col min="11798" max="12032" width="8.88671875" style="221" hidden="1"/>
    <col min="12033" max="12033" width="32.6640625" style="221" hidden="1" customWidth="1"/>
    <col min="12034" max="12035" width="12.109375" style="221" hidden="1" customWidth="1"/>
    <col min="12036" max="12036" width="12.88671875" style="221" hidden="1" customWidth="1"/>
    <col min="12037" max="12042" width="12.109375" style="221" hidden="1" customWidth="1"/>
    <col min="12043" max="12053" width="8.88671875" style="221" hidden="1" customWidth="1"/>
    <col min="12054" max="12288" width="8.88671875" style="221" hidden="1"/>
    <col min="12289" max="12289" width="32.6640625" style="221" hidden="1" customWidth="1"/>
    <col min="12290" max="12291" width="12.109375" style="221" hidden="1" customWidth="1"/>
    <col min="12292" max="12292" width="12.88671875" style="221" hidden="1" customWidth="1"/>
    <col min="12293" max="12298" width="12.109375" style="221" hidden="1" customWidth="1"/>
    <col min="12299" max="12309" width="8.88671875" style="221" hidden="1" customWidth="1"/>
    <col min="12310" max="12544" width="8.88671875" style="221" hidden="1"/>
    <col min="12545" max="12545" width="32.6640625" style="221" hidden="1" customWidth="1"/>
    <col min="12546" max="12547" width="12.109375" style="221" hidden="1" customWidth="1"/>
    <col min="12548" max="12548" width="12.88671875" style="221" hidden="1" customWidth="1"/>
    <col min="12549" max="12554" width="12.109375" style="221" hidden="1" customWidth="1"/>
    <col min="12555" max="12565" width="8.88671875" style="221" hidden="1" customWidth="1"/>
    <col min="12566" max="12800" width="8.88671875" style="221" hidden="1"/>
    <col min="12801" max="12801" width="32.6640625" style="221" hidden="1" customWidth="1"/>
    <col min="12802" max="12803" width="12.109375" style="221" hidden="1" customWidth="1"/>
    <col min="12804" max="12804" width="12.88671875" style="221" hidden="1" customWidth="1"/>
    <col min="12805" max="12810" width="12.109375" style="221" hidden="1" customWidth="1"/>
    <col min="12811" max="12821" width="8.88671875" style="221" hidden="1" customWidth="1"/>
    <col min="12822" max="13056" width="8.88671875" style="221" hidden="1"/>
    <col min="13057" max="13057" width="32.6640625" style="221" hidden="1" customWidth="1"/>
    <col min="13058" max="13059" width="12.109375" style="221" hidden="1" customWidth="1"/>
    <col min="13060" max="13060" width="12.88671875" style="221" hidden="1" customWidth="1"/>
    <col min="13061" max="13066" width="12.109375" style="221" hidden="1" customWidth="1"/>
    <col min="13067" max="13077" width="8.88671875" style="221" hidden="1" customWidth="1"/>
    <col min="13078" max="13312" width="8.88671875" style="221" hidden="1"/>
    <col min="13313" max="13313" width="32.6640625" style="221" hidden="1" customWidth="1"/>
    <col min="13314" max="13315" width="12.109375" style="221" hidden="1" customWidth="1"/>
    <col min="13316" max="13316" width="12.88671875" style="221" hidden="1" customWidth="1"/>
    <col min="13317" max="13322" width="12.109375" style="221" hidden="1" customWidth="1"/>
    <col min="13323" max="13333" width="8.88671875" style="221" hidden="1" customWidth="1"/>
    <col min="13334" max="13568" width="8.88671875" style="221" hidden="1"/>
    <col min="13569" max="13569" width="32.6640625" style="221" hidden="1" customWidth="1"/>
    <col min="13570" max="13571" width="12.109375" style="221" hidden="1" customWidth="1"/>
    <col min="13572" max="13572" width="12.88671875" style="221" hidden="1" customWidth="1"/>
    <col min="13573" max="13578" width="12.109375" style="221" hidden="1" customWidth="1"/>
    <col min="13579" max="13589" width="8.88671875" style="221" hidden="1" customWidth="1"/>
    <col min="13590" max="13824" width="8.88671875" style="221" hidden="1"/>
    <col min="13825" max="13825" width="32.6640625" style="221" hidden="1" customWidth="1"/>
    <col min="13826" max="13827" width="12.109375" style="221" hidden="1" customWidth="1"/>
    <col min="13828" max="13828" width="12.88671875" style="221" hidden="1" customWidth="1"/>
    <col min="13829" max="13834" width="12.109375" style="221" hidden="1" customWidth="1"/>
    <col min="13835" max="13845" width="8.88671875" style="221" hidden="1" customWidth="1"/>
    <col min="13846" max="14080" width="8.88671875" style="221" hidden="1"/>
    <col min="14081" max="14081" width="32.6640625" style="221" hidden="1" customWidth="1"/>
    <col min="14082" max="14083" width="12.109375" style="221" hidden="1" customWidth="1"/>
    <col min="14084" max="14084" width="12.88671875" style="221" hidden="1" customWidth="1"/>
    <col min="14085" max="14090" width="12.109375" style="221" hidden="1" customWidth="1"/>
    <col min="14091" max="14101" width="8.88671875" style="221" hidden="1" customWidth="1"/>
    <col min="14102" max="14336" width="8.88671875" style="221" hidden="1"/>
    <col min="14337" max="14337" width="32.6640625" style="221" hidden="1" customWidth="1"/>
    <col min="14338" max="14339" width="12.109375" style="221" hidden="1" customWidth="1"/>
    <col min="14340" max="14340" width="12.88671875" style="221" hidden="1" customWidth="1"/>
    <col min="14341" max="14346" width="12.109375" style="221" hidden="1" customWidth="1"/>
    <col min="14347" max="14357" width="8.88671875" style="221" hidden="1" customWidth="1"/>
    <col min="14358" max="14592" width="8.88671875" style="221" hidden="1"/>
    <col min="14593" max="14593" width="32.6640625" style="221" hidden="1" customWidth="1"/>
    <col min="14594" max="14595" width="12.109375" style="221" hidden="1" customWidth="1"/>
    <col min="14596" max="14596" width="12.88671875" style="221" hidden="1" customWidth="1"/>
    <col min="14597" max="14602" width="12.109375" style="221" hidden="1" customWidth="1"/>
    <col min="14603" max="14613" width="8.88671875" style="221" hidden="1" customWidth="1"/>
    <col min="14614" max="14848" width="8.88671875" style="221" hidden="1"/>
    <col min="14849" max="14849" width="32.6640625" style="221" hidden="1" customWidth="1"/>
    <col min="14850" max="14851" width="12.109375" style="221" hidden="1" customWidth="1"/>
    <col min="14852" max="14852" width="12.88671875" style="221" hidden="1" customWidth="1"/>
    <col min="14853" max="14858" width="12.109375" style="221" hidden="1" customWidth="1"/>
    <col min="14859" max="14869" width="8.88671875" style="221" hidden="1" customWidth="1"/>
    <col min="14870" max="15104" width="8.88671875" style="221" hidden="1"/>
    <col min="15105" max="15105" width="32.6640625" style="221" hidden="1" customWidth="1"/>
    <col min="15106" max="15107" width="12.109375" style="221" hidden="1" customWidth="1"/>
    <col min="15108" max="15108" width="12.88671875" style="221" hidden="1" customWidth="1"/>
    <col min="15109" max="15114" width="12.109375" style="221" hidden="1" customWidth="1"/>
    <col min="15115" max="15125" width="8.88671875" style="221" hidden="1" customWidth="1"/>
    <col min="15126" max="15360" width="8.88671875" style="221" hidden="1"/>
    <col min="15361" max="15361" width="32.6640625" style="221" hidden="1" customWidth="1"/>
    <col min="15362" max="15363" width="12.109375" style="221" hidden="1" customWidth="1"/>
    <col min="15364" max="15364" width="12.88671875" style="221" hidden="1" customWidth="1"/>
    <col min="15365" max="15370" width="12.109375" style="221" hidden="1" customWidth="1"/>
    <col min="15371" max="15381" width="8.88671875" style="221" hidden="1" customWidth="1"/>
    <col min="15382" max="15616" width="8.88671875" style="221" hidden="1"/>
    <col min="15617" max="15617" width="32.6640625" style="221" hidden="1" customWidth="1"/>
    <col min="15618" max="15619" width="12.109375" style="221" hidden="1" customWidth="1"/>
    <col min="15620" max="15620" width="12.88671875" style="221" hidden="1" customWidth="1"/>
    <col min="15621" max="15626" width="12.109375" style="221" hidden="1" customWidth="1"/>
    <col min="15627" max="15637" width="8.88671875" style="221" hidden="1" customWidth="1"/>
    <col min="15638" max="15872" width="8.88671875" style="221" hidden="1"/>
    <col min="15873" max="15873" width="32.6640625" style="221" hidden="1" customWidth="1"/>
    <col min="15874" max="15875" width="12.109375" style="221" hidden="1" customWidth="1"/>
    <col min="15876" max="15876" width="12.88671875" style="221" hidden="1" customWidth="1"/>
    <col min="15877" max="15882" width="12.109375" style="221" hidden="1" customWidth="1"/>
    <col min="15883" max="15893" width="8.88671875" style="221" hidden="1" customWidth="1"/>
    <col min="15894" max="16128" width="8.88671875" style="221" hidden="1"/>
    <col min="16129" max="16129" width="32.6640625" style="221" hidden="1" customWidth="1"/>
    <col min="16130" max="16131" width="12.109375" style="221" hidden="1" customWidth="1"/>
    <col min="16132" max="16132" width="12.88671875" style="221" hidden="1" customWidth="1"/>
    <col min="16133" max="16138" width="12.109375" style="221" hidden="1" customWidth="1"/>
    <col min="16139" max="16149" width="8.88671875" style="221" hidden="1" customWidth="1"/>
    <col min="16150" max="16384" width="8.88671875" style="221" hidden="1"/>
  </cols>
  <sheetData>
    <row r="1" spans="1:11" s="197" customFormat="1" ht="13.2">
      <c r="A1" s="1806" t="s">
        <v>1889</v>
      </c>
      <c r="B1" s="1807"/>
      <c r="C1" s="1807"/>
      <c r="D1" s="1807"/>
      <c r="E1" s="1807"/>
      <c r="F1" s="1807"/>
      <c r="G1" s="1807"/>
      <c r="H1" s="1807"/>
      <c r="I1" s="1807"/>
      <c r="J1" s="1808"/>
      <c r="K1" s="196"/>
    </row>
    <row r="2" spans="1:11" s="229" customFormat="1" ht="72">
      <c r="A2" s="226"/>
      <c r="B2" s="227" t="s">
        <v>1890</v>
      </c>
      <c r="C2" s="227" t="s">
        <v>1891</v>
      </c>
      <c r="D2" s="227" t="s">
        <v>1892</v>
      </c>
      <c r="E2" s="227" t="s">
        <v>1893</v>
      </c>
      <c r="F2" s="227" t="s">
        <v>1894</v>
      </c>
      <c r="G2" s="227" t="s">
        <v>1895</v>
      </c>
      <c r="H2" s="227" t="s">
        <v>1896</v>
      </c>
      <c r="I2" s="227" t="s">
        <v>1897</v>
      </c>
      <c r="J2" s="227" t="s">
        <v>1898</v>
      </c>
      <c r="K2" s="228"/>
    </row>
    <row r="3" spans="1:11" s="199" customFormat="1" ht="11.4">
      <c r="A3" s="1067" t="s">
        <v>1771</v>
      </c>
      <c r="B3" s="1068"/>
      <c r="C3" s="1068"/>
      <c r="D3" s="1068"/>
      <c r="E3" s="1068"/>
      <c r="F3" s="1068"/>
      <c r="G3" s="1068"/>
      <c r="H3" s="1068"/>
      <c r="I3" s="1068"/>
      <c r="J3" s="1068"/>
      <c r="K3" s="198"/>
    </row>
    <row r="4" spans="1:11" s="199" customFormat="1" ht="11.4">
      <c r="A4" s="1069" t="s">
        <v>1772</v>
      </c>
      <c r="B4" s="1070">
        <f>'Sources and Uses Budget'!C4</f>
        <v>0</v>
      </c>
      <c r="C4" s="1071"/>
      <c r="D4" s="1071"/>
      <c r="E4" s="1072"/>
      <c r="F4" s="1072"/>
      <c r="G4" s="1072"/>
      <c r="H4" s="1072"/>
      <c r="I4" s="1072"/>
      <c r="J4" s="1072"/>
      <c r="K4" s="198"/>
    </row>
    <row r="5" spans="1:11" s="199" customFormat="1" ht="11.4">
      <c r="A5" s="1069" t="s">
        <v>690</v>
      </c>
      <c r="B5" s="1070">
        <f>'Sources and Uses Budget'!C5</f>
        <v>0</v>
      </c>
      <c r="C5" s="1071"/>
      <c r="D5" s="1071"/>
      <c r="E5" s="1072"/>
      <c r="F5" s="1072"/>
      <c r="G5" s="1072"/>
      <c r="H5" s="1072"/>
      <c r="I5" s="1072"/>
      <c r="J5" s="1072"/>
      <c r="K5" s="198"/>
    </row>
    <row r="6" spans="1:11" s="199" customFormat="1" ht="11.4">
      <c r="A6" s="1069" t="s">
        <v>1773</v>
      </c>
      <c r="B6" s="1070">
        <f>'Sources and Uses Budget'!C6</f>
        <v>0</v>
      </c>
      <c r="C6" s="1071"/>
      <c r="D6" s="1071"/>
      <c r="E6" s="1072"/>
      <c r="F6" s="1072"/>
      <c r="G6" s="1072"/>
      <c r="H6" s="1072"/>
      <c r="I6" s="1072"/>
      <c r="J6" s="1072"/>
      <c r="K6" s="198"/>
    </row>
    <row r="7" spans="1:11" s="199" customFormat="1" ht="11.4">
      <c r="A7" s="1069" t="s">
        <v>1774</v>
      </c>
      <c r="B7" s="1070">
        <f>'Sources and Uses Budget'!C7</f>
        <v>0</v>
      </c>
      <c r="C7" s="1071"/>
      <c r="D7" s="1071"/>
      <c r="E7" s="1072"/>
      <c r="F7" s="1072"/>
      <c r="G7" s="1072"/>
      <c r="H7" s="1072"/>
      <c r="I7" s="1072"/>
      <c r="J7" s="1072"/>
      <c r="K7" s="198"/>
    </row>
    <row r="8" spans="1:11" s="199" customFormat="1">
      <c r="A8" s="1073" t="s">
        <v>1775</v>
      </c>
      <c r="B8" s="1070">
        <f>'Sources and Uses Budget'!C8</f>
        <v>0</v>
      </c>
      <c r="C8" s="1070">
        <f>SUM(C4:C7)</f>
        <v>0</v>
      </c>
      <c r="D8" s="1070">
        <f>SUM(D4:D7)</f>
        <v>0</v>
      </c>
      <c r="E8" s="1072"/>
      <c r="F8" s="1072"/>
      <c r="G8" s="1072"/>
      <c r="H8" s="1072"/>
      <c r="I8" s="1072"/>
      <c r="J8" s="1072"/>
      <c r="K8" s="198"/>
    </row>
    <row r="9" spans="1:11" s="199" customFormat="1" ht="11.4">
      <c r="A9" s="1069" t="s">
        <v>1776</v>
      </c>
      <c r="B9" s="1070">
        <f>'Sources and Uses Budget'!C9</f>
        <v>0</v>
      </c>
      <c r="C9" s="1071"/>
      <c r="D9" s="1071"/>
      <c r="E9" s="1072"/>
      <c r="F9" s="1072"/>
      <c r="G9" s="1072"/>
      <c r="H9" s="1070">
        <f>'Sources and Uses Budget'!T9</f>
        <v>0</v>
      </c>
      <c r="I9" s="1071"/>
      <c r="J9" s="1071"/>
      <c r="K9" s="198"/>
    </row>
    <row r="10" spans="1:11" s="199" customFormat="1" ht="11.4">
      <c r="A10" s="1069" t="s">
        <v>1777</v>
      </c>
      <c r="B10" s="1070">
        <f>'Sources and Uses Budget'!C10</f>
        <v>500000</v>
      </c>
      <c r="C10" s="1071">
        <v>500000</v>
      </c>
      <c r="D10" s="1071"/>
      <c r="E10" s="1070">
        <f>'Sources and Uses Budget'!S10</f>
        <v>500000</v>
      </c>
      <c r="F10" s="1071">
        <v>500000</v>
      </c>
      <c r="G10" s="1071"/>
      <c r="H10" s="1070">
        <f>'Sources and Uses Budget'!T10</f>
        <v>0</v>
      </c>
      <c r="I10" s="1071"/>
      <c r="J10" s="1071"/>
      <c r="K10" s="198"/>
    </row>
    <row r="11" spans="1:11" s="199" customFormat="1">
      <c r="A11" s="1073" t="s">
        <v>1778</v>
      </c>
      <c r="B11" s="1070">
        <f>'Sources and Uses Budget'!C11</f>
        <v>500000</v>
      </c>
      <c r="C11" s="1070">
        <f>SUM(C9:C10)</f>
        <v>500000</v>
      </c>
      <c r="D11" s="1070">
        <f>SUM(D9:D10)</f>
        <v>0</v>
      </c>
      <c r="E11" s="1072"/>
      <c r="F11" s="1072"/>
      <c r="G11" s="1072"/>
      <c r="H11" s="1070">
        <f>'Sources and Uses Budget'!T11</f>
        <v>0</v>
      </c>
      <c r="I11" s="1070">
        <f>SUM(I9:I10)</f>
        <v>0</v>
      </c>
      <c r="J11" s="1070">
        <f>SUM(J9:J10)</f>
        <v>0</v>
      </c>
      <c r="K11" s="198"/>
    </row>
    <row r="12" spans="1:11" s="199" customFormat="1">
      <c r="A12" s="1073" t="s">
        <v>1779</v>
      </c>
      <c r="B12" s="1070">
        <f>'Sources and Uses Budget'!C12</f>
        <v>500000</v>
      </c>
      <c r="C12" s="1070">
        <f>SUM(C8+C11)</f>
        <v>500000</v>
      </c>
      <c r="D12" s="1070">
        <f>SUM(D8+D11)</f>
        <v>0</v>
      </c>
      <c r="E12" s="1072"/>
      <c r="F12" s="1072"/>
      <c r="G12" s="1072"/>
      <c r="H12" s="1072"/>
      <c r="I12" s="1072"/>
      <c r="J12" s="1072"/>
      <c r="K12" s="198"/>
    </row>
    <row r="13" spans="1:11" s="199" customFormat="1" ht="11.4">
      <c r="A13" s="1074" t="s">
        <v>1780</v>
      </c>
      <c r="B13" s="1070">
        <f>'Sources and Uses Budget'!C13</f>
        <v>0</v>
      </c>
      <c r="C13" s="1071"/>
      <c r="D13" s="1071"/>
      <c r="E13" s="1070">
        <f>'Sources and Uses Budget'!S13</f>
        <v>0</v>
      </c>
      <c r="F13" s="1071"/>
      <c r="G13" s="1071"/>
      <c r="H13" s="1070">
        <f>'Sources and Uses Budget'!T13</f>
        <v>0</v>
      </c>
      <c r="I13" s="1071"/>
      <c r="J13" s="1071"/>
      <c r="K13" s="198"/>
    </row>
    <row r="14" spans="1:11" s="199" customFormat="1" ht="22.8">
      <c r="A14" s="1069" t="s">
        <v>1899</v>
      </c>
      <c r="B14" s="1070">
        <f>'Sources and Uses Budget'!C14</f>
        <v>0</v>
      </c>
      <c r="C14" s="1071"/>
      <c r="D14" s="1071"/>
      <c r="E14" s="1070">
        <f>'Sources and Uses Budget'!S14</f>
        <v>0</v>
      </c>
      <c r="F14" s="1071"/>
      <c r="G14" s="1071"/>
      <c r="H14" s="1070">
        <f>'Sources and Uses Budget'!T14</f>
        <v>0</v>
      </c>
      <c r="I14" s="1071"/>
      <c r="J14" s="1071"/>
      <c r="K14" s="198"/>
    </row>
    <row r="15" spans="1:11" s="199" customFormat="1" ht="11.4">
      <c r="A15" s="1069" t="s">
        <v>1782</v>
      </c>
      <c r="B15" s="1070">
        <f>'Sources and Uses Budget'!C15</f>
        <v>0</v>
      </c>
      <c r="C15" s="1071"/>
      <c r="D15" s="1071"/>
      <c r="E15" s="1072">
        <f>'Sources and Uses Budget'!S15</f>
        <v>0</v>
      </c>
      <c r="F15" s="1072"/>
      <c r="G15" s="1072"/>
      <c r="H15" s="1072">
        <f>'Sources and Uses Budget'!T15</f>
        <v>0</v>
      </c>
      <c r="I15" s="1072"/>
      <c r="J15" s="1072"/>
      <c r="K15" s="198"/>
    </row>
    <row r="16" spans="1:11" s="199" customFormat="1" ht="11.4">
      <c r="A16" s="1067" t="s">
        <v>1783</v>
      </c>
      <c r="B16" s="1068"/>
      <c r="C16" s="1068"/>
      <c r="D16" s="1068"/>
      <c r="E16" s="1068"/>
      <c r="F16" s="1068"/>
      <c r="G16" s="1068"/>
      <c r="H16" s="1068"/>
      <c r="I16" s="1068"/>
      <c r="J16" s="1068"/>
      <c r="K16" s="198"/>
    </row>
    <row r="17" spans="1:11" s="199" customFormat="1" ht="11.4">
      <c r="A17" s="1069" t="s">
        <v>1784</v>
      </c>
      <c r="B17" s="1070">
        <f>'Sources and Uses Budget'!C17</f>
        <v>0</v>
      </c>
      <c r="C17" s="1071"/>
      <c r="D17" s="1071"/>
      <c r="E17" s="1070">
        <f>'Sources and Uses Budget'!S17</f>
        <v>0</v>
      </c>
      <c r="F17" s="1071"/>
      <c r="G17" s="1071"/>
      <c r="H17" s="1070">
        <f>'Sources and Uses Budget'!T17</f>
        <v>0</v>
      </c>
      <c r="I17" s="1071"/>
      <c r="J17" s="1071"/>
      <c r="K17" s="198"/>
    </row>
    <row r="18" spans="1:11" s="199" customFormat="1" ht="11.4">
      <c r="A18" s="1069" t="s">
        <v>1785</v>
      </c>
      <c r="B18" s="1070">
        <f>'Sources and Uses Budget'!C18</f>
        <v>0</v>
      </c>
      <c r="C18" s="1071"/>
      <c r="D18" s="1071"/>
      <c r="E18" s="1070">
        <f>'Sources and Uses Budget'!S18</f>
        <v>0</v>
      </c>
      <c r="F18" s="1071"/>
      <c r="G18" s="1071"/>
      <c r="H18" s="1070">
        <f>'Sources and Uses Budget'!T18</f>
        <v>0</v>
      </c>
      <c r="I18" s="1071"/>
      <c r="J18" s="1071"/>
      <c r="K18" s="198"/>
    </row>
    <row r="19" spans="1:11" s="199" customFormat="1" ht="11.4">
      <c r="A19" s="1069" t="s">
        <v>1786</v>
      </c>
      <c r="B19" s="1070">
        <f>'Sources and Uses Budget'!C19</f>
        <v>0</v>
      </c>
      <c r="C19" s="1071"/>
      <c r="D19" s="1071"/>
      <c r="E19" s="1070">
        <f>'Sources and Uses Budget'!S19</f>
        <v>0</v>
      </c>
      <c r="F19" s="1071"/>
      <c r="G19" s="1071"/>
      <c r="H19" s="1070">
        <f>'Sources and Uses Budget'!T19</f>
        <v>0</v>
      </c>
      <c r="I19" s="1071"/>
      <c r="J19" s="1071"/>
      <c r="K19" s="198"/>
    </row>
    <row r="20" spans="1:11" s="199" customFormat="1" ht="11.4">
      <c r="A20" s="1069" t="s">
        <v>1787</v>
      </c>
      <c r="B20" s="1070">
        <f>'Sources and Uses Budget'!C20</f>
        <v>0</v>
      </c>
      <c r="C20" s="1071"/>
      <c r="D20" s="1071"/>
      <c r="E20" s="1070">
        <f>'Sources and Uses Budget'!S20</f>
        <v>0</v>
      </c>
      <c r="F20" s="1071"/>
      <c r="G20" s="1071"/>
      <c r="H20" s="1070">
        <f>'Sources and Uses Budget'!T20</f>
        <v>0</v>
      </c>
      <c r="I20" s="1071"/>
      <c r="J20" s="1071"/>
      <c r="K20" s="198"/>
    </row>
    <row r="21" spans="1:11" s="199" customFormat="1" ht="11.4">
      <c r="A21" s="1069" t="s">
        <v>1788</v>
      </c>
      <c r="B21" s="1070">
        <f>'Sources and Uses Budget'!C21</f>
        <v>0</v>
      </c>
      <c r="C21" s="1071"/>
      <c r="D21" s="1071"/>
      <c r="E21" s="1070">
        <f>'Sources and Uses Budget'!S21</f>
        <v>0</v>
      </c>
      <c r="F21" s="1071"/>
      <c r="G21" s="1071"/>
      <c r="H21" s="1070">
        <f>'Sources and Uses Budget'!T21</f>
        <v>0</v>
      </c>
      <c r="I21" s="1071"/>
      <c r="J21" s="1071"/>
      <c r="K21" s="198"/>
    </row>
    <row r="22" spans="1:11" s="199" customFormat="1" ht="11.4">
      <c r="A22" s="1069" t="s">
        <v>1789</v>
      </c>
      <c r="B22" s="1070">
        <f>'Sources and Uses Budget'!C22</f>
        <v>0</v>
      </c>
      <c r="C22" s="1071"/>
      <c r="D22" s="1071"/>
      <c r="E22" s="1070">
        <f>'Sources and Uses Budget'!S22</f>
        <v>0</v>
      </c>
      <c r="F22" s="1071"/>
      <c r="G22" s="1071"/>
      <c r="H22" s="1070">
        <f>'Sources and Uses Budget'!T22</f>
        <v>0</v>
      </c>
      <c r="I22" s="1071"/>
      <c r="J22" s="1071"/>
      <c r="K22" s="198"/>
    </row>
    <row r="23" spans="1:11" s="199" customFormat="1" ht="11.4">
      <c r="A23" s="1069" t="s">
        <v>1790</v>
      </c>
      <c r="B23" s="1070">
        <f>'Sources and Uses Budget'!C23</f>
        <v>0</v>
      </c>
      <c r="C23" s="1071"/>
      <c r="D23" s="1071"/>
      <c r="E23" s="1070">
        <f>'Sources and Uses Budget'!S23</f>
        <v>0</v>
      </c>
      <c r="F23" s="1071"/>
      <c r="G23" s="1071"/>
      <c r="H23" s="1070">
        <f>'Sources and Uses Budget'!T23</f>
        <v>0</v>
      </c>
      <c r="I23" s="1071"/>
      <c r="J23" s="1071"/>
      <c r="K23" s="198"/>
    </row>
    <row r="24" spans="1:11" s="199" customFormat="1" ht="11.4">
      <c r="A24" s="1051" t="s">
        <v>1791</v>
      </c>
      <c r="B24" s="1070">
        <f>'Sources and Uses Budget'!C24</f>
        <v>0</v>
      </c>
      <c r="C24" s="1071"/>
      <c r="D24" s="1071"/>
      <c r="E24" s="1070">
        <f>'Sources and Uses Budget'!S24</f>
        <v>0</v>
      </c>
      <c r="F24" s="1071"/>
      <c r="G24" s="1071"/>
      <c r="H24" s="1070">
        <f>'Sources and Uses Budget'!T24</f>
        <v>0</v>
      </c>
      <c r="I24" s="1071"/>
      <c r="J24" s="1071"/>
      <c r="K24" s="198"/>
    </row>
    <row r="25" spans="1:11" s="199" customFormat="1" ht="11.4">
      <c r="A25" s="1069" t="str">
        <f>'Sources and Uses Budget'!$A25</f>
        <v>Other: (Specify)</v>
      </c>
      <c r="B25" s="1070">
        <f>'Sources and Uses Budget'!C25</f>
        <v>0</v>
      </c>
      <c r="C25" s="1071"/>
      <c r="D25" s="1071"/>
      <c r="E25" s="1070">
        <f>'Sources and Uses Budget'!S25</f>
        <v>0</v>
      </c>
      <c r="F25" s="1071"/>
      <c r="G25" s="1071"/>
      <c r="H25" s="1070">
        <f>'Sources and Uses Budget'!T25</f>
        <v>0</v>
      </c>
      <c r="I25" s="1071"/>
      <c r="J25" s="1071"/>
      <c r="K25" s="198"/>
    </row>
    <row r="26" spans="1:11" s="199" customFormat="1">
      <c r="A26" s="1073" t="s">
        <v>1793</v>
      </c>
      <c r="B26" s="1070">
        <f>'Sources and Uses Budget'!C26</f>
        <v>0</v>
      </c>
      <c r="C26" s="1070">
        <f>SUM(C17:C25)</f>
        <v>0</v>
      </c>
      <c r="D26" s="1070">
        <f>SUM(D17:D25)</f>
        <v>0</v>
      </c>
      <c r="E26" s="1070">
        <f>'Sources and Uses Budget'!S26</f>
        <v>0</v>
      </c>
      <c r="F26" s="1075">
        <f>SUM(F17:F25)</f>
        <v>0</v>
      </c>
      <c r="G26" s="1075">
        <f>SUM(G17:G25)</f>
        <v>0</v>
      </c>
      <c r="H26" s="1070">
        <f>'Sources and Uses Budget'!T26</f>
        <v>0</v>
      </c>
      <c r="I26" s="1075">
        <f>SUM(I17:I25)</f>
        <v>0</v>
      </c>
      <c r="J26" s="1075">
        <f>SUM(J17:J25)</f>
        <v>0</v>
      </c>
      <c r="K26" s="198"/>
    </row>
    <row r="27" spans="1:11" s="199" customFormat="1">
      <c r="A27" s="1073" t="s">
        <v>1794</v>
      </c>
      <c r="B27" s="1070">
        <f>'Sources and Uses Budget'!C27</f>
        <v>0</v>
      </c>
      <c r="C27" s="1071"/>
      <c r="D27" s="1071"/>
      <c r="E27" s="1070">
        <f>'Sources and Uses Budget'!S27</f>
        <v>0</v>
      </c>
      <c r="F27" s="1071"/>
      <c r="G27" s="1071"/>
      <c r="H27" s="1070">
        <f>'Sources and Uses Budget'!T27</f>
        <v>0</v>
      </c>
      <c r="I27" s="1071"/>
      <c r="J27" s="1071"/>
      <c r="K27" s="198"/>
    </row>
    <row r="28" spans="1:11" s="199" customFormat="1" ht="11.4">
      <c r="A28" s="1067" t="s">
        <v>1795</v>
      </c>
      <c r="B28" s="1068"/>
      <c r="C28" s="1068"/>
      <c r="D28" s="1068"/>
      <c r="E28" s="1068"/>
      <c r="F28" s="1068"/>
      <c r="G28" s="1068"/>
      <c r="H28" s="1068"/>
      <c r="I28" s="1068"/>
      <c r="J28" s="1068"/>
      <c r="K28" s="198"/>
    </row>
    <row r="29" spans="1:11" s="199" customFormat="1" ht="11.4">
      <c r="A29" s="1041" t="s">
        <v>1784</v>
      </c>
      <c r="B29" s="1070">
        <f>'Sources and Uses Budget'!C29</f>
        <v>1000000</v>
      </c>
      <c r="C29" s="1071">
        <f>B29</f>
        <v>1000000</v>
      </c>
      <c r="D29" s="1071"/>
      <c r="E29" s="1070">
        <f>'Sources and Uses Budget'!S29</f>
        <v>1000000</v>
      </c>
      <c r="F29" s="1071">
        <f>E29</f>
        <v>1000000</v>
      </c>
      <c r="G29" s="1071"/>
      <c r="H29" s="1070">
        <f>'Sources and Uses Budget'!T29</f>
        <v>0</v>
      </c>
      <c r="I29" s="1071"/>
      <c r="J29" s="1071"/>
      <c r="K29" s="198"/>
    </row>
    <row r="30" spans="1:11" s="199" customFormat="1" ht="11.4">
      <c r="A30" s="1041" t="s">
        <v>1785</v>
      </c>
      <c r="B30" s="1070">
        <f>'Sources and Uses Budget'!C30</f>
        <v>41656632</v>
      </c>
      <c r="C30" s="1071">
        <f t="shared" ref="C30:C37" si="0">B30</f>
        <v>41656632</v>
      </c>
      <c r="D30" s="1071"/>
      <c r="E30" s="1070">
        <f>'Sources and Uses Budget'!S30</f>
        <v>41656632</v>
      </c>
      <c r="F30" s="1071">
        <f t="shared" ref="F30:F35" si="1">E30</f>
        <v>41656632</v>
      </c>
      <c r="G30" s="1071"/>
      <c r="H30" s="1070">
        <f>'Sources and Uses Budget'!T30</f>
        <v>0</v>
      </c>
      <c r="I30" s="1071"/>
      <c r="J30" s="1071"/>
      <c r="K30" s="198"/>
    </row>
    <row r="31" spans="1:11" s="199" customFormat="1" ht="11.4">
      <c r="A31" s="1041" t="s">
        <v>1786</v>
      </c>
      <c r="B31" s="1070">
        <f>'Sources and Uses Budget'!C31</f>
        <v>3107278</v>
      </c>
      <c r="C31" s="1071">
        <f t="shared" si="0"/>
        <v>3107278</v>
      </c>
      <c r="D31" s="1071"/>
      <c r="E31" s="1070">
        <f>'Sources and Uses Budget'!S31</f>
        <v>3107278</v>
      </c>
      <c r="F31" s="1071">
        <f t="shared" si="1"/>
        <v>3107278</v>
      </c>
      <c r="G31" s="1071"/>
      <c r="H31" s="1070">
        <f>'Sources and Uses Budget'!T31</f>
        <v>0</v>
      </c>
      <c r="I31" s="1071"/>
      <c r="J31" s="1071"/>
      <c r="K31" s="198"/>
    </row>
    <row r="32" spans="1:11" s="199" customFormat="1" ht="11.4">
      <c r="A32" s="1041" t="s">
        <v>1787</v>
      </c>
      <c r="B32" s="1070">
        <f>'Sources and Uses Budget'!C32</f>
        <v>2071518</v>
      </c>
      <c r="C32" s="1071">
        <f t="shared" si="0"/>
        <v>2071518</v>
      </c>
      <c r="D32" s="1071"/>
      <c r="E32" s="1070">
        <f>'Sources and Uses Budget'!S32</f>
        <v>2071518</v>
      </c>
      <c r="F32" s="1071">
        <f t="shared" si="1"/>
        <v>2071518</v>
      </c>
      <c r="G32" s="1071"/>
      <c r="H32" s="1070">
        <f>'Sources and Uses Budget'!T32</f>
        <v>0</v>
      </c>
      <c r="I32" s="1071"/>
      <c r="J32" s="1071"/>
      <c r="K32" s="198"/>
    </row>
    <row r="33" spans="1:11" s="199" customFormat="1" ht="11.4">
      <c r="A33" s="1041" t="s">
        <v>1788</v>
      </c>
      <c r="B33" s="1070">
        <f>'Sources and Uses Budget'!C33</f>
        <v>2071518</v>
      </c>
      <c r="C33" s="1071">
        <f t="shared" si="0"/>
        <v>2071518</v>
      </c>
      <c r="D33" s="1071"/>
      <c r="E33" s="1070">
        <f>'Sources and Uses Budget'!S33</f>
        <v>2071518</v>
      </c>
      <c r="F33" s="1071">
        <f t="shared" si="1"/>
        <v>2071518</v>
      </c>
      <c r="G33" s="1071"/>
      <c r="H33" s="1070">
        <f>'Sources and Uses Budget'!T33</f>
        <v>0</v>
      </c>
      <c r="I33" s="1071"/>
      <c r="J33" s="1071"/>
      <c r="K33" s="198"/>
    </row>
    <row r="34" spans="1:11" s="199" customFormat="1" ht="11.4">
      <c r="A34" s="1041" t="s">
        <v>1789</v>
      </c>
      <c r="B34" s="1070">
        <f>'Sources and Uses Budget'!C34</f>
        <v>8631326</v>
      </c>
      <c r="C34" s="1071">
        <f t="shared" si="0"/>
        <v>8631326</v>
      </c>
      <c r="D34" s="1071"/>
      <c r="E34" s="1070">
        <f>'Sources and Uses Budget'!S34</f>
        <v>8631326</v>
      </c>
      <c r="F34" s="1071">
        <f t="shared" si="1"/>
        <v>8631326</v>
      </c>
      <c r="G34" s="1071"/>
      <c r="H34" s="1070">
        <f>'Sources and Uses Budget'!T34</f>
        <v>0</v>
      </c>
      <c r="I34" s="1071"/>
      <c r="J34" s="1071"/>
      <c r="K34" s="198"/>
    </row>
    <row r="35" spans="1:11" s="199" customFormat="1" ht="11.4">
      <c r="A35" s="1041" t="s">
        <v>1790</v>
      </c>
      <c r="B35" s="1070">
        <f>'Sources and Uses Budget'!C35</f>
        <v>590383</v>
      </c>
      <c r="C35" s="1071">
        <f t="shared" si="0"/>
        <v>590383</v>
      </c>
      <c r="D35" s="1071"/>
      <c r="E35" s="1070">
        <f>'Sources and Uses Budget'!S35</f>
        <v>590383</v>
      </c>
      <c r="F35" s="1071">
        <f t="shared" si="1"/>
        <v>590383</v>
      </c>
      <c r="G35" s="1071"/>
      <c r="H35" s="1070">
        <f>'Sources and Uses Budget'!T35</f>
        <v>0</v>
      </c>
      <c r="I35" s="1071"/>
      <c r="J35" s="1071"/>
      <c r="K35" s="198"/>
    </row>
    <row r="36" spans="1:11" s="199" customFormat="1" ht="11.4">
      <c r="A36" s="1051" t="s">
        <v>1791</v>
      </c>
      <c r="B36" s="1070">
        <f>'Sources and Uses Budget'!C36</f>
        <v>0</v>
      </c>
      <c r="C36" s="1071">
        <f t="shared" si="0"/>
        <v>0</v>
      </c>
      <c r="D36" s="1071"/>
      <c r="E36" s="1070">
        <f>'Sources and Uses Budget'!S36</f>
        <v>0</v>
      </c>
      <c r="F36" s="1071"/>
      <c r="G36" s="1071"/>
      <c r="H36" s="1070">
        <f>'Sources and Uses Budget'!T36</f>
        <v>0</v>
      </c>
      <c r="I36" s="1071"/>
      <c r="J36" s="1071"/>
      <c r="K36" s="198"/>
    </row>
    <row r="37" spans="1:11" s="199" customFormat="1" ht="11.4">
      <c r="A37" s="1069" t="str">
        <f>'Sources and Uses Budget'!$A37</f>
        <v>Other: (Specify)</v>
      </c>
      <c r="B37" s="1070">
        <f>'Sources and Uses Budget'!C37</f>
        <v>0</v>
      </c>
      <c r="C37" s="1071">
        <f t="shared" si="0"/>
        <v>0</v>
      </c>
      <c r="D37" s="1071"/>
      <c r="E37" s="1070">
        <f>'Sources and Uses Budget'!S37</f>
        <v>0</v>
      </c>
      <c r="F37" s="1071"/>
      <c r="G37" s="1071"/>
      <c r="H37" s="1070">
        <f>'Sources and Uses Budget'!T37</f>
        <v>0</v>
      </c>
      <c r="I37" s="1071"/>
      <c r="J37" s="1071"/>
      <c r="K37" s="198"/>
    </row>
    <row r="38" spans="1:11" s="199" customFormat="1">
      <c r="A38" s="1073" t="s">
        <v>1796</v>
      </c>
      <c r="B38" s="1070">
        <f>'Sources and Uses Budget'!C38</f>
        <v>59128655</v>
      </c>
      <c r="C38" s="1070">
        <f>SUM(C29:C37)</f>
        <v>59128655</v>
      </c>
      <c r="D38" s="1070">
        <f>SUM(D29:D37)</f>
        <v>0</v>
      </c>
      <c r="E38" s="1070">
        <f>'Sources and Uses Budget'!S38</f>
        <v>59128655</v>
      </c>
      <c r="F38" s="1075">
        <f>SUM(F29:F37)</f>
        <v>59128655</v>
      </c>
      <c r="G38" s="1075">
        <f>SUM(G29:G37)</f>
        <v>0</v>
      </c>
      <c r="H38" s="1070">
        <f>'Sources and Uses Budget'!T38</f>
        <v>0</v>
      </c>
      <c r="I38" s="1075">
        <f>SUM(I29:I37)</f>
        <v>0</v>
      </c>
      <c r="J38" s="1075">
        <f>SUM(J29:J37)</f>
        <v>0</v>
      </c>
      <c r="K38" s="198"/>
    </row>
    <row r="39" spans="1:11" s="199" customFormat="1" ht="11.4">
      <c r="A39" s="1067" t="s">
        <v>1797</v>
      </c>
      <c r="B39" s="1068"/>
      <c r="C39" s="1068"/>
      <c r="D39" s="1068"/>
      <c r="E39" s="1068"/>
      <c r="F39" s="1068"/>
      <c r="G39" s="1068"/>
      <c r="H39" s="1068"/>
      <c r="I39" s="1068"/>
      <c r="J39" s="1068"/>
      <c r="K39" s="198"/>
    </row>
    <row r="40" spans="1:11" s="199" customFormat="1" ht="11.4">
      <c r="A40" s="1069" t="s">
        <v>1798</v>
      </c>
      <c r="B40" s="1070">
        <f>'Sources and Uses Budget'!C40</f>
        <v>1200000</v>
      </c>
      <c r="C40" s="1071">
        <f>B40</f>
        <v>1200000</v>
      </c>
      <c r="D40" s="1071"/>
      <c r="E40" s="1070">
        <f>'Sources and Uses Budget'!S40</f>
        <v>1200000</v>
      </c>
      <c r="F40" s="1071">
        <f>E40</f>
        <v>1200000</v>
      </c>
      <c r="G40" s="1071"/>
      <c r="H40" s="1070">
        <f>'Sources and Uses Budget'!T40</f>
        <v>0</v>
      </c>
      <c r="I40" s="1071"/>
      <c r="J40" s="1071"/>
      <c r="K40" s="198"/>
    </row>
    <row r="41" spans="1:11" s="199" customFormat="1" ht="11.4">
      <c r="A41" s="1069" t="s">
        <v>1799</v>
      </c>
      <c r="B41" s="1070">
        <f>'Sources and Uses Budget'!C41</f>
        <v>650000</v>
      </c>
      <c r="C41" s="1071">
        <f>B41</f>
        <v>650000</v>
      </c>
      <c r="D41" s="1071"/>
      <c r="E41" s="1070">
        <f>'Sources and Uses Budget'!S41</f>
        <v>650000</v>
      </c>
      <c r="F41" s="1071">
        <f>E41</f>
        <v>650000</v>
      </c>
      <c r="G41" s="1071"/>
      <c r="H41" s="1070">
        <f>'Sources and Uses Budget'!T41</f>
        <v>0</v>
      </c>
      <c r="I41" s="1071"/>
      <c r="J41" s="1071"/>
      <c r="K41" s="198"/>
    </row>
    <row r="42" spans="1:11" s="199" customFormat="1">
      <c r="A42" s="1073" t="s">
        <v>1800</v>
      </c>
      <c r="B42" s="1070">
        <f>'Sources and Uses Budget'!C42</f>
        <v>1850000</v>
      </c>
      <c r="C42" s="1070">
        <f>SUM(C39:C41)</f>
        <v>1850000</v>
      </c>
      <c r="D42" s="1070">
        <f>SUM(D39:D41)</f>
        <v>0</v>
      </c>
      <c r="E42" s="1070">
        <f>'Sources and Uses Budget'!S42</f>
        <v>1850000</v>
      </c>
      <c r="F42" s="1075">
        <f>SUM(F40:F41)</f>
        <v>1850000</v>
      </c>
      <c r="G42" s="1075">
        <f>SUM(G40:G41)</f>
        <v>0</v>
      </c>
      <c r="H42" s="1070">
        <f>'Sources and Uses Budget'!T42</f>
        <v>0</v>
      </c>
      <c r="I42" s="1075">
        <f>SUM(I40:I41)</f>
        <v>0</v>
      </c>
      <c r="J42" s="1075">
        <f>SUM(J40:J41)</f>
        <v>0</v>
      </c>
      <c r="K42" s="198"/>
    </row>
    <row r="43" spans="1:11" s="199" customFormat="1">
      <c r="A43" s="1073" t="s">
        <v>1801</v>
      </c>
      <c r="B43" s="1070">
        <f>'Sources and Uses Budget'!C43</f>
        <v>0</v>
      </c>
      <c r="C43" s="1071"/>
      <c r="D43" s="1071"/>
      <c r="E43" s="1070">
        <f>'Sources and Uses Budget'!S43</f>
        <v>0</v>
      </c>
      <c r="F43" s="1071"/>
      <c r="G43" s="1071"/>
      <c r="H43" s="1070">
        <f>'Sources and Uses Budget'!T43</f>
        <v>0</v>
      </c>
      <c r="I43" s="1071"/>
      <c r="J43" s="1071"/>
      <c r="K43" s="198"/>
    </row>
    <row r="44" spans="1:11" s="199" customFormat="1" ht="11.4">
      <c r="A44" s="1067" t="s">
        <v>1802</v>
      </c>
      <c r="B44" s="1068"/>
      <c r="C44" s="1068"/>
      <c r="D44" s="1068"/>
      <c r="E44" s="1068"/>
      <c r="F44" s="1068"/>
      <c r="G44" s="1068"/>
      <c r="H44" s="1068"/>
      <c r="I44" s="1068"/>
      <c r="J44" s="1068"/>
      <c r="K44" s="198"/>
    </row>
    <row r="45" spans="1:11" s="199" customFormat="1" ht="11.4">
      <c r="A45" s="1069" t="s">
        <v>1803</v>
      </c>
      <c r="B45" s="1070">
        <f>'Sources and Uses Budget'!C45</f>
        <v>4915038</v>
      </c>
      <c r="C45" s="1071">
        <f>B45</f>
        <v>4915038</v>
      </c>
      <c r="D45" s="1071"/>
      <c r="E45" s="1070">
        <f>'Sources and Uses Budget'!S45</f>
        <v>2975560</v>
      </c>
      <c r="F45" s="1071">
        <f>E45</f>
        <v>2975560</v>
      </c>
      <c r="G45" s="1071"/>
      <c r="H45" s="1070">
        <f>'Sources and Uses Budget'!T45</f>
        <v>0</v>
      </c>
      <c r="I45" s="1071"/>
      <c r="J45" s="1071"/>
      <c r="K45" s="198"/>
    </row>
    <row r="46" spans="1:11" s="199" customFormat="1" ht="11.4">
      <c r="A46" s="1069" t="s">
        <v>1804</v>
      </c>
      <c r="B46" s="1070">
        <f>'Sources and Uses Budget'!C46</f>
        <v>451957</v>
      </c>
      <c r="C46" s="1071">
        <f t="shared" ref="C46:C52" si="2">B46</f>
        <v>451957</v>
      </c>
      <c r="D46" s="1071"/>
      <c r="E46" s="1070">
        <f>'Sources and Uses Budget'!S46</f>
        <v>338968</v>
      </c>
      <c r="F46" s="1071">
        <f t="shared" ref="F46:F52" si="3">E46</f>
        <v>338968</v>
      </c>
      <c r="G46" s="1071"/>
      <c r="H46" s="1070">
        <f>'Sources and Uses Budget'!T46</f>
        <v>0</v>
      </c>
      <c r="I46" s="1071"/>
      <c r="J46" s="1071"/>
      <c r="K46" s="198"/>
    </row>
    <row r="47" spans="1:11" s="199" customFormat="1" ht="12" customHeight="1">
      <c r="A47" s="1069" t="s">
        <v>1805</v>
      </c>
      <c r="B47" s="1070">
        <f>'Sources and Uses Budget'!C47</f>
        <v>15000</v>
      </c>
      <c r="C47" s="1071">
        <f t="shared" si="2"/>
        <v>15000</v>
      </c>
      <c r="D47" s="1071"/>
      <c r="E47" s="1070">
        <f>'Sources and Uses Budget'!S47</f>
        <v>11250</v>
      </c>
      <c r="F47" s="1071">
        <f t="shared" si="3"/>
        <v>11250</v>
      </c>
      <c r="G47" s="1071"/>
      <c r="H47" s="1070">
        <f>'Sources and Uses Budget'!T47</f>
        <v>0</v>
      </c>
      <c r="I47" s="1071"/>
      <c r="J47" s="1071"/>
      <c r="K47" s="198"/>
    </row>
    <row r="48" spans="1:11" s="199" customFormat="1" ht="11.4">
      <c r="A48" s="1069" t="s">
        <v>1806</v>
      </c>
      <c r="B48" s="1070">
        <f>'Sources and Uses Budget'!C48</f>
        <v>531344</v>
      </c>
      <c r="C48" s="1071">
        <f t="shared" si="2"/>
        <v>531344</v>
      </c>
      <c r="D48" s="1071"/>
      <c r="E48" s="1070">
        <f>'Sources and Uses Budget'!S48</f>
        <v>531344</v>
      </c>
      <c r="F48" s="1071">
        <f t="shared" si="3"/>
        <v>531344</v>
      </c>
      <c r="G48" s="1071"/>
      <c r="H48" s="1070">
        <f>'Sources and Uses Budget'!T48</f>
        <v>0</v>
      </c>
      <c r="I48" s="1071"/>
      <c r="J48" s="1071"/>
      <c r="K48" s="198"/>
    </row>
    <row r="49" spans="1:11" s="199" customFormat="1" ht="11.4">
      <c r="A49" s="1041" t="s">
        <v>1807</v>
      </c>
      <c r="B49" s="1070">
        <f>'Sources and Uses Budget'!C49</f>
        <v>112989</v>
      </c>
      <c r="C49" s="1071">
        <f t="shared" si="2"/>
        <v>112989</v>
      </c>
      <c r="D49" s="1071"/>
      <c r="E49" s="1070">
        <f>'Sources and Uses Budget'!S49</f>
        <v>112989</v>
      </c>
      <c r="F49" s="1071">
        <f t="shared" si="3"/>
        <v>112989</v>
      </c>
      <c r="G49" s="1071"/>
      <c r="H49" s="1070">
        <f>'Sources and Uses Budget'!T49</f>
        <v>0</v>
      </c>
      <c r="I49" s="1071"/>
      <c r="J49" s="1071"/>
      <c r="K49" s="198"/>
    </row>
    <row r="50" spans="1:11" s="199" customFormat="1" ht="11.4">
      <c r="A50" s="1069" t="s">
        <v>1808</v>
      </c>
      <c r="B50" s="1070">
        <f>'Sources and Uses Budget'!C50</f>
        <v>100000</v>
      </c>
      <c r="C50" s="1071">
        <f t="shared" si="2"/>
        <v>100000</v>
      </c>
      <c r="D50" s="1071"/>
      <c r="E50" s="1070">
        <f>'Sources and Uses Budget'!S50</f>
        <v>75000</v>
      </c>
      <c r="F50" s="1071">
        <f t="shared" si="3"/>
        <v>75000</v>
      </c>
      <c r="G50" s="1071"/>
      <c r="H50" s="1070">
        <f>'Sources and Uses Budget'!T50</f>
        <v>0</v>
      </c>
      <c r="I50" s="1071"/>
      <c r="J50" s="1071"/>
      <c r="K50" s="198"/>
    </row>
    <row r="51" spans="1:11" s="199" customFormat="1" ht="11.4">
      <c r="A51" s="1069" t="s">
        <v>1809</v>
      </c>
      <c r="B51" s="1070">
        <f>'Sources and Uses Budget'!C51</f>
        <v>105000</v>
      </c>
      <c r="C51" s="1071">
        <f t="shared" si="2"/>
        <v>105000</v>
      </c>
      <c r="D51" s="1071"/>
      <c r="E51" s="1070">
        <f>'Sources and Uses Budget'!S51</f>
        <v>105000</v>
      </c>
      <c r="F51" s="1071">
        <f t="shared" si="3"/>
        <v>105000</v>
      </c>
      <c r="G51" s="1071"/>
      <c r="H51" s="1070">
        <f>'Sources and Uses Budget'!T51</f>
        <v>0</v>
      </c>
      <c r="I51" s="1071"/>
      <c r="J51" s="1071"/>
      <c r="K51" s="198"/>
    </row>
    <row r="52" spans="1:11" s="199" customFormat="1" ht="11.4">
      <c r="A52" s="1069" t="s">
        <v>1810</v>
      </c>
      <c r="B52" s="1070">
        <f>'Sources and Uses Budget'!C52</f>
        <v>902000</v>
      </c>
      <c r="C52" s="1071">
        <f t="shared" si="2"/>
        <v>902000</v>
      </c>
      <c r="D52" s="1071"/>
      <c r="E52" s="1070">
        <f>'Sources and Uses Budget'!S52</f>
        <v>902000</v>
      </c>
      <c r="F52" s="1071">
        <f t="shared" si="3"/>
        <v>902000</v>
      </c>
      <c r="G52" s="1071"/>
      <c r="H52" s="1070">
        <f>'Sources and Uses Budget'!T52</f>
        <v>0</v>
      </c>
      <c r="I52" s="1071"/>
      <c r="J52" s="1071"/>
      <c r="K52" s="198"/>
    </row>
    <row r="53" spans="1:11" s="199" customFormat="1" ht="11.4">
      <c r="A53" s="1069" t="str">
        <f>'Sources and Uses Budget'!$A53</f>
        <v>Other: (Specify)</v>
      </c>
      <c r="B53" s="1070">
        <f>'Sources and Uses Budget'!C53</f>
        <v>0</v>
      </c>
      <c r="C53" s="1071"/>
      <c r="D53" s="1071"/>
      <c r="E53" s="1070">
        <f>'Sources and Uses Budget'!S53</f>
        <v>0</v>
      </c>
      <c r="F53" s="1071"/>
      <c r="G53" s="1071"/>
      <c r="H53" s="1070">
        <f>'Sources and Uses Budget'!T53</f>
        <v>0</v>
      </c>
      <c r="I53" s="1071"/>
      <c r="J53" s="1071"/>
      <c r="K53" s="198"/>
    </row>
    <row r="54" spans="1:11" s="201" customFormat="1">
      <c r="A54" s="1073" t="s">
        <v>1811</v>
      </c>
      <c r="B54" s="1070">
        <f>'Sources and Uses Budget'!C54</f>
        <v>7133328</v>
      </c>
      <c r="C54" s="1075">
        <f>SUM(C45:C53)</f>
        <v>7133328</v>
      </c>
      <c r="D54" s="1075">
        <f>SUM(D45:D53)</f>
        <v>0</v>
      </c>
      <c r="E54" s="1070">
        <f>'Sources and Uses Budget'!S54</f>
        <v>5052111</v>
      </c>
      <c r="F54" s="1075">
        <f>SUM(F45:F53)</f>
        <v>5052111</v>
      </c>
      <c r="G54" s="1075">
        <f>SUM(G45:G53)</f>
        <v>0</v>
      </c>
      <c r="H54" s="1070">
        <f>'Sources and Uses Budget'!T54</f>
        <v>0</v>
      </c>
      <c r="I54" s="1075">
        <f>SUM(I45:I53)</f>
        <v>0</v>
      </c>
      <c r="J54" s="1075">
        <f>SUM(J45:J53)</f>
        <v>0</v>
      </c>
      <c r="K54" s="200"/>
    </row>
    <row r="55" spans="1:11" s="199" customFormat="1" ht="11.4">
      <c r="A55" s="1067" t="s">
        <v>1362</v>
      </c>
      <c r="B55" s="1068"/>
      <c r="C55" s="1068"/>
      <c r="D55" s="1068"/>
      <c r="E55" s="1068"/>
      <c r="F55" s="1068"/>
      <c r="G55" s="1068"/>
      <c r="H55" s="1068"/>
      <c r="I55" s="1068"/>
      <c r="J55" s="1068"/>
      <c r="K55" s="198"/>
    </row>
    <row r="56" spans="1:11" s="199" customFormat="1" ht="11.4">
      <c r="A56" s="1069" t="s">
        <v>1812</v>
      </c>
      <c r="B56" s="1070">
        <f>'Sources and Uses Budget'!C56</f>
        <v>0</v>
      </c>
      <c r="C56" s="1071"/>
      <c r="D56" s="1071"/>
      <c r="E56" s="1072"/>
      <c r="F56" s="1072"/>
      <c r="G56" s="1072"/>
      <c r="H56" s="1072"/>
      <c r="I56" s="1072"/>
      <c r="J56" s="1072"/>
      <c r="K56" s="198"/>
    </row>
    <row r="57" spans="1:11" s="199" customFormat="1" ht="12" customHeight="1">
      <c r="A57" s="1069" t="s">
        <v>1805</v>
      </c>
      <c r="B57" s="1070">
        <f>'Sources and Uses Budget'!C57</f>
        <v>0</v>
      </c>
      <c r="C57" s="1071"/>
      <c r="D57" s="1071"/>
      <c r="E57" s="1072"/>
      <c r="F57" s="1072"/>
      <c r="G57" s="1072"/>
      <c r="H57" s="1072"/>
      <c r="I57" s="1072"/>
      <c r="J57" s="1072"/>
      <c r="K57" s="198"/>
    </row>
    <row r="58" spans="1:11" s="199" customFormat="1" ht="11.4">
      <c r="A58" s="1069" t="s">
        <v>1808</v>
      </c>
      <c r="B58" s="1070">
        <f>'Sources and Uses Budget'!C58</f>
        <v>10000</v>
      </c>
      <c r="C58" s="1071">
        <f>B58</f>
        <v>10000</v>
      </c>
      <c r="D58" s="1071"/>
      <c r="E58" s="1072"/>
      <c r="F58" s="1072"/>
      <c r="G58" s="1072"/>
      <c r="H58" s="1072"/>
      <c r="I58" s="1072"/>
      <c r="J58" s="1072"/>
      <c r="K58" s="198"/>
    </row>
    <row r="59" spans="1:11" s="199" customFormat="1" ht="11.4">
      <c r="A59" s="1069" t="s">
        <v>1809</v>
      </c>
      <c r="B59" s="1070">
        <f>'Sources and Uses Budget'!C59</f>
        <v>0</v>
      </c>
      <c r="C59" s="1071"/>
      <c r="D59" s="1071"/>
      <c r="E59" s="1072"/>
      <c r="F59" s="1072"/>
      <c r="G59" s="1072"/>
      <c r="H59" s="1072"/>
      <c r="I59" s="1072"/>
      <c r="J59" s="1072"/>
      <c r="K59" s="198"/>
    </row>
    <row r="60" spans="1:11" s="199" customFormat="1" ht="11.4">
      <c r="A60" s="1069" t="s">
        <v>1810</v>
      </c>
      <c r="B60" s="1070">
        <f>'Sources and Uses Budget'!C60</f>
        <v>0</v>
      </c>
      <c r="C60" s="1071"/>
      <c r="D60" s="1071"/>
      <c r="E60" s="1072"/>
      <c r="F60" s="1072"/>
      <c r="G60" s="1072"/>
      <c r="H60" s="1072"/>
      <c r="I60" s="1072"/>
      <c r="J60" s="1072"/>
      <c r="K60" s="198"/>
    </row>
    <row r="61" spans="1:11" s="199" customFormat="1" ht="11.4">
      <c r="A61" s="1069" t="str">
        <f>'Sources and Uses Budget'!$A61</f>
        <v>Legal for Perm Loan</v>
      </c>
      <c r="B61" s="1070">
        <f>'Sources and Uses Budget'!C61</f>
        <v>15000</v>
      </c>
      <c r="C61" s="1071">
        <f>B61</f>
        <v>15000</v>
      </c>
      <c r="D61" s="1071"/>
      <c r="E61" s="1072"/>
      <c r="F61" s="1072"/>
      <c r="G61" s="1072"/>
      <c r="H61" s="1072"/>
      <c r="I61" s="1072"/>
      <c r="J61" s="1072"/>
      <c r="K61" s="198"/>
    </row>
    <row r="62" spans="1:11" s="199" customFormat="1" ht="13.65" customHeight="1">
      <c r="A62" s="1073" t="s">
        <v>1814</v>
      </c>
      <c r="B62" s="1070">
        <f>'Sources and Uses Budget'!C62</f>
        <v>25000</v>
      </c>
      <c r="C62" s="1070">
        <f>SUM(C56:C61)</f>
        <v>25000</v>
      </c>
      <c r="D62" s="1070">
        <f>SUM(D56:D61)</f>
        <v>0</v>
      </c>
      <c r="E62" s="1072"/>
      <c r="F62" s="1072"/>
      <c r="G62" s="1072"/>
      <c r="H62" s="1072"/>
      <c r="I62" s="1072"/>
      <c r="J62" s="1072"/>
      <c r="K62" s="198"/>
    </row>
    <row r="63" spans="1:11" s="199" customFormat="1" ht="11.4">
      <c r="A63" s="1076" t="s">
        <v>1815</v>
      </c>
      <c r="B63" s="1070">
        <f>'Sources and Uses Budget'!C63</f>
        <v>68636983</v>
      </c>
      <c r="C63" s="1070">
        <f>SUM(C8+C11+C13+C14+C15+C26+C27+C38+C42+C43+C54+C62)</f>
        <v>68636983</v>
      </c>
      <c r="D63" s="1070">
        <f>SUM(D8+D11+D13+D14+D15+D26+D27+D38+D42+D43+D54+D62)</f>
        <v>0</v>
      </c>
      <c r="E63" s="1070">
        <f>'Sources and Uses Budget'!S63</f>
        <v>66530766</v>
      </c>
      <c r="F63" s="1070">
        <f>SUM(F10+F13+F14+F15+F26+F27+F38+F42+F43+F54)</f>
        <v>66530766</v>
      </c>
      <c r="G63" s="1070">
        <f>SUM(G10+G13+G14+G15+G26+G27+G38+G42+G43+G54)</f>
        <v>0</v>
      </c>
      <c r="H63" s="1070">
        <f>'Sources and Uses Budget'!T63</f>
        <v>0</v>
      </c>
      <c r="I63" s="1070">
        <f>SUM(I11+I13+I14+I15+I26+I27+I38+I42+I43+I54)</f>
        <v>0</v>
      </c>
      <c r="J63" s="1070">
        <f>SUM(J11+J13+J14+J15+J26+J27+J38+J42+J43+J54)</f>
        <v>0</v>
      </c>
      <c r="K63" s="198"/>
    </row>
    <row r="64" spans="1:11" s="199" customFormat="1" ht="22.8">
      <c r="A64" s="1038" t="s">
        <v>1816</v>
      </c>
      <c r="B64" s="1068"/>
      <c r="C64" s="1068"/>
      <c r="D64" s="1068"/>
      <c r="E64" s="1068"/>
      <c r="F64" s="1068"/>
      <c r="G64" s="1068"/>
      <c r="H64" s="1068"/>
      <c r="I64" s="1068"/>
      <c r="J64" s="1068"/>
      <c r="K64" s="198"/>
    </row>
    <row r="65" spans="1:11" s="199" customFormat="1" ht="11.4">
      <c r="A65" s="1041" t="s">
        <v>1817</v>
      </c>
      <c r="B65" s="1070">
        <f>'Sources and Uses Budget'!C65</f>
        <v>100000</v>
      </c>
      <c r="C65" s="1071">
        <f>B65</f>
        <v>100000</v>
      </c>
      <c r="D65" s="1071"/>
      <c r="E65" s="1070">
        <f>'Sources and Uses Budget'!S65</f>
        <v>100000</v>
      </c>
      <c r="F65" s="1071">
        <f>E65</f>
        <v>100000</v>
      </c>
      <c r="G65" s="1071"/>
      <c r="H65" s="1070">
        <f>'Sources and Uses Budget'!T65</f>
        <v>0</v>
      </c>
      <c r="I65" s="1071"/>
      <c r="J65" s="1071"/>
      <c r="K65" s="198"/>
    </row>
    <row r="66" spans="1:11" s="199" customFormat="1" ht="22.8">
      <c r="A66" s="1041" t="s">
        <v>1818</v>
      </c>
      <c r="B66" s="1070">
        <f>'Sources and Uses Budget'!C66</f>
        <v>0</v>
      </c>
      <c r="C66" s="1071"/>
      <c r="D66" s="1071"/>
      <c r="E66" s="1070">
        <f>'Sources and Uses Budget'!S66</f>
        <v>0</v>
      </c>
      <c r="F66" s="1071"/>
      <c r="G66" s="1071"/>
      <c r="H66" s="1070">
        <f>'Sources and Uses Budget'!T66</f>
        <v>0</v>
      </c>
      <c r="I66" s="1071"/>
      <c r="J66" s="1071"/>
      <c r="K66" s="198"/>
    </row>
    <row r="67" spans="1:11" s="199" customFormat="1" ht="22.8">
      <c r="A67" s="1041" t="s">
        <v>1819</v>
      </c>
      <c r="B67" s="1070">
        <f>'Sources and Uses Budget'!C67</f>
        <v>0</v>
      </c>
      <c r="C67" s="1071"/>
      <c r="D67" s="1071"/>
      <c r="E67" s="1070">
        <f>'Sources and Uses Budget'!S67</f>
        <v>0</v>
      </c>
      <c r="F67" s="1071"/>
      <c r="G67" s="1071"/>
      <c r="H67" s="1070">
        <f>'Sources and Uses Budget'!T67</f>
        <v>0</v>
      </c>
      <c r="I67" s="1071"/>
      <c r="J67" s="1071"/>
      <c r="K67" s="198"/>
    </row>
    <row r="68" spans="1:11" s="199" customFormat="1" ht="11.4">
      <c r="A68" s="1041" t="s">
        <v>1820</v>
      </c>
      <c r="B68" s="1070">
        <f>'Sources and Uses Budget'!C68</f>
        <v>0</v>
      </c>
      <c r="C68" s="1071"/>
      <c r="D68" s="1071"/>
      <c r="E68" s="1070">
        <f>'Sources and Uses Budget'!S68</f>
        <v>0</v>
      </c>
      <c r="F68" s="1071"/>
      <c r="G68" s="1071"/>
      <c r="H68" s="1070">
        <f>'Sources and Uses Budget'!T68</f>
        <v>0</v>
      </c>
      <c r="I68" s="1071"/>
      <c r="J68" s="1071"/>
      <c r="K68" s="198"/>
    </row>
    <row r="69" spans="1:11" s="199" customFormat="1" ht="22.8">
      <c r="A69" s="1069" t="str">
        <f>'Sources and Uses Budget'!$A69</f>
        <v>Lender, Investor, Bond Issuer and Partner Legal</v>
      </c>
      <c r="B69" s="1070">
        <f>'Sources and Uses Budget'!C69</f>
        <v>225000</v>
      </c>
      <c r="C69" s="1071">
        <f>B69</f>
        <v>225000</v>
      </c>
      <c r="D69" s="1071"/>
      <c r="E69" s="1070">
        <f>'Sources and Uses Budget'!S69</f>
        <v>75000</v>
      </c>
      <c r="F69" s="1071">
        <f>E69</f>
        <v>75000</v>
      </c>
      <c r="G69" s="1071"/>
      <c r="H69" s="1070">
        <f>'Sources and Uses Budget'!T69</f>
        <v>0</v>
      </c>
      <c r="I69" s="1071"/>
      <c r="J69" s="1071"/>
      <c r="K69" s="198"/>
    </row>
    <row r="70" spans="1:11" s="199" customFormat="1">
      <c r="A70" s="1073" t="s">
        <v>1900</v>
      </c>
      <c r="B70" s="1070">
        <f>'Sources and Uses Budget'!C70</f>
        <v>325000</v>
      </c>
      <c r="C70" s="1070">
        <f>SUM(C64:C69)</f>
        <v>325000</v>
      </c>
      <c r="D70" s="1070">
        <f>SUM(D64:D69)</f>
        <v>0</v>
      </c>
      <c r="E70" s="1070">
        <f>'Sources and Uses Budget'!S70</f>
        <v>175000</v>
      </c>
      <c r="F70" s="1075">
        <f>SUM(F65:F69)</f>
        <v>175000</v>
      </c>
      <c r="G70" s="1075">
        <f>SUM(G65:G69)</f>
        <v>0</v>
      </c>
      <c r="H70" s="1070">
        <f>'Sources and Uses Budget'!T70</f>
        <v>0</v>
      </c>
      <c r="I70" s="1075">
        <f>SUM(I65:I69)</f>
        <v>0</v>
      </c>
      <c r="J70" s="1075">
        <f>SUM(J65:J69)</f>
        <v>0</v>
      </c>
      <c r="K70" s="198"/>
    </row>
    <row r="71" spans="1:11" s="199" customFormat="1" ht="11.4">
      <c r="A71" s="1067" t="s">
        <v>1823</v>
      </c>
      <c r="B71" s="1068"/>
      <c r="C71" s="1068"/>
      <c r="D71" s="1068"/>
      <c r="E71" s="1068"/>
      <c r="F71" s="1068"/>
      <c r="G71" s="1068"/>
      <c r="H71" s="1068"/>
      <c r="I71" s="1068"/>
      <c r="J71" s="1068"/>
      <c r="K71" s="198"/>
    </row>
    <row r="72" spans="1:11" s="199" customFormat="1" ht="11.4">
      <c r="A72" s="1069" t="s">
        <v>1824</v>
      </c>
      <c r="B72" s="1070">
        <f>'Sources and Uses Budget'!C72</f>
        <v>0</v>
      </c>
      <c r="C72" s="1071"/>
      <c r="D72" s="1071"/>
      <c r="E72" s="1072"/>
      <c r="F72" s="1072"/>
      <c r="G72" s="1072"/>
      <c r="H72" s="1072"/>
      <c r="I72" s="1072"/>
      <c r="J72" s="1072"/>
      <c r="K72" s="198"/>
    </row>
    <row r="73" spans="1:11" s="199" customFormat="1" ht="11.4">
      <c r="A73" s="1069" t="s">
        <v>1825</v>
      </c>
      <c r="B73" s="1070">
        <f>'Sources and Uses Budget'!C73</f>
        <v>0</v>
      </c>
      <c r="C73" s="1071"/>
      <c r="D73" s="1071"/>
      <c r="E73" s="1072"/>
      <c r="F73" s="1072"/>
      <c r="G73" s="1072"/>
      <c r="H73" s="1072"/>
      <c r="I73" s="1072"/>
      <c r="J73" s="1072"/>
      <c r="K73" s="198"/>
    </row>
    <row r="74" spans="1:11" s="199" customFormat="1" ht="11.4">
      <c r="A74" s="1074" t="s">
        <v>1826</v>
      </c>
      <c r="B74" s="1070">
        <f>'Sources and Uses Budget'!C74</f>
        <v>0</v>
      </c>
      <c r="C74" s="1071"/>
      <c r="D74" s="1071"/>
      <c r="E74" s="1072"/>
      <c r="F74" s="1072"/>
      <c r="G74" s="1072"/>
      <c r="H74" s="1072"/>
      <c r="I74" s="1072"/>
      <c r="J74" s="1072"/>
      <c r="K74" s="198"/>
    </row>
    <row r="75" spans="1:11" s="199" customFormat="1" ht="11.4">
      <c r="A75" s="1069" t="s">
        <v>1827</v>
      </c>
      <c r="B75" s="1070">
        <f>'Sources and Uses Budget'!C75</f>
        <v>636771</v>
      </c>
      <c r="C75" s="1071">
        <f>B75</f>
        <v>636771</v>
      </c>
      <c r="D75" s="1071"/>
      <c r="E75" s="1072"/>
      <c r="F75" s="1072"/>
      <c r="G75" s="1072"/>
      <c r="H75" s="1072"/>
      <c r="I75" s="1072"/>
      <c r="J75" s="1072"/>
      <c r="K75" s="198"/>
    </row>
    <row r="76" spans="1:11" s="199" customFormat="1" ht="11.4">
      <c r="A76" s="1069" t="str">
        <f>'Sources and Uses Budget'!$A76</f>
        <v>Other: (Specify)</v>
      </c>
      <c r="B76" s="1070">
        <f>'Sources and Uses Budget'!C76</f>
        <v>0</v>
      </c>
      <c r="C76" s="1071"/>
      <c r="D76" s="1071"/>
      <c r="E76" s="1072"/>
      <c r="F76" s="1072"/>
      <c r="G76" s="1072"/>
      <c r="H76" s="1072"/>
      <c r="I76" s="1072"/>
      <c r="J76" s="1072"/>
      <c r="K76" s="198"/>
    </row>
    <row r="77" spans="1:11" s="199" customFormat="1">
      <c r="A77" s="1073" t="s">
        <v>1828</v>
      </c>
      <c r="B77" s="1070">
        <f>'Sources and Uses Budget'!C77</f>
        <v>636771</v>
      </c>
      <c r="C77" s="1070">
        <f>SUM(C72:C76)</f>
        <v>636771</v>
      </c>
      <c r="D77" s="1070">
        <f>SUM(D72:D76)</f>
        <v>0</v>
      </c>
      <c r="E77" s="1072"/>
      <c r="F77" s="1072"/>
      <c r="G77" s="1072"/>
      <c r="H77" s="1072"/>
      <c r="I77" s="1072"/>
      <c r="J77" s="1072"/>
      <c r="K77" s="198"/>
    </row>
    <row r="78" spans="1:11" s="199" customFormat="1" ht="11.4">
      <c r="A78" s="1067" t="s">
        <v>1829</v>
      </c>
      <c r="B78" s="1068"/>
      <c r="C78" s="1068"/>
      <c r="D78" s="1068"/>
      <c r="E78" s="1068"/>
      <c r="F78" s="1068"/>
      <c r="G78" s="1068"/>
      <c r="H78" s="1068"/>
      <c r="I78" s="1068"/>
      <c r="J78" s="1068"/>
      <c r="K78" s="198"/>
    </row>
    <row r="79" spans="1:11" s="199" customFormat="1" ht="11.4">
      <c r="A79" s="1069" t="s">
        <v>1830</v>
      </c>
      <c r="B79" s="1070">
        <f>'Sources and Uses Budget'!C79</f>
        <v>3008000</v>
      </c>
      <c r="C79" s="1071">
        <f>B79</f>
        <v>3008000</v>
      </c>
      <c r="D79" s="1071"/>
      <c r="E79" s="1070">
        <f>'Sources and Uses Budget'!S79</f>
        <v>3008000</v>
      </c>
      <c r="F79" s="1071">
        <f>E79</f>
        <v>3008000</v>
      </c>
      <c r="G79" s="1071"/>
      <c r="H79" s="1070">
        <f>'Sources and Uses Budget'!T79</f>
        <v>0</v>
      </c>
      <c r="I79" s="1071"/>
      <c r="J79" s="1071"/>
      <c r="K79" s="198"/>
    </row>
    <row r="80" spans="1:11" s="199" customFormat="1" ht="11.4">
      <c r="A80" s="1069" t="s">
        <v>1831</v>
      </c>
      <c r="B80" s="1070">
        <f>'Sources and Uses Budget'!C80</f>
        <v>550891</v>
      </c>
      <c r="C80" s="1071">
        <f>B80</f>
        <v>550891</v>
      </c>
      <c r="D80" s="1071"/>
      <c r="E80" s="1070">
        <f>'Sources and Uses Budget'!S80</f>
        <v>550891</v>
      </c>
      <c r="F80" s="1071">
        <f>E80</f>
        <v>550891</v>
      </c>
      <c r="G80" s="1071"/>
      <c r="H80" s="1070">
        <f>'Sources and Uses Budget'!T80</f>
        <v>0</v>
      </c>
      <c r="I80" s="1071"/>
      <c r="J80" s="1071"/>
      <c r="K80" s="198"/>
    </row>
    <row r="81" spans="1:11" s="199" customFormat="1">
      <c r="A81" s="1073" t="s">
        <v>1832</v>
      </c>
      <c r="B81" s="1070">
        <f>'Sources and Uses Budget'!C81</f>
        <v>3558891</v>
      </c>
      <c r="C81" s="1070">
        <f>SUM(C79:C80)</f>
        <v>3558891</v>
      </c>
      <c r="D81" s="1070">
        <f>SUM(D79:D80)</f>
        <v>0</v>
      </c>
      <c r="E81" s="1070">
        <f>'Sources and Uses Budget'!S81</f>
        <v>3558891</v>
      </c>
      <c r="F81" s="1070">
        <f>SUM(F79:F80)</f>
        <v>3558891</v>
      </c>
      <c r="G81" s="1070">
        <f>SUM(G79:G80)</f>
        <v>0</v>
      </c>
      <c r="H81" s="1070">
        <f>'Sources and Uses Budget'!T81</f>
        <v>0</v>
      </c>
      <c r="I81" s="1070">
        <f>SUM(I79:I80)</f>
        <v>0</v>
      </c>
      <c r="J81" s="1070">
        <f>SUM(J79:J80)</f>
        <v>0</v>
      </c>
      <c r="K81" s="198"/>
    </row>
    <row r="82" spans="1:11" s="199" customFormat="1" ht="11.4">
      <c r="A82" s="1067" t="s">
        <v>1833</v>
      </c>
      <c r="B82" s="1068"/>
      <c r="C82" s="1068"/>
      <c r="D82" s="1068"/>
      <c r="E82" s="1068"/>
      <c r="F82" s="1068"/>
      <c r="G82" s="1068"/>
      <c r="H82" s="1068"/>
      <c r="I82" s="1068"/>
      <c r="J82" s="1068"/>
      <c r="K82" s="198"/>
    </row>
    <row r="83" spans="1:11" s="199" customFormat="1" ht="13.65" customHeight="1">
      <c r="A83" s="1041" t="s">
        <v>1834</v>
      </c>
      <c r="B83" s="1070">
        <f>'Sources and Uses Budget'!C83</f>
        <v>135277</v>
      </c>
      <c r="C83" s="1071">
        <f>B83</f>
        <v>135277</v>
      </c>
      <c r="D83" s="1071"/>
      <c r="E83" s="1072"/>
      <c r="F83" s="1072"/>
      <c r="G83" s="1072"/>
      <c r="H83" s="1072"/>
      <c r="I83" s="1072"/>
      <c r="J83" s="1072"/>
      <c r="K83" s="198"/>
    </row>
    <row r="84" spans="1:11" s="199" customFormat="1" ht="11.4">
      <c r="A84" s="1041" t="s">
        <v>1835</v>
      </c>
      <c r="B84" s="1070">
        <f>'Sources and Uses Budget'!C84</f>
        <v>50000</v>
      </c>
      <c r="C84" s="1071">
        <f t="shared" ref="C84:C95" si="4">B84</f>
        <v>50000</v>
      </c>
      <c r="D84" s="1071"/>
      <c r="E84" s="1070">
        <f>'Sources and Uses Budget'!S84</f>
        <v>50000</v>
      </c>
      <c r="F84" s="1071">
        <f>E84</f>
        <v>50000</v>
      </c>
      <c r="G84" s="1071"/>
      <c r="H84" s="1070">
        <f>'Sources and Uses Budget'!T84</f>
        <v>0</v>
      </c>
      <c r="I84" s="1071"/>
      <c r="J84" s="1071"/>
      <c r="K84" s="198"/>
    </row>
    <row r="85" spans="1:11" s="199" customFormat="1" ht="11.4">
      <c r="A85" s="1041" t="s">
        <v>1836</v>
      </c>
      <c r="B85" s="1070">
        <f>'Sources and Uses Budget'!C85</f>
        <v>1920000</v>
      </c>
      <c r="C85" s="1071">
        <f t="shared" si="4"/>
        <v>1920000</v>
      </c>
      <c r="D85" s="1071"/>
      <c r="E85" s="1070">
        <f>'Sources and Uses Budget'!S85</f>
        <v>1920000</v>
      </c>
      <c r="F85" s="1071">
        <f t="shared" ref="F85:F86" si="5">E85</f>
        <v>1920000</v>
      </c>
      <c r="G85" s="1071"/>
      <c r="H85" s="1070">
        <f>'Sources and Uses Budget'!T85</f>
        <v>0</v>
      </c>
      <c r="I85" s="1071"/>
      <c r="J85" s="1071"/>
      <c r="K85" s="198"/>
    </row>
    <row r="86" spans="1:11" s="199" customFormat="1" ht="11.4">
      <c r="A86" s="1041" t="s">
        <v>1837</v>
      </c>
      <c r="B86" s="1070">
        <f>'Sources and Uses Budget'!C86</f>
        <v>1280000</v>
      </c>
      <c r="C86" s="1071">
        <f t="shared" si="4"/>
        <v>1280000</v>
      </c>
      <c r="D86" s="1071"/>
      <c r="E86" s="1070">
        <f>'Sources and Uses Budget'!S86</f>
        <v>1280000</v>
      </c>
      <c r="F86" s="1071">
        <f t="shared" si="5"/>
        <v>1280000</v>
      </c>
      <c r="G86" s="1071"/>
      <c r="H86" s="1070">
        <f>'Sources and Uses Budget'!T86</f>
        <v>0</v>
      </c>
      <c r="I86" s="1071"/>
      <c r="J86" s="1071"/>
      <c r="K86" s="198"/>
    </row>
    <row r="87" spans="1:11" s="199" customFormat="1" ht="11.4">
      <c r="A87" s="1041" t="s">
        <v>1838</v>
      </c>
      <c r="B87" s="1070">
        <f>'Sources and Uses Budget'!C87</f>
        <v>0</v>
      </c>
      <c r="C87" s="1071"/>
      <c r="D87" s="1071"/>
      <c r="E87" s="1070">
        <f>'Sources and Uses Budget'!S87</f>
        <v>0</v>
      </c>
      <c r="F87" s="1071"/>
      <c r="G87" s="1071"/>
      <c r="H87" s="1070">
        <f>'Sources and Uses Budget'!T87</f>
        <v>0</v>
      </c>
      <c r="I87" s="1071"/>
      <c r="J87" s="1071"/>
      <c r="K87" s="198"/>
    </row>
    <row r="88" spans="1:11" s="199" customFormat="1" ht="11.4">
      <c r="A88" s="1041" t="s">
        <v>1839</v>
      </c>
      <c r="B88" s="1070">
        <f>'Sources and Uses Budget'!C88</f>
        <v>100000</v>
      </c>
      <c r="C88" s="1071">
        <f t="shared" si="4"/>
        <v>100000</v>
      </c>
      <c r="D88" s="1071"/>
      <c r="E88" s="1072"/>
      <c r="F88" s="1072"/>
      <c r="G88" s="1072"/>
      <c r="H88" s="1072"/>
      <c r="I88" s="1072"/>
      <c r="J88" s="1072"/>
      <c r="K88" s="198"/>
    </row>
    <row r="89" spans="1:11" s="199" customFormat="1" ht="11.4">
      <c r="A89" s="1041" t="s">
        <v>1840</v>
      </c>
      <c r="B89" s="1070">
        <f>'Sources and Uses Budget'!C89</f>
        <v>100000</v>
      </c>
      <c r="C89" s="1071">
        <f t="shared" si="4"/>
        <v>100000</v>
      </c>
      <c r="D89" s="1071"/>
      <c r="E89" s="1070">
        <f>'Sources and Uses Budget'!S89</f>
        <v>100000</v>
      </c>
      <c r="F89" s="1071">
        <f>E89</f>
        <v>100000</v>
      </c>
      <c r="G89" s="1071"/>
      <c r="H89" s="1070">
        <f>'Sources and Uses Budget'!T89</f>
        <v>0</v>
      </c>
      <c r="I89" s="1071"/>
      <c r="J89" s="1071"/>
      <c r="K89" s="198"/>
    </row>
    <row r="90" spans="1:11" s="199" customFormat="1" ht="11.4">
      <c r="A90" s="1041" t="s">
        <v>1841</v>
      </c>
      <c r="B90" s="1070">
        <f>'Sources and Uses Budget'!C90</f>
        <v>15000</v>
      </c>
      <c r="C90" s="1071">
        <f t="shared" si="4"/>
        <v>15000</v>
      </c>
      <c r="D90" s="1071"/>
      <c r="E90" s="1070">
        <f>'Sources and Uses Budget'!S90</f>
        <v>15000</v>
      </c>
      <c r="F90" s="1071">
        <f t="shared" ref="F90:F95" si="6">E90</f>
        <v>15000</v>
      </c>
      <c r="G90" s="1071"/>
      <c r="H90" s="1070">
        <f>'Sources and Uses Budget'!T90</f>
        <v>0</v>
      </c>
      <c r="I90" s="1071"/>
      <c r="J90" s="1071"/>
      <c r="K90" s="198"/>
    </row>
    <row r="91" spans="1:11" s="199" customFormat="1" ht="11.4">
      <c r="A91" s="1051" t="s">
        <v>1842</v>
      </c>
      <c r="B91" s="1070">
        <f>'Sources and Uses Budget'!C91</f>
        <v>50000</v>
      </c>
      <c r="C91" s="1071">
        <f t="shared" si="4"/>
        <v>50000</v>
      </c>
      <c r="D91" s="1071"/>
      <c r="E91" s="1070">
        <f>'Sources and Uses Budget'!S91</f>
        <v>50000</v>
      </c>
      <c r="F91" s="1071">
        <f t="shared" si="6"/>
        <v>50000</v>
      </c>
      <c r="G91" s="1071"/>
      <c r="H91" s="1070">
        <f>'Sources and Uses Budget'!T91</f>
        <v>0</v>
      </c>
      <c r="I91" s="1071"/>
      <c r="J91" s="1071"/>
      <c r="K91" s="198"/>
    </row>
    <row r="92" spans="1:11" s="199" customFormat="1" ht="11.4">
      <c r="A92" s="1051" t="s">
        <v>1843</v>
      </c>
      <c r="B92" s="1070">
        <f>'Sources and Uses Budget'!C92</f>
        <v>20000</v>
      </c>
      <c r="C92" s="1071">
        <f t="shared" si="4"/>
        <v>20000</v>
      </c>
      <c r="D92" s="1071"/>
      <c r="E92" s="1070">
        <f>'Sources and Uses Budget'!S92</f>
        <v>20000</v>
      </c>
      <c r="F92" s="1071">
        <f t="shared" si="6"/>
        <v>20000</v>
      </c>
      <c r="G92" s="1071"/>
      <c r="H92" s="1070">
        <f>'Sources and Uses Budget'!T92</f>
        <v>0</v>
      </c>
      <c r="I92" s="1071"/>
      <c r="J92" s="1071"/>
      <c r="K92" s="198"/>
    </row>
    <row r="93" spans="1:11" s="199" customFormat="1" ht="11.4">
      <c r="A93" s="1069" t="str">
        <f>'Sources and Uses Budget'!$A93</f>
        <v>Prevailing Wage Monitoring</v>
      </c>
      <c r="B93" s="1070">
        <f>'Sources and Uses Budget'!C93</f>
        <v>42000</v>
      </c>
      <c r="C93" s="1071">
        <f t="shared" si="4"/>
        <v>42000</v>
      </c>
      <c r="D93" s="1071"/>
      <c r="E93" s="1070">
        <f>'Sources and Uses Budget'!S93</f>
        <v>42000</v>
      </c>
      <c r="F93" s="1071">
        <f t="shared" si="6"/>
        <v>42000</v>
      </c>
      <c r="G93" s="1071"/>
      <c r="H93" s="1070">
        <f>'Sources and Uses Budget'!T93</f>
        <v>0</v>
      </c>
      <c r="I93" s="1071"/>
      <c r="J93" s="1071"/>
      <c r="K93" s="198"/>
    </row>
    <row r="94" spans="1:11" s="199" customFormat="1" ht="11.4">
      <c r="A94" s="1069" t="str">
        <f>'Sources and Uses Budget'!$A94</f>
        <v xml:space="preserve">Misc. Third Party Costs </v>
      </c>
      <c r="B94" s="1070">
        <f>'Sources and Uses Budget'!C94</f>
        <v>250000</v>
      </c>
      <c r="C94" s="1071">
        <f t="shared" si="4"/>
        <v>250000</v>
      </c>
      <c r="D94" s="1071"/>
      <c r="E94" s="1070">
        <f>'Sources and Uses Budget'!S94</f>
        <v>250000</v>
      </c>
      <c r="F94" s="1071">
        <f t="shared" si="6"/>
        <v>250000</v>
      </c>
      <c r="G94" s="1071"/>
      <c r="H94" s="1070">
        <f>'Sources and Uses Budget'!T94</f>
        <v>0</v>
      </c>
      <c r="I94" s="1071"/>
      <c r="J94" s="1071"/>
      <c r="K94" s="198"/>
    </row>
    <row r="95" spans="1:11" s="199" customFormat="1" ht="11.4">
      <c r="A95" s="1069" t="str">
        <f>'Sources and Uses Budget'!$A95</f>
        <v>CDLAC Fee &amp; Predevelopment Interest</v>
      </c>
      <c r="B95" s="1070">
        <f>'Sources and Uses Budget'!C95</f>
        <v>218033</v>
      </c>
      <c r="C95" s="1071">
        <f t="shared" si="4"/>
        <v>218033</v>
      </c>
      <c r="D95" s="1071"/>
      <c r="E95" s="1070">
        <f>'Sources and Uses Budget'!S95</f>
        <v>218033</v>
      </c>
      <c r="F95" s="1071">
        <f t="shared" si="6"/>
        <v>218033</v>
      </c>
      <c r="G95" s="1071"/>
      <c r="H95" s="1070">
        <f>'Sources and Uses Budget'!T95</f>
        <v>0</v>
      </c>
      <c r="I95" s="1071"/>
      <c r="J95" s="1071"/>
      <c r="K95" s="198"/>
    </row>
    <row r="96" spans="1:11" s="199" customFormat="1">
      <c r="A96" s="1073" t="s">
        <v>1847</v>
      </c>
      <c r="B96" s="1070">
        <f>'Sources and Uses Budget'!C96</f>
        <v>4180310</v>
      </c>
      <c r="C96" s="1070">
        <f>SUM(C83:C95)</f>
        <v>4180310</v>
      </c>
      <c r="D96" s="1070">
        <f>SUM(D83:D95)</f>
        <v>0</v>
      </c>
      <c r="E96" s="1070">
        <f>'Sources and Uses Budget'!S96</f>
        <v>3945033</v>
      </c>
      <c r="F96" s="1075">
        <f>SUM(F84:F87,F89:F95)</f>
        <v>3945033</v>
      </c>
      <c r="G96" s="1075">
        <f>SUM(G84:G87,G89:G95)</f>
        <v>0</v>
      </c>
      <c r="H96" s="1070">
        <f>'Sources and Uses Budget'!T96</f>
        <v>0</v>
      </c>
      <c r="I96" s="1070">
        <f>SUM(I84:I87,I89:I95)</f>
        <v>0</v>
      </c>
      <c r="J96" s="1070">
        <f>SUM(J84:J87,J89:J95)</f>
        <v>0</v>
      </c>
      <c r="K96" s="198"/>
    </row>
    <row r="97" spans="1:11" s="199" customFormat="1">
      <c r="A97" s="1073" t="s">
        <v>1901</v>
      </c>
      <c r="B97" s="1070">
        <f>'Sources and Uses Budget'!C97</f>
        <v>77337955</v>
      </c>
      <c r="C97" s="1070">
        <f>SUM(C63+C70+C77+C81+C96)</f>
        <v>77337955</v>
      </c>
      <c r="D97" s="1070">
        <f>SUM(D63+D70+D77+D81+D96)</f>
        <v>0</v>
      </c>
      <c r="E97" s="1070">
        <f>'Sources and Uses Budget'!S97</f>
        <v>74209690</v>
      </c>
      <c r="F97" s="1075">
        <f>SUM(+F63+F70+F81+F96)</f>
        <v>74209690</v>
      </c>
      <c r="G97" s="1075">
        <f>SUM(+G63+G70+G81+G96)</f>
        <v>0</v>
      </c>
      <c r="H97" s="1070">
        <f>'Sources and Uses Budget'!T97</f>
        <v>0</v>
      </c>
      <c r="I97" s="1075">
        <f>SUM(I63+I70+I81+I96)</f>
        <v>0</v>
      </c>
      <c r="J97" s="1075">
        <f>SUM(J63+J70+J81+J96)</f>
        <v>0</v>
      </c>
      <c r="K97" s="198"/>
    </row>
    <row r="98" spans="1:11" s="199" customFormat="1" ht="11.4">
      <c r="A98" s="1067" t="s">
        <v>1849</v>
      </c>
      <c r="B98" s="1068"/>
      <c r="C98" s="1068"/>
      <c r="D98" s="1068"/>
      <c r="E98" s="1068"/>
      <c r="F98" s="1068"/>
      <c r="G98" s="1068"/>
      <c r="H98" s="1068"/>
      <c r="I98" s="1068"/>
      <c r="J98" s="1068"/>
      <c r="K98" s="198"/>
    </row>
    <row r="99" spans="1:11" s="199" customFormat="1" ht="11.4">
      <c r="A99" s="1041" t="s">
        <v>1850</v>
      </c>
      <c r="B99" s="1070">
        <f>'Sources and Uses Budget'!C99</f>
        <v>11131453</v>
      </c>
      <c r="C99" s="1071">
        <f>B99</f>
        <v>11131453</v>
      </c>
      <c r="D99" s="1071"/>
      <c r="E99" s="1070">
        <f>'Sources and Uses Budget'!S99</f>
        <v>11131453</v>
      </c>
      <c r="F99" s="1071">
        <f>E99</f>
        <v>11131453</v>
      </c>
      <c r="G99" s="1071"/>
      <c r="H99" s="1070">
        <f>'Sources and Uses Budget'!T99</f>
        <v>0</v>
      </c>
      <c r="I99" s="1071"/>
      <c r="J99" s="1071"/>
      <c r="K99" s="198"/>
    </row>
    <row r="100" spans="1:11" s="199" customFormat="1" ht="11.4">
      <c r="A100" s="1041" t="s">
        <v>1851</v>
      </c>
      <c r="B100" s="1070">
        <f>'Sources and Uses Budget'!C100</f>
        <v>0</v>
      </c>
      <c r="C100" s="1071"/>
      <c r="D100" s="1071"/>
      <c r="E100" s="1070">
        <f>'Sources and Uses Budget'!S100</f>
        <v>0</v>
      </c>
      <c r="F100" s="1071"/>
      <c r="G100" s="1071"/>
      <c r="H100" s="1070">
        <f>'Sources and Uses Budget'!T100</f>
        <v>0</v>
      </c>
      <c r="I100" s="1071"/>
      <c r="J100" s="1071"/>
      <c r="K100" s="198"/>
    </row>
    <row r="101" spans="1:11" s="199" customFormat="1" ht="11.4">
      <c r="A101" s="1041" t="s">
        <v>1852</v>
      </c>
      <c r="B101" s="1070">
        <f>'Sources and Uses Budget'!C101</f>
        <v>0</v>
      </c>
      <c r="C101" s="1071"/>
      <c r="D101" s="1071"/>
      <c r="E101" s="1070">
        <f>'Sources and Uses Budget'!S101</f>
        <v>0</v>
      </c>
      <c r="F101" s="1071"/>
      <c r="G101" s="1071"/>
      <c r="H101" s="1070">
        <f>'Sources and Uses Budget'!T101</f>
        <v>0</v>
      </c>
      <c r="I101" s="1071"/>
      <c r="J101" s="1071"/>
      <c r="K101" s="198"/>
    </row>
    <row r="102" spans="1:11" s="199" customFormat="1" ht="12" customHeight="1">
      <c r="A102" s="1041" t="s">
        <v>1853</v>
      </c>
      <c r="B102" s="1070">
        <f>'Sources and Uses Budget'!C102</f>
        <v>0</v>
      </c>
      <c r="C102" s="1071"/>
      <c r="D102" s="1071"/>
      <c r="E102" s="1070">
        <f>'Sources and Uses Budget'!S102</f>
        <v>0</v>
      </c>
      <c r="F102" s="1071"/>
      <c r="G102" s="1071"/>
      <c r="H102" s="1070">
        <f>'Sources and Uses Budget'!T102</f>
        <v>0</v>
      </c>
      <c r="I102" s="1071"/>
      <c r="J102" s="1071"/>
      <c r="K102" s="198"/>
    </row>
    <row r="103" spans="1:11" s="199" customFormat="1" ht="11.4">
      <c r="A103" s="1069" t="str">
        <f>'Sources and Uses Budget'!$A103</f>
        <v>Other: (Specify)</v>
      </c>
      <c r="B103" s="1070">
        <f>'Sources and Uses Budget'!C103</f>
        <v>0</v>
      </c>
      <c r="C103" s="1071"/>
      <c r="D103" s="1071"/>
      <c r="E103" s="1070">
        <f>'Sources and Uses Budget'!S103</f>
        <v>0</v>
      </c>
      <c r="F103" s="1071"/>
      <c r="G103" s="1071"/>
      <c r="H103" s="1070">
        <f>'Sources and Uses Budget'!T103</f>
        <v>0</v>
      </c>
      <c r="I103" s="1071"/>
      <c r="J103" s="1071"/>
      <c r="K103" s="198"/>
    </row>
    <row r="104" spans="1:11" s="199" customFormat="1">
      <c r="A104" s="1073" t="s">
        <v>1854</v>
      </c>
      <c r="B104" s="1070">
        <f>'Sources and Uses Budget'!C104</f>
        <v>11131453</v>
      </c>
      <c r="C104" s="1070">
        <f>SUM(C99:C103)</f>
        <v>11131453</v>
      </c>
      <c r="D104" s="1070">
        <f>SUM(D99:D103)</f>
        <v>0</v>
      </c>
      <c r="E104" s="1070">
        <f>'Sources and Uses Budget'!S104</f>
        <v>11131453</v>
      </c>
      <c r="F104" s="1075">
        <f>SUM(F99:F103)</f>
        <v>11131453</v>
      </c>
      <c r="G104" s="1075">
        <f>SUM(G99:G103)</f>
        <v>0</v>
      </c>
      <c r="H104" s="1070">
        <f>'Sources and Uses Budget'!T104</f>
        <v>0</v>
      </c>
      <c r="I104" s="1075">
        <f>SUM(I99:I103)</f>
        <v>0</v>
      </c>
      <c r="J104" s="1075">
        <f>SUM(J99:J103)</f>
        <v>0</v>
      </c>
      <c r="K104" s="198"/>
    </row>
    <row r="105" spans="1:11" s="199" customFormat="1">
      <c r="A105" s="1073" t="s">
        <v>1902</v>
      </c>
      <c r="B105" s="1070">
        <f>'Sources and Uses Budget'!C105</f>
        <v>88469408</v>
      </c>
      <c r="C105" s="1075">
        <f>SUM(C97+C104)</f>
        <v>88469408</v>
      </c>
      <c r="D105" s="1075">
        <f>SUM(D97+D104)</f>
        <v>0</v>
      </c>
      <c r="E105" s="1070">
        <f>'Sources and Uses Budget'!S105</f>
        <v>85341143</v>
      </c>
      <c r="F105" s="1075">
        <f>F97+F104</f>
        <v>85341143</v>
      </c>
      <c r="G105" s="1075">
        <f>G97+G104</f>
        <v>0</v>
      </c>
      <c r="H105" s="1070">
        <f>'Sources and Uses Budget'!T105</f>
        <v>0</v>
      </c>
      <c r="I105" s="1075">
        <f>I97+I104</f>
        <v>0</v>
      </c>
      <c r="J105" s="1075">
        <f>J97+J104</f>
        <v>0</v>
      </c>
      <c r="K105" s="198"/>
    </row>
    <row r="106" spans="1:11" s="199" customFormat="1">
      <c r="A106" s="202"/>
      <c r="B106" s="203"/>
      <c r="C106" s="203"/>
      <c r="D106" s="203"/>
      <c r="E106" s="1070">
        <f>'Sources and Uses Budget'!S106</f>
        <v>0</v>
      </c>
      <c r="F106" s="1071"/>
      <c r="G106" s="1071"/>
      <c r="H106" s="1070">
        <f>'Sources and Uses Budget'!T106</f>
        <v>0</v>
      </c>
      <c r="I106" s="1071"/>
      <c r="J106" s="1071"/>
      <c r="K106" s="198"/>
    </row>
    <row r="107" spans="1:11" s="199" customFormat="1">
      <c r="A107" s="204"/>
      <c r="B107" s="205"/>
      <c r="C107" s="203"/>
      <c r="D107" s="266" t="s">
        <v>1903</v>
      </c>
      <c r="E107" s="1070">
        <f>'Sources and Uses Budget'!S107</f>
        <v>85341143</v>
      </c>
      <c r="F107" s="1075">
        <f>F105+F106</f>
        <v>85341143</v>
      </c>
      <c r="G107" s="1075">
        <f>G105+G106</f>
        <v>0</v>
      </c>
      <c r="H107" s="1070">
        <f>'Sources and Uses Budget'!T107</f>
        <v>0</v>
      </c>
      <c r="I107" s="1075">
        <f>I105+I106</f>
        <v>0</v>
      </c>
      <c r="J107" s="1075">
        <f>J105+J106</f>
        <v>0</v>
      </c>
      <c r="K107" s="198"/>
    </row>
    <row r="108" spans="1:11" s="199" customFormat="1">
      <c r="A108" s="204"/>
      <c r="B108" s="206"/>
      <c r="C108" s="206"/>
      <c r="D108" s="206"/>
      <c r="J108" s="207"/>
      <c r="K108" s="198"/>
    </row>
    <row r="109" spans="1:11" s="199" customFormat="1">
      <c r="A109" s="204"/>
      <c r="B109" s="206"/>
      <c r="C109" s="206"/>
      <c r="D109" s="206"/>
      <c r="J109" s="207"/>
      <c r="K109" s="198"/>
    </row>
    <row r="110" spans="1:11" s="199" customFormat="1">
      <c r="A110" s="204"/>
      <c r="B110" s="206"/>
      <c r="C110" s="206"/>
      <c r="D110" s="206"/>
      <c r="J110" s="207"/>
      <c r="K110" s="198"/>
    </row>
    <row r="111" spans="1:11" s="199" customFormat="1" ht="13.2">
      <c r="A111" s="208"/>
      <c r="B111" s="206"/>
      <c r="C111" s="206"/>
      <c r="D111" s="206"/>
      <c r="J111" s="207"/>
      <c r="K111" s="198"/>
    </row>
    <row r="112" spans="1:11" s="199" customFormat="1" ht="13.2">
      <c r="A112" s="208"/>
      <c r="B112" s="206"/>
      <c r="C112" s="206"/>
      <c r="D112" s="206"/>
      <c r="J112" s="207"/>
      <c r="K112" s="198"/>
    </row>
    <row r="113" spans="1:11" s="199" customFormat="1" ht="15.6">
      <c r="A113" s="209"/>
      <c r="B113" s="206"/>
      <c r="C113" s="206"/>
      <c r="D113" s="206"/>
      <c r="J113" s="207"/>
      <c r="K113" s="198"/>
    </row>
    <row r="114" spans="1:11" s="199" customFormat="1" ht="13.2">
      <c r="A114" s="208"/>
      <c r="J114" s="207"/>
      <c r="K114" s="198"/>
    </row>
    <row r="115" spans="1:11" s="199" customFormat="1" ht="15.6">
      <c r="A115" s="209"/>
      <c r="J115" s="207"/>
      <c r="K115" s="198"/>
    </row>
    <row r="116" spans="1:11" s="199" customFormat="1" ht="15.6">
      <c r="A116" s="209"/>
      <c r="J116" s="207"/>
      <c r="K116" s="198"/>
    </row>
    <row r="117" spans="1:11" s="199" customFormat="1" ht="11.4">
      <c r="B117" s="206"/>
      <c r="C117" s="206"/>
      <c r="D117" s="206"/>
      <c r="J117" s="207"/>
      <c r="K117" s="198"/>
    </row>
    <row r="118" spans="1:11" s="199" customFormat="1" ht="11.4">
      <c r="J118" s="207"/>
      <c r="K118" s="198"/>
    </row>
    <row r="119" spans="1:11" s="199" customFormat="1" ht="11.4">
      <c r="J119" s="207"/>
      <c r="K119" s="198"/>
    </row>
    <row r="120" spans="1:11" s="199" customFormat="1" ht="11.4">
      <c r="J120" s="207"/>
      <c r="K120" s="198"/>
    </row>
    <row r="121" spans="1:11" s="199" customFormat="1" ht="15.6">
      <c r="A121" s="209"/>
      <c r="J121" s="207"/>
      <c r="K121" s="198"/>
    </row>
    <row r="122" spans="1:11" s="211" customFormat="1" ht="15.6">
      <c r="A122" s="210"/>
      <c r="J122" s="212"/>
      <c r="K122" s="213"/>
    </row>
    <row r="123" spans="1:11" s="199" customFormat="1" ht="11.4">
      <c r="A123" s="214"/>
      <c r="J123" s="207"/>
      <c r="K123" s="198"/>
    </row>
    <row r="124" spans="1:11" s="199" customFormat="1" ht="11.4">
      <c r="B124" s="215"/>
      <c r="D124" s="1804"/>
      <c r="E124" s="1275"/>
      <c r="F124" s="1275"/>
      <c r="G124" s="1275"/>
      <c r="H124" s="1275"/>
      <c r="I124" s="1275"/>
      <c r="J124" s="207"/>
      <c r="K124" s="198"/>
    </row>
    <row r="125" spans="1:11" s="199" customFormat="1" ht="13.2">
      <c r="A125" s="1139"/>
      <c r="B125" s="215"/>
      <c r="C125" s="1139"/>
      <c r="D125" s="1275"/>
      <c r="E125" s="1275"/>
      <c r="F125" s="1275"/>
      <c r="G125" s="1275"/>
      <c r="H125" s="1275"/>
      <c r="I125" s="1275"/>
      <c r="J125" s="207"/>
      <c r="K125" s="198"/>
    </row>
    <row r="126" spans="1:11" s="199" customFormat="1" ht="13.2">
      <c r="A126" s="1139"/>
      <c r="B126" s="215"/>
      <c r="C126" s="1139"/>
      <c r="D126" s="1275"/>
      <c r="E126" s="1275"/>
      <c r="F126" s="1275"/>
      <c r="G126" s="1275"/>
      <c r="H126" s="1275"/>
      <c r="I126" s="1275"/>
      <c r="J126" s="207"/>
      <c r="K126" s="198"/>
    </row>
    <row r="127" spans="1:11" s="199" customFormat="1" ht="13.2">
      <c r="A127" s="1139"/>
      <c r="B127" s="215"/>
      <c r="C127" s="1139"/>
      <c r="D127" s="216"/>
      <c r="E127" s="1139"/>
      <c r="F127" s="1139"/>
      <c r="G127" s="1139"/>
      <c r="J127" s="207"/>
      <c r="K127" s="198"/>
    </row>
    <row r="128" spans="1:11" s="199" customFormat="1" ht="13.2">
      <c r="A128" s="1139"/>
      <c r="B128" s="215"/>
      <c r="C128" s="1139"/>
      <c r="D128" s="216"/>
      <c r="E128" s="1139"/>
      <c r="F128" s="1139"/>
      <c r="G128" s="1139"/>
      <c r="J128" s="207"/>
      <c r="K128" s="198"/>
    </row>
    <row r="129" spans="1:11" s="199" customFormat="1" ht="13.2">
      <c r="A129" s="1139"/>
      <c r="B129" s="215"/>
      <c r="C129" s="1139"/>
      <c r="D129" s="1139"/>
      <c r="E129" s="1139"/>
      <c r="F129" s="1139"/>
      <c r="G129" s="1139"/>
      <c r="J129" s="207"/>
      <c r="K129" s="198"/>
    </row>
    <row r="130" spans="1:11" s="199" customFormat="1" ht="13.2">
      <c r="A130" s="1139"/>
      <c r="B130" s="215"/>
      <c r="C130" s="1139"/>
      <c r="D130" s="1139"/>
      <c r="E130" s="1139"/>
      <c r="F130" s="1139"/>
      <c r="G130" s="1139"/>
      <c r="J130" s="207"/>
      <c r="K130" s="198"/>
    </row>
    <row r="131" spans="1:11" s="199" customFormat="1" ht="13.2">
      <c r="A131" s="1139"/>
      <c r="B131" s="217"/>
      <c r="C131" s="1139"/>
      <c r="D131" s="1139"/>
      <c r="E131" s="1139"/>
      <c r="F131" s="1139"/>
      <c r="G131" s="1139"/>
      <c r="J131" s="207"/>
      <c r="K131" s="198"/>
    </row>
    <row r="132" spans="1:11" s="199" customFormat="1" ht="13.2">
      <c r="A132" s="218"/>
      <c r="B132" s="219"/>
      <c r="C132" s="1139"/>
      <c r="D132" s="220"/>
      <c r="E132" s="1139"/>
      <c r="F132" s="1139"/>
      <c r="G132" s="1139"/>
      <c r="J132" s="207"/>
      <c r="K132" s="198"/>
    </row>
    <row r="133" spans="1:11" s="199" customFormat="1" ht="13.2">
      <c r="A133" s="1183"/>
      <c r="B133" s="1139"/>
      <c r="C133" s="1139"/>
      <c r="D133" s="1139"/>
      <c r="E133" s="1139"/>
      <c r="F133" s="1139"/>
      <c r="G133" s="1139"/>
      <c r="J133" s="207"/>
      <c r="K133" s="198"/>
    </row>
    <row r="134" spans="1:11" s="199" customFormat="1" ht="13.2">
      <c r="A134" s="1183"/>
      <c r="B134" s="1139"/>
      <c r="C134" s="1139"/>
      <c r="D134" s="1139"/>
      <c r="E134" s="1139"/>
      <c r="F134" s="1139"/>
      <c r="G134" s="1139"/>
      <c r="J134" s="207"/>
      <c r="K134" s="198"/>
    </row>
    <row r="135" spans="1:11" s="199" customFormat="1" ht="13.2">
      <c r="A135" s="1135"/>
      <c r="B135" s="1139"/>
      <c r="C135" s="1139"/>
      <c r="D135" s="1139"/>
      <c r="E135" s="1139"/>
      <c r="F135" s="1139"/>
      <c r="G135" s="1139"/>
      <c r="J135" s="207"/>
      <c r="K135" s="198"/>
    </row>
    <row r="136" spans="1:11" s="199" customFormat="1" ht="13.2">
      <c r="A136" s="208"/>
      <c r="B136" s="1139"/>
      <c r="C136" s="1139"/>
      <c r="D136" s="1139"/>
      <c r="E136" s="1139"/>
      <c r="F136" s="1139"/>
      <c r="G136" s="1139"/>
      <c r="J136" s="207"/>
      <c r="K136" s="198"/>
    </row>
    <row r="137" spans="1:11" ht="13.2">
      <c r="A137" s="1183"/>
      <c r="B137" s="1139"/>
      <c r="C137" s="1139"/>
      <c r="D137" s="1139"/>
      <c r="E137" s="1139"/>
      <c r="F137" s="1139"/>
      <c r="G137" s="1139"/>
    </row>
    <row r="138" spans="1:11" ht="12" customHeight="1">
      <c r="A138" s="1183"/>
      <c r="B138" s="1139"/>
      <c r="C138" s="1139"/>
      <c r="D138" s="1139"/>
      <c r="E138" s="1139"/>
      <c r="F138" s="1139"/>
      <c r="G138" s="1139"/>
    </row>
    <row r="139" spans="1:11" ht="12" customHeight="1">
      <c r="A139" s="1805"/>
      <c r="B139" s="1275"/>
      <c r="C139" s="1275"/>
      <c r="D139" s="197"/>
      <c r="E139" s="1139"/>
      <c r="F139" s="1139"/>
      <c r="G139" s="1139"/>
    </row>
    <row r="140" spans="1:11" ht="12" customHeight="1">
      <c r="A140" s="1246"/>
      <c r="B140" s="1246"/>
      <c r="C140" s="1246"/>
      <c r="D140" s="197"/>
      <c r="E140" s="1139"/>
      <c r="F140" s="1139"/>
      <c r="G140" s="1139"/>
    </row>
    <row r="141" spans="1:11" ht="12" customHeight="1">
      <c r="A141" s="1183"/>
      <c r="B141" s="1139"/>
      <c r="C141" s="1139"/>
      <c r="D141" s="197"/>
      <c r="E141" s="1139"/>
      <c r="F141" s="1139"/>
      <c r="G141" s="1139"/>
      <c r="H141" s="222"/>
      <c r="I141" s="222"/>
    </row>
    <row r="142" spans="1:11" ht="12" customHeight="1">
      <c r="A142" s="224"/>
      <c r="B142" s="197"/>
      <c r="C142" s="197"/>
      <c r="D142" s="197"/>
      <c r="E142" s="1139"/>
      <c r="F142" s="1139"/>
      <c r="G142" s="1139"/>
      <c r="H142" s="222"/>
      <c r="I142" s="222"/>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P22" sqref="P22:U22"/>
    </sheetView>
  </sheetViews>
  <sheetFormatPr defaultColWidth="2.6640625" defaultRowHeight="15.75" customHeight="1"/>
  <cols>
    <col min="1" max="8" width="2.6640625" style="897"/>
    <col min="9" max="9" width="7.6640625" style="897" customWidth="1"/>
    <col min="10" max="13" width="2.6640625" style="897"/>
    <col min="14" max="14" width="4.6640625" style="897" customWidth="1"/>
    <col min="15" max="19" width="2.6640625" style="897"/>
    <col min="20" max="20" width="3.6640625" style="897" customWidth="1"/>
    <col min="21" max="37" width="2.6640625" style="897"/>
    <col min="38" max="38" width="3" style="897" customWidth="1"/>
    <col min="39" max="45" width="2.6640625" style="897"/>
    <col min="46" max="46" width="4.6640625" style="897" customWidth="1"/>
    <col min="47" max="64" width="2.6640625" style="897"/>
    <col min="65" max="65" width="10.44140625" style="897" hidden="1" customWidth="1"/>
    <col min="66" max="66" width="5.44140625" style="961" bestFit="1" customWidth="1"/>
    <col min="67" max="68" width="5.44140625" style="961" customWidth="1"/>
    <col min="69" max="69" width="8" style="961" customWidth="1"/>
    <col min="70" max="70" width="6" style="961" customWidth="1"/>
    <col min="71" max="71" width="6.109375" style="961" customWidth="1"/>
    <col min="72" max="76" width="5.44140625" style="961" customWidth="1"/>
    <col min="77" max="77" width="6.109375" style="961" bestFit="1" customWidth="1"/>
    <col min="78" max="78" width="5.44140625" style="897" bestFit="1" customWidth="1"/>
    <col min="79" max="16384" width="2.6640625" style="897"/>
  </cols>
  <sheetData>
    <row r="1" spans="1:65" ht="15.75" customHeight="1">
      <c r="A1" s="1817" t="s">
        <v>1904</v>
      </c>
      <c r="B1" s="1818"/>
      <c r="C1" s="1818"/>
      <c r="D1" s="1818"/>
      <c r="E1" s="1818"/>
      <c r="F1" s="1818"/>
      <c r="G1" s="1818"/>
      <c r="H1" s="1818"/>
      <c r="I1" s="1818"/>
      <c r="J1" s="1818"/>
      <c r="K1" s="1818"/>
      <c r="L1" s="1818"/>
      <c r="M1" s="1818"/>
      <c r="N1" s="1818"/>
      <c r="O1" s="1818"/>
      <c r="P1" s="1818"/>
      <c r="Q1" s="1818"/>
      <c r="R1" s="1818"/>
      <c r="S1" s="1818"/>
      <c r="T1" s="1818"/>
      <c r="U1" s="1818"/>
      <c r="V1" s="1818"/>
      <c r="W1" s="1818"/>
      <c r="X1" s="1818"/>
      <c r="Y1" s="1818"/>
      <c r="Z1" s="1818"/>
      <c r="AA1" s="1818"/>
      <c r="AB1" s="1818"/>
      <c r="AC1" s="1818"/>
      <c r="AD1" s="1818"/>
      <c r="AE1" s="1818"/>
      <c r="AF1" s="1818"/>
      <c r="AG1" s="1818"/>
      <c r="AH1" s="1818"/>
      <c r="AI1" s="1818"/>
      <c r="AJ1" s="1818"/>
      <c r="AK1" s="1818"/>
      <c r="AL1" s="1818"/>
      <c r="AM1" s="1818"/>
      <c r="AN1" s="1818"/>
      <c r="AO1" s="1818"/>
      <c r="AP1" s="1818"/>
      <c r="AQ1" s="1818"/>
      <c r="AR1" s="1818"/>
      <c r="AS1" s="1818"/>
      <c r="AT1" s="1818"/>
      <c r="AU1" s="1818"/>
      <c r="AV1" s="1818"/>
      <c r="AW1" s="1818"/>
      <c r="AX1" s="1818"/>
      <c r="AY1" s="1818"/>
      <c r="AZ1" s="1818"/>
      <c r="BA1" s="1818"/>
      <c r="BB1" s="1818"/>
      <c r="BC1" s="1818"/>
      <c r="BD1" s="1818"/>
      <c r="BE1" s="1819"/>
    </row>
    <row r="2" spans="1:65" ht="15.75" customHeight="1">
      <c r="A2" s="1820" t="s">
        <v>1905</v>
      </c>
      <c r="B2" s="1821"/>
      <c r="C2" s="1821"/>
      <c r="D2" s="1821"/>
      <c r="E2" s="1821"/>
      <c r="F2" s="1821"/>
      <c r="G2" s="1821"/>
      <c r="H2" s="1821"/>
      <c r="I2" s="1821"/>
      <c r="J2" s="1821"/>
      <c r="K2" s="1821"/>
      <c r="L2" s="1821"/>
      <c r="M2" s="1821"/>
      <c r="N2" s="1821"/>
      <c r="O2" s="1821"/>
      <c r="P2" s="1821"/>
      <c r="Q2" s="1821"/>
      <c r="R2" s="1821"/>
      <c r="S2" s="1821"/>
      <c r="T2" s="1821"/>
      <c r="U2" s="1821"/>
      <c r="V2" s="1821"/>
      <c r="W2" s="1821"/>
      <c r="X2" s="1821"/>
      <c r="Y2" s="1821"/>
      <c r="Z2" s="1821"/>
      <c r="AA2" s="1821"/>
      <c r="AB2" s="1821"/>
      <c r="AC2" s="1821"/>
      <c r="AD2" s="1821"/>
      <c r="AE2" s="1821"/>
      <c r="AF2" s="1821"/>
      <c r="AG2" s="1821"/>
      <c r="AH2" s="1821"/>
      <c r="AI2" s="1821"/>
      <c r="AJ2" s="1821"/>
      <c r="AK2" s="1821"/>
      <c r="AL2" s="1821"/>
      <c r="AM2" s="1821"/>
      <c r="AN2" s="1821"/>
      <c r="AO2" s="1821"/>
      <c r="AP2" s="1821"/>
      <c r="AQ2" s="1821"/>
      <c r="AR2" s="1821"/>
      <c r="AS2" s="1821"/>
      <c r="AT2" s="1821"/>
      <c r="AU2" s="1821"/>
      <c r="AV2" s="1821"/>
      <c r="AW2" s="1821"/>
      <c r="AX2" s="1821"/>
      <c r="AY2" s="1821"/>
      <c r="AZ2" s="1821"/>
      <c r="BA2" s="1821"/>
      <c r="BB2" s="1821"/>
      <c r="BC2" s="1821"/>
      <c r="BD2" s="1821"/>
      <c r="BE2" s="1822"/>
      <c r="BF2" s="898"/>
    </row>
    <row r="3" spans="1:65" ht="15.75" customHeight="1" thickBot="1">
      <c r="A3" s="899"/>
      <c r="B3" s="900"/>
      <c r="C3" s="900"/>
      <c r="D3" s="900"/>
      <c r="E3" s="900"/>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900"/>
      <c r="AK3" s="900"/>
      <c r="AL3" s="900"/>
      <c r="AM3" s="900"/>
      <c r="AN3" s="900"/>
      <c r="AO3" s="900"/>
      <c r="AP3" s="900"/>
      <c r="AQ3" s="900"/>
      <c r="AR3" s="900"/>
      <c r="AS3" s="900"/>
      <c r="AT3" s="900"/>
      <c r="AU3" s="900"/>
      <c r="AV3" s="900"/>
      <c r="AW3" s="900"/>
      <c r="AX3" s="900"/>
      <c r="AY3" s="900"/>
      <c r="AZ3" s="900"/>
      <c r="BA3" s="900"/>
      <c r="BB3" s="900"/>
      <c r="BC3" s="900"/>
      <c r="BD3" s="900"/>
      <c r="BE3" s="1184"/>
    </row>
    <row r="4" spans="1:65" ht="15.75" customHeight="1" thickBot="1">
      <c r="A4" s="899"/>
      <c r="B4" s="901" t="s">
        <v>77</v>
      </c>
      <c r="C4" s="901"/>
      <c r="D4" s="901"/>
      <c r="E4" s="901"/>
      <c r="F4" s="901"/>
      <c r="G4" s="900"/>
      <c r="H4" s="900"/>
      <c r="I4" s="900"/>
      <c r="J4" s="900"/>
      <c r="K4" s="900"/>
      <c r="L4" s="1809" t="str">
        <f>IF(Application!H18="","",Application!H18)</f>
        <v>Creekside Commons</v>
      </c>
      <c r="M4" s="1810"/>
      <c r="N4" s="1810"/>
      <c r="O4" s="1810"/>
      <c r="P4" s="1810"/>
      <c r="Q4" s="1810"/>
      <c r="R4" s="1810"/>
      <c r="S4" s="1810"/>
      <c r="T4" s="1810"/>
      <c r="U4" s="1810"/>
      <c r="V4" s="1810"/>
      <c r="W4" s="1810"/>
      <c r="X4" s="1810"/>
      <c r="Y4" s="1810"/>
      <c r="Z4" s="1810"/>
      <c r="AA4" s="1810"/>
      <c r="AB4" s="1810"/>
      <c r="AC4" s="1811"/>
      <c r="AD4" s="900"/>
      <c r="AE4" s="900"/>
      <c r="AF4" s="1823" t="s">
        <v>1906</v>
      </c>
      <c r="AG4" s="1823"/>
      <c r="AH4" s="1823"/>
      <c r="AI4" s="1823"/>
      <c r="AJ4" s="1823"/>
      <c r="AK4" s="1823"/>
      <c r="AL4" s="1823"/>
      <c r="AM4" s="1823"/>
      <c r="AN4" s="1823"/>
      <c r="AO4" s="1823"/>
      <c r="AP4" s="1824"/>
      <c r="AQ4" s="1825"/>
      <c r="AR4" s="1825"/>
      <c r="AS4" s="1825"/>
      <c r="AT4" s="1825"/>
      <c r="AU4" s="1825"/>
      <c r="AV4" s="900"/>
      <c r="AW4" s="900"/>
      <c r="AX4" s="900"/>
      <c r="AY4" s="900"/>
      <c r="AZ4" s="900"/>
      <c r="BA4" s="900"/>
      <c r="BB4" s="900"/>
      <c r="BC4" s="900"/>
      <c r="BD4" s="900"/>
      <c r="BE4" s="1184"/>
    </row>
    <row r="5" spans="1:65" ht="15.75" customHeight="1" thickBot="1">
      <c r="A5" s="899"/>
      <c r="B5" s="900"/>
      <c r="C5" s="900"/>
      <c r="D5" s="900"/>
      <c r="E5" s="900"/>
      <c r="F5" s="900"/>
      <c r="G5" s="900"/>
      <c r="H5" s="900"/>
      <c r="I5" s="900"/>
      <c r="J5" s="900"/>
      <c r="K5" s="900"/>
      <c r="L5" s="900"/>
      <c r="M5" s="900"/>
      <c r="N5" s="900"/>
      <c r="O5" s="900"/>
      <c r="P5" s="900"/>
      <c r="Q5" s="900"/>
      <c r="R5" s="900"/>
      <c r="S5" s="900"/>
      <c r="T5" s="900"/>
      <c r="U5" s="900"/>
      <c r="V5" s="900"/>
      <c r="W5" s="900"/>
      <c r="X5" s="900"/>
      <c r="Y5" s="900"/>
      <c r="Z5" s="900"/>
      <c r="AA5" s="900"/>
      <c r="AB5" s="900"/>
      <c r="AC5" s="900"/>
      <c r="AD5" s="900"/>
      <c r="AE5" s="900"/>
      <c r="AF5" s="1823" t="s">
        <v>1907</v>
      </c>
      <c r="AG5" s="1823"/>
      <c r="AH5" s="1823"/>
      <c r="AI5" s="1823"/>
      <c r="AJ5" s="1823"/>
      <c r="AK5" s="1823"/>
      <c r="AL5" s="1823"/>
      <c r="AM5" s="1823"/>
      <c r="AN5" s="1823"/>
      <c r="AO5" s="1823"/>
      <c r="AP5" s="1824"/>
      <c r="AQ5" s="1825"/>
      <c r="AR5" s="1825"/>
      <c r="AS5" s="1825"/>
      <c r="AT5" s="1825"/>
      <c r="AU5" s="1825"/>
      <c r="AV5" s="900"/>
      <c r="AW5" s="900"/>
      <c r="AX5" s="900"/>
      <c r="AY5" s="900"/>
      <c r="AZ5" s="900"/>
      <c r="BA5" s="900"/>
      <c r="BB5" s="900"/>
      <c r="BC5" s="900"/>
      <c r="BD5" s="900"/>
      <c r="BE5" s="1184"/>
    </row>
    <row r="6" spans="1:65" ht="15.75" customHeight="1" thickBot="1">
      <c r="A6" s="899"/>
      <c r="B6" s="901" t="s">
        <v>1908</v>
      </c>
      <c r="C6" s="900"/>
      <c r="D6" s="900"/>
      <c r="E6" s="900"/>
      <c r="F6" s="900"/>
      <c r="G6" s="900"/>
      <c r="H6" s="900"/>
      <c r="I6" s="900"/>
      <c r="J6" s="900"/>
      <c r="K6" s="900"/>
      <c r="L6" s="1809" t="str">
        <f>IF(Application!H16="","",Application!H16)</f>
        <v>Creekside Commons LP</v>
      </c>
      <c r="M6" s="1810"/>
      <c r="N6" s="1810"/>
      <c r="O6" s="1810"/>
      <c r="P6" s="1810"/>
      <c r="Q6" s="1810"/>
      <c r="R6" s="1810"/>
      <c r="S6" s="1810"/>
      <c r="T6" s="1810"/>
      <c r="U6" s="1810"/>
      <c r="V6" s="1810"/>
      <c r="W6" s="1810"/>
      <c r="X6" s="1810"/>
      <c r="Y6" s="1810"/>
      <c r="Z6" s="1810"/>
      <c r="AA6" s="1810"/>
      <c r="AB6" s="1810"/>
      <c r="AC6" s="1811"/>
      <c r="AD6" s="900"/>
      <c r="AE6" s="900"/>
      <c r="AF6" s="1812" t="s">
        <v>1909</v>
      </c>
      <c r="AG6" s="1812"/>
      <c r="AH6" s="1812"/>
      <c r="AI6" s="1812"/>
      <c r="AJ6" s="1812"/>
      <c r="AK6" s="1812"/>
      <c r="AL6" s="1812"/>
      <c r="AM6" s="1812"/>
      <c r="AN6" s="1812"/>
      <c r="AO6" s="1812"/>
      <c r="AP6" s="1813"/>
      <c r="AQ6" s="1813"/>
      <c r="AR6" s="1813"/>
      <c r="AS6" s="1813"/>
      <c r="AT6" s="1813"/>
      <c r="AU6" s="1813"/>
      <c r="AV6" s="900"/>
      <c r="AW6" s="900"/>
      <c r="AX6" s="900"/>
      <c r="AY6" s="900"/>
      <c r="AZ6" s="900"/>
      <c r="BA6" s="900"/>
      <c r="BB6" s="900"/>
      <c r="BC6" s="900"/>
      <c r="BD6" s="900"/>
      <c r="BE6" s="1184"/>
    </row>
    <row r="7" spans="1:65" ht="15" thickBot="1">
      <c r="A7" s="899"/>
      <c r="B7" s="900"/>
      <c r="C7" s="900"/>
      <c r="D7" s="900"/>
      <c r="E7" s="900"/>
      <c r="F7" s="900"/>
      <c r="G7" s="900"/>
      <c r="H7" s="900"/>
      <c r="I7" s="900"/>
      <c r="J7" s="900"/>
      <c r="K7" s="900"/>
      <c r="L7" s="900"/>
      <c r="M7" s="900"/>
      <c r="N7" s="900"/>
      <c r="O7" s="900"/>
      <c r="P7" s="900"/>
      <c r="Q7" s="900"/>
      <c r="R7" s="900"/>
      <c r="S7" s="900"/>
      <c r="T7" s="900"/>
      <c r="U7" s="900"/>
      <c r="V7" s="900"/>
      <c r="W7" s="900"/>
      <c r="X7" s="900"/>
      <c r="Y7" s="900"/>
      <c r="Z7" s="900"/>
      <c r="AA7" s="900"/>
      <c r="AB7" s="900"/>
      <c r="AC7" s="900"/>
      <c r="AD7" s="900"/>
      <c r="AE7" s="900"/>
      <c r="AF7" s="1812" t="s">
        <v>1910</v>
      </c>
      <c r="AG7" s="1812"/>
      <c r="AH7" s="1812"/>
      <c r="AI7" s="1812"/>
      <c r="AJ7" s="1812"/>
      <c r="AK7" s="1812"/>
      <c r="AL7" s="1812"/>
      <c r="AM7" s="1812"/>
      <c r="AN7" s="1812"/>
      <c r="AO7" s="1812"/>
      <c r="AP7" s="1813"/>
      <c r="AQ7" s="1813"/>
      <c r="AR7" s="1813"/>
      <c r="AS7" s="1813"/>
      <c r="AT7" s="1813"/>
      <c r="AU7" s="1813"/>
      <c r="AV7" s="900"/>
      <c r="AW7" s="900"/>
      <c r="AX7" s="900"/>
      <c r="AY7" s="900"/>
      <c r="AZ7" s="900"/>
      <c r="BA7" s="900"/>
      <c r="BB7" s="900"/>
      <c r="BC7" s="900"/>
      <c r="BD7" s="900"/>
      <c r="BE7" s="1184"/>
    </row>
    <row r="8" spans="1:65" ht="15" thickBot="1">
      <c r="A8" s="899"/>
      <c r="B8" s="901" t="s">
        <v>1911</v>
      </c>
      <c r="C8" s="900"/>
      <c r="D8" s="900"/>
      <c r="E8" s="900"/>
      <c r="F8" s="900"/>
      <c r="G8" s="900"/>
      <c r="H8" s="900"/>
      <c r="I8" s="900"/>
      <c r="J8" s="900"/>
      <c r="K8" s="900"/>
      <c r="L8" s="900"/>
      <c r="M8" s="900"/>
      <c r="N8" s="900"/>
      <c r="O8" s="900"/>
      <c r="P8" s="900"/>
      <c r="Q8" s="900"/>
      <c r="R8" s="900"/>
      <c r="S8" s="900"/>
      <c r="T8" s="900"/>
      <c r="U8" s="900"/>
      <c r="V8" s="900"/>
      <c r="W8" s="900"/>
      <c r="X8" s="900"/>
      <c r="Y8" s="900"/>
      <c r="Z8" s="900"/>
      <c r="AA8" s="900"/>
      <c r="AB8" s="1814" t="str">
        <f>Application!T197</f>
        <v>No</v>
      </c>
      <c r="AC8" s="1815"/>
      <c r="AD8" s="1816"/>
      <c r="AE8" s="900"/>
      <c r="AF8" s="1812" t="s">
        <v>1912</v>
      </c>
      <c r="AG8" s="1812"/>
      <c r="AH8" s="1812"/>
      <c r="AI8" s="1812"/>
      <c r="AJ8" s="1812"/>
      <c r="AK8" s="1812"/>
      <c r="AL8" s="1812"/>
      <c r="AM8" s="1812"/>
      <c r="AN8" s="1812"/>
      <c r="AO8" s="1812"/>
      <c r="AP8" s="1813" t="s">
        <v>686</v>
      </c>
      <c r="AQ8" s="1813"/>
      <c r="AR8" s="1813"/>
      <c r="AS8" s="1813"/>
      <c r="AT8" s="1813"/>
      <c r="AU8" s="1813"/>
      <c r="AV8" s="900"/>
      <c r="AW8" s="900"/>
      <c r="AX8" s="900"/>
      <c r="AY8" s="900"/>
      <c r="AZ8" s="900"/>
      <c r="BA8" s="900"/>
      <c r="BB8" s="900"/>
      <c r="BC8" s="900"/>
      <c r="BD8" s="900"/>
      <c r="BE8" s="1184"/>
      <c r="BM8" s="897" t="s">
        <v>1913</v>
      </c>
    </row>
    <row r="9" spans="1:65" ht="14.4">
      <c r="A9" s="900"/>
      <c r="B9" s="900"/>
      <c r="C9" s="900"/>
      <c r="D9" s="900"/>
      <c r="E9" s="900"/>
      <c r="F9" s="900"/>
      <c r="G9" s="900"/>
      <c r="H9" s="900"/>
      <c r="I9" s="900"/>
      <c r="J9" s="900"/>
      <c r="K9" s="900"/>
      <c r="L9" s="900"/>
      <c r="M9" s="900"/>
      <c r="N9" s="900"/>
      <c r="O9" s="900"/>
      <c r="P9" s="900"/>
      <c r="Q9" s="900"/>
      <c r="R9" s="900"/>
      <c r="S9" s="900"/>
      <c r="T9" s="900"/>
      <c r="U9" s="900"/>
      <c r="V9" s="900"/>
      <c r="W9" s="900"/>
      <c r="X9" s="900"/>
      <c r="Y9" s="900"/>
      <c r="Z9" s="900"/>
      <c r="AA9" s="900"/>
      <c r="AB9" s="900"/>
      <c r="AC9" s="900"/>
      <c r="AD9" s="900"/>
      <c r="AE9" s="900"/>
      <c r="AF9" s="1823" t="s">
        <v>1914</v>
      </c>
      <c r="AG9" s="1823"/>
      <c r="AH9" s="1823"/>
      <c r="AI9" s="1823"/>
      <c r="AJ9" s="1823"/>
      <c r="AK9" s="1823"/>
      <c r="AL9" s="1823"/>
      <c r="AM9" s="1823"/>
      <c r="AN9" s="1823"/>
      <c r="AO9" s="1823"/>
      <c r="AP9" s="1824"/>
      <c r="AQ9" s="1825"/>
      <c r="AR9" s="1825"/>
      <c r="AS9" s="1825"/>
      <c r="AT9" s="1825"/>
      <c r="AU9" s="1825"/>
      <c r="AV9" s="900"/>
      <c r="AW9" s="900"/>
      <c r="AX9" s="900"/>
      <c r="AY9" s="900"/>
      <c r="AZ9" s="900"/>
      <c r="BA9" s="900"/>
      <c r="BB9" s="900"/>
      <c r="BC9" s="900"/>
      <c r="BD9" s="900"/>
      <c r="BE9" s="1184"/>
      <c r="BM9" s="897" t="s">
        <v>1915</v>
      </c>
    </row>
    <row r="10" spans="1:65" ht="14.4">
      <c r="A10" s="899"/>
      <c r="B10" s="901" t="s">
        <v>1916</v>
      </c>
      <c r="C10" s="901"/>
      <c r="D10" s="901"/>
      <c r="E10" s="901"/>
      <c r="F10" s="901"/>
      <c r="G10" s="901"/>
      <c r="H10" s="901"/>
      <c r="I10" s="901"/>
      <c r="J10" s="901"/>
      <c r="K10" s="901"/>
      <c r="L10" s="901"/>
      <c r="M10" s="900"/>
      <c r="N10" s="1838">
        <f>Application!AO627</f>
        <v>16432195</v>
      </c>
      <c r="O10" s="1838"/>
      <c r="P10" s="1838"/>
      <c r="Q10" s="1838"/>
      <c r="R10" s="1838"/>
      <c r="S10" s="1838"/>
      <c r="T10" s="1838"/>
      <c r="U10" s="900"/>
      <c r="V10" s="900"/>
      <c r="W10" s="900"/>
      <c r="X10" s="902"/>
      <c r="Y10" s="902"/>
      <c r="Z10" s="902"/>
      <c r="AA10" s="902"/>
      <c r="AB10" s="902"/>
      <c r="AC10" s="902"/>
      <c r="AD10" s="902"/>
      <c r="AE10" s="902"/>
      <c r="AF10" s="1823" t="s">
        <v>1917</v>
      </c>
      <c r="AG10" s="1823"/>
      <c r="AH10" s="1823"/>
      <c r="AI10" s="1823"/>
      <c r="AJ10" s="1823"/>
      <c r="AK10" s="1823"/>
      <c r="AL10" s="1823"/>
      <c r="AM10" s="1823"/>
      <c r="AN10" s="1823"/>
      <c r="AO10" s="1823"/>
      <c r="AP10" s="1824"/>
      <c r="AQ10" s="1825"/>
      <c r="AR10" s="1825"/>
      <c r="AS10" s="1825"/>
      <c r="AT10" s="1825"/>
      <c r="AU10" s="1825"/>
      <c r="AV10" s="902"/>
      <c r="AW10" s="902"/>
      <c r="AX10" s="900"/>
      <c r="AY10" s="900"/>
      <c r="AZ10" s="900"/>
      <c r="BA10" s="900"/>
      <c r="BB10" s="900"/>
      <c r="BC10" s="900"/>
      <c r="BD10" s="900"/>
      <c r="BE10" s="1184"/>
      <c r="BM10" s="897" t="s">
        <v>1918</v>
      </c>
    </row>
    <row r="11" spans="1:65" ht="14.4">
      <c r="A11" s="899"/>
      <c r="B11" s="901" t="s">
        <v>1919</v>
      </c>
      <c r="C11" s="901"/>
      <c r="D11" s="901"/>
      <c r="E11" s="901"/>
      <c r="F11" s="901"/>
      <c r="G11" s="901"/>
      <c r="H11" s="901"/>
      <c r="I11" s="901"/>
      <c r="J11" s="901"/>
      <c r="K11" s="901"/>
      <c r="L11" s="901"/>
      <c r="M11" s="900"/>
      <c r="N11" s="1838">
        <f>Application!AA934</f>
        <v>0</v>
      </c>
      <c r="O11" s="1838"/>
      <c r="P11" s="1838"/>
      <c r="Q11" s="1838"/>
      <c r="R11" s="1838"/>
      <c r="S11" s="1838"/>
      <c r="T11" s="1838"/>
      <c r="U11" s="900"/>
      <c r="V11" s="900"/>
      <c r="W11" s="900"/>
      <c r="X11" s="902"/>
      <c r="Y11" s="902"/>
      <c r="Z11" s="902"/>
      <c r="AA11" s="902"/>
      <c r="AB11" s="902"/>
      <c r="AC11" s="902"/>
      <c r="AD11" s="902"/>
      <c r="AE11" s="902"/>
      <c r="AF11" s="1823" t="s">
        <v>1920</v>
      </c>
      <c r="AG11" s="1823"/>
      <c r="AH11" s="1823"/>
      <c r="AI11" s="1823"/>
      <c r="AJ11" s="1823"/>
      <c r="AK11" s="1823"/>
      <c r="AL11" s="1823"/>
      <c r="AM11" s="1823"/>
      <c r="AN11" s="1823"/>
      <c r="AO11" s="1823"/>
      <c r="AP11" s="1824"/>
      <c r="AQ11" s="1825"/>
      <c r="AR11" s="1825"/>
      <c r="AS11" s="1825"/>
      <c r="AT11" s="1825"/>
      <c r="AU11" s="1825"/>
      <c r="AV11" s="902"/>
      <c r="AW11" s="902"/>
      <c r="AX11" s="900"/>
      <c r="AY11" s="900"/>
      <c r="AZ11" s="900"/>
      <c r="BA11" s="900"/>
      <c r="BB11" s="900"/>
      <c r="BC11" s="900"/>
      <c r="BD11" s="900"/>
      <c r="BE11" s="1184"/>
      <c r="BM11" s="897" t="s">
        <v>686</v>
      </c>
    </row>
    <row r="12" spans="1:65" ht="15" thickBot="1">
      <c r="A12" s="900"/>
      <c r="B12" s="900"/>
      <c r="C12" s="900"/>
      <c r="D12" s="900"/>
      <c r="E12" s="900"/>
      <c r="F12" s="900"/>
      <c r="G12" s="900"/>
      <c r="H12" s="900"/>
      <c r="I12" s="900"/>
      <c r="J12" s="900"/>
      <c r="K12" s="900"/>
      <c r="L12" s="900"/>
      <c r="M12" s="900"/>
      <c r="N12" s="900"/>
      <c r="O12" s="900"/>
      <c r="P12" s="900"/>
      <c r="Q12" s="900"/>
      <c r="R12" s="900"/>
      <c r="S12" s="900"/>
      <c r="T12" s="900"/>
      <c r="U12" s="900"/>
      <c r="V12" s="900"/>
      <c r="W12" s="900"/>
      <c r="X12" s="902"/>
      <c r="Y12" s="902"/>
      <c r="Z12" s="902"/>
      <c r="AA12" s="902"/>
      <c r="AB12" s="902"/>
      <c r="AC12" s="902"/>
      <c r="AD12" s="902"/>
      <c r="AE12" s="902"/>
      <c r="AF12" s="902"/>
      <c r="AG12" s="902"/>
      <c r="AH12" s="902"/>
      <c r="AI12" s="902"/>
      <c r="AJ12" s="902"/>
      <c r="AK12" s="902"/>
      <c r="AL12" s="902"/>
      <c r="AM12" s="902"/>
      <c r="AN12" s="902"/>
      <c r="AO12" s="902"/>
      <c r="AP12" s="902"/>
      <c r="AQ12" s="902"/>
      <c r="AR12" s="902"/>
      <c r="AS12" s="902"/>
      <c r="AT12" s="902"/>
      <c r="AU12" s="902"/>
      <c r="AV12" s="900"/>
      <c r="AW12" s="900"/>
      <c r="AX12" s="900"/>
      <c r="AY12" s="900"/>
      <c r="AZ12" s="900"/>
      <c r="BA12" s="900"/>
      <c r="BB12" s="900"/>
      <c r="BC12" s="900"/>
      <c r="BD12" s="900"/>
      <c r="BE12" s="903"/>
      <c r="BM12" s="897" t="s">
        <v>1921</v>
      </c>
    </row>
    <row r="13" spans="1:65" ht="15" thickBot="1">
      <c r="A13" s="900"/>
      <c r="B13" s="1826" t="s">
        <v>1922</v>
      </c>
      <c r="C13" s="1827"/>
      <c r="D13" s="1827"/>
      <c r="E13" s="1827"/>
      <c r="F13" s="1827"/>
      <c r="G13" s="1827"/>
      <c r="H13" s="1827"/>
      <c r="I13" s="1827"/>
      <c r="J13" s="1827"/>
      <c r="K13" s="1827"/>
      <c r="L13" s="1827"/>
      <c r="M13" s="1827"/>
      <c r="N13" s="1827"/>
      <c r="O13" s="1827"/>
      <c r="P13" s="1828"/>
      <c r="Q13" s="1829" t="s">
        <v>843</v>
      </c>
      <c r="R13" s="1830"/>
      <c r="S13" s="1830"/>
      <c r="T13" s="1831"/>
      <c r="U13" s="902"/>
      <c r="V13" s="900"/>
      <c r="W13" s="900"/>
      <c r="X13" s="900"/>
      <c r="Y13" s="900"/>
      <c r="Z13" s="900"/>
      <c r="AA13" s="1832" t="s">
        <v>1923</v>
      </c>
      <c r="AB13" s="1832"/>
      <c r="AC13" s="1832"/>
      <c r="AD13" s="1832"/>
      <c r="AE13" s="1832"/>
      <c r="AF13" s="1832"/>
      <c r="AG13" s="1832"/>
      <c r="AH13" s="1832"/>
      <c r="AI13" s="1832"/>
      <c r="AJ13" s="1832"/>
      <c r="AK13" s="1832"/>
      <c r="AL13" s="1832"/>
      <c r="AM13" s="1832"/>
      <c r="AN13" s="1832"/>
      <c r="AO13" s="1833">
        <f>Application!W473</f>
        <v>0</v>
      </c>
      <c r="AP13" s="1834"/>
      <c r="AQ13" s="1834"/>
      <c r="AR13" s="1834"/>
      <c r="AS13" s="1834"/>
      <c r="AT13" s="902"/>
      <c r="AU13" s="902"/>
      <c r="AV13" s="902"/>
      <c r="AW13" s="902"/>
      <c r="AX13" s="902"/>
      <c r="AY13" s="902"/>
      <c r="AZ13" s="902"/>
      <c r="BA13" s="902"/>
      <c r="BB13" s="902"/>
      <c r="BC13" s="902"/>
      <c r="BD13" s="902"/>
      <c r="BE13" s="903"/>
      <c r="BM13" s="897" t="s">
        <v>1924</v>
      </c>
    </row>
    <row r="14" spans="1:65" ht="15" thickBot="1">
      <c r="A14" s="900"/>
      <c r="B14" s="900"/>
      <c r="C14" s="900"/>
      <c r="D14" s="900"/>
      <c r="E14" s="900"/>
      <c r="F14" s="900"/>
      <c r="G14" s="900"/>
      <c r="H14" s="900"/>
      <c r="I14" s="900"/>
      <c r="J14" s="900"/>
      <c r="K14" s="900"/>
      <c r="L14" s="900"/>
      <c r="M14" s="900"/>
      <c r="N14" s="900"/>
      <c r="O14" s="900"/>
      <c r="P14" s="900"/>
      <c r="Q14" s="900"/>
      <c r="R14" s="900"/>
      <c r="S14" s="900"/>
      <c r="T14" s="900"/>
      <c r="U14" s="900"/>
      <c r="V14" s="900"/>
      <c r="W14" s="900"/>
      <c r="X14" s="900"/>
      <c r="Y14" s="900"/>
      <c r="Z14" s="900"/>
      <c r="AA14" s="1835" t="s">
        <v>1925</v>
      </c>
      <c r="AB14" s="1835"/>
      <c r="AC14" s="1835"/>
      <c r="AD14" s="1835"/>
      <c r="AE14" s="1835"/>
      <c r="AF14" s="1835"/>
      <c r="AG14" s="1835"/>
      <c r="AH14" s="1835"/>
      <c r="AI14" s="1835"/>
      <c r="AJ14" s="1835"/>
      <c r="AK14" s="1835"/>
      <c r="AL14" s="1835"/>
      <c r="AM14" s="1835"/>
      <c r="AN14" s="1835"/>
      <c r="AO14" s="1836"/>
      <c r="AP14" s="1837"/>
      <c r="AQ14" s="1837"/>
      <c r="AR14" s="1837"/>
      <c r="AS14" s="1837"/>
      <c r="AT14" s="902"/>
      <c r="AU14" s="902"/>
      <c r="AV14" s="902"/>
      <c r="AW14" s="902"/>
      <c r="AX14" s="902"/>
      <c r="AY14" s="902"/>
      <c r="AZ14" s="902"/>
      <c r="BA14" s="902"/>
      <c r="BB14" s="902"/>
      <c r="BC14" s="902"/>
      <c r="BD14" s="902"/>
      <c r="BE14" s="903"/>
    </row>
    <row r="15" spans="1:65" ht="15" thickBot="1">
      <c r="A15" s="900"/>
      <c r="B15" s="1839" t="s">
        <v>1926</v>
      </c>
      <c r="C15" s="1840"/>
      <c r="D15" s="1840"/>
      <c r="E15" s="1840"/>
      <c r="F15" s="1840"/>
      <c r="G15" s="1840"/>
      <c r="H15" s="1840"/>
      <c r="I15" s="1840"/>
      <c r="J15" s="1840"/>
      <c r="K15" s="1840"/>
      <c r="L15" s="1840"/>
      <c r="M15" s="1840"/>
      <c r="N15" s="1840"/>
      <c r="O15" s="1840"/>
      <c r="P15" s="1840"/>
      <c r="Q15" s="1840"/>
      <c r="R15" s="1841"/>
      <c r="S15" s="1842" t="str">
        <f>IF(Application!AB214="","",Application!AB214)</f>
        <v/>
      </c>
      <c r="T15" s="1842"/>
      <c r="U15" s="1842"/>
      <c r="V15" s="1842"/>
      <c r="W15" s="1843"/>
      <c r="X15" s="902"/>
      <c r="Y15" s="900"/>
      <c r="Z15" s="900"/>
      <c r="AA15" s="1832" t="s">
        <v>1927</v>
      </c>
      <c r="AB15" s="1832"/>
      <c r="AC15" s="1832"/>
      <c r="AD15" s="1832"/>
      <c r="AE15" s="1832"/>
      <c r="AF15" s="1832"/>
      <c r="AG15" s="1832"/>
      <c r="AH15" s="1832"/>
      <c r="AI15" s="1832"/>
      <c r="AJ15" s="1832"/>
      <c r="AK15" s="1832"/>
      <c r="AL15" s="1832"/>
      <c r="AM15" s="1832"/>
      <c r="AN15" s="1832"/>
      <c r="AO15" s="1836"/>
      <c r="AP15" s="1837"/>
      <c r="AQ15" s="1837"/>
      <c r="AR15" s="1837"/>
      <c r="AS15" s="1837"/>
      <c r="AT15" s="902"/>
      <c r="AU15" s="902"/>
      <c r="AV15" s="902"/>
      <c r="AW15" s="902"/>
      <c r="AX15" s="902"/>
      <c r="AY15" s="902"/>
      <c r="AZ15" s="902"/>
      <c r="BA15" s="902"/>
      <c r="BB15" s="902"/>
      <c r="BC15" s="902"/>
      <c r="BD15" s="902"/>
      <c r="BE15" s="903"/>
    </row>
    <row r="16" spans="1:65" ht="15" thickBot="1">
      <c r="A16" s="899"/>
      <c r="B16" s="900"/>
      <c r="C16" s="900"/>
      <c r="D16" s="900"/>
      <c r="E16" s="900"/>
      <c r="F16" s="900"/>
      <c r="G16" s="900"/>
      <c r="H16" s="900"/>
      <c r="I16" s="900"/>
      <c r="J16" s="900"/>
      <c r="K16" s="900"/>
      <c r="L16" s="900"/>
      <c r="M16" s="900"/>
      <c r="N16" s="900"/>
      <c r="O16" s="900"/>
      <c r="P16" s="900"/>
      <c r="Q16" s="900"/>
      <c r="R16" s="900"/>
      <c r="S16" s="900"/>
      <c r="T16" s="900"/>
      <c r="U16" s="900"/>
      <c r="V16" s="900"/>
      <c r="W16" s="900"/>
      <c r="X16" s="900"/>
      <c r="Y16" s="900"/>
      <c r="Z16" s="900"/>
      <c r="AA16" s="900"/>
      <c r="AB16" s="900"/>
      <c r="AC16" s="900"/>
      <c r="AD16" s="900"/>
      <c r="AE16" s="900"/>
      <c r="AF16" s="900"/>
      <c r="AG16" s="900"/>
      <c r="AH16" s="900"/>
      <c r="AI16" s="900"/>
      <c r="AJ16" s="900"/>
      <c r="AK16" s="900"/>
      <c r="AL16" s="900"/>
      <c r="AM16" s="900"/>
      <c r="AN16" s="900"/>
      <c r="AO16" s="900"/>
      <c r="AP16" s="900"/>
      <c r="AQ16" s="900"/>
      <c r="AR16" s="900"/>
      <c r="AS16" s="900"/>
      <c r="AT16" s="900"/>
      <c r="AU16" s="900"/>
      <c r="AV16" s="900"/>
      <c r="AW16" s="900"/>
      <c r="AX16" s="900"/>
      <c r="AY16" s="900"/>
      <c r="AZ16" s="900"/>
      <c r="BA16" s="900"/>
      <c r="BB16" s="900"/>
      <c r="BC16" s="900"/>
      <c r="BD16" s="900"/>
      <c r="BE16" s="903"/>
    </row>
    <row r="17" spans="1:58" ht="14.4">
      <c r="A17" s="900"/>
      <c r="B17" s="1844" t="s">
        <v>1928</v>
      </c>
      <c r="C17" s="1845"/>
      <c r="D17" s="1845"/>
      <c r="E17" s="1845"/>
      <c r="F17" s="1845"/>
      <c r="G17" s="1845"/>
      <c r="H17" s="1845"/>
      <c r="I17" s="1845"/>
      <c r="J17" s="1845"/>
      <c r="K17" s="1845"/>
      <c r="L17" s="1845"/>
      <c r="M17" s="1845"/>
      <c r="N17" s="1845"/>
      <c r="O17" s="1845"/>
      <c r="P17" s="1845"/>
      <c r="Q17" s="1845"/>
      <c r="R17" s="1845"/>
      <c r="S17" s="1845"/>
      <c r="T17" s="1845"/>
      <c r="U17" s="1845"/>
      <c r="V17" s="1845"/>
      <c r="W17" s="1845"/>
      <c r="X17" s="1845"/>
      <c r="Y17" s="1845"/>
      <c r="Z17" s="1845"/>
      <c r="AA17" s="1845"/>
      <c r="AB17" s="1845"/>
      <c r="AC17" s="1845"/>
      <c r="AD17" s="1845"/>
      <c r="AE17" s="1845"/>
      <c r="AF17" s="1845"/>
      <c r="AG17" s="1845"/>
      <c r="AH17" s="1845"/>
      <c r="AI17" s="1845"/>
      <c r="AJ17" s="1845"/>
      <c r="AK17" s="1845"/>
      <c r="AL17" s="1845"/>
      <c r="AM17" s="1845"/>
      <c r="AN17" s="1845"/>
      <c r="AO17" s="1845"/>
      <c r="AP17" s="1845"/>
      <c r="AQ17" s="1845"/>
      <c r="AR17" s="1845"/>
      <c r="AS17" s="1845"/>
      <c r="AT17" s="1845"/>
      <c r="AU17" s="1845"/>
      <c r="AV17" s="1845"/>
      <c r="AW17" s="1845"/>
      <c r="AX17" s="1845"/>
      <c r="AY17" s="1846"/>
      <c r="AZ17" s="900"/>
      <c r="BA17" s="900"/>
      <c r="BB17" s="900"/>
      <c r="BC17" s="900"/>
      <c r="BD17" s="900"/>
      <c r="BE17" s="903"/>
      <c r="BF17" s="898"/>
    </row>
    <row r="18" spans="1:58" ht="15.75" customHeight="1">
      <c r="A18" s="900"/>
      <c r="B18" s="1847" t="s">
        <v>1929</v>
      </c>
      <c r="C18" s="1848"/>
      <c r="D18" s="1848"/>
      <c r="E18" s="1848"/>
      <c r="F18" s="1848"/>
      <c r="G18" s="1848"/>
      <c r="H18" s="1848"/>
      <c r="I18" s="1849"/>
      <c r="J18" s="1850" t="s">
        <v>1930</v>
      </c>
      <c r="K18" s="1851"/>
      <c r="L18" s="1851"/>
      <c r="M18" s="1851"/>
      <c r="N18" s="1851"/>
      <c r="O18" s="1852"/>
      <c r="P18" s="1850" t="s">
        <v>829</v>
      </c>
      <c r="Q18" s="1851"/>
      <c r="R18" s="1851"/>
      <c r="S18" s="1851"/>
      <c r="T18" s="1851"/>
      <c r="U18" s="1852"/>
      <c r="V18" s="1850" t="s">
        <v>830</v>
      </c>
      <c r="W18" s="1851"/>
      <c r="X18" s="1851"/>
      <c r="Y18" s="1851"/>
      <c r="Z18" s="1851"/>
      <c r="AA18" s="1852"/>
      <c r="AB18" s="1850" t="s">
        <v>831</v>
      </c>
      <c r="AC18" s="1851"/>
      <c r="AD18" s="1851"/>
      <c r="AE18" s="1851"/>
      <c r="AF18" s="1851"/>
      <c r="AG18" s="1852"/>
      <c r="AH18" s="1850" t="s">
        <v>832</v>
      </c>
      <c r="AI18" s="1851"/>
      <c r="AJ18" s="1851"/>
      <c r="AK18" s="1851"/>
      <c r="AL18" s="1851"/>
      <c r="AM18" s="1852"/>
      <c r="AN18" s="1850" t="s">
        <v>833</v>
      </c>
      <c r="AO18" s="1851"/>
      <c r="AP18" s="1851"/>
      <c r="AQ18" s="1851"/>
      <c r="AR18" s="1851"/>
      <c r="AS18" s="1852"/>
      <c r="AT18" s="1850" t="s">
        <v>1931</v>
      </c>
      <c r="AU18" s="1851"/>
      <c r="AV18" s="1851"/>
      <c r="AW18" s="1851"/>
      <c r="AX18" s="1851"/>
      <c r="AY18" s="1853"/>
      <c r="AZ18" s="900"/>
      <c r="BA18" s="900"/>
      <c r="BB18" s="900"/>
      <c r="BC18" s="900"/>
      <c r="BD18" s="900"/>
      <c r="BE18" s="903"/>
    </row>
    <row r="19" spans="1:58" ht="14.4">
      <c r="A19" s="900"/>
      <c r="B19" s="1854">
        <v>0.3</v>
      </c>
      <c r="C19" s="1855"/>
      <c r="D19" s="1855"/>
      <c r="E19" s="1855"/>
      <c r="F19" s="1855"/>
      <c r="G19" s="1855"/>
      <c r="H19" s="1855"/>
      <c r="I19" s="1856"/>
      <c r="J19" s="1857">
        <f t="shared" ref="J19:J24" si="0">SUM(P19:AS19)</f>
        <v>14</v>
      </c>
      <c r="K19" s="1858"/>
      <c r="L19" s="1858"/>
      <c r="M19" s="1858"/>
      <c r="N19" s="1858"/>
      <c r="O19" s="1859"/>
      <c r="P19" s="1857" cm="1">
        <f t="array" ref="P19">SUMPRODUCT((Application!$B$718:$B$752 = 'CalHFA Addendum'!P$18)*(Application!$AC$718:$AC$752 = 'CalHFA Addendum'!$B19),Application!$G$718:$G$752)</f>
        <v>0</v>
      </c>
      <c r="Q19" s="1858"/>
      <c r="R19" s="1858"/>
      <c r="S19" s="1858"/>
      <c r="T19" s="1858"/>
      <c r="U19" s="1859"/>
      <c r="V19" s="1857" cm="1">
        <f t="array" ref="V19">SUMPRODUCT((Application!$B$714:$B$738 = 'CalHFA Addendum'!V$18)*(Application!$AC$714:$AC$738 = 'CalHFA Addendum'!$B19),Application!$G$714:$G$738)</f>
        <v>6</v>
      </c>
      <c r="W19" s="1858"/>
      <c r="X19" s="1858"/>
      <c r="Y19" s="1858"/>
      <c r="Z19" s="1858"/>
      <c r="AA19" s="1859"/>
      <c r="AB19" s="1857" cm="1">
        <f t="array" ref="AB19">SUMPRODUCT((Application!$B$714:$B$738 = 'CalHFA Addendum'!AB$18)*(Application!$AC$714:$AC$738 = 'CalHFA Addendum'!$B19),Application!$G$714:$G$738)</f>
        <v>4</v>
      </c>
      <c r="AC19" s="1858"/>
      <c r="AD19" s="1858"/>
      <c r="AE19" s="1858"/>
      <c r="AF19" s="1858"/>
      <c r="AG19" s="1859"/>
      <c r="AH19" s="1857" cm="1">
        <f t="array" ref="AH19">SUMPRODUCT((Application!$B$714:$B$738 = 'CalHFA Addendum'!AH$18)*(Application!$AC$714:$AC$738 = 'CalHFA Addendum'!$B19),Application!$G$714:$G$738)</f>
        <v>4</v>
      </c>
      <c r="AI19" s="1858"/>
      <c r="AJ19" s="1858"/>
      <c r="AK19" s="1858"/>
      <c r="AL19" s="1858"/>
      <c r="AM19" s="1859"/>
      <c r="AN19" s="1857" cm="1">
        <f t="array" ref="AN19">SUMPRODUCT((Application!$B$714:$B$738 = 'CalHFA Addendum'!AN$18)*(Application!$AC$714:$AC$738 = 'CalHFA Addendum'!$B19),Application!$G$714:$G$738)</f>
        <v>0</v>
      </c>
      <c r="AO19" s="1858"/>
      <c r="AP19" s="1858"/>
      <c r="AQ19" s="1858"/>
      <c r="AR19" s="1858"/>
      <c r="AS19" s="1859"/>
      <c r="AT19" s="1860">
        <f t="shared" ref="AT19:AT29" si="1">J19/$J$29</f>
        <v>0.109375</v>
      </c>
      <c r="AU19" s="1861"/>
      <c r="AV19" s="1861"/>
      <c r="AW19" s="1861"/>
      <c r="AX19" s="1861"/>
      <c r="AY19" s="1862"/>
      <c r="AZ19" s="904"/>
      <c r="BA19" s="900"/>
      <c r="BB19" s="900"/>
      <c r="BC19" s="900"/>
      <c r="BD19" s="900"/>
      <c r="BE19" s="903"/>
    </row>
    <row r="20" spans="1:58" ht="15" customHeight="1">
      <c r="A20" s="900"/>
      <c r="B20" s="1854">
        <v>0.4</v>
      </c>
      <c r="C20" s="1855"/>
      <c r="D20" s="1855"/>
      <c r="E20" s="1855"/>
      <c r="F20" s="1855"/>
      <c r="G20" s="1855"/>
      <c r="H20" s="1855"/>
      <c r="I20" s="1856"/>
      <c r="J20" s="1857">
        <f t="shared" si="0"/>
        <v>0</v>
      </c>
      <c r="K20" s="1858"/>
      <c r="L20" s="1858"/>
      <c r="M20" s="1858"/>
      <c r="N20" s="1858"/>
      <c r="O20" s="1859"/>
      <c r="P20" s="1857" cm="1">
        <f t="array" ref="P20">SUMPRODUCT((Application!$B$718:$B$752 = 'CalHFA Addendum'!P$18)*(Application!$AC$718:$AC$752 = 'CalHFA Addendum'!$B20),Application!$G$718:$G$752)</f>
        <v>0</v>
      </c>
      <c r="Q20" s="1858"/>
      <c r="R20" s="1858"/>
      <c r="S20" s="1858"/>
      <c r="T20" s="1858"/>
      <c r="U20" s="1859"/>
      <c r="V20" s="1857" cm="1">
        <f t="array" ref="V20">SUMPRODUCT((Application!$B$714:$B$738 = 'CalHFA Addendum'!V$18)*(Application!$AC$714:$AC$738 = 'CalHFA Addendum'!$B20),Application!$G$714:$G$738)</f>
        <v>0</v>
      </c>
      <c r="W20" s="1858"/>
      <c r="X20" s="1858"/>
      <c r="Y20" s="1858"/>
      <c r="Z20" s="1858"/>
      <c r="AA20" s="1859"/>
      <c r="AB20" s="1857" cm="1">
        <f t="array" ref="AB20">SUMPRODUCT((Application!$B$714:$B$738 = 'CalHFA Addendum'!AB$18)*(Application!$AC$714:$AC$738 = 'CalHFA Addendum'!$B20),Application!$G$714:$G$738)</f>
        <v>0</v>
      </c>
      <c r="AC20" s="1858"/>
      <c r="AD20" s="1858"/>
      <c r="AE20" s="1858"/>
      <c r="AF20" s="1858"/>
      <c r="AG20" s="1859"/>
      <c r="AH20" s="1857" cm="1">
        <f t="array" ref="AH20">SUMPRODUCT((Application!$B$714:$B$738 = 'CalHFA Addendum'!AH$18)*(Application!$AC$714:$AC$738 = 'CalHFA Addendum'!$B20),Application!$G$714:$G$738)</f>
        <v>0</v>
      </c>
      <c r="AI20" s="1858"/>
      <c r="AJ20" s="1858"/>
      <c r="AK20" s="1858"/>
      <c r="AL20" s="1858"/>
      <c r="AM20" s="1859"/>
      <c r="AN20" s="1857" cm="1">
        <f t="array" ref="AN20">SUMPRODUCT((Application!$B$714:$B$738 = 'CalHFA Addendum'!AN$18)*(Application!$AC$714:$AC$738 = 'CalHFA Addendum'!$B20),Application!$G$714:$G$738)</f>
        <v>0</v>
      </c>
      <c r="AO20" s="1858"/>
      <c r="AP20" s="1858"/>
      <c r="AQ20" s="1858"/>
      <c r="AR20" s="1858"/>
      <c r="AS20" s="1859"/>
      <c r="AT20" s="1860">
        <f t="shared" si="1"/>
        <v>0</v>
      </c>
      <c r="AU20" s="1861"/>
      <c r="AV20" s="1861"/>
      <c r="AW20" s="1861"/>
      <c r="AX20" s="1861"/>
      <c r="AY20" s="1862"/>
      <c r="AZ20" s="900"/>
      <c r="BA20" s="900"/>
      <c r="BB20" s="900"/>
      <c r="BC20" s="900"/>
      <c r="BD20" s="900"/>
      <c r="BE20" s="903"/>
    </row>
    <row r="21" spans="1:58" ht="14.4">
      <c r="A21" s="900"/>
      <c r="B21" s="1854">
        <v>0.5</v>
      </c>
      <c r="C21" s="1855"/>
      <c r="D21" s="1855"/>
      <c r="E21" s="1855"/>
      <c r="F21" s="1855"/>
      <c r="G21" s="1855"/>
      <c r="H21" s="1855"/>
      <c r="I21" s="1856"/>
      <c r="J21" s="1857">
        <f t="shared" si="0"/>
        <v>14</v>
      </c>
      <c r="K21" s="1858"/>
      <c r="L21" s="1858"/>
      <c r="M21" s="1858"/>
      <c r="N21" s="1858"/>
      <c r="O21" s="1859"/>
      <c r="P21" s="1857" cm="1">
        <f t="array" ref="P21">SUMPRODUCT((Application!$B$714:$B$738 = 'CalHFA Addendum'!P$18)*(Application!$AC$714:$AC$738 = 'CalHFA Addendum'!$B21),Application!$G$714:$G$738)</f>
        <v>0</v>
      </c>
      <c r="Q21" s="1858"/>
      <c r="R21" s="1858"/>
      <c r="S21" s="1858"/>
      <c r="T21" s="1858"/>
      <c r="U21" s="1859"/>
      <c r="V21" s="1857" cm="1">
        <f t="array" ref="V21">SUMPRODUCT((Application!$B$714:$B$738 = 'CalHFA Addendum'!V$18)*(Application!$AC$714:$AC$738 = 'CalHFA Addendum'!$B21),Application!$G$714:$G$738)</f>
        <v>6</v>
      </c>
      <c r="W21" s="1858"/>
      <c r="X21" s="1858"/>
      <c r="Y21" s="1858"/>
      <c r="Z21" s="1858"/>
      <c r="AA21" s="1859"/>
      <c r="AB21" s="1857" cm="1">
        <f t="array" ref="AB21">SUMPRODUCT((Application!$B$714:$B$738 = 'CalHFA Addendum'!AB$18)*(Application!$AC$714:$AC$738 = 'CalHFA Addendum'!$B21),Application!$G$714:$G$738)</f>
        <v>4</v>
      </c>
      <c r="AC21" s="1858"/>
      <c r="AD21" s="1858"/>
      <c r="AE21" s="1858"/>
      <c r="AF21" s="1858"/>
      <c r="AG21" s="1859"/>
      <c r="AH21" s="1857" cm="1">
        <f t="array" ref="AH21">SUMPRODUCT((Application!$B$714:$B$738 = 'CalHFA Addendum'!AH$18)*(Application!$AC$714:$AC$738 = 'CalHFA Addendum'!$B21),Application!$G$714:$G$738)</f>
        <v>4</v>
      </c>
      <c r="AI21" s="1858"/>
      <c r="AJ21" s="1858"/>
      <c r="AK21" s="1858"/>
      <c r="AL21" s="1858"/>
      <c r="AM21" s="1859"/>
      <c r="AN21" s="1857" cm="1">
        <f t="array" ref="AN21">SUMPRODUCT((Application!$B$714:$B$738 = 'CalHFA Addendum'!AN$18)*(Application!$AC$714:$AC$738 = 'CalHFA Addendum'!$B21),Application!$G$714:$G$738)</f>
        <v>0</v>
      </c>
      <c r="AO21" s="1858"/>
      <c r="AP21" s="1858"/>
      <c r="AQ21" s="1858"/>
      <c r="AR21" s="1858"/>
      <c r="AS21" s="1859"/>
      <c r="AT21" s="1860">
        <f t="shared" si="1"/>
        <v>0.109375</v>
      </c>
      <c r="AU21" s="1861"/>
      <c r="AV21" s="1861"/>
      <c r="AW21" s="1861"/>
      <c r="AX21" s="1861"/>
      <c r="AY21" s="1862"/>
      <c r="AZ21" s="900"/>
      <c r="BA21" s="900"/>
      <c r="BB21" s="900"/>
      <c r="BC21" s="900"/>
      <c r="BD21" s="900"/>
      <c r="BE21" s="903"/>
    </row>
    <row r="22" spans="1:58" ht="14.4">
      <c r="A22" s="900"/>
      <c r="B22" s="1854">
        <v>0.6</v>
      </c>
      <c r="C22" s="1855"/>
      <c r="D22" s="1855"/>
      <c r="E22" s="1855"/>
      <c r="F22" s="1855"/>
      <c r="G22" s="1855"/>
      <c r="H22" s="1855"/>
      <c r="I22" s="1856"/>
      <c r="J22" s="1857">
        <f t="shared" si="0"/>
        <v>45</v>
      </c>
      <c r="K22" s="1858"/>
      <c r="L22" s="1858"/>
      <c r="M22" s="1858"/>
      <c r="N22" s="1858"/>
      <c r="O22" s="1859"/>
      <c r="P22" s="1857" cm="1">
        <f t="array" ref="P22">SUMPRODUCT((Application!$B$714:$B$738 = 'CalHFA Addendum'!P$18)*(Application!$AC$714:$AC$738 = 'CalHFA Addendum'!$B22),Application!$G$714:$G$738)</f>
        <v>0</v>
      </c>
      <c r="Q22" s="1858"/>
      <c r="R22" s="1858"/>
      <c r="S22" s="1858"/>
      <c r="T22" s="1858"/>
      <c r="U22" s="1859"/>
      <c r="V22" s="1857" cm="1">
        <f t="array" ref="V22">SUMPRODUCT((Application!$B$714:$B$738 = 'CalHFA Addendum'!V$18)*(Application!$AC$714:$AC$738 = 'CalHFA Addendum'!$B22),Application!$G$714:$G$738)</f>
        <v>23</v>
      </c>
      <c r="W22" s="1858"/>
      <c r="X22" s="1858"/>
      <c r="Y22" s="1858"/>
      <c r="Z22" s="1858"/>
      <c r="AA22" s="1859"/>
      <c r="AB22" s="1857" cm="1">
        <f t="array" ref="AB22">SUMPRODUCT((Application!$B$714:$B$738 = 'CalHFA Addendum'!AB$18)*(Application!$AC$714:$AC$738 = 'CalHFA Addendum'!$B22),Application!$G$714:$G$738)</f>
        <v>11</v>
      </c>
      <c r="AC22" s="1858"/>
      <c r="AD22" s="1858"/>
      <c r="AE22" s="1858"/>
      <c r="AF22" s="1858"/>
      <c r="AG22" s="1859"/>
      <c r="AH22" s="1857" cm="1">
        <f t="array" ref="AH22">SUMPRODUCT((Application!$B$714:$B$738 = 'CalHFA Addendum'!AH$18)*(Application!$AC$714:$AC$738 = 'CalHFA Addendum'!$B22),Application!$G$714:$G$738)</f>
        <v>11</v>
      </c>
      <c r="AI22" s="1858"/>
      <c r="AJ22" s="1858"/>
      <c r="AK22" s="1858"/>
      <c r="AL22" s="1858"/>
      <c r="AM22" s="1859"/>
      <c r="AN22" s="1857" cm="1">
        <f t="array" ref="AN22">SUMPRODUCT((Application!$B$714:$B$738 = 'CalHFA Addendum'!AN$18)*(Application!$AC$714:$AC$738 = 'CalHFA Addendum'!$B22),Application!$G$714:$G$738)</f>
        <v>0</v>
      </c>
      <c r="AO22" s="1858"/>
      <c r="AP22" s="1858"/>
      <c r="AQ22" s="1858"/>
      <c r="AR22" s="1858"/>
      <c r="AS22" s="1859"/>
      <c r="AT22" s="1860">
        <f t="shared" si="1"/>
        <v>0.3515625</v>
      </c>
      <c r="AU22" s="1861"/>
      <c r="AV22" s="1861"/>
      <c r="AW22" s="1861"/>
      <c r="AX22" s="1861"/>
      <c r="AY22" s="1862"/>
      <c r="AZ22" s="900"/>
      <c r="BA22" s="900"/>
      <c r="BB22" s="900"/>
      <c r="BC22" s="900"/>
      <c r="BD22" s="900"/>
      <c r="BE22" s="903"/>
    </row>
    <row r="23" spans="1:58" ht="14.4">
      <c r="A23" s="900"/>
      <c r="B23" s="1854">
        <v>0.7</v>
      </c>
      <c r="C23" s="1855"/>
      <c r="D23" s="1855"/>
      <c r="E23" s="1855"/>
      <c r="F23" s="1855"/>
      <c r="G23" s="1855"/>
      <c r="H23" s="1855"/>
      <c r="I23" s="1856"/>
      <c r="J23" s="1857">
        <f t="shared" si="0"/>
        <v>54</v>
      </c>
      <c r="K23" s="1858"/>
      <c r="L23" s="1858"/>
      <c r="M23" s="1858"/>
      <c r="N23" s="1858"/>
      <c r="O23" s="1859"/>
      <c r="P23" s="1857" cm="1">
        <f t="array" ref="P23">SUMPRODUCT((Application!$B$714:$B$738 = 'CalHFA Addendum'!P$18)*(Application!$AC$714:$AC$738 = 'CalHFA Addendum'!$B23),Application!$G$714:$G$738)</f>
        <v>0</v>
      </c>
      <c r="Q23" s="1858"/>
      <c r="R23" s="1858"/>
      <c r="S23" s="1858"/>
      <c r="T23" s="1858"/>
      <c r="U23" s="1859"/>
      <c r="V23" s="1857" cm="1">
        <f t="array" ref="V23">SUMPRODUCT((Application!$B$714:$B$738 = 'CalHFA Addendum'!V$18)*(Application!$AC$714:$AC$738 = 'CalHFA Addendum'!$B23),Application!$G$714:$G$738)</f>
        <v>22</v>
      </c>
      <c r="W23" s="1858"/>
      <c r="X23" s="1858"/>
      <c r="Y23" s="1858"/>
      <c r="Z23" s="1858"/>
      <c r="AA23" s="1859"/>
      <c r="AB23" s="1857" cm="1">
        <f t="array" ref="AB23">SUMPRODUCT((Application!$B$714:$B$738 = 'CalHFA Addendum'!AB$18)*(Application!$AC$714:$AC$738 = 'CalHFA Addendum'!$B23),Application!$G$714:$G$738)</f>
        <v>16</v>
      </c>
      <c r="AC23" s="1858"/>
      <c r="AD23" s="1858"/>
      <c r="AE23" s="1858"/>
      <c r="AF23" s="1858"/>
      <c r="AG23" s="1859"/>
      <c r="AH23" s="1857" cm="1">
        <f t="array" ref="AH23">SUMPRODUCT((Application!$B$714:$B$738 = 'CalHFA Addendum'!AH$18)*(Application!$AC$714:$AC$738 = 'CalHFA Addendum'!$B23),Application!$G$714:$G$738)</f>
        <v>16</v>
      </c>
      <c r="AI23" s="1858"/>
      <c r="AJ23" s="1858"/>
      <c r="AK23" s="1858"/>
      <c r="AL23" s="1858"/>
      <c r="AM23" s="1859"/>
      <c r="AN23" s="1857" cm="1">
        <f t="array" ref="AN23">SUMPRODUCT((Application!$B$714:$B$738 = 'CalHFA Addendum'!AN$18)*(Application!$AC$714:$AC$738 = 'CalHFA Addendum'!$B23),Application!$G$714:$G$738)</f>
        <v>0</v>
      </c>
      <c r="AO23" s="1858"/>
      <c r="AP23" s="1858"/>
      <c r="AQ23" s="1858"/>
      <c r="AR23" s="1858"/>
      <c r="AS23" s="1859"/>
      <c r="AT23" s="1860">
        <f t="shared" si="1"/>
        <v>0.421875</v>
      </c>
      <c r="AU23" s="1861"/>
      <c r="AV23" s="1861"/>
      <c r="AW23" s="1861"/>
      <c r="AX23" s="1861"/>
      <c r="AY23" s="1862"/>
      <c r="AZ23" s="900"/>
      <c r="BA23" s="900"/>
      <c r="BB23" s="900"/>
      <c r="BC23" s="900"/>
      <c r="BD23" s="900"/>
      <c r="BE23" s="903"/>
    </row>
    <row r="24" spans="1:58" ht="14.4">
      <c r="A24" s="900"/>
      <c r="B24" s="1854">
        <v>0.8</v>
      </c>
      <c r="C24" s="1855"/>
      <c r="D24" s="1855"/>
      <c r="E24" s="1855"/>
      <c r="F24" s="1855"/>
      <c r="G24" s="1855"/>
      <c r="H24" s="1855"/>
      <c r="I24" s="1856"/>
      <c r="J24" s="1857">
        <f t="shared" si="0"/>
        <v>0</v>
      </c>
      <c r="K24" s="1858"/>
      <c r="L24" s="1858"/>
      <c r="M24" s="1858"/>
      <c r="N24" s="1858"/>
      <c r="O24" s="1859"/>
      <c r="P24" s="1857" cm="1">
        <f t="array" ref="P24">SUMPRODUCT((Application!$B$714:$B$738 = 'CalHFA Addendum'!P$18)*(Application!$AC$714:$AC$738 = 'CalHFA Addendum'!$B24),Application!$G$714:$G$738)</f>
        <v>0</v>
      </c>
      <c r="Q24" s="1858"/>
      <c r="R24" s="1858"/>
      <c r="S24" s="1858"/>
      <c r="T24" s="1858"/>
      <c r="U24" s="1859"/>
      <c r="V24" s="1857" cm="1">
        <f t="array" ref="V24">SUMPRODUCT((Application!$B$714:$B$738 = 'CalHFA Addendum'!V$18)*(Application!$AC$714:$AC$738 = 'CalHFA Addendum'!$B24),Application!$G$714:$G$738)</f>
        <v>0</v>
      </c>
      <c r="W24" s="1858"/>
      <c r="X24" s="1858"/>
      <c r="Y24" s="1858"/>
      <c r="Z24" s="1858"/>
      <c r="AA24" s="1859"/>
      <c r="AB24" s="1857" cm="1">
        <f t="array" ref="AB24">SUMPRODUCT((Application!$B$714:$B$738 = 'CalHFA Addendum'!AB$18)*(Application!$AC$714:$AC$738 = 'CalHFA Addendum'!$B24),Application!$G$714:$G$738)</f>
        <v>0</v>
      </c>
      <c r="AC24" s="1858"/>
      <c r="AD24" s="1858"/>
      <c r="AE24" s="1858"/>
      <c r="AF24" s="1858"/>
      <c r="AG24" s="1859"/>
      <c r="AH24" s="1857" cm="1">
        <f t="array" ref="AH24">SUMPRODUCT((Application!$B$714:$B$738 = 'CalHFA Addendum'!AH$18)*(Application!$AC$714:$AC$738 = 'CalHFA Addendum'!$B24),Application!$G$714:$G$738)</f>
        <v>0</v>
      </c>
      <c r="AI24" s="1858"/>
      <c r="AJ24" s="1858"/>
      <c r="AK24" s="1858"/>
      <c r="AL24" s="1858"/>
      <c r="AM24" s="1859"/>
      <c r="AN24" s="1857" cm="1">
        <f t="array" ref="AN24">SUMPRODUCT((Application!$B$714:$B$738 = 'CalHFA Addendum'!AN$18)*(Application!$AC$714:$AC$738 = 'CalHFA Addendum'!$B24),Application!$G$714:$G$738)</f>
        <v>0</v>
      </c>
      <c r="AO24" s="1858"/>
      <c r="AP24" s="1858"/>
      <c r="AQ24" s="1858"/>
      <c r="AR24" s="1858"/>
      <c r="AS24" s="1859"/>
      <c r="AT24" s="1860">
        <f t="shared" si="1"/>
        <v>0</v>
      </c>
      <c r="AU24" s="1861"/>
      <c r="AV24" s="1861"/>
      <c r="AW24" s="1861"/>
      <c r="AX24" s="1861"/>
      <c r="AY24" s="1862"/>
      <c r="AZ24" s="900"/>
      <c r="BA24" s="900"/>
      <c r="BB24" s="900"/>
      <c r="BC24" s="900"/>
      <c r="BD24" s="900"/>
      <c r="BE24" s="903"/>
    </row>
    <row r="25" spans="1:58" ht="14.4">
      <c r="A25" s="900"/>
      <c r="B25" s="1854">
        <v>0.9</v>
      </c>
      <c r="C25" s="1855"/>
      <c r="D25" s="1855"/>
      <c r="E25" s="1855"/>
      <c r="F25" s="1855"/>
      <c r="G25" s="1855"/>
      <c r="H25" s="1855"/>
      <c r="I25" s="1856"/>
      <c r="J25" s="1863"/>
      <c r="K25" s="1864"/>
      <c r="L25" s="1864"/>
      <c r="M25" s="1864"/>
      <c r="N25" s="1864"/>
      <c r="O25" s="1865"/>
      <c r="P25" s="1863"/>
      <c r="Q25" s="1864"/>
      <c r="R25" s="1864"/>
      <c r="S25" s="1864"/>
      <c r="T25" s="1864"/>
      <c r="U25" s="1865"/>
      <c r="V25" s="1863"/>
      <c r="W25" s="1864"/>
      <c r="X25" s="1864"/>
      <c r="Y25" s="1864"/>
      <c r="Z25" s="1864"/>
      <c r="AA25" s="1865"/>
      <c r="AB25" s="1863"/>
      <c r="AC25" s="1864"/>
      <c r="AD25" s="1864"/>
      <c r="AE25" s="1864"/>
      <c r="AF25" s="1864"/>
      <c r="AG25" s="1865"/>
      <c r="AH25" s="1863"/>
      <c r="AI25" s="1864"/>
      <c r="AJ25" s="1864"/>
      <c r="AK25" s="1864"/>
      <c r="AL25" s="1864"/>
      <c r="AM25" s="1865"/>
      <c r="AN25" s="1863"/>
      <c r="AO25" s="1864"/>
      <c r="AP25" s="1864"/>
      <c r="AQ25" s="1864"/>
      <c r="AR25" s="1864"/>
      <c r="AS25" s="1865"/>
      <c r="AT25" s="1860">
        <f t="shared" si="1"/>
        <v>0</v>
      </c>
      <c r="AU25" s="1861"/>
      <c r="AV25" s="1861"/>
      <c r="AW25" s="1861"/>
      <c r="AX25" s="1861"/>
      <c r="AY25" s="1862"/>
      <c r="AZ25" s="900"/>
      <c r="BA25" s="900"/>
      <c r="BB25" s="900"/>
      <c r="BC25" s="900"/>
      <c r="BD25" s="900"/>
      <c r="BE25" s="903"/>
    </row>
    <row r="26" spans="1:58" ht="14.4">
      <c r="A26" s="900"/>
      <c r="B26" s="1854">
        <v>1</v>
      </c>
      <c r="C26" s="1855"/>
      <c r="D26" s="1855"/>
      <c r="E26" s="1855"/>
      <c r="F26" s="1855"/>
      <c r="G26" s="1855"/>
      <c r="H26" s="1855"/>
      <c r="I26" s="1856"/>
      <c r="J26" s="1863"/>
      <c r="K26" s="1864"/>
      <c r="L26" s="1864"/>
      <c r="M26" s="1864"/>
      <c r="N26" s="1864"/>
      <c r="O26" s="1865"/>
      <c r="P26" s="1863"/>
      <c r="Q26" s="1864"/>
      <c r="R26" s="1864"/>
      <c r="S26" s="1864"/>
      <c r="T26" s="1864"/>
      <c r="U26" s="1865"/>
      <c r="V26" s="1863"/>
      <c r="W26" s="1864"/>
      <c r="X26" s="1864"/>
      <c r="Y26" s="1864"/>
      <c r="Z26" s="1864"/>
      <c r="AA26" s="1865"/>
      <c r="AB26" s="1863"/>
      <c r="AC26" s="1864"/>
      <c r="AD26" s="1864"/>
      <c r="AE26" s="1864"/>
      <c r="AF26" s="1864"/>
      <c r="AG26" s="1865"/>
      <c r="AH26" s="1863"/>
      <c r="AI26" s="1864"/>
      <c r="AJ26" s="1864"/>
      <c r="AK26" s="1864"/>
      <c r="AL26" s="1864"/>
      <c r="AM26" s="1865"/>
      <c r="AN26" s="1863"/>
      <c r="AO26" s="1864"/>
      <c r="AP26" s="1864"/>
      <c r="AQ26" s="1864"/>
      <c r="AR26" s="1864"/>
      <c r="AS26" s="1865"/>
      <c r="AT26" s="1860">
        <f t="shared" si="1"/>
        <v>0</v>
      </c>
      <c r="AU26" s="1861"/>
      <c r="AV26" s="1861"/>
      <c r="AW26" s="1861"/>
      <c r="AX26" s="1861"/>
      <c r="AY26" s="1862"/>
      <c r="AZ26" s="900"/>
      <c r="BA26" s="900"/>
      <c r="BB26" s="900"/>
      <c r="BC26" s="900"/>
      <c r="BD26" s="900"/>
      <c r="BE26" s="903"/>
    </row>
    <row r="27" spans="1:58" ht="14.4">
      <c r="A27" s="900"/>
      <c r="B27" s="1854">
        <v>1.2</v>
      </c>
      <c r="C27" s="1855"/>
      <c r="D27" s="1855"/>
      <c r="E27" s="1855"/>
      <c r="F27" s="1855"/>
      <c r="G27" s="1855"/>
      <c r="H27" s="1855"/>
      <c r="I27" s="1856"/>
      <c r="J27" s="1863"/>
      <c r="K27" s="1864"/>
      <c r="L27" s="1864"/>
      <c r="M27" s="1864"/>
      <c r="N27" s="1864"/>
      <c r="O27" s="1865"/>
      <c r="P27" s="1863"/>
      <c r="Q27" s="1864"/>
      <c r="R27" s="1864"/>
      <c r="S27" s="1864"/>
      <c r="T27" s="1864"/>
      <c r="U27" s="1865"/>
      <c r="V27" s="1863"/>
      <c r="W27" s="1864"/>
      <c r="X27" s="1864"/>
      <c r="Y27" s="1864"/>
      <c r="Z27" s="1864"/>
      <c r="AA27" s="1865"/>
      <c r="AB27" s="1863"/>
      <c r="AC27" s="1864"/>
      <c r="AD27" s="1864"/>
      <c r="AE27" s="1864"/>
      <c r="AF27" s="1864"/>
      <c r="AG27" s="1865"/>
      <c r="AH27" s="1863"/>
      <c r="AI27" s="1864"/>
      <c r="AJ27" s="1864"/>
      <c r="AK27" s="1864"/>
      <c r="AL27" s="1864"/>
      <c r="AM27" s="1865"/>
      <c r="AN27" s="1863"/>
      <c r="AO27" s="1864"/>
      <c r="AP27" s="1864"/>
      <c r="AQ27" s="1864"/>
      <c r="AR27" s="1864"/>
      <c r="AS27" s="1865"/>
      <c r="AT27" s="1860">
        <f t="shared" si="1"/>
        <v>0</v>
      </c>
      <c r="AU27" s="1861"/>
      <c r="AV27" s="1861"/>
      <c r="AW27" s="1861"/>
      <c r="AX27" s="1861"/>
      <c r="AY27" s="1862"/>
      <c r="AZ27" s="900"/>
      <c r="BA27" s="900"/>
      <c r="BB27" s="900"/>
      <c r="BC27" s="900"/>
      <c r="BD27" s="900"/>
      <c r="BE27" s="903"/>
    </row>
    <row r="28" spans="1:58" ht="15" thickBot="1">
      <c r="A28" s="900"/>
      <c r="B28" s="1866" t="s">
        <v>1932</v>
      </c>
      <c r="C28" s="1867"/>
      <c r="D28" s="1867"/>
      <c r="E28" s="1867"/>
      <c r="F28" s="1867"/>
      <c r="G28" s="1867"/>
      <c r="H28" s="1867"/>
      <c r="I28" s="1868"/>
      <c r="J28" s="1869">
        <f>SUM(P28:AS28)</f>
        <v>1</v>
      </c>
      <c r="K28" s="1870"/>
      <c r="L28" s="1870"/>
      <c r="M28" s="1870"/>
      <c r="N28" s="1870"/>
      <c r="O28" s="1871"/>
      <c r="P28" s="1869">
        <f>_xlfn.IFNA(VLOOKUP(P$18,Application!$J$773:$S$776,6,FALSE), 0)</f>
        <v>0</v>
      </c>
      <c r="Q28" s="1870"/>
      <c r="R28" s="1870"/>
      <c r="S28" s="1870"/>
      <c r="T28" s="1870"/>
      <c r="U28" s="1871"/>
      <c r="V28" s="1869">
        <f>_xlfn.IFNA(VLOOKUP(V$18,Application!$J$773:$S$776,6,FALSE), 0)</f>
        <v>0</v>
      </c>
      <c r="W28" s="1870"/>
      <c r="X28" s="1870"/>
      <c r="Y28" s="1870"/>
      <c r="Z28" s="1870"/>
      <c r="AA28" s="1871"/>
      <c r="AB28" s="1869">
        <f>_xlfn.IFNA(VLOOKUP(AB$18,Application!$J$773:$S$776,6,FALSE), 0)</f>
        <v>0</v>
      </c>
      <c r="AC28" s="1870"/>
      <c r="AD28" s="1870"/>
      <c r="AE28" s="1870"/>
      <c r="AF28" s="1870"/>
      <c r="AG28" s="1871"/>
      <c r="AH28" s="1869">
        <f>_xlfn.IFNA(VLOOKUP(AH$18,Application!$J$773:$S$776,6,FALSE), 0)</f>
        <v>1</v>
      </c>
      <c r="AI28" s="1870"/>
      <c r="AJ28" s="1870"/>
      <c r="AK28" s="1870"/>
      <c r="AL28" s="1870"/>
      <c r="AM28" s="1871"/>
      <c r="AN28" s="1869">
        <f>_xlfn.IFNA(VLOOKUP(AN$18,Application!$J$773:$S$776,6,FALSE), 0)</f>
        <v>0</v>
      </c>
      <c r="AO28" s="1870"/>
      <c r="AP28" s="1870"/>
      <c r="AQ28" s="1870"/>
      <c r="AR28" s="1870"/>
      <c r="AS28" s="1871"/>
      <c r="AT28" s="1872">
        <f t="shared" si="1"/>
        <v>7.8125E-3</v>
      </c>
      <c r="AU28" s="1873"/>
      <c r="AV28" s="1873"/>
      <c r="AW28" s="1873"/>
      <c r="AX28" s="1873"/>
      <c r="AY28" s="1874"/>
      <c r="AZ28" s="900"/>
      <c r="BA28" s="900"/>
      <c r="BB28" s="900"/>
      <c r="BC28" s="900"/>
      <c r="BD28" s="900"/>
      <c r="BE28" s="903"/>
    </row>
    <row r="29" spans="1:58" ht="15" thickBot="1">
      <c r="A29" s="900"/>
      <c r="B29" s="1903" t="s">
        <v>1930</v>
      </c>
      <c r="C29" s="1876"/>
      <c r="D29" s="1876"/>
      <c r="E29" s="1876"/>
      <c r="F29" s="1876"/>
      <c r="G29" s="1876"/>
      <c r="H29" s="1876"/>
      <c r="I29" s="1877"/>
      <c r="J29" s="1875">
        <f>SUM(J19:O28)</f>
        <v>128</v>
      </c>
      <c r="K29" s="1876"/>
      <c r="L29" s="1876"/>
      <c r="M29" s="1876"/>
      <c r="N29" s="1876"/>
      <c r="O29" s="1877"/>
      <c r="P29" s="1875">
        <f>SUM(P19:U28)</f>
        <v>0</v>
      </c>
      <c r="Q29" s="1876"/>
      <c r="R29" s="1876"/>
      <c r="S29" s="1876"/>
      <c r="T29" s="1876"/>
      <c r="U29" s="1877"/>
      <c r="V29" s="1875">
        <f>SUM(V19:AA28)</f>
        <v>57</v>
      </c>
      <c r="W29" s="1876"/>
      <c r="X29" s="1876"/>
      <c r="Y29" s="1876"/>
      <c r="Z29" s="1876"/>
      <c r="AA29" s="1877"/>
      <c r="AB29" s="1875">
        <f>SUM(AB19:AG28)</f>
        <v>35</v>
      </c>
      <c r="AC29" s="1876"/>
      <c r="AD29" s="1876"/>
      <c r="AE29" s="1876"/>
      <c r="AF29" s="1876"/>
      <c r="AG29" s="1877"/>
      <c r="AH29" s="1875">
        <f>SUM(AH19:AM28)</f>
        <v>36</v>
      </c>
      <c r="AI29" s="1876"/>
      <c r="AJ29" s="1876"/>
      <c r="AK29" s="1876"/>
      <c r="AL29" s="1876"/>
      <c r="AM29" s="1877"/>
      <c r="AN29" s="1875">
        <f>SUM(AN19:AS28)</f>
        <v>0</v>
      </c>
      <c r="AO29" s="1876"/>
      <c r="AP29" s="1876"/>
      <c r="AQ29" s="1876"/>
      <c r="AR29" s="1876"/>
      <c r="AS29" s="1877"/>
      <c r="AT29" s="1878">
        <f t="shared" si="1"/>
        <v>1</v>
      </c>
      <c r="AU29" s="1879"/>
      <c r="AV29" s="1879"/>
      <c r="AW29" s="1879"/>
      <c r="AX29" s="1879"/>
      <c r="AY29" s="1880"/>
      <c r="AZ29" s="900"/>
      <c r="BA29" s="900"/>
      <c r="BB29" s="900"/>
      <c r="BC29" s="900"/>
      <c r="BD29" s="900"/>
      <c r="BE29" s="903"/>
    </row>
    <row r="30" spans="1:58" ht="15" thickBot="1">
      <c r="A30" s="899"/>
      <c r="B30" s="900"/>
      <c r="C30" s="900"/>
      <c r="D30" s="900"/>
      <c r="E30" s="900"/>
      <c r="F30" s="900"/>
      <c r="G30" s="900"/>
      <c r="H30" s="900"/>
      <c r="I30" s="900"/>
      <c r="J30" s="900"/>
      <c r="K30" s="900"/>
      <c r="L30" s="900"/>
      <c r="M30" s="900"/>
      <c r="N30" s="900"/>
      <c r="O30" s="900"/>
      <c r="P30" s="900"/>
      <c r="Q30" s="900"/>
      <c r="R30" s="900"/>
      <c r="S30" s="900"/>
      <c r="T30" s="900"/>
      <c r="U30" s="900"/>
      <c r="V30" s="900"/>
      <c r="W30" s="900"/>
      <c r="X30" s="900"/>
      <c r="Y30" s="900"/>
      <c r="Z30" s="900"/>
      <c r="AA30" s="900"/>
      <c r="AB30" s="900"/>
      <c r="AC30" s="900"/>
      <c r="AD30" s="900"/>
      <c r="AE30" s="900"/>
      <c r="AF30" s="900"/>
      <c r="AG30" s="900"/>
      <c r="AH30" s="900"/>
      <c r="AI30" s="900"/>
      <c r="AJ30" s="900"/>
      <c r="AK30" s="900"/>
      <c r="AL30" s="900"/>
      <c r="AM30" s="900"/>
      <c r="AN30" s="900"/>
      <c r="AO30" s="900"/>
      <c r="AP30" s="900"/>
      <c r="AQ30" s="900"/>
      <c r="AR30" s="900"/>
      <c r="AS30" s="900"/>
      <c r="AT30" s="900"/>
      <c r="AU30" s="900"/>
      <c r="AV30" s="900"/>
      <c r="AW30" s="900"/>
      <c r="AX30" s="900"/>
      <c r="AY30" s="900"/>
      <c r="AZ30" s="900"/>
      <c r="BA30" s="900"/>
      <c r="BB30" s="900"/>
      <c r="BC30" s="900"/>
      <c r="BD30" s="900"/>
      <c r="BE30" s="903"/>
    </row>
    <row r="31" spans="1:58" ht="15" thickBot="1">
      <c r="A31" s="900"/>
      <c r="B31" s="1881" t="s">
        <v>1933</v>
      </c>
      <c r="C31" s="1882"/>
      <c r="D31" s="1882"/>
      <c r="E31" s="1882"/>
      <c r="F31" s="1882"/>
      <c r="G31" s="1882"/>
      <c r="H31" s="1882"/>
      <c r="I31" s="1882"/>
      <c r="J31" s="1882"/>
      <c r="K31" s="1882"/>
      <c r="L31" s="1882"/>
      <c r="M31" s="1882"/>
      <c r="N31" s="1882"/>
      <c r="O31" s="1882"/>
      <c r="P31" s="1882"/>
      <c r="Q31" s="1882"/>
      <c r="R31" s="1882"/>
      <c r="S31" s="1882"/>
      <c r="T31" s="1882"/>
      <c r="U31" s="1882"/>
      <c r="V31" s="1882"/>
      <c r="W31" s="1882"/>
      <c r="X31" s="1882"/>
      <c r="Y31" s="1882"/>
      <c r="Z31" s="1882"/>
      <c r="AA31" s="1882"/>
      <c r="AB31" s="1882"/>
      <c r="AC31" s="1882"/>
      <c r="AD31" s="1882"/>
      <c r="AE31" s="1882"/>
      <c r="AF31" s="1882"/>
      <c r="AG31" s="1882"/>
      <c r="AH31" s="1882"/>
      <c r="AI31" s="1882"/>
      <c r="AJ31" s="1882"/>
      <c r="AK31" s="1882"/>
      <c r="AL31" s="1882"/>
      <c r="AM31" s="1882"/>
      <c r="AN31" s="1882"/>
      <c r="AO31" s="1882"/>
      <c r="AP31" s="1882"/>
      <c r="AQ31" s="1882"/>
      <c r="AR31" s="1882"/>
      <c r="AS31" s="1882"/>
      <c r="AT31" s="1882"/>
      <c r="AU31" s="1882"/>
      <c r="AV31" s="1882"/>
      <c r="AW31" s="1882"/>
      <c r="AX31" s="1882"/>
      <c r="AY31" s="1882"/>
      <c r="AZ31" s="1882"/>
      <c r="BA31" s="1882"/>
      <c r="BB31" s="1882"/>
      <c r="BC31" s="1882"/>
      <c r="BD31" s="1883"/>
      <c r="BE31" s="903"/>
    </row>
    <row r="32" spans="1:58" ht="15" thickBot="1">
      <c r="A32" s="900"/>
      <c r="B32" s="1884" t="s">
        <v>1934</v>
      </c>
      <c r="C32" s="1885"/>
      <c r="D32" s="1885"/>
      <c r="E32" s="1885"/>
      <c r="F32" s="1885"/>
      <c r="G32" s="1885"/>
      <c r="H32" s="1885"/>
      <c r="I32" s="1885"/>
      <c r="J32" s="1888" t="s">
        <v>1935</v>
      </c>
      <c r="K32" s="1889"/>
      <c r="L32" s="1889"/>
      <c r="M32" s="1889"/>
      <c r="N32" s="1888" t="s">
        <v>1936</v>
      </c>
      <c r="O32" s="1889"/>
      <c r="P32" s="1889"/>
      <c r="Q32" s="1891"/>
      <c r="R32" s="1893" t="s">
        <v>1937</v>
      </c>
      <c r="S32" s="1894"/>
      <c r="T32" s="1894"/>
      <c r="U32" s="1894"/>
      <c r="V32" s="1894"/>
      <c r="W32" s="1894"/>
      <c r="X32" s="1894"/>
      <c r="Y32" s="1894"/>
      <c r="Z32" s="1894"/>
      <c r="AA32" s="1894"/>
      <c r="AB32" s="1894"/>
      <c r="AC32" s="1894"/>
      <c r="AD32" s="1894"/>
      <c r="AE32" s="1894"/>
      <c r="AF32" s="1894"/>
      <c r="AG32" s="1894"/>
      <c r="AH32" s="1894"/>
      <c r="AI32" s="1894"/>
      <c r="AJ32" s="1894"/>
      <c r="AK32" s="1894"/>
      <c r="AL32" s="1894"/>
      <c r="AM32" s="1894"/>
      <c r="AN32" s="1894"/>
      <c r="AO32" s="1894"/>
      <c r="AP32" s="1894"/>
      <c r="AQ32" s="1894"/>
      <c r="AR32" s="1894"/>
      <c r="AS32" s="1894"/>
      <c r="AT32" s="1894"/>
      <c r="AU32" s="1894"/>
      <c r="AV32" s="1894"/>
      <c r="AW32" s="1894"/>
      <c r="AX32" s="1894"/>
      <c r="AY32" s="1894"/>
      <c r="AZ32" s="1894"/>
      <c r="BA32" s="1894"/>
      <c r="BB32" s="1894"/>
      <c r="BC32" s="1894"/>
      <c r="BD32" s="1895"/>
      <c r="BE32" s="903"/>
    </row>
    <row r="33" spans="1:58" ht="15" customHeight="1">
      <c r="A33" s="900"/>
      <c r="B33" s="1886"/>
      <c r="C33" s="1887"/>
      <c r="D33" s="1887"/>
      <c r="E33" s="1887"/>
      <c r="F33" s="1887"/>
      <c r="G33" s="1887"/>
      <c r="H33" s="1887"/>
      <c r="I33" s="1887"/>
      <c r="J33" s="1890"/>
      <c r="K33" s="1890"/>
      <c r="L33" s="1890"/>
      <c r="M33" s="1890"/>
      <c r="N33" s="1890"/>
      <c r="O33" s="1890"/>
      <c r="P33" s="1890"/>
      <c r="Q33" s="1892"/>
      <c r="R33" s="1896" t="s">
        <v>1938</v>
      </c>
      <c r="S33" s="1897"/>
      <c r="T33" s="1897"/>
      <c r="U33" s="1897"/>
      <c r="V33" s="1897"/>
      <c r="W33" s="1897"/>
      <c r="X33" s="1897"/>
      <c r="Y33" s="1897"/>
      <c r="Z33" s="1897"/>
      <c r="AA33" s="1897"/>
      <c r="AB33" s="1897"/>
      <c r="AC33" s="1897"/>
      <c r="AD33" s="1897"/>
      <c r="AE33" s="1897"/>
      <c r="AF33" s="1897"/>
      <c r="AG33" s="1897"/>
      <c r="AH33" s="1897"/>
      <c r="AI33" s="1897"/>
      <c r="AJ33" s="1897"/>
      <c r="AK33" s="1897"/>
      <c r="AL33" s="1897"/>
      <c r="AM33" s="1897"/>
      <c r="AN33" s="1897"/>
      <c r="AO33" s="1897"/>
      <c r="AP33" s="1897"/>
      <c r="AQ33" s="1897"/>
      <c r="AR33" s="1897"/>
      <c r="AS33" s="1897"/>
      <c r="AT33" s="1897"/>
      <c r="AU33" s="1897"/>
      <c r="AV33" s="1897"/>
      <c r="AW33" s="1897"/>
      <c r="AX33" s="1897"/>
      <c r="AY33" s="1897"/>
      <c r="AZ33" s="1897"/>
      <c r="BA33" s="1897"/>
      <c r="BB33" s="1897"/>
      <c r="BC33" s="1897"/>
      <c r="BD33" s="1898"/>
      <c r="BE33" s="903"/>
    </row>
    <row r="34" spans="1:58" ht="15.75" customHeight="1" thickBot="1">
      <c r="A34" s="900"/>
      <c r="B34" s="1886"/>
      <c r="C34" s="1887"/>
      <c r="D34" s="1887"/>
      <c r="E34" s="1887"/>
      <c r="F34" s="1887"/>
      <c r="G34" s="1887"/>
      <c r="H34" s="1887"/>
      <c r="I34" s="1887"/>
      <c r="J34" s="1890"/>
      <c r="K34" s="1890"/>
      <c r="L34" s="1890"/>
      <c r="M34" s="1890"/>
      <c r="N34" s="1890"/>
      <c r="O34" s="1890"/>
      <c r="P34" s="1890"/>
      <c r="Q34" s="1892"/>
      <c r="R34" s="1899"/>
      <c r="S34" s="1900"/>
      <c r="T34" s="1900"/>
      <c r="U34" s="1900"/>
      <c r="V34" s="1900"/>
      <c r="W34" s="1900"/>
      <c r="X34" s="1900"/>
      <c r="Y34" s="1900"/>
      <c r="Z34" s="1900"/>
      <c r="AA34" s="1900"/>
      <c r="AB34" s="1900"/>
      <c r="AC34" s="1900"/>
      <c r="AD34" s="1900"/>
      <c r="AE34" s="1900"/>
      <c r="AF34" s="1900"/>
      <c r="AG34" s="1900"/>
      <c r="AH34" s="1900"/>
      <c r="AI34" s="1900"/>
      <c r="AJ34" s="1900"/>
      <c r="AK34" s="1900"/>
      <c r="AL34" s="1900"/>
      <c r="AM34" s="1900"/>
      <c r="AN34" s="1900"/>
      <c r="AO34" s="1900"/>
      <c r="AP34" s="1900"/>
      <c r="AQ34" s="1900"/>
      <c r="AR34" s="1900"/>
      <c r="AS34" s="1900"/>
      <c r="AT34" s="1900"/>
      <c r="AU34" s="1900"/>
      <c r="AV34" s="1900"/>
      <c r="AW34" s="1900"/>
      <c r="AX34" s="1900"/>
      <c r="AY34" s="1900"/>
      <c r="AZ34" s="1900"/>
      <c r="BA34" s="1900"/>
      <c r="BB34" s="1900"/>
      <c r="BC34" s="1900"/>
      <c r="BD34" s="1901"/>
      <c r="BE34" s="903"/>
    </row>
    <row r="35" spans="1:58" ht="15.75" customHeight="1">
      <c r="A35" s="900"/>
      <c r="B35" s="1886"/>
      <c r="C35" s="1887"/>
      <c r="D35" s="1887"/>
      <c r="E35" s="1887"/>
      <c r="F35" s="1887"/>
      <c r="G35" s="1887"/>
      <c r="H35" s="1887"/>
      <c r="I35" s="1887"/>
      <c r="J35" s="1890"/>
      <c r="K35" s="1890"/>
      <c r="L35" s="1890"/>
      <c r="M35" s="1890"/>
      <c r="N35" s="1890"/>
      <c r="O35" s="1890"/>
      <c r="P35" s="1890"/>
      <c r="Q35" s="1890"/>
      <c r="R35" s="1902">
        <v>0.3</v>
      </c>
      <c r="S35" s="1902"/>
      <c r="T35" s="1902"/>
      <c r="U35" s="1902"/>
      <c r="V35" s="1902">
        <v>0.4</v>
      </c>
      <c r="W35" s="1902"/>
      <c r="X35" s="1902"/>
      <c r="Y35" s="1902"/>
      <c r="Z35" s="1902">
        <v>0.5</v>
      </c>
      <c r="AA35" s="1902"/>
      <c r="AB35" s="1902"/>
      <c r="AC35" s="1902"/>
      <c r="AD35" s="1902">
        <v>0.6</v>
      </c>
      <c r="AE35" s="1902"/>
      <c r="AF35" s="1902"/>
      <c r="AG35" s="1902"/>
      <c r="AH35" s="1902">
        <v>0.7</v>
      </c>
      <c r="AI35" s="1902"/>
      <c r="AJ35" s="1902"/>
      <c r="AK35" s="1902"/>
      <c r="AL35" s="1907">
        <v>0.8</v>
      </c>
      <c r="AM35" s="1908"/>
      <c r="AN35" s="1908"/>
      <c r="AO35" s="1909"/>
      <c r="AP35" s="1910">
        <v>1.2</v>
      </c>
      <c r="AQ35" s="1911"/>
      <c r="AR35" s="1912"/>
      <c r="AS35" s="1904" t="s">
        <v>1939</v>
      </c>
      <c r="AT35" s="1905"/>
      <c r="AU35" s="1905"/>
      <c r="AV35" s="1905"/>
      <c r="AW35" s="1905"/>
      <c r="AX35" s="1913"/>
      <c r="AY35" s="1904" t="s">
        <v>1940</v>
      </c>
      <c r="AZ35" s="1905"/>
      <c r="BA35" s="1905"/>
      <c r="BB35" s="1905"/>
      <c r="BC35" s="1905"/>
      <c r="BD35" s="1906"/>
      <c r="BE35" s="903"/>
    </row>
    <row r="36" spans="1:58" ht="15.75" customHeight="1">
      <c r="A36" s="900"/>
      <c r="B36" s="1923" t="s">
        <v>1941</v>
      </c>
      <c r="C36" s="1924"/>
      <c r="D36" s="1924"/>
      <c r="E36" s="1924"/>
      <c r="F36" s="1924"/>
      <c r="G36" s="1924"/>
      <c r="H36" s="1924"/>
      <c r="I36" s="1924"/>
      <c r="J36" s="1925" t="s">
        <v>1942</v>
      </c>
      <c r="K36" s="1925"/>
      <c r="L36" s="1925"/>
      <c r="M36" s="1925"/>
      <c r="N36" s="1925">
        <v>55</v>
      </c>
      <c r="O36" s="1925"/>
      <c r="P36" s="1925"/>
      <c r="Q36" s="1925"/>
      <c r="R36" s="1926"/>
      <c r="S36" s="1926"/>
      <c r="T36" s="1926"/>
      <c r="U36" s="1926"/>
      <c r="V36" s="1926"/>
      <c r="W36" s="1926"/>
      <c r="X36" s="1926"/>
      <c r="Y36" s="1926"/>
      <c r="Z36" s="1926"/>
      <c r="AA36" s="1926"/>
      <c r="AB36" s="1926"/>
      <c r="AC36" s="1926"/>
      <c r="AD36" s="1926"/>
      <c r="AE36" s="1926"/>
      <c r="AF36" s="1926"/>
      <c r="AG36" s="1926"/>
      <c r="AH36" s="1926"/>
      <c r="AI36" s="1926"/>
      <c r="AJ36" s="1926"/>
      <c r="AK36" s="1926"/>
      <c r="AL36" s="1914"/>
      <c r="AM36" s="1915"/>
      <c r="AN36" s="1915"/>
      <c r="AO36" s="1916"/>
      <c r="AP36" s="1914"/>
      <c r="AQ36" s="1915"/>
      <c r="AR36" s="1916"/>
      <c r="AS36" s="1917">
        <f t="shared" ref="AS36:AS47" si="2">SUM(R36:AR36)</f>
        <v>0</v>
      </c>
      <c r="AT36" s="1918"/>
      <c r="AU36" s="1918"/>
      <c r="AV36" s="1918"/>
      <c r="AW36" s="1918"/>
      <c r="AX36" s="1919"/>
      <c r="AY36" s="1920">
        <f t="shared" ref="AY36:AY47" si="3">AS36/$J$29</f>
        <v>0</v>
      </c>
      <c r="AZ36" s="1921"/>
      <c r="BA36" s="1921"/>
      <c r="BB36" s="1921"/>
      <c r="BC36" s="1921"/>
      <c r="BD36" s="1922"/>
      <c r="BE36" s="903"/>
    </row>
    <row r="37" spans="1:58" ht="15.75" customHeight="1">
      <c r="A37" s="900"/>
      <c r="B37" s="1923" t="s">
        <v>1943</v>
      </c>
      <c r="C37" s="1924"/>
      <c r="D37" s="1924"/>
      <c r="E37" s="1924"/>
      <c r="F37" s="1924"/>
      <c r="G37" s="1924"/>
      <c r="H37" s="1924"/>
      <c r="I37" s="1924"/>
      <c r="J37" s="1925" t="s">
        <v>1944</v>
      </c>
      <c r="K37" s="1925"/>
      <c r="L37" s="1925"/>
      <c r="M37" s="1925"/>
      <c r="N37" s="1925">
        <v>55</v>
      </c>
      <c r="O37" s="1925"/>
      <c r="P37" s="1925"/>
      <c r="Q37" s="1925"/>
      <c r="R37" s="1926"/>
      <c r="S37" s="1926"/>
      <c r="T37" s="1926"/>
      <c r="U37" s="1926"/>
      <c r="V37" s="1926"/>
      <c r="W37" s="1926"/>
      <c r="X37" s="1926"/>
      <c r="Y37" s="1926"/>
      <c r="Z37" s="1926"/>
      <c r="AA37" s="1926"/>
      <c r="AB37" s="1926"/>
      <c r="AC37" s="1926"/>
      <c r="AD37" s="1926"/>
      <c r="AE37" s="1926"/>
      <c r="AF37" s="1926"/>
      <c r="AG37" s="1926"/>
      <c r="AH37" s="1926"/>
      <c r="AI37" s="1926"/>
      <c r="AJ37" s="1926"/>
      <c r="AK37" s="1926"/>
      <c r="AL37" s="1914"/>
      <c r="AM37" s="1915"/>
      <c r="AN37" s="1915"/>
      <c r="AO37" s="1916"/>
      <c r="AP37" s="1914"/>
      <c r="AQ37" s="1915"/>
      <c r="AR37" s="1916"/>
      <c r="AS37" s="1917">
        <f t="shared" si="2"/>
        <v>0</v>
      </c>
      <c r="AT37" s="1918"/>
      <c r="AU37" s="1918"/>
      <c r="AV37" s="1918"/>
      <c r="AW37" s="1918"/>
      <c r="AX37" s="1919"/>
      <c r="AY37" s="1920">
        <f t="shared" si="3"/>
        <v>0</v>
      </c>
      <c r="AZ37" s="1921"/>
      <c r="BA37" s="1921"/>
      <c r="BB37" s="1921"/>
      <c r="BC37" s="1921"/>
      <c r="BD37" s="1922"/>
      <c r="BE37" s="903"/>
    </row>
    <row r="38" spans="1:58" ht="15.75" customHeight="1">
      <c r="A38" s="900"/>
      <c r="B38" s="1923" t="s">
        <v>1945</v>
      </c>
      <c r="C38" s="1924"/>
      <c r="D38" s="1924"/>
      <c r="E38" s="1924"/>
      <c r="F38" s="1924"/>
      <c r="G38" s="1924"/>
      <c r="H38" s="1924"/>
      <c r="I38" s="1924"/>
      <c r="J38" s="1925" t="s">
        <v>1946</v>
      </c>
      <c r="K38" s="1925"/>
      <c r="L38" s="1925"/>
      <c r="M38" s="1925"/>
      <c r="N38" s="1925">
        <v>55</v>
      </c>
      <c r="O38" s="1925"/>
      <c r="P38" s="1925"/>
      <c r="Q38" s="1925"/>
      <c r="R38" s="1926"/>
      <c r="S38" s="1926"/>
      <c r="T38" s="1926"/>
      <c r="U38" s="1926"/>
      <c r="V38" s="1926"/>
      <c r="W38" s="1926"/>
      <c r="X38" s="1926"/>
      <c r="Y38" s="1926"/>
      <c r="Z38" s="1926"/>
      <c r="AA38" s="1926"/>
      <c r="AB38" s="1926"/>
      <c r="AC38" s="1926"/>
      <c r="AD38" s="1926"/>
      <c r="AE38" s="1926"/>
      <c r="AF38" s="1926"/>
      <c r="AG38" s="1926"/>
      <c r="AH38" s="1926"/>
      <c r="AI38" s="1926"/>
      <c r="AJ38" s="1926"/>
      <c r="AK38" s="1926"/>
      <c r="AL38" s="1914"/>
      <c r="AM38" s="1915"/>
      <c r="AN38" s="1915"/>
      <c r="AO38" s="1916"/>
      <c r="AP38" s="1914"/>
      <c r="AQ38" s="1915"/>
      <c r="AR38" s="1916"/>
      <c r="AS38" s="1917">
        <f t="shared" si="2"/>
        <v>0</v>
      </c>
      <c r="AT38" s="1918"/>
      <c r="AU38" s="1918"/>
      <c r="AV38" s="1918"/>
      <c r="AW38" s="1918"/>
      <c r="AX38" s="1919"/>
      <c r="AY38" s="1920">
        <f t="shared" si="3"/>
        <v>0</v>
      </c>
      <c r="AZ38" s="1921"/>
      <c r="BA38" s="1921"/>
      <c r="BB38" s="1921"/>
      <c r="BC38" s="1921"/>
      <c r="BD38" s="1922"/>
      <c r="BE38" s="903"/>
    </row>
    <row r="39" spans="1:58" ht="15.75" customHeight="1">
      <c r="A39" s="900"/>
      <c r="B39" s="1923" t="s">
        <v>1947</v>
      </c>
      <c r="C39" s="1924"/>
      <c r="D39" s="1924"/>
      <c r="E39" s="1924"/>
      <c r="F39" s="1924"/>
      <c r="G39" s="1924"/>
      <c r="H39" s="1924"/>
      <c r="I39" s="1924"/>
      <c r="J39" s="1925"/>
      <c r="K39" s="1925"/>
      <c r="L39" s="1925"/>
      <c r="M39" s="1925"/>
      <c r="N39" s="1925"/>
      <c r="O39" s="1925"/>
      <c r="P39" s="1925"/>
      <c r="Q39" s="1925"/>
      <c r="R39" s="1926"/>
      <c r="S39" s="1926"/>
      <c r="T39" s="1926"/>
      <c r="U39" s="1926"/>
      <c r="V39" s="1926"/>
      <c r="W39" s="1926"/>
      <c r="X39" s="1926"/>
      <c r="Y39" s="1926"/>
      <c r="Z39" s="1926"/>
      <c r="AA39" s="1926"/>
      <c r="AB39" s="1926"/>
      <c r="AC39" s="1926"/>
      <c r="AD39" s="1926"/>
      <c r="AE39" s="1926"/>
      <c r="AF39" s="1926"/>
      <c r="AG39" s="1926"/>
      <c r="AH39" s="1926"/>
      <c r="AI39" s="1926"/>
      <c r="AJ39" s="1926"/>
      <c r="AK39" s="1926"/>
      <c r="AL39" s="1914"/>
      <c r="AM39" s="1915"/>
      <c r="AN39" s="1915"/>
      <c r="AO39" s="1916"/>
      <c r="AP39" s="1914"/>
      <c r="AQ39" s="1915"/>
      <c r="AR39" s="1916"/>
      <c r="AS39" s="1917">
        <f t="shared" si="2"/>
        <v>0</v>
      </c>
      <c r="AT39" s="1918"/>
      <c r="AU39" s="1918"/>
      <c r="AV39" s="1918"/>
      <c r="AW39" s="1918"/>
      <c r="AX39" s="1919"/>
      <c r="AY39" s="1920">
        <f t="shared" si="3"/>
        <v>0</v>
      </c>
      <c r="AZ39" s="1921"/>
      <c r="BA39" s="1921"/>
      <c r="BB39" s="1921"/>
      <c r="BC39" s="1921"/>
      <c r="BD39" s="1922"/>
      <c r="BE39" s="903"/>
    </row>
    <row r="40" spans="1:58" ht="15.75" customHeight="1">
      <c r="A40" s="900"/>
      <c r="B40" s="1923" t="s">
        <v>1947</v>
      </c>
      <c r="C40" s="1924"/>
      <c r="D40" s="1924"/>
      <c r="E40" s="1924"/>
      <c r="F40" s="1924"/>
      <c r="G40" s="1924"/>
      <c r="H40" s="1924"/>
      <c r="I40" s="1924"/>
      <c r="J40" s="1925"/>
      <c r="K40" s="1925"/>
      <c r="L40" s="1925"/>
      <c r="M40" s="1925"/>
      <c r="N40" s="1925"/>
      <c r="O40" s="1925"/>
      <c r="P40" s="1925"/>
      <c r="Q40" s="1925"/>
      <c r="R40" s="1926"/>
      <c r="S40" s="1926"/>
      <c r="T40" s="1926"/>
      <c r="U40" s="1926"/>
      <c r="V40" s="1926"/>
      <c r="W40" s="1926"/>
      <c r="X40" s="1926"/>
      <c r="Y40" s="1926"/>
      <c r="Z40" s="1926"/>
      <c r="AA40" s="1926"/>
      <c r="AB40" s="1926"/>
      <c r="AC40" s="1926"/>
      <c r="AD40" s="1926"/>
      <c r="AE40" s="1926"/>
      <c r="AF40" s="1926"/>
      <c r="AG40" s="1926"/>
      <c r="AH40" s="1926"/>
      <c r="AI40" s="1926"/>
      <c r="AJ40" s="1926"/>
      <c r="AK40" s="1926"/>
      <c r="AL40" s="1914"/>
      <c r="AM40" s="1915"/>
      <c r="AN40" s="1915"/>
      <c r="AO40" s="1916"/>
      <c r="AP40" s="1914"/>
      <c r="AQ40" s="1915"/>
      <c r="AR40" s="1916"/>
      <c r="AS40" s="1917">
        <f t="shared" si="2"/>
        <v>0</v>
      </c>
      <c r="AT40" s="1918"/>
      <c r="AU40" s="1918"/>
      <c r="AV40" s="1918"/>
      <c r="AW40" s="1918"/>
      <c r="AX40" s="1919"/>
      <c r="AY40" s="1920">
        <f t="shared" si="3"/>
        <v>0</v>
      </c>
      <c r="AZ40" s="1921"/>
      <c r="BA40" s="1921"/>
      <c r="BB40" s="1921"/>
      <c r="BC40" s="1921"/>
      <c r="BD40" s="1922"/>
      <c r="BE40" s="903"/>
    </row>
    <row r="41" spans="1:58" ht="15.75" customHeight="1">
      <c r="A41" s="900"/>
      <c r="B41" s="1923" t="s">
        <v>1948</v>
      </c>
      <c r="C41" s="1924"/>
      <c r="D41" s="1924"/>
      <c r="E41" s="1924"/>
      <c r="F41" s="1924"/>
      <c r="G41" s="1924"/>
      <c r="H41" s="1924"/>
      <c r="I41" s="1924"/>
      <c r="J41" s="1925"/>
      <c r="K41" s="1925"/>
      <c r="L41" s="1925"/>
      <c r="M41" s="1925"/>
      <c r="N41" s="1925"/>
      <c r="O41" s="1925"/>
      <c r="P41" s="1925"/>
      <c r="Q41" s="1925"/>
      <c r="R41" s="1926"/>
      <c r="S41" s="1926"/>
      <c r="T41" s="1926"/>
      <c r="U41" s="1926"/>
      <c r="V41" s="1926"/>
      <c r="W41" s="1926"/>
      <c r="X41" s="1926"/>
      <c r="Y41" s="1926"/>
      <c r="Z41" s="1926"/>
      <c r="AA41" s="1926"/>
      <c r="AB41" s="1926"/>
      <c r="AC41" s="1926"/>
      <c r="AD41" s="1926"/>
      <c r="AE41" s="1926"/>
      <c r="AF41" s="1926"/>
      <c r="AG41" s="1926"/>
      <c r="AH41" s="1926"/>
      <c r="AI41" s="1926"/>
      <c r="AJ41" s="1926"/>
      <c r="AK41" s="1926"/>
      <c r="AL41" s="1914"/>
      <c r="AM41" s="1915"/>
      <c r="AN41" s="1915"/>
      <c r="AO41" s="1916"/>
      <c r="AP41" s="1914"/>
      <c r="AQ41" s="1915"/>
      <c r="AR41" s="1916"/>
      <c r="AS41" s="1917">
        <f t="shared" si="2"/>
        <v>0</v>
      </c>
      <c r="AT41" s="1918"/>
      <c r="AU41" s="1918"/>
      <c r="AV41" s="1918"/>
      <c r="AW41" s="1918"/>
      <c r="AX41" s="1919"/>
      <c r="AY41" s="1920">
        <f t="shared" si="3"/>
        <v>0</v>
      </c>
      <c r="AZ41" s="1921"/>
      <c r="BA41" s="1921"/>
      <c r="BB41" s="1921"/>
      <c r="BC41" s="1921"/>
      <c r="BD41" s="1922"/>
      <c r="BE41" s="903"/>
    </row>
    <row r="42" spans="1:58" ht="15.75" customHeight="1">
      <c r="A42" s="900"/>
      <c r="B42" s="1923" t="s">
        <v>1948</v>
      </c>
      <c r="C42" s="1924"/>
      <c r="D42" s="1924"/>
      <c r="E42" s="1924"/>
      <c r="F42" s="1924"/>
      <c r="G42" s="1924"/>
      <c r="H42" s="1924"/>
      <c r="I42" s="1924"/>
      <c r="J42" s="1925"/>
      <c r="K42" s="1925"/>
      <c r="L42" s="1925"/>
      <c r="M42" s="1925"/>
      <c r="N42" s="1925"/>
      <c r="O42" s="1925"/>
      <c r="P42" s="1925"/>
      <c r="Q42" s="1925"/>
      <c r="R42" s="1926"/>
      <c r="S42" s="1926"/>
      <c r="T42" s="1926"/>
      <c r="U42" s="1926"/>
      <c r="V42" s="1926"/>
      <c r="W42" s="1926"/>
      <c r="X42" s="1926"/>
      <c r="Y42" s="1926"/>
      <c r="Z42" s="1926"/>
      <c r="AA42" s="1926"/>
      <c r="AB42" s="1926"/>
      <c r="AC42" s="1926"/>
      <c r="AD42" s="1926"/>
      <c r="AE42" s="1926"/>
      <c r="AF42" s="1926"/>
      <c r="AG42" s="1926"/>
      <c r="AH42" s="1926"/>
      <c r="AI42" s="1926"/>
      <c r="AJ42" s="1926"/>
      <c r="AK42" s="1926"/>
      <c r="AL42" s="1914"/>
      <c r="AM42" s="1915"/>
      <c r="AN42" s="1915"/>
      <c r="AO42" s="1916"/>
      <c r="AP42" s="1914"/>
      <c r="AQ42" s="1915"/>
      <c r="AR42" s="1916"/>
      <c r="AS42" s="1917">
        <f t="shared" si="2"/>
        <v>0</v>
      </c>
      <c r="AT42" s="1918"/>
      <c r="AU42" s="1918"/>
      <c r="AV42" s="1918"/>
      <c r="AW42" s="1918"/>
      <c r="AX42" s="1919"/>
      <c r="AY42" s="1920">
        <f t="shared" si="3"/>
        <v>0</v>
      </c>
      <c r="AZ42" s="1921"/>
      <c r="BA42" s="1921"/>
      <c r="BB42" s="1921"/>
      <c r="BC42" s="1921"/>
      <c r="BD42" s="1922"/>
      <c r="BE42" s="903"/>
    </row>
    <row r="43" spans="1:58" ht="15.75" customHeight="1">
      <c r="A43" s="900"/>
      <c r="B43" s="1927" t="s">
        <v>1949</v>
      </c>
      <c r="C43" s="1928"/>
      <c r="D43" s="1928"/>
      <c r="E43" s="1928"/>
      <c r="F43" s="1928"/>
      <c r="G43" s="1928"/>
      <c r="H43" s="1928"/>
      <c r="I43" s="1928"/>
      <c r="J43" s="1925"/>
      <c r="K43" s="1925"/>
      <c r="L43" s="1925"/>
      <c r="M43" s="1925"/>
      <c r="N43" s="1925"/>
      <c r="O43" s="1925"/>
      <c r="P43" s="1925"/>
      <c r="Q43" s="1925"/>
      <c r="R43" s="1926"/>
      <c r="S43" s="1926"/>
      <c r="T43" s="1926"/>
      <c r="U43" s="1926"/>
      <c r="V43" s="1926"/>
      <c r="W43" s="1926"/>
      <c r="X43" s="1926"/>
      <c r="Y43" s="1926"/>
      <c r="Z43" s="1926"/>
      <c r="AA43" s="1926"/>
      <c r="AB43" s="1926"/>
      <c r="AC43" s="1926"/>
      <c r="AD43" s="1926"/>
      <c r="AE43" s="1926"/>
      <c r="AF43" s="1926"/>
      <c r="AG43" s="1926"/>
      <c r="AH43" s="1926"/>
      <c r="AI43" s="1926"/>
      <c r="AJ43" s="1926"/>
      <c r="AK43" s="1926"/>
      <c r="AL43" s="1914"/>
      <c r="AM43" s="1915"/>
      <c r="AN43" s="1915"/>
      <c r="AO43" s="1916"/>
      <c r="AP43" s="1914"/>
      <c r="AQ43" s="1915"/>
      <c r="AR43" s="1916"/>
      <c r="AS43" s="1917">
        <f t="shared" si="2"/>
        <v>0</v>
      </c>
      <c r="AT43" s="1918"/>
      <c r="AU43" s="1918"/>
      <c r="AV43" s="1918"/>
      <c r="AW43" s="1918"/>
      <c r="AX43" s="1919"/>
      <c r="AY43" s="1920">
        <f t="shared" si="3"/>
        <v>0</v>
      </c>
      <c r="AZ43" s="1921"/>
      <c r="BA43" s="1921"/>
      <c r="BB43" s="1921"/>
      <c r="BC43" s="1921"/>
      <c r="BD43" s="1922"/>
      <c r="BE43" s="903"/>
    </row>
    <row r="44" spans="1:58" ht="15.75" customHeight="1">
      <c r="A44" s="900"/>
      <c r="B44" s="1927" t="s">
        <v>1950</v>
      </c>
      <c r="C44" s="1928"/>
      <c r="D44" s="1928"/>
      <c r="E44" s="1928"/>
      <c r="F44" s="1928"/>
      <c r="G44" s="1928"/>
      <c r="H44" s="1928"/>
      <c r="I44" s="1928"/>
      <c r="J44" s="1925"/>
      <c r="K44" s="1925"/>
      <c r="L44" s="1925"/>
      <c r="M44" s="1925"/>
      <c r="N44" s="1925"/>
      <c r="O44" s="1925"/>
      <c r="P44" s="1925"/>
      <c r="Q44" s="1925"/>
      <c r="R44" s="1926"/>
      <c r="S44" s="1926"/>
      <c r="T44" s="1926"/>
      <c r="U44" s="1926"/>
      <c r="V44" s="1926"/>
      <c r="W44" s="1926"/>
      <c r="X44" s="1926"/>
      <c r="Y44" s="1926"/>
      <c r="Z44" s="1926"/>
      <c r="AA44" s="1926"/>
      <c r="AB44" s="1926"/>
      <c r="AC44" s="1926"/>
      <c r="AD44" s="1926"/>
      <c r="AE44" s="1926"/>
      <c r="AF44" s="1926"/>
      <c r="AG44" s="1926"/>
      <c r="AH44" s="1926"/>
      <c r="AI44" s="1926"/>
      <c r="AJ44" s="1926"/>
      <c r="AK44" s="1926"/>
      <c r="AL44" s="1914"/>
      <c r="AM44" s="1915"/>
      <c r="AN44" s="1915"/>
      <c r="AO44" s="1916"/>
      <c r="AP44" s="1914"/>
      <c r="AQ44" s="1915"/>
      <c r="AR44" s="1916"/>
      <c r="AS44" s="1917">
        <f t="shared" si="2"/>
        <v>0</v>
      </c>
      <c r="AT44" s="1918"/>
      <c r="AU44" s="1918"/>
      <c r="AV44" s="1918"/>
      <c r="AW44" s="1918"/>
      <c r="AX44" s="1919"/>
      <c r="AY44" s="1920">
        <f t="shared" si="3"/>
        <v>0</v>
      </c>
      <c r="AZ44" s="1921"/>
      <c r="BA44" s="1921"/>
      <c r="BB44" s="1921"/>
      <c r="BC44" s="1921"/>
      <c r="BD44" s="1922"/>
      <c r="BE44" s="903"/>
    </row>
    <row r="45" spans="1:58" ht="15.75" customHeight="1">
      <c r="A45" s="900"/>
      <c r="B45" s="1927" t="s">
        <v>1951</v>
      </c>
      <c r="C45" s="1928"/>
      <c r="D45" s="1928"/>
      <c r="E45" s="1928"/>
      <c r="F45" s="1928"/>
      <c r="G45" s="1928"/>
      <c r="H45" s="1928"/>
      <c r="I45" s="1928"/>
      <c r="J45" s="1925"/>
      <c r="K45" s="1925"/>
      <c r="L45" s="1925"/>
      <c r="M45" s="1925"/>
      <c r="N45" s="1925"/>
      <c r="O45" s="1925"/>
      <c r="P45" s="1925"/>
      <c r="Q45" s="1925"/>
      <c r="R45" s="1926"/>
      <c r="S45" s="1926"/>
      <c r="T45" s="1926"/>
      <c r="U45" s="1926"/>
      <c r="V45" s="1926"/>
      <c r="W45" s="1926"/>
      <c r="X45" s="1926"/>
      <c r="Y45" s="1926"/>
      <c r="Z45" s="1926"/>
      <c r="AA45" s="1926"/>
      <c r="AB45" s="1926"/>
      <c r="AC45" s="1926"/>
      <c r="AD45" s="1926"/>
      <c r="AE45" s="1926"/>
      <c r="AF45" s="1926"/>
      <c r="AG45" s="1926"/>
      <c r="AH45" s="1926"/>
      <c r="AI45" s="1926"/>
      <c r="AJ45" s="1926"/>
      <c r="AK45" s="1926"/>
      <c r="AL45" s="1914"/>
      <c r="AM45" s="1915"/>
      <c r="AN45" s="1915"/>
      <c r="AO45" s="1916"/>
      <c r="AP45" s="1914"/>
      <c r="AQ45" s="1915"/>
      <c r="AR45" s="1916"/>
      <c r="AS45" s="1917">
        <f t="shared" si="2"/>
        <v>0</v>
      </c>
      <c r="AT45" s="1918"/>
      <c r="AU45" s="1918"/>
      <c r="AV45" s="1918"/>
      <c r="AW45" s="1918"/>
      <c r="AX45" s="1919"/>
      <c r="AY45" s="1920">
        <f t="shared" si="3"/>
        <v>0</v>
      </c>
      <c r="AZ45" s="1921"/>
      <c r="BA45" s="1921"/>
      <c r="BB45" s="1921"/>
      <c r="BC45" s="1921"/>
      <c r="BD45" s="1922"/>
      <c r="BE45" s="903"/>
    </row>
    <row r="46" spans="1:58" ht="15.75" customHeight="1">
      <c r="A46" s="900"/>
      <c r="B46" s="1927" t="s">
        <v>1952</v>
      </c>
      <c r="C46" s="1928"/>
      <c r="D46" s="1928"/>
      <c r="E46" s="1928"/>
      <c r="F46" s="1928"/>
      <c r="G46" s="1928"/>
      <c r="H46" s="1928"/>
      <c r="I46" s="1928"/>
      <c r="J46" s="1925"/>
      <c r="K46" s="1925"/>
      <c r="L46" s="1925"/>
      <c r="M46" s="1925"/>
      <c r="N46" s="1925">
        <v>99</v>
      </c>
      <c r="O46" s="1925"/>
      <c r="P46" s="1925"/>
      <c r="Q46" s="1925"/>
      <c r="R46" s="1926"/>
      <c r="S46" s="1926"/>
      <c r="T46" s="1926"/>
      <c r="U46" s="1926"/>
      <c r="V46" s="1926"/>
      <c r="W46" s="1926"/>
      <c r="X46" s="1926"/>
      <c r="Y46" s="1926"/>
      <c r="Z46" s="1926"/>
      <c r="AA46" s="1926"/>
      <c r="AB46" s="1926"/>
      <c r="AC46" s="1926"/>
      <c r="AD46" s="1926"/>
      <c r="AE46" s="1926"/>
      <c r="AF46" s="1926"/>
      <c r="AG46" s="1926"/>
      <c r="AH46" s="1926"/>
      <c r="AI46" s="1926"/>
      <c r="AJ46" s="1926"/>
      <c r="AK46" s="1926"/>
      <c r="AL46" s="1914"/>
      <c r="AM46" s="1915"/>
      <c r="AN46" s="1915"/>
      <c r="AO46" s="1916"/>
      <c r="AP46" s="1914"/>
      <c r="AQ46" s="1915"/>
      <c r="AR46" s="1916"/>
      <c r="AS46" s="1917">
        <f t="shared" si="2"/>
        <v>0</v>
      </c>
      <c r="AT46" s="1918"/>
      <c r="AU46" s="1918"/>
      <c r="AV46" s="1918"/>
      <c r="AW46" s="1918"/>
      <c r="AX46" s="1919"/>
      <c r="AY46" s="1920">
        <f t="shared" si="3"/>
        <v>0</v>
      </c>
      <c r="AZ46" s="1921"/>
      <c r="BA46" s="1921"/>
      <c r="BB46" s="1921"/>
      <c r="BC46" s="1921"/>
      <c r="BD46" s="1922"/>
      <c r="BE46" s="903"/>
    </row>
    <row r="47" spans="1:58" ht="15.75" customHeight="1" thickBot="1">
      <c r="A47" s="900"/>
      <c r="B47" s="1929" t="s">
        <v>1052</v>
      </c>
      <c r="C47" s="1930"/>
      <c r="D47" s="1930"/>
      <c r="E47" s="1930"/>
      <c r="F47" s="1930"/>
      <c r="G47" s="1930"/>
      <c r="H47" s="1930"/>
      <c r="I47" s="1930"/>
      <c r="J47" s="1931"/>
      <c r="K47" s="1931"/>
      <c r="L47" s="1931"/>
      <c r="M47" s="1931"/>
      <c r="N47" s="1931"/>
      <c r="O47" s="1931"/>
      <c r="P47" s="1931"/>
      <c r="Q47" s="1931"/>
      <c r="R47" s="1932"/>
      <c r="S47" s="1932"/>
      <c r="T47" s="1932"/>
      <c r="U47" s="1932"/>
      <c r="V47" s="1932"/>
      <c r="W47" s="1932"/>
      <c r="X47" s="1932"/>
      <c r="Y47" s="1932"/>
      <c r="Z47" s="1932"/>
      <c r="AA47" s="1932"/>
      <c r="AB47" s="1932"/>
      <c r="AC47" s="1932"/>
      <c r="AD47" s="1932"/>
      <c r="AE47" s="1932"/>
      <c r="AF47" s="1932"/>
      <c r="AG47" s="1932"/>
      <c r="AH47" s="1932"/>
      <c r="AI47" s="1932"/>
      <c r="AJ47" s="1932"/>
      <c r="AK47" s="1932"/>
      <c r="AL47" s="1936"/>
      <c r="AM47" s="1937"/>
      <c r="AN47" s="1937"/>
      <c r="AO47" s="1938"/>
      <c r="AP47" s="1936"/>
      <c r="AQ47" s="1937"/>
      <c r="AR47" s="1938"/>
      <c r="AS47" s="1917">
        <f t="shared" si="2"/>
        <v>0</v>
      </c>
      <c r="AT47" s="1918"/>
      <c r="AU47" s="1918"/>
      <c r="AV47" s="1918"/>
      <c r="AW47" s="1918"/>
      <c r="AX47" s="1919"/>
      <c r="AY47" s="1933">
        <f t="shared" si="3"/>
        <v>0</v>
      </c>
      <c r="AZ47" s="1934"/>
      <c r="BA47" s="1934"/>
      <c r="BB47" s="1934"/>
      <c r="BC47" s="1934"/>
      <c r="BD47" s="1935"/>
      <c r="BE47" s="903"/>
    </row>
    <row r="48" spans="1:58" ht="15.75" customHeight="1">
      <c r="A48" s="900"/>
      <c r="B48" s="905" t="s">
        <v>1953</v>
      </c>
      <c r="C48" s="900"/>
      <c r="D48" s="900"/>
      <c r="E48" s="900"/>
      <c r="F48" s="900"/>
      <c r="G48" s="900"/>
      <c r="H48" s="900"/>
      <c r="I48" s="900"/>
      <c r="J48" s="900"/>
      <c r="K48" s="900"/>
      <c r="L48" s="900"/>
      <c r="M48" s="900"/>
      <c r="N48" s="900"/>
      <c r="O48" s="900"/>
      <c r="P48" s="900"/>
      <c r="Q48" s="900"/>
      <c r="R48" s="900"/>
      <c r="S48" s="900"/>
      <c r="T48" s="900"/>
      <c r="U48" s="900"/>
      <c r="V48" s="900"/>
      <c r="W48" s="900"/>
      <c r="X48" s="900"/>
      <c r="Y48" s="900"/>
      <c r="Z48" s="900"/>
      <c r="AA48" s="900"/>
      <c r="AB48" s="900"/>
      <c r="AC48" s="900"/>
      <c r="AD48" s="900"/>
      <c r="AE48" s="900"/>
      <c r="AF48" s="900"/>
      <c r="AG48" s="900"/>
      <c r="AH48" s="900"/>
      <c r="AI48" s="900"/>
      <c r="AJ48" s="900"/>
      <c r="AK48" s="900"/>
      <c r="AL48" s="900"/>
      <c r="AM48" s="900"/>
      <c r="AN48" s="900"/>
      <c r="AO48" s="900"/>
      <c r="AP48" s="900"/>
      <c r="AQ48" s="900"/>
      <c r="AR48" s="900"/>
      <c r="AS48" s="900"/>
      <c r="AT48" s="900"/>
      <c r="AU48" s="900"/>
      <c r="AV48" s="900"/>
      <c r="AW48" s="900"/>
      <c r="AX48" s="900"/>
      <c r="AY48" s="900"/>
      <c r="AZ48" s="900"/>
      <c r="BA48" s="900"/>
      <c r="BB48" s="900"/>
      <c r="BC48" s="900"/>
      <c r="BD48" s="900"/>
      <c r="BE48" s="903"/>
      <c r="BF48" s="898"/>
    </row>
    <row r="49" spans="1:77" ht="15.75" customHeight="1" thickBot="1">
      <c r="A49" s="900"/>
      <c r="B49" s="905" t="s">
        <v>1954</v>
      </c>
      <c r="C49" s="900"/>
      <c r="D49" s="900"/>
      <c r="E49" s="900"/>
      <c r="F49" s="900"/>
      <c r="G49" s="900"/>
      <c r="H49" s="900"/>
      <c r="I49" s="900"/>
      <c r="J49" s="900"/>
      <c r="K49" s="900"/>
      <c r="L49" s="900"/>
      <c r="M49" s="900"/>
      <c r="N49" s="900"/>
      <c r="O49" s="900"/>
      <c r="P49" s="900"/>
      <c r="Q49" s="900"/>
      <c r="R49" s="900"/>
      <c r="S49" s="900"/>
      <c r="T49" s="900"/>
      <c r="U49" s="900"/>
      <c r="V49" s="900"/>
      <c r="W49" s="900"/>
      <c r="X49" s="900"/>
      <c r="Y49" s="900"/>
      <c r="Z49" s="900"/>
      <c r="AA49" s="900"/>
      <c r="AB49" s="900"/>
      <c r="AC49" s="900"/>
      <c r="AD49" s="900"/>
      <c r="AE49" s="900"/>
      <c r="AF49" s="900"/>
      <c r="AG49" s="900"/>
      <c r="AH49" s="900"/>
      <c r="AI49" s="900"/>
      <c r="AJ49" s="900"/>
      <c r="AK49" s="900"/>
      <c r="AL49" s="900"/>
      <c r="AM49" s="900"/>
      <c r="AN49" s="900"/>
      <c r="AO49" s="900"/>
      <c r="AP49" s="901"/>
      <c r="AQ49" s="901"/>
      <c r="AR49" s="901"/>
      <c r="AS49" s="901"/>
      <c r="AT49" s="901"/>
      <c r="AU49" s="901"/>
      <c r="AV49" s="901"/>
      <c r="AW49" s="901"/>
      <c r="AX49" s="900"/>
      <c r="AY49" s="900"/>
      <c r="AZ49" s="900"/>
      <c r="BA49" s="900"/>
      <c r="BB49" s="900"/>
      <c r="BC49" s="900"/>
      <c r="BD49" s="900"/>
      <c r="BE49" s="903"/>
      <c r="BF49" s="898"/>
    </row>
    <row r="50" spans="1:77" ht="15.75" customHeight="1">
      <c r="A50" s="900"/>
      <c r="B50" s="1939" t="s">
        <v>1955</v>
      </c>
      <c r="C50" s="1940"/>
      <c r="D50" s="1940"/>
      <c r="E50" s="1940"/>
      <c r="F50" s="1940"/>
      <c r="G50" s="1940"/>
      <c r="H50" s="1940"/>
      <c r="I50" s="1940"/>
      <c r="J50" s="1940"/>
      <c r="K50" s="1940"/>
      <c r="L50" s="1940"/>
      <c r="M50" s="1940"/>
      <c r="N50" s="1940"/>
      <c r="O50" s="1940"/>
      <c r="P50" s="1940"/>
      <c r="Q50" s="1940"/>
      <c r="R50" s="1940"/>
      <c r="S50" s="1940"/>
      <c r="T50" s="1940"/>
      <c r="U50" s="1940"/>
      <c r="V50" s="1940"/>
      <c r="W50" s="1940"/>
      <c r="X50" s="1940"/>
      <c r="Y50" s="1940"/>
      <c r="Z50" s="1940"/>
      <c r="AA50" s="1940"/>
      <c r="AB50" s="1940"/>
      <c r="AC50" s="1940"/>
      <c r="AD50" s="1940"/>
      <c r="AE50" s="1940"/>
      <c r="AF50" s="1940"/>
      <c r="AG50" s="1940"/>
      <c r="AH50" s="1940"/>
      <c r="AI50" s="1940"/>
      <c r="AJ50" s="1940"/>
      <c r="AK50" s="1940"/>
      <c r="AL50" s="1940"/>
      <c r="AM50" s="1940"/>
      <c r="AN50" s="1940"/>
      <c r="AO50" s="1941"/>
      <c r="AP50" s="901"/>
      <c r="AQ50" s="901"/>
      <c r="AR50" s="901"/>
      <c r="AS50" s="901"/>
      <c r="AT50" s="901"/>
      <c r="AU50" s="901"/>
      <c r="AV50" s="901"/>
      <c r="AW50" s="901"/>
      <c r="AX50" s="900"/>
      <c r="AY50" s="900"/>
      <c r="AZ50" s="900"/>
      <c r="BA50" s="900"/>
      <c r="BB50" s="900"/>
      <c r="BC50" s="900"/>
      <c r="BD50" s="900"/>
      <c r="BE50" s="903"/>
    </row>
    <row r="51" spans="1:77" ht="33.75" customHeight="1">
      <c r="A51" s="900"/>
      <c r="B51" s="1942" t="s">
        <v>1956</v>
      </c>
      <c r="C51" s="1943"/>
      <c r="D51" s="1943"/>
      <c r="E51" s="1943"/>
      <c r="F51" s="1943"/>
      <c r="G51" s="1943"/>
      <c r="H51" s="1943"/>
      <c r="I51" s="1943"/>
      <c r="J51" s="1943" t="s">
        <v>1957</v>
      </c>
      <c r="K51" s="1943"/>
      <c r="L51" s="1943"/>
      <c r="M51" s="1943"/>
      <c r="N51" s="1943"/>
      <c r="O51" s="1943"/>
      <c r="P51" s="1943"/>
      <c r="Q51" s="1943"/>
      <c r="R51" s="1944" t="s">
        <v>1958</v>
      </c>
      <c r="S51" s="1944"/>
      <c r="T51" s="1944"/>
      <c r="U51" s="1944"/>
      <c r="V51" s="1944"/>
      <c r="W51" s="1944"/>
      <c r="X51" s="1944"/>
      <c r="Y51" s="1944"/>
      <c r="Z51" s="1944" t="s">
        <v>1959</v>
      </c>
      <c r="AA51" s="1944"/>
      <c r="AB51" s="1944"/>
      <c r="AC51" s="1944"/>
      <c r="AD51" s="1944"/>
      <c r="AE51" s="1944"/>
      <c r="AF51" s="1944"/>
      <c r="AG51" s="1944"/>
      <c r="AH51" s="1944" t="s">
        <v>1960</v>
      </c>
      <c r="AI51" s="1944"/>
      <c r="AJ51" s="1944"/>
      <c r="AK51" s="1944"/>
      <c r="AL51" s="1944"/>
      <c r="AM51" s="1944"/>
      <c r="AN51" s="1944"/>
      <c r="AO51" s="1945"/>
      <c r="AP51" s="901"/>
      <c r="AQ51" s="901"/>
      <c r="AR51" s="901"/>
      <c r="AS51" s="901"/>
      <c r="AT51" s="901"/>
      <c r="AU51" s="901"/>
      <c r="AV51" s="901"/>
      <c r="AW51" s="901"/>
      <c r="AX51" s="904"/>
      <c r="AY51" s="900"/>
      <c r="AZ51" s="900"/>
      <c r="BA51" s="900"/>
      <c r="BB51" s="900"/>
      <c r="BC51" s="900"/>
      <c r="BD51" s="900"/>
      <c r="BE51" s="903"/>
    </row>
    <row r="52" spans="1:77" ht="15.75" customHeight="1">
      <c r="A52" s="900"/>
      <c r="B52" s="1927" t="s">
        <v>1961</v>
      </c>
      <c r="C52" s="1928"/>
      <c r="D52" s="1928"/>
      <c r="E52" s="1928"/>
      <c r="F52" s="1928"/>
      <c r="G52" s="1928"/>
      <c r="H52" s="1928"/>
      <c r="I52" s="1928"/>
      <c r="J52" s="1946">
        <v>0</v>
      </c>
      <c r="K52" s="1946"/>
      <c r="L52" s="1946"/>
      <c r="M52" s="1946"/>
      <c r="N52" s="1946"/>
      <c r="O52" s="1946"/>
      <c r="P52" s="1946"/>
      <c r="Q52" s="1946"/>
      <c r="R52" s="1947">
        <v>0</v>
      </c>
      <c r="S52" s="1947"/>
      <c r="T52" s="1947"/>
      <c r="U52" s="1947"/>
      <c r="V52" s="1947"/>
      <c r="W52" s="1947"/>
      <c r="X52" s="1947"/>
      <c r="Y52" s="1947"/>
      <c r="Z52" s="1948">
        <v>0</v>
      </c>
      <c r="AA52" s="1948"/>
      <c r="AB52" s="1948"/>
      <c r="AC52" s="1948"/>
      <c r="AD52" s="1948"/>
      <c r="AE52" s="1948"/>
      <c r="AF52" s="1948"/>
      <c r="AG52" s="1948"/>
      <c r="AH52" s="1949"/>
      <c r="AI52" s="1949"/>
      <c r="AJ52" s="1949"/>
      <c r="AK52" s="1949"/>
      <c r="AL52" s="1949"/>
      <c r="AM52" s="1949"/>
      <c r="AN52" s="1949"/>
      <c r="AO52" s="1950"/>
      <c r="AP52" s="901"/>
      <c r="AQ52" s="901"/>
      <c r="AR52" s="901"/>
      <c r="AS52" s="901"/>
      <c r="AT52" s="901"/>
      <c r="AU52" s="901"/>
      <c r="AV52" s="901"/>
      <c r="AW52" s="901"/>
      <c r="AX52" s="904"/>
      <c r="AY52" s="900"/>
      <c r="AZ52" s="900"/>
      <c r="BA52" s="900"/>
      <c r="BB52" s="900"/>
      <c r="BC52" s="900"/>
      <c r="BD52" s="900"/>
      <c r="BE52" s="903"/>
    </row>
    <row r="53" spans="1:77" ht="15.75" customHeight="1">
      <c r="A53" s="900"/>
      <c r="B53" s="1927" t="s">
        <v>1962</v>
      </c>
      <c r="C53" s="1928"/>
      <c r="D53" s="1928"/>
      <c r="E53" s="1928"/>
      <c r="F53" s="1928"/>
      <c r="G53" s="1928"/>
      <c r="H53" s="1928"/>
      <c r="I53" s="1928"/>
      <c r="J53" s="1946">
        <v>0</v>
      </c>
      <c r="K53" s="1946"/>
      <c r="L53" s="1946"/>
      <c r="M53" s="1946"/>
      <c r="N53" s="1946"/>
      <c r="O53" s="1946"/>
      <c r="P53" s="1946"/>
      <c r="Q53" s="1946"/>
      <c r="R53" s="1947">
        <v>0</v>
      </c>
      <c r="S53" s="1947"/>
      <c r="T53" s="1947"/>
      <c r="U53" s="1947"/>
      <c r="V53" s="1947"/>
      <c r="W53" s="1947"/>
      <c r="X53" s="1947"/>
      <c r="Y53" s="1947"/>
      <c r="Z53" s="1948">
        <v>0</v>
      </c>
      <c r="AA53" s="1948"/>
      <c r="AB53" s="1948"/>
      <c r="AC53" s="1948"/>
      <c r="AD53" s="1948"/>
      <c r="AE53" s="1948"/>
      <c r="AF53" s="1948"/>
      <c r="AG53" s="1948"/>
      <c r="AH53" s="1949"/>
      <c r="AI53" s="1949"/>
      <c r="AJ53" s="1949"/>
      <c r="AK53" s="1949"/>
      <c r="AL53" s="1949"/>
      <c r="AM53" s="1949"/>
      <c r="AN53" s="1949"/>
      <c r="AO53" s="1950"/>
      <c r="AP53" s="901"/>
      <c r="AQ53" s="901"/>
      <c r="AR53" s="901"/>
      <c r="AS53" s="901"/>
      <c r="AT53" s="901"/>
      <c r="AU53" s="901"/>
      <c r="AV53" s="901"/>
      <c r="AW53" s="901"/>
      <c r="AX53" s="900"/>
      <c r="AY53" s="900"/>
      <c r="AZ53" s="900"/>
      <c r="BA53" s="900"/>
      <c r="BB53" s="900"/>
      <c r="BC53" s="900"/>
      <c r="BD53" s="900"/>
      <c r="BE53" s="903"/>
    </row>
    <row r="54" spans="1:77" ht="15.75" customHeight="1">
      <c r="A54" s="900"/>
      <c r="B54" s="1927"/>
      <c r="C54" s="1928"/>
      <c r="D54" s="1928"/>
      <c r="E54" s="1928"/>
      <c r="F54" s="1928"/>
      <c r="G54" s="1928"/>
      <c r="H54" s="1928"/>
      <c r="I54" s="1928"/>
      <c r="J54" s="1946"/>
      <c r="K54" s="1946"/>
      <c r="L54" s="1946"/>
      <c r="M54" s="1946"/>
      <c r="N54" s="1946"/>
      <c r="O54" s="1946"/>
      <c r="P54" s="1946"/>
      <c r="Q54" s="1946"/>
      <c r="R54" s="1947"/>
      <c r="S54" s="1947"/>
      <c r="T54" s="1947"/>
      <c r="U54" s="1947"/>
      <c r="V54" s="1947"/>
      <c r="W54" s="1947"/>
      <c r="X54" s="1947"/>
      <c r="Y54" s="1947"/>
      <c r="Z54" s="1948"/>
      <c r="AA54" s="1948"/>
      <c r="AB54" s="1948"/>
      <c r="AC54" s="1948"/>
      <c r="AD54" s="1948"/>
      <c r="AE54" s="1948"/>
      <c r="AF54" s="1948"/>
      <c r="AG54" s="1948"/>
      <c r="AH54" s="1949"/>
      <c r="AI54" s="1949"/>
      <c r="AJ54" s="1949"/>
      <c r="AK54" s="1949"/>
      <c r="AL54" s="1949"/>
      <c r="AM54" s="1949"/>
      <c r="AN54" s="1949"/>
      <c r="AO54" s="1950"/>
      <c r="AP54" s="901"/>
      <c r="AQ54" s="901"/>
      <c r="AR54" s="901"/>
      <c r="AS54" s="901"/>
      <c r="AT54" s="901"/>
      <c r="AU54" s="901"/>
      <c r="AV54" s="901"/>
      <c r="AW54" s="901"/>
      <c r="AX54" s="900"/>
      <c r="AY54" s="900"/>
      <c r="AZ54" s="900"/>
      <c r="BA54" s="900"/>
      <c r="BB54" s="900"/>
      <c r="BC54" s="900"/>
      <c r="BD54" s="900"/>
      <c r="BE54" s="903"/>
    </row>
    <row r="55" spans="1:77" ht="15.75" customHeight="1">
      <c r="A55" s="900"/>
      <c r="B55" s="1927"/>
      <c r="C55" s="1928"/>
      <c r="D55" s="1928"/>
      <c r="E55" s="1928"/>
      <c r="F55" s="1928"/>
      <c r="G55" s="1928"/>
      <c r="H55" s="1928"/>
      <c r="I55" s="1928"/>
      <c r="J55" s="1946"/>
      <c r="K55" s="1946"/>
      <c r="L55" s="1946"/>
      <c r="M55" s="1946"/>
      <c r="N55" s="1946"/>
      <c r="O55" s="1946"/>
      <c r="P55" s="1946"/>
      <c r="Q55" s="1946"/>
      <c r="R55" s="1947"/>
      <c r="S55" s="1947"/>
      <c r="T55" s="1947"/>
      <c r="U55" s="1947"/>
      <c r="V55" s="1947"/>
      <c r="W55" s="1947"/>
      <c r="X55" s="1947"/>
      <c r="Y55" s="1947"/>
      <c r="Z55" s="1948"/>
      <c r="AA55" s="1948"/>
      <c r="AB55" s="1948"/>
      <c r="AC55" s="1948"/>
      <c r="AD55" s="1948"/>
      <c r="AE55" s="1948"/>
      <c r="AF55" s="1948"/>
      <c r="AG55" s="1948"/>
      <c r="AH55" s="1949"/>
      <c r="AI55" s="1949"/>
      <c r="AJ55" s="1949"/>
      <c r="AK55" s="1949"/>
      <c r="AL55" s="1949"/>
      <c r="AM55" s="1949"/>
      <c r="AN55" s="1949"/>
      <c r="AO55" s="1950"/>
      <c r="AP55" s="901"/>
      <c r="AQ55" s="901"/>
      <c r="AR55" s="901"/>
      <c r="AS55" s="901"/>
      <c r="AT55" s="901" t="s">
        <v>254</v>
      </c>
      <c r="AU55" s="901"/>
      <c r="AV55" s="901"/>
      <c r="AW55" s="901"/>
      <c r="AX55" s="900"/>
      <c r="AY55" s="900"/>
      <c r="AZ55" s="900"/>
      <c r="BA55" s="900"/>
      <c r="BB55" s="900"/>
      <c r="BC55" s="900"/>
      <c r="BD55" s="900"/>
      <c r="BE55" s="903"/>
    </row>
    <row r="56" spans="1:77" ht="15.75" customHeight="1">
      <c r="A56" s="900"/>
      <c r="B56" s="1927"/>
      <c r="C56" s="1928"/>
      <c r="D56" s="1928"/>
      <c r="E56" s="1928"/>
      <c r="F56" s="1928"/>
      <c r="G56" s="1928"/>
      <c r="H56" s="1928"/>
      <c r="I56" s="1928"/>
      <c r="J56" s="1946"/>
      <c r="K56" s="1946"/>
      <c r="L56" s="1946"/>
      <c r="M56" s="1946"/>
      <c r="N56" s="1946"/>
      <c r="O56" s="1946"/>
      <c r="P56" s="1946"/>
      <c r="Q56" s="1946"/>
      <c r="R56" s="1947"/>
      <c r="S56" s="1947"/>
      <c r="T56" s="1947"/>
      <c r="U56" s="1947"/>
      <c r="V56" s="1947"/>
      <c r="W56" s="1947"/>
      <c r="X56" s="1947"/>
      <c r="Y56" s="1947"/>
      <c r="Z56" s="1948"/>
      <c r="AA56" s="1948"/>
      <c r="AB56" s="1948"/>
      <c r="AC56" s="1948"/>
      <c r="AD56" s="1948"/>
      <c r="AE56" s="1948"/>
      <c r="AF56" s="1948"/>
      <c r="AG56" s="1948"/>
      <c r="AH56" s="1949"/>
      <c r="AI56" s="1949"/>
      <c r="AJ56" s="1949"/>
      <c r="AK56" s="1949"/>
      <c r="AL56" s="1949"/>
      <c r="AM56" s="1949"/>
      <c r="AN56" s="1949"/>
      <c r="AO56" s="1950"/>
      <c r="AP56" s="901"/>
      <c r="AQ56" s="901"/>
      <c r="AR56" s="901"/>
      <c r="AS56" s="901"/>
      <c r="AT56" s="901"/>
      <c r="AU56" s="901"/>
      <c r="AV56" s="901"/>
      <c r="AW56" s="901"/>
      <c r="AX56" s="900"/>
      <c r="AY56" s="900"/>
      <c r="AZ56" s="900"/>
      <c r="BA56" s="900"/>
      <c r="BB56" s="900"/>
      <c r="BC56" s="900"/>
      <c r="BD56" s="900"/>
      <c r="BE56" s="903"/>
    </row>
    <row r="57" spans="1:77" s="907" customFormat="1" ht="15.75" customHeight="1" thickBot="1">
      <c r="A57" s="901"/>
      <c r="B57" s="1960" t="s">
        <v>1930</v>
      </c>
      <c r="C57" s="1961"/>
      <c r="D57" s="1961"/>
      <c r="E57" s="1961"/>
      <c r="F57" s="1961"/>
      <c r="G57" s="1961"/>
      <c r="H57" s="1961"/>
      <c r="I57" s="1961"/>
      <c r="J57" s="1961"/>
      <c r="K57" s="1961"/>
      <c r="L57" s="1961"/>
      <c r="M57" s="1961"/>
      <c r="N57" s="1961"/>
      <c r="O57" s="1961"/>
      <c r="P57" s="1961"/>
      <c r="Q57" s="1961"/>
      <c r="R57" s="1962">
        <f>SUM(R52:Y56)</f>
        <v>0</v>
      </c>
      <c r="S57" s="1962"/>
      <c r="T57" s="1962"/>
      <c r="U57" s="1962"/>
      <c r="V57" s="1962"/>
      <c r="W57" s="1962"/>
      <c r="X57" s="1962"/>
      <c r="Y57" s="1962"/>
      <c r="Z57" s="1963">
        <f>SUM(Z52:AG56)</f>
        <v>0</v>
      </c>
      <c r="AA57" s="1963"/>
      <c r="AB57" s="1963"/>
      <c r="AC57" s="1963"/>
      <c r="AD57" s="1963"/>
      <c r="AE57" s="1963"/>
      <c r="AF57" s="1963"/>
      <c r="AG57" s="1963"/>
      <c r="AH57" s="1964"/>
      <c r="AI57" s="1964"/>
      <c r="AJ57" s="1964"/>
      <c r="AK57" s="1964"/>
      <c r="AL57" s="1964"/>
      <c r="AM57" s="1964"/>
      <c r="AN57" s="1964"/>
      <c r="AO57" s="1965"/>
      <c r="AP57" s="901"/>
      <c r="AQ57" s="901"/>
      <c r="AR57" s="901"/>
      <c r="AS57" s="901"/>
      <c r="AT57" s="901"/>
      <c r="AU57" s="901"/>
      <c r="AV57" s="901"/>
      <c r="AW57" s="901"/>
      <c r="AX57" s="901"/>
      <c r="AY57" s="901"/>
      <c r="AZ57" s="901"/>
      <c r="BA57" s="901"/>
      <c r="BB57" s="901"/>
      <c r="BC57" s="901"/>
      <c r="BD57" s="901"/>
      <c r="BE57" s="906"/>
      <c r="BN57" s="962"/>
      <c r="BO57" s="962"/>
      <c r="BP57" s="962"/>
      <c r="BQ57" s="962"/>
      <c r="BR57" s="962"/>
      <c r="BS57" s="962"/>
      <c r="BT57" s="962"/>
      <c r="BU57" s="962"/>
      <c r="BV57" s="962"/>
      <c r="BW57" s="962"/>
      <c r="BX57" s="962"/>
      <c r="BY57" s="962"/>
    </row>
    <row r="58" spans="1:77" ht="15.75" customHeight="1" thickBot="1">
      <c r="A58" s="900"/>
      <c r="B58" s="900"/>
      <c r="C58" s="900"/>
      <c r="D58" s="900"/>
      <c r="E58" s="900"/>
      <c r="F58" s="900"/>
      <c r="G58" s="900"/>
      <c r="H58" s="900"/>
      <c r="I58" s="900"/>
      <c r="J58" s="900"/>
      <c r="K58" s="900"/>
      <c r="L58" s="900"/>
      <c r="M58" s="900"/>
      <c r="N58" s="900"/>
      <c r="O58" s="900"/>
      <c r="P58" s="900"/>
      <c r="Q58" s="900"/>
      <c r="R58" s="900"/>
      <c r="S58" s="900"/>
      <c r="T58" s="900"/>
      <c r="U58" s="900"/>
      <c r="V58" s="900"/>
      <c r="W58" s="900"/>
      <c r="X58" s="900"/>
      <c r="Y58" s="900"/>
      <c r="Z58" s="900"/>
      <c r="AA58" s="900"/>
      <c r="AB58" s="900"/>
      <c r="AC58" s="900"/>
      <c r="AD58" s="900"/>
      <c r="AE58" s="900"/>
      <c r="AF58" s="900"/>
      <c r="AG58" s="900"/>
      <c r="AH58" s="900"/>
      <c r="AI58" s="900"/>
      <c r="AJ58" s="900"/>
      <c r="AK58" s="900"/>
      <c r="AL58" s="900"/>
      <c r="AM58" s="900"/>
      <c r="AN58" s="900"/>
      <c r="AO58" s="900"/>
      <c r="AP58" s="900"/>
      <c r="AQ58" s="900"/>
      <c r="AR58" s="900"/>
      <c r="AS58" s="900"/>
      <c r="AT58" s="900"/>
      <c r="AU58" s="900"/>
      <c r="AV58" s="900"/>
      <c r="AW58" s="900"/>
      <c r="AX58" s="900"/>
      <c r="AY58" s="900"/>
      <c r="AZ58" s="900"/>
      <c r="BA58" s="900"/>
      <c r="BB58" s="900"/>
      <c r="BC58" s="900"/>
      <c r="BD58" s="900"/>
      <c r="BE58" s="903"/>
    </row>
    <row r="59" spans="1:77" ht="15.75" customHeight="1">
      <c r="A59" s="900"/>
      <c r="B59" s="1951" t="s">
        <v>1956</v>
      </c>
      <c r="C59" s="1952"/>
      <c r="D59" s="1952"/>
      <c r="E59" s="1952"/>
      <c r="F59" s="1952"/>
      <c r="G59" s="1952"/>
      <c r="H59" s="1952"/>
      <c r="I59" s="1953"/>
      <c r="J59" s="1845" t="s">
        <v>1963</v>
      </c>
      <c r="K59" s="1845"/>
      <c r="L59" s="1845"/>
      <c r="M59" s="1845"/>
      <c r="N59" s="1845"/>
      <c r="O59" s="1845"/>
      <c r="P59" s="1845"/>
      <c r="Q59" s="1845"/>
      <c r="R59" s="1845"/>
      <c r="S59" s="1845"/>
      <c r="T59" s="1845"/>
      <c r="U59" s="1845"/>
      <c r="V59" s="1845"/>
      <c r="W59" s="1845"/>
      <c r="X59" s="1845"/>
      <c r="Y59" s="1845"/>
      <c r="Z59" s="1845"/>
      <c r="AA59" s="1845"/>
      <c r="AB59" s="1845"/>
      <c r="AC59" s="1845"/>
      <c r="AD59" s="1845"/>
      <c r="AE59" s="1845"/>
      <c r="AF59" s="1845"/>
      <c r="AG59" s="1845"/>
      <c r="AH59" s="1845"/>
      <c r="AI59" s="1845"/>
      <c r="AJ59" s="1845"/>
      <c r="AK59" s="1845"/>
      <c r="AL59" s="1845"/>
      <c r="AM59" s="1845"/>
      <c r="AN59" s="1845"/>
      <c r="AO59" s="1845"/>
      <c r="AP59" s="1845"/>
      <c r="AQ59" s="1845"/>
      <c r="AR59" s="1845"/>
      <c r="AS59" s="1845"/>
      <c r="AT59" s="1845"/>
      <c r="AU59" s="1845"/>
      <c r="AV59" s="1845"/>
      <c r="AW59" s="1846"/>
      <c r="AX59" s="900"/>
      <c r="AY59" s="900"/>
      <c r="AZ59" s="900"/>
      <c r="BA59" s="900"/>
      <c r="BB59" s="900"/>
      <c r="BC59" s="900"/>
      <c r="BD59" s="900"/>
      <c r="BE59" s="903"/>
    </row>
    <row r="60" spans="1:77" ht="15.75" customHeight="1">
      <c r="A60" s="900"/>
      <c r="B60" s="1954" t="str">
        <f>IF(B52="", "", B52)</f>
        <v>Services Company 1</v>
      </c>
      <c r="C60" s="1955"/>
      <c r="D60" s="1955"/>
      <c r="E60" s="1955"/>
      <c r="F60" s="1955"/>
      <c r="G60" s="1955"/>
      <c r="H60" s="1955"/>
      <c r="I60" s="1956"/>
      <c r="J60" s="1957"/>
      <c r="K60" s="1958"/>
      <c r="L60" s="1958"/>
      <c r="M60" s="1958"/>
      <c r="N60" s="1958"/>
      <c r="O60" s="1958"/>
      <c r="P60" s="1958"/>
      <c r="Q60" s="1958"/>
      <c r="R60" s="1958"/>
      <c r="S60" s="1958"/>
      <c r="T60" s="1958"/>
      <c r="U60" s="1958"/>
      <c r="V60" s="1958"/>
      <c r="W60" s="1958"/>
      <c r="X60" s="1958"/>
      <c r="Y60" s="1958"/>
      <c r="Z60" s="1958"/>
      <c r="AA60" s="1958"/>
      <c r="AB60" s="1958"/>
      <c r="AC60" s="1958"/>
      <c r="AD60" s="1958"/>
      <c r="AE60" s="1958"/>
      <c r="AF60" s="1958"/>
      <c r="AG60" s="1958"/>
      <c r="AH60" s="1958"/>
      <c r="AI60" s="1958"/>
      <c r="AJ60" s="1958"/>
      <c r="AK60" s="1958"/>
      <c r="AL60" s="1958"/>
      <c r="AM60" s="1958"/>
      <c r="AN60" s="1958"/>
      <c r="AO60" s="1958"/>
      <c r="AP60" s="1958"/>
      <c r="AQ60" s="1958"/>
      <c r="AR60" s="1958"/>
      <c r="AS60" s="1958"/>
      <c r="AT60" s="1958"/>
      <c r="AU60" s="1958"/>
      <c r="AV60" s="1958"/>
      <c r="AW60" s="1959"/>
      <c r="AX60" s="900"/>
      <c r="AY60" s="900"/>
      <c r="AZ60" s="900"/>
      <c r="BA60" s="900"/>
      <c r="BB60" s="900"/>
      <c r="BC60" s="900"/>
      <c r="BD60" s="900"/>
      <c r="BE60" s="903"/>
    </row>
    <row r="61" spans="1:77" ht="15.75" customHeight="1">
      <c r="A61" s="900"/>
      <c r="B61" s="1954" t="str">
        <f>IF(B53="", "", B53)</f>
        <v>Services Company 2</v>
      </c>
      <c r="C61" s="1955"/>
      <c r="D61" s="1955"/>
      <c r="E61" s="1955"/>
      <c r="F61" s="1955"/>
      <c r="G61" s="1955"/>
      <c r="H61" s="1955"/>
      <c r="I61" s="1956"/>
      <c r="J61" s="1957"/>
      <c r="K61" s="1958"/>
      <c r="L61" s="1958"/>
      <c r="M61" s="1958"/>
      <c r="N61" s="1958"/>
      <c r="O61" s="1958"/>
      <c r="P61" s="1958"/>
      <c r="Q61" s="1958"/>
      <c r="R61" s="1958"/>
      <c r="S61" s="1958"/>
      <c r="T61" s="1958"/>
      <c r="U61" s="1958"/>
      <c r="V61" s="1958"/>
      <c r="W61" s="1958"/>
      <c r="X61" s="1958"/>
      <c r="Y61" s="1958"/>
      <c r="Z61" s="1958"/>
      <c r="AA61" s="1958"/>
      <c r="AB61" s="1958"/>
      <c r="AC61" s="1958"/>
      <c r="AD61" s="1958"/>
      <c r="AE61" s="1958"/>
      <c r="AF61" s="1958"/>
      <c r="AG61" s="1958"/>
      <c r="AH61" s="1958"/>
      <c r="AI61" s="1958"/>
      <c r="AJ61" s="1958"/>
      <c r="AK61" s="1958"/>
      <c r="AL61" s="1958"/>
      <c r="AM61" s="1958"/>
      <c r="AN61" s="1958"/>
      <c r="AO61" s="1958"/>
      <c r="AP61" s="1958"/>
      <c r="AQ61" s="1958"/>
      <c r="AR61" s="1958"/>
      <c r="AS61" s="1958"/>
      <c r="AT61" s="1958"/>
      <c r="AU61" s="1958"/>
      <c r="AV61" s="1958"/>
      <c r="AW61" s="1959"/>
      <c r="AX61" s="900"/>
      <c r="AY61" s="900"/>
      <c r="AZ61" s="900"/>
      <c r="BA61" s="900"/>
      <c r="BB61" s="900"/>
      <c r="BC61" s="900"/>
      <c r="BD61" s="900"/>
      <c r="BE61" s="903"/>
    </row>
    <row r="62" spans="1:77" ht="15.75" customHeight="1">
      <c r="A62" s="900"/>
      <c r="B62" s="1954" t="str">
        <f>IF(B54="", "", B54)</f>
        <v/>
      </c>
      <c r="C62" s="1955"/>
      <c r="D62" s="1955"/>
      <c r="E62" s="1955"/>
      <c r="F62" s="1955"/>
      <c r="G62" s="1955"/>
      <c r="H62" s="1955"/>
      <c r="I62" s="1956"/>
      <c r="J62" s="1957"/>
      <c r="K62" s="1958"/>
      <c r="L62" s="1958"/>
      <c r="M62" s="1958"/>
      <c r="N62" s="1958"/>
      <c r="O62" s="1958"/>
      <c r="P62" s="1958"/>
      <c r="Q62" s="1958"/>
      <c r="R62" s="1958"/>
      <c r="S62" s="1958"/>
      <c r="T62" s="1958"/>
      <c r="U62" s="1958"/>
      <c r="V62" s="1958"/>
      <c r="W62" s="1958"/>
      <c r="X62" s="1958"/>
      <c r="Y62" s="1958"/>
      <c r="Z62" s="1958"/>
      <c r="AA62" s="1958"/>
      <c r="AB62" s="1958"/>
      <c r="AC62" s="1958"/>
      <c r="AD62" s="1958"/>
      <c r="AE62" s="1958"/>
      <c r="AF62" s="1958"/>
      <c r="AG62" s="1958"/>
      <c r="AH62" s="1958"/>
      <c r="AI62" s="1958"/>
      <c r="AJ62" s="1958"/>
      <c r="AK62" s="1958"/>
      <c r="AL62" s="1958"/>
      <c r="AM62" s="1958"/>
      <c r="AN62" s="1958"/>
      <c r="AO62" s="1958"/>
      <c r="AP62" s="1958"/>
      <c r="AQ62" s="1958"/>
      <c r="AR62" s="1958"/>
      <c r="AS62" s="1958"/>
      <c r="AT62" s="1958"/>
      <c r="AU62" s="1958"/>
      <c r="AV62" s="1958"/>
      <c r="AW62" s="1959"/>
      <c r="AX62" s="900"/>
      <c r="AY62" s="900"/>
      <c r="AZ62" s="900"/>
      <c r="BA62" s="900"/>
      <c r="BB62" s="900"/>
      <c r="BC62" s="900"/>
      <c r="BD62" s="900"/>
      <c r="BE62" s="903"/>
    </row>
    <row r="63" spans="1:77" ht="15.75" customHeight="1">
      <c r="A63" s="900"/>
      <c r="B63" s="1954" t="str">
        <f>IF(B55="", "", B55)</f>
        <v/>
      </c>
      <c r="C63" s="1955"/>
      <c r="D63" s="1955"/>
      <c r="E63" s="1955"/>
      <c r="F63" s="1955"/>
      <c r="G63" s="1955"/>
      <c r="H63" s="1955"/>
      <c r="I63" s="1956"/>
      <c r="J63" s="1957"/>
      <c r="K63" s="1958"/>
      <c r="L63" s="1958"/>
      <c r="M63" s="1958"/>
      <c r="N63" s="1958"/>
      <c r="O63" s="1958"/>
      <c r="P63" s="1958"/>
      <c r="Q63" s="1958"/>
      <c r="R63" s="1958"/>
      <c r="S63" s="1958"/>
      <c r="T63" s="1958"/>
      <c r="U63" s="1958"/>
      <c r="V63" s="1958"/>
      <c r="W63" s="1958"/>
      <c r="X63" s="1958"/>
      <c r="Y63" s="1958"/>
      <c r="Z63" s="1958"/>
      <c r="AA63" s="1958"/>
      <c r="AB63" s="1958"/>
      <c r="AC63" s="1958"/>
      <c r="AD63" s="1958"/>
      <c r="AE63" s="1958"/>
      <c r="AF63" s="1958"/>
      <c r="AG63" s="1958"/>
      <c r="AH63" s="1958"/>
      <c r="AI63" s="1958"/>
      <c r="AJ63" s="1958"/>
      <c r="AK63" s="1958"/>
      <c r="AL63" s="1958"/>
      <c r="AM63" s="1958"/>
      <c r="AN63" s="1958"/>
      <c r="AO63" s="1958"/>
      <c r="AP63" s="1958"/>
      <c r="AQ63" s="1958"/>
      <c r="AR63" s="1958"/>
      <c r="AS63" s="1958"/>
      <c r="AT63" s="1958"/>
      <c r="AU63" s="1958"/>
      <c r="AV63" s="1958"/>
      <c r="AW63" s="1959"/>
      <c r="AX63" s="900"/>
      <c r="AY63" s="900"/>
      <c r="AZ63" s="900"/>
      <c r="BA63" s="900"/>
      <c r="BB63" s="900"/>
      <c r="BC63" s="900"/>
      <c r="BD63" s="900"/>
      <c r="BE63" s="903"/>
    </row>
    <row r="64" spans="1:77" ht="15.75" customHeight="1" thickBot="1">
      <c r="A64" s="900"/>
      <c r="B64" s="1976" t="str">
        <f>IF(B56="", "", B56)</f>
        <v/>
      </c>
      <c r="C64" s="1977"/>
      <c r="D64" s="1977"/>
      <c r="E64" s="1977"/>
      <c r="F64" s="1977"/>
      <c r="G64" s="1977"/>
      <c r="H64" s="1977"/>
      <c r="I64" s="1978"/>
      <c r="J64" s="1979"/>
      <c r="K64" s="1980"/>
      <c r="L64" s="1980"/>
      <c r="M64" s="1980"/>
      <c r="N64" s="1980"/>
      <c r="O64" s="1980"/>
      <c r="P64" s="1980"/>
      <c r="Q64" s="1980"/>
      <c r="R64" s="1980"/>
      <c r="S64" s="1980"/>
      <c r="T64" s="1980"/>
      <c r="U64" s="1980"/>
      <c r="V64" s="1980"/>
      <c r="W64" s="1980"/>
      <c r="X64" s="1980"/>
      <c r="Y64" s="1980"/>
      <c r="Z64" s="1980"/>
      <c r="AA64" s="1980"/>
      <c r="AB64" s="1980"/>
      <c r="AC64" s="1980"/>
      <c r="AD64" s="1980"/>
      <c r="AE64" s="1980"/>
      <c r="AF64" s="1980"/>
      <c r="AG64" s="1980"/>
      <c r="AH64" s="1980"/>
      <c r="AI64" s="1980"/>
      <c r="AJ64" s="1980"/>
      <c r="AK64" s="1980"/>
      <c r="AL64" s="1980"/>
      <c r="AM64" s="1980"/>
      <c r="AN64" s="1980"/>
      <c r="AO64" s="1980"/>
      <c r="AP64" s="1980"/>
      <c r="AQ64" s="1980"/>
      <c r="AR64" s="1980"/>
      <c r="AS64" s="1980"/>
      <c r="AT64" s="1980"/>
      <c r="AU64" s="1980"/>
      <c r="AV64" s="1980"/>
      <c r="AW64" s="1981"/>
      <c r="AX64" s="900"/>
      <c r="AY64" s="900"/>
      <c r="AZ64" s="900"/>
      <c r="BA64" s="900"/>
      <c r="BB64" s="900"/>
      <c r="BC64" s="900"/>
      <c r="BD64" s="900"/>
      <c r="BE64" s="903"/>
    </row>
    <row r="65" spans="1:94" ht="15.75" customHeight="1">
      <c r="A65" s="900"/>
      <c r="B65" s="900"/>
      <c r="C65" s="900"/>
      <c r="D65" s="900"/>
      <c r="E65" s="900"/>
      <c r="F65" s="900"/>
      <c r="G65" s="900"/>
      <c r="H65" s="900"/>
      <c r="I65" s="900"/>
      <c r="J65" s="900"/>
      <c r="K65" s="900"/>
      <c r="L65" s="900"/>
      <c r="M65" s="900"/>
      <c r="N65" s="900"/>
      <c r="O65" s="900"/>
      <c r="P65" s="900"/>
      <c r="Q65" s="900"/>
      <c r="R65" s="900"/>
      <c r="S65" s="900"/>
      <c r="T65" s="900"/>
      <c r="U65" s="900"/>
      <c r="V65" s="900"/>
      <c r="W65" s="900"/>
      <c r="X65" s="900"/>
      <c r="Y65" s="900"/>
      <c r="Z65" s="900"/>
      <c r="AA65" s="900"/>
      <c r="AB65" s="900"/>
      <c r="AC65" s="900"/>
      <c r="AD65" s="900"/>
      <c r="AE65" s="900"/>
      <c r="AF65" s="900"/>
      <c r="AG65" s="900"/>
      <c r="AH65" s="900"/>
      <c r="AI65" s="900"/>
      <c r="AJ65" s="900"/>
      <c r="AK65" s="900"/>
      <c r="AL65" s="900"/>
      <c r="AM65" s="900"/>
      <c r="AN65" s="900"/>
      <c r="AO65" s="900"/>
      <c r="AP65" s="900"/>
      <c r="AQ65" s="900"/>
      <c r="AR65" s="900"/>
      <c r="AS65" s="900"/>
      <c r="AT65" s="900"/>
      <c r="AU65" s="900"/>
      <c r="AV65" s="900"/>
      <c r="AW65" s="900"/>
      <c r="AX65" s="900"/>
      <c r="AY65" s="900"/>
      <c r="AZ65" s="900"/>
      <c r="BA65" s="900"/>
      <c r="BB65" s="900"/>
      <c r="BC65" s="900"/>
      <c r="BD65" s="900"/>
      <c r="BE65" s="903"/>
    </row>
    <row r="66" spans="1:94" ht="15.75" customHeight="1">
      <c r="A66" s="900"/>
      <c r="B66" s="907" t="s">
        <v>1964</v>
      </c>
      <c r="C66" s="907"/>
      <c r="D66" s="907"/>
      <c r="E66" s="907"/>
      <c r="F66" s="907"/>
      <c r="G66" s="907"/>
      <c r="H66" s="907"/>
      <c r="I66" s="907"/>
      <c r="J66" s="907"/>
      <c r="K66" s="907"/>
      <c r="L66" s="900"/>
      <c r="M66" s="900"/>
      <c r="N66" s="900"/>
      <c r="O66" s="900"/>
      <c r="P66" s="900"/>
      <c r="Q66" s="900"/>
      <c r="R66" s="900"/>
      <c r="S66" s="900"/>
      <c r="T66" s="900"/>
      <c r="U66" s="900"/>
      <c r="V66" s="900"/>
      <c r="W66" s="900"/>
      <c r="X66" s="900"/>
      <c r="Y66" s="900"/>
      <c r="Z66" s="900"/>
      <c r="AA66" s="900"/>
      <c r="AB66" s="900"/>
      <c r="AC66" s="900"/>
      <c r="AD66" s="900"/>
      <c r="AE66" s="900"/>
      <c r="AF66" s="900"/>
      <c r="AG66" s="900"/>
      <c r="AH66" s="900"/>
      <c r="AI66" s="900"/>
      <c r="AJ66" s="900"/>
      <c r="AK66" s="900"/>
      <c r="AL66" s="900"/>
      <c r="AM66" s="900"/>
      <c r="AN66" s="900"/>
      <c r="AO66" s="900"/>
      <c r="AP66" s="900"/>
      <c r="AQ66" s="900"/>
      <c r="AR66" s="900"/>
      <c r="AS66" s="900"/>
      <c r="AT66" s="900"/>
      <c r="AU66" s="900"/>
      <c r="AV66" s="900"/>
      <c r="AW66" s="900"/>
      <c r="AX66" s="900"/>
      <c r="AY66" s="900"/>
      <c r="AZ66" s="900"/>
      <c r="BA66" s="900"/>
      <c r="BB66" s="900"/>
      <c r="BC66" s="900"/>
      <c r="BD66" s="900"/>
      <c r="BE66" s="903"/>
    </row>
    <row r="67" spans="1:94" ht="15.75" customHeight="1" thickBot="1">
      <c r="A67" s="900"/>
      <c r="B67" s="900"/>
      <c r="C67" s="900"/>
      <c r="D67" s="900"/>
      <c r="E67" s="900"/>
      <c r="F67" s="900"/>
      <c r="G67" s="900"/>
      <c r="H67" s="900"/>
      <c r="I67" s="900"/>
      <c r="J67" s="900"/>
      <c r="K67" s="900"/>
      <c r="L67" s="900"/>
      <c r="M67" s="900"/>
      <c r="N67" s="900"/>
      <c r="O67" s="900"/>
      <c r="P67" s="900"/>
      <c r="Q67" s="900"/>
      <c r="R67" s="900"/>
      <c r="S67" s="900"/>
      <c r="T67" s="900"/>
      <c r="U67" s="900"/>
      <c r="V67" s="900"/>
      <c r="W67" s="900"/>
      <c r="X67" s="900"/>
      <c r="Y67" s="900"/>
      <c r="Z67" s="900"/>
      <c r="AA67" s="900"/>
      <c r="AB67" s="900"/>
      <c r="AC67" s="900"/>
      <c r="AD67" s="900"/>
      <c r="AE67" s="900"/>
      <c r="AF67" s="900"/>
      <c r="AG67" s="900"/>
      <c r="AH67" s="900"/>
      <c r="AI67" s="900"/>
      <c r="AJ67" s="900"/>
      <c r="AK67" s="900"/>
      <c r="AL67" s="900"/>
      <c r="AM67" s="900"/>
      <c r="AN67" s="900"/>
      <c r="AO67" s="900"/>
      <c r="AP67" s="900"/>
      <c r="AQ67" s="900"/>
      <c r="AR67" s="900"/>
      <c r="AS67" s="900"/>
      <c r="AT67" s="900"/>
      <c r="AU67" s="900"/>
      <c r="AV67" s="900"/>
      <c r="AW67" s="900"/>
      <c r="AX67" s="900"/>
      <c r="AY67" s="900"/>
      <c r="AZ67" s="900"/>
      <c r="BA67" s="900"/>
      <c r="BB67" s="900"/>
      <c r="BC67" s="900"/>
      <c r="BD67" s="900"/>
      <c r="BE67" s="903"/>
    </row>
    <row r="68" spans="1:94" ht="15.75" customHeight="1" thickBot="1">
      <c r="A68" s="900"/>
      <c r="B68" s="1844" t="s">
        <v>1965</v>
      </c>
      <c r="C68" s="1845"/>
      <c r="D68" s="1845"/>
      <c r="E68" s="1845"/>
      <c r="F68" s="1845"/>
      <c r="G68" s="1845"/>
      <c r="H68" s="1845"/>
      <c r="I68" s="1845"/>
      <c r="J68" s="1845"/>
      <c r="K68" s="1845"/>
      <c r="L68" s="1845"/>
      <c r="M68" s="1845"/>
      <c r="N68" s="1845"/>
      <c r="O68" s="1845"/>
      <c r="P68" s="1845"/>
      <c r="Q68" s="1845"/>
      <c r="R68" s="1845"/>
      <c r="S68" s="1845"/>
      <c r="T68" s="1845"/>
      <c r="U68" s="1845"/>
      <c r="V68" s="1845"/>
      <c r="W68" s="1845"/>
      <c r="X68" s="1845"/>
      <c r="Y68" s="1845"/>
      <c r="Z68" s="1845"/>
      <c r="AA68" s="1846"/>
      <c r="AB68" s="900"/>
      <c r="AC68" s="1988" t="s">
        <v>1966</v>
      </c>
      <c r="AD68" s="1989"/>
      <c r="AE68" s="1989"/>
      <c r="AF68" s="1989"/>
      <c r="AG68" s="1989"/>
      <c r="AH68" s="1989"/>
      <c r="AI68" s="1989"/>
      <c r="AJ68" s="1989"/>
      <c r="AK68" s="1989"/>
      <c r="AL68" s="1989"/>
      <c r="AM68" s="1989"/>
      <c r="AN68" s="1989"/>
      <c r="AO68" s="1989"/>
      <c r="AP68" s="1989"/>
      <c r="AQ68" s="1989"/>
      <c r="AR68" s="1989"/>
      <c r="AS68" s="1989"/>
      <c r="AT68" s="1989"/>
      <c r="AU68" s="1989"/>
      <c r="AV68" s="1966" t="s">
        <v>843</v>
      </c>
      <c r="AW68" s="1967"/>
      <c r="AX68" s="1967"/>
      <c r="AY68" s="1967"/>
      <c r="AZ68" s="1967"/>
      <c r="BA68" s="1967"/>
      <c r="BB68" s="1967"/>
      <c r="BC68" s="1968"/>
      <c r="BD68" s="900"/>
      <c r="BE68" s="903"/>
      <c r="BM68" s="908" t="s">
        <v>1967</v>
      </c>
    </row>
    <row r="69" spans="1:94" ht="15.75" customHeight="1" thickTop="1" thickBot="1">
      <c r="A69" s="900"/>
      <c r="B69" s="1969" t="s">
        <v>1968</v>
      </c>
      <c r="C69" s="1970"/>
      <c r="D69" s="1970"/>
      <c r="E69" s="1970"/>
      <c r="F69" s="1970"/>
      <c r="G69" s="1970"/>
      <c r="H69" s="1970"/>
      <c r="I69" s="1970"/>
      <c r="J69" s="1970"/>
      <c r="K69" s="1970"/>
      <c r="L69" s="1970"/>
      <c r="M69" s="1970"/>
      <c r="N69" s="1970"/>
      <c r="O69" s="1971" t="s">
        <v>1969</v>
      </c>
      <c r="P69" s="1972"/>
      <c r="Q69" s="1972"/>
      <c r="R69" s="1972"/>
      <c r="S69" s="1972"/>
      <c r="T69" s="1972"/>
      <c r="U69" s="1972"/>
      <c r="V69" s="1972"/>
      <c r="W69" s="1972"/>
      <c r="X69" s="1972"/>
      <c r="Y69" s="1972"/>
      <c r="Z69" s="1972"/>
      <c r="AA69" s="1973"/>
      <c r="AB69" s="900"/>
      <c r="AC69" s="1974" t="s">
        <v>1970</v>
      </c>
      <c r="AD69" s="1975"/>
      <c r="AE69" s="1975"/>
      <c r="AF69" s="1975"/>
      <c r="AG69" s="1975"/>
      <c r="AH69" s="1975"/>
      <c r="AI69" s="1975"/>
      <c r="AJ69" s="1975"/>
      <c r="AK69" s="1975"/>
      <c r="AL69" s="1975"/>
      <c r="AM69" s="1975"/>
      <c r="AN69" s="1975"/>
      <c r="AO69" s="1975"/>
      <c r="AP69" s="1975"/>
      <c r="AQ69" s="1975"/>
      <c r="AR69" s="1975"/>
      <c r="AS69" s="1975"/>
      <c r="AT69" s="1975"/>
      <c r="AU69" s="1975"/>
      <c r="AV69" s="1966" t="s">
        <v>843</v>
      </c>
      <c r="AW69" s="1967"/>
      <c r="AX69" s="1967"/>
      <c r="AY69" s="1967"/>
      <c r="AZ69" s="1967"/>
      <c r="BA69" s="1967"/>
      <c r="BB69" s="1967"/>
      <c r="BC69" s="1968"/>
      <c r="BD69" s="900"/>
      <c r="BE69" s="903"/>
      <c r="BM69" s="909" t="s">
        <v>694</v>
      </c>
    </row>
    <row r="70" spans="1:94" ht="15.75" customHeight="1">
      <c r="A70" s="900"/>
      <c r="B70" s="1923" t="s">
        <v>1971</v>
      </c>
      <c r="C70" s="1924"/>
      <c r="D70" s="1924"/>
      <c r="E70" s="1924"/>
      <c r="F70" s="1924"/>
      <c r="G70" s="1924"/>
      <c r="H70" s="1924"/>
      <c r="I70" s="1924"/>
      <c r="J70" s="1924"/>
      <c r="K70" s="1924"/>
      <c r="L70" s="1924"/>
      <c r="M70" s="1924"/>
      <c r="N70" s="1924"/>
      <c r="O70" s="1982">
        <v>0</v>
      </c>
      <c r="P70" s="1982"/>
      <c r="Q70" s="1982"/>
      <c r="R70" s="1982"/>
      <c r="S70" s="1982"/>
      <c r="T70" s="1982"/>
      <c r="U70" s="1982"/>
      <c r="V70" s="1982"/>
      <c r="W70" s="1982"/>
      <c r="X70" s="1982"/>
      <c r="Y70" s="1982"/>
      <c r="Z70" s="1982"/>
      <c r="AA70" s="1983"/>
      <c r="AB70" s="900"/>
      <c r="AC70" s="1939" t="s">
        <v>1972</v>
      </c>
      <c r="AD70" s="1940"/>
      <c r="AE70" s="1940"/>
      <c r="AF70" s="1984"/>
      <c r="AG70" s="1984"/>
      <c r="AH70" s="1984"/>
      <c r="AI70" s="1984"/>
      <c r="AJ70" s="1984"/>
      <c r="AK70" s="1984"/>
      <c r="AL70" s="1984"/>
      <c r="AM70" s="1984"/>
      <c r="AN70" s="1984"/>
      <c r="AO70" s="1984"/>
      <c r="AP70" s="1984"/>
      <c r="AQ70" s="1984"/>
      <c r="AR70" s="1984"/>
      <c r="AS70" s="1984"/>
      <c r="AT70" s="1984"/>
      <c r="AU70" s="1985"/>
      <c r="AV70" s="900"/>
      <c r="AW70" s="900"/>
      <c r="AX70" s="900"/>
      <c r="AY70" s="900"/>
      <c r="AZ70" s="900"/>
      <c r="BA70" s="900"/>
      <c r="BB70" s="900"/>
      <c r="BC70" s="900"/>
      <c r="BD70" s="900"/>
      <c r="BE70" s="903"/>
      <c r="BM70" s="910" t="s">
        <v>843</v>
      </c>
    </row>
    <row r="71" spans="1:94" ht="15.75" customHeight="1" thickBot="1">
      <c r="A71" s="900"/>
      <c r="B71" s="1923" t="s">
        <v>1973</v>
      </c>
      <c r="C71" s="1924"/>
      <c r="D71" s="1924"/>
      <c r="E71" s="1924"/>
      <c r="F71" s="1924"/>
      <c r="G71" s="1924"/>
      <c r="H71" s="1924"/>
      <c r="I71" s="1924"/>
      <c r="J71" s="1924"/>
      <c r="K71" s="1924"/>
      <c r="L71" s="1924"/>
      <c r="M71" s="1924"/>
      <c r="N71" s="1924"/>
      <c r="O71" s="1982">
        <v>0</v>
      </c>
      <c r="P71" s="1982"/>
      <c r="Q71" s="1982"/>
      <c r="R71" s="1982"/>
      <c r="S71" s="1982"/>
      <c r="T71" s="1982"/>
      <c r="U71" s="1982"/>
      <c r="V71" s="1982"/>
      <c r="W71" s="1982"/>
      <c r="X71" s="1982"/>
      <c r="Y71" s="1982"/>
      <c r="Z71" s="1982"/>
      <c r="AA71" s="1983"/>
      <c r="AB71" s="900"/>
      <c r="AC71" s="1986" t="s">
        <v>1974</v>
      </c>
      <c r="AD71" s="1987"/>
      <c r="AE71" s="1987"/>
      <c r="AF71" s="1980"/>
      <c r="AG71" s="1980"/>
      <c r="AH71" s="1980"/>
      <c r="AI71" s="1980"/>
      <c r="AJ71" s="1980"/>
      <c r="AK71" s="1980"/>
      <c r="AL71" s="1980"/>
      <c r="AM71" s="1980"/>
      <c r="AN71" s="1980"/>
      <c r="AO71" s="1980"/>
      <c r="AP71" s="1980"/>
      <c r="AQ71" s="1980"/>
      <c r="AR71" s="1980"/>
      <c r="AS71" s="1980"/>
      <c r="AT71" s="1980"/>
      <c r="AU71" s="1981"/>
      <c r="AV71" s="900"/>
      <c r="AW71" s="900"/>
      <c r="AX71" s="900"/>
      <c r="AY71" s="900"/>
      <c r="AZ71" s="900"/>
      <c r="BA71" s="900"/>
      <c r="BB71" s="900"/>
      <c r="BC71" s="900"/>
      <c r="BD71" s="900"/>
      <c r="BE71" s="903"/>
      <c r="BM71" s="897" t="s">
        <v>1975</v>
      </c>
    </row>
    <row r="72" spans="1:94" ht="15.75" customHeight="1">
      <c r="A72" s="900"/>
      <c r="B72" s="1923" t="s">
        <v>1976</v>
      </c>
      <c r="C72" s="1924"/>
      <c r="D72" s="1924"/>
      <c r="E72" s="1924"/>
      <c r="F72" s="1924"/>
      <c r="G72" s="1924"/>
      <c r="H72" s="1924"/>
      <c r="I72" s="1924"/>
      <c r="J72" s="1924"/>
      <c r="K72" s="1924"/>
      <c r="L72" s="1924"/>
      <c r="M72" s="1924"/>
      <c r="N72" s="1924"/>
      <c r="O72" s="1982">
        <v>0</v>
      </c>
      <c r="P72" s="1982"/>
      <c r="Q72" s="1982"/>
      <c r="R72" s="1982"/>
      <c r="S72" s="1982"/>
      <c r="T72" s="1982"/>
      <c r="U72" s="1982"/>
      <c r="V72" s="1982"/>
      <c r="W72" s="1982"/>
      <c r="X72" s="1982"/>
      <c r="Y72" s="1982"/>
      <c r="Z72" s="1982"/>
      <c r="AA72" s="1983"/>
      <c r="AB72" s="900"/>
      <c r="AC72" s="2006" t="s">
        <v>1977</v>
      </c>
      <c r="AD72" s="2007"/>
      <c r="AE72" s="2007"/>
      <c r="AF72" s="2007"/>
      <c r="AG72" s="2007"/>
      <c r="AH72" s="2007"/>
      <c r="AI72" s="2007"/>
      <c r="AJ72" s="2007"/>
      <c r="AK72" s="2007"/>
      <c r="AL72" s="2007"/>
      <c r="AM72" s="2007"/>
      <c r="AN72" s="2007"/>
      <c r="AO72" s="2007"/>
      <c r="AP72" s="2007"/>
      <c r="AQ72" s="2007"/>
      <c r="AR72" s="2007"/>
      <c r="AS72" s="2007"/>
      <c r="AT72" s="2007"/>
      <c r="AU72" s="2007"/>
      <c r="AV72" s="1940"/>
      <c r="AW72" s="1940"/>
      <c r="AX72" s="1940"/>
      <c r="AY72" s="1940"/>
      <c r="AZ72" s="1940"/>
      <c r="BA72" s="1940"/>
      <c r="BB72" s="1940"/>
      <c r="BC72" s="1941"/>
      <c r="BD72" s="900"/>
      <c r="BE72" s="903"/>
    </row>
    <row r="73" spans="1:94" ht="15.75" customHeight="1">
      <c r="A73" s="900"/>
      <c r="B73" s="1927" t="s">
        <v>1978</v>
      </c>
      <c r="C73" s="1928"/>
      <c r="D73" s="1928"/>
      <c r="E73" s="1928"/>
      <c r="F73" s="1928"/>
      <c r="G73" s="1928"/>
      <c r="H73" s="1928"/>
      <c r="I73" s="1928"/>
      <c r="J73" s="1928"/>
      <c r="K73" s="1928"/>
      <c r="L73" s="1928"/>
      <c r="M73" s="1928"/>
      <c r="N73" s="1928"/>
      <c r="O73" s="1982">
        <v>0</v>
      </c>
      <c r="P73" s="1982"/>
      <c r="Q73" s="1982"/>
      <c r="R73" s="1982"/>
      <c r="S73" s="1982"/>
      <c r="T73" s="1982"/>
      <c r="U73" s="1982"/>
      <c r="V73" s="1982"/>
      <c r="W73" s="1982"/>
      <c r="X73" s="1982"/>
      <c r="Y73" s="1982"/>
      <c r="Z73" s="1982"/>
      <c r="AA73" s="1983"/>
      <c r="AB73" s="900"/>
      <c r="AC73" s="2008" t="s">
        <v>1979</v>
      </c>
      <c r="AD73" s="2009"/>
      <c r="AE73" s="2009"/>
      <c r="AF73" s="2009"/>
      <c r="AG73" s="2009"/>
      <c r="AH73" s="2009"/>
      <c r="AI73" s="2009"/>
      <c r="AJ73" s="2009"/>
      <c r="AK73" s="2009"/>
      <c r="AL73" s="2009"/>
      <c r="AM73" s="2009"/>
      <c r="AN73" s="2009"/>
      <c r="AO73" s="2009"/>
      <c r="AP73" s="2009"/>
      <c r="AQ73" s="2009"/>
      <c r="AR73" s="2009"/>
      <c r="AS73" s="2009"/>
      <c r="AT73" s="2009"/>
      <c r="AU73" s="2009"/>
      <c r="AV73" s="2009"/>
      <c r="AW73" s="2009"/>
      <c r="AX73" s="2009"/>
      <c r="AY73" s="2009"/>
      <c r="AZ73" s="2009"/>
      <c r="BA73" s="2009"/>
      <c r="BB73" s="2009"/>
      <c r="BC73" s="2010"/>
      <c r="BD73" s="900"/>
      <c r="BE73" s="903"/>
      <c r="CK73" s="898"/>
      <c r="CL73" s="898"/>
      <c r="CM73" s="898"/>
      <c r="CN73" s="898"/>
      <c r="CO73" s="898"/>
      <c r="CP73" s="898"/>
    </row>
    <row r="74" spans="1:94" ht="15.75" customHeight="1">
      <c r="A74" s="900"/>
      <c r="B74" s="2014"/>
      <c r="C74" s="1946"/>
      <c r="D74" s="1946"/>
      <c r="E74" s="1946"/>
      <c r="F74" s="1946"/>
      <c r="G74" s="1946"/>
      <c r="H74" s="1946"/>
      <c r="I74" s="1946"/>
      <c r="J74" s="1946"/>
      <c r="K74" s="1946"/>
      <c r="L74" s="1946"/>
      <c r="M74" s="1946"/>
      <c r="N74" s="1946"/>
      <c r="O74" s="1982"/>
      <c r="P74" s="1982"/>
      <c r="Q74" s="1982"/>
      <c r="R74" s="1982"/>
      <c r="S74" s="1982"/>
      <c r="T74" s="1982"/>
      <c r="U74" s="1982"/>
      <c r="V74" s="1982"/>
      <c r="W74" s="1982"/>
      <c r="X74" s="1982"/>
      <c r="Y74" s="1982"/>
      <c r="Z74" s="1982"/>
      <c r="AA74" s="1983"/>
      <c r="AB74" s="900"/>
      <c r="AC74" s="2008"/>
      <c r="AD74" s="2009"/>
      <c r="AE74" s="2009"/>
      <c r="AF74" s="2009"/>
      <c r="AG74" s="2009"/>
      <c r="AH74" s="2009"/>
      <c r="AI74" s="2009"/>
      <c r="AJ74" s="2009"/>
      <c r="AK74" s="2009"/>
      <c r="AL74" s="2009"/>
      <c r="AM74" s="2009"/>
      <c r="AN74" s="2009"/>
      <c r="AO74" s="2009"/>
      <c r="AP74" s="2009"/>
      <c r="AQ74" s="2009"/>
      <c r="AR74" s="2009"/>
      <c r="AS74" s="2009"/>
      <c r="AT74" s="2009"/>
      <c r="AU74" s="2009"/>
      <c r="AV74" s="2009"/>
      <c r="AW74" s="2009"/>
      <c r="AX74" s="2009"/>
      <c r="AY74" s="2009"/>
      <c r="AZ74" s="2009"/>
      <c r="BA74" s="2009"/>
      <c r="BB74" s="2009"/>
      <c r="BC74" s="2010"/>
      <c r="BD74" s="900"/>
      <c r="BE74" s="903"/>
      <c r="CK74" s="898"/>
      <c r="CL74" s="898"/>
      <c r="CM74" s="898"/>
      <c r="CN74" s="898"/>
      <c r="CO74" s="898"/>
      <c r="CP74" s="898"/>
    </row>
    <row r="75" spans="1:94" ht="15.75" customHeight="1" thickBot="1">
      <c r="A75" s="900"/>
      <c r="B75" s="2015" t="s">
        <v>1486</v>
      </c>
      <c r="C75" s="2016"/>
      <c r="D75" s="2016"/>
      <c r="E75" s="2016"/>
      <c r="F75" s="2016"/>
      <c r="G75" s="2016"/>
      <c r="H75" s="2016"/>
      <c r="I75" s="2016"/>
      <c r="J75" s="2016"/>
      <c r="K75" s="2016"/>
      <c r="L75" s="2016"/>
      <c r="M75" s="2016"/>
      <c r="N75" s="2016"/>
      <c r="O75" s="2017">
        <f>SUM(O70:AA74)</f>
        <v>0</v>
      </c>
      <c r="P75" s="2017"/>
      <c r="Q75" s="2017"/>
      <c r="R75" s="2017"/>
      <c r="S75" s="2017"/>
      <c r="T75" s="2017"/>
      <c r="U75" s="2017"/>
      <c r="V75" s="2017"/>
      <c r="W75" s="2017"/>
      <c r="X75" s="2017"/>
      <c r="Y75" s="2017"/>
      <c r="Z75" s="2017"/>
      <c r="AA75" s="2018"/>
      <c r="AB75" s="900"/>
      <c r="AC75" s="2008"/>
      <c r="AD75" s="2009"/>
      <c r="AE75" s="2009"/>
      <c r="AF75" s="2009"/>
      <c r="AG75" s="2009"/>
      <c r="AH75" s="2009"/>
      <c r="AI75" s="2009"/>
      <c r="AJ75" s="2009"/>
      <c r="AK75" s="2009"/>
      <c r="AL75" s="2009"/>
      <c r="AM75" s="2009"/>
      <c r="AN75" s="2009"/>
      <c r="AO75" s="2009"/>
      <c r="AP75" s="2009"/>
      <c r="AQ75" s="2009"/>
      <c r="AR75" s="2009"/>
      <c r="AS75" s="2009"/>
      <c r="AT75" s="2009"/>
      <c r="AU75" s="2009"/>
      <c r="AV75" s="2009"/>
      <c r="AW75" s="2009"/>
      <c r="AX75" s="2009"/>
      <c r="AY75" s="2009"/>
      <c r="AZ75" s="2009"/>
      <c r="BA75" s="2009"/>
      <c r="BB75" s="2009"/>
      <c r="BC75" s="2010"/>
      <c r="BD75" s="900"/>
      <c r="BE75" s="903"/>
      <c r="CK75" s="898"/>
      <c r="CL75" s="898"/>
      <c r="CM75" s="898"/>
      <c r="CN75" s="898"/>
      <c r="CO75" s="898"/>
      <c r="CP75" s="898"/>
    </row>
    <row r="76" spans="1:94" ht="15.75" customHeight="1">
      <c r="A76" s="900"/>
      <c r="B76" s="900"/>
      <c r="C76" s="900"/>
      <c r="D76" s="900"/>
      <c r="E76" s="900"/>
      <c r="F76" s="900"/>
      <c r="G76" s="900"/>
      <c r="H76" s="900"/>
      <c r="I76" s="900"/>
      <c r="J76" s="900"/>
      <c r="K76" s="900"/>
      <c r="L76" s="900"/>
      <c r="M76" s="900"/>
      <c r="N76" s="900"/>
      <c r="O76" s="900"/>
      <c r="P76" s="900"/>
      <c r="Q76" s="900"/>
      <c r="R76" s="900"/>
      <c r="S76" s="900"/>
      <c r="T76" s="900"/>
      <c r="U76" s="900"/>
      <c r="V76" s="900"/>
      <c r="W76" s="900"/>
      <c r="X76" s="900"/>
      <c r="Y76" s="900"/>
      <c r="Z76" s="900"/>
      <c r="AA76" s="900"/>
      <c r="AB76" s="900"/>
      <c r="AC76" s="2008"/>
      <c r="AD76" s="2009"/>
      <c r="AE76" s="2009"/>
      <c r="AF76" s="2009"/>
      <c r="AG76" s="2009"/>
      <c r="AH76" s="2009"/>
      <c r="AI76" s="2009"/>
      <c r="AJ76" s="2009"/>
      <c r="AK76" s="2009"/>
      <c r="AL76" s="2009"/>
      <c r="AM76" s="2009"/>
      <c r="AN76" s="2009"/>
      <c r="AO76" s="2009"/>
      <c r="AP76" s="2009"/>
      <c r="AQ76" s="2009"/>
      <c r="AR76" s="2009"/>
      <c r="AS76" s="2009"/>
      <c r="AT76" s="2009"/>
      <c r="AU76" s="2009"/>
      <c r="AV76" s="2009"/>
      <c r="AW76" s="2009"/>
      <c r="AX76" s="2009"/>
      <c r="AY76" s="2009"/>
      <c r="AZ76" s="2009"/>
      <c r="BA76" s="2009"/>
      <c r="BB76" s="2009"/>
      <c r="BC76" s="2010"/>
      <c r="BD76" s="900"/>
      <c r="BE76" s="903"/>
      <c r="CK76" s="898"/>
      <c r="CL76" s="898"/>
      <c r="CM76" s="898"/>
      <c r="CN76" s="898"/>
      <c r="CO76" s="898"/>
      <c r="CP76" s="898"/>
    </row>
    <row r="77" spans="1:94" ht="15.75" customHeight="1" thickBot="1">
      <c r="A77" s="900"/>
      <c r="B77" s="900"/>
      <c r="C77" s="900"/>
      <c r="D77" s="900"/>
      <c r="E77" s="900"/>
      <c r="F77" s="900"/>
      <c r="G77" s="900"/>
      <c r="H77" s="900"/>
      <c r="I77" s="900"/>
      <c r="J77" s="900"/>
      <c r="K77" s="900"/>
      <c r="L77" s="900"/>
      <c r="M77" s="900"/>
      <c r="N77" s="900"/>
      <c r="O77" s="900"/>
      <c r="P77" s="900"/>
      <c r="Q77" s="900"/>
      <c r="R77" s="900"/>
      <c r="S77" s="900"/>
      <c r="T77" s="900"/>
      <c r="U77" s="900"/>
      <c r="V77" s="900"/>
      <c r="W77" s="900"/>
      <c r="X77" s="900"/>
      <c r="Y77" s="900"/>
      <c r="Z77" s="900"/>
      <c r="AA77" s="900"/>
      <c r="AB77" s="900"/>
      <c r="AC77" s="2011"/>
      <c r="AD77" s="2012"/>
      <c r="AE77" s="2012"/>
      <c r="AF77" s="2012"/>
      <c r="AG77" s="2012"/>
      <c r="AH77" s="2012"/>
      <c r="AI77" s="2012"/>
      <c r="AJ77" s="2012"/>
      <c r="AK77" s="2012"/>
      <c r="AL77" s="2012"/>
      <c r="AM77" s="2012"/>
      <c r="AN77" s="2012"/>
      <c r="AO77" s="2012"/>
      <c r="AP77" s="2012"/>
      <c r="AQ77" s="2012"/>
      <c r="AR77" s="2012"/>
      <c r="AS77" s="2012"/>
      <c r="AT77" s="2012"/>
      <c r="AU77" s="2012"/>
      <c r="AV77" s="2012"/>
      <c r="AW77" s="2012"/>
      <c r="AX77" s="2012"/>
      <c r="AY77" s="2012"/>
      <c r="AZ77" s="2012"/>
      <c r="BA77" s="2012"/>
      <c r="BB77" s="2012"/>
      <c r="BC77" s="2013"/>
      <c r="BD77" s="900"/>
      <c r="BE77" s="903"/>
      <c r="CK77" s="898"/>
      <c r="CL77" s="898"/>
      <c r="CM77" s="898"/>
      <c r="CN77" s="898"/>
      <c r="CO77" s="898"/>
      <c r="CP77" s="898"/>
    </row>
    <row r="78" spans="1:94" ht="15.75" customHeight="1" thickBot="1">
      <c r="A78" s="900"/>
      <c r="B78" s="911" t="s">
        <v>1980</v>
      </c>
      <c r="C78" s="912"/>
      <c r="D78" s="913"/>
      <c r="E78" s="913"/>
      <c r="F78" s="913"/>
      <c r="G78" s="913"/>
      <c r="H78" s="913"/>
      <c r="I78" s="913"/>
      <c r="J78" s="913"/>
      <c r="K78" s="913"/>
      <c r="L78" s="913"/>
      <c r="M78" s="913"/>
      <c r="N78" s="913"/>
      <c r="O78" s="913"/>
      <c r="P78" s="913"/>
      <c r="Q78" s="913"/>
      <c r="R78" s="913"/>
      <c r="S78" s="913"/>
      <c r="T78" s="914"/>
      <c r="U78" s="900"/>
      <c r="V78" s="900"/>
      <c r="W78" s="900"/>
      <c r="X78" s="900"/>
      <c r="Y78" s="900"/>
      <c r="Z78" s="900"/>
      <c r="AA78" s="900"/>
      <c r="AB78" s="900"/>
      <c r="AC78" s="900"/>
      <c r="AD78" s="900"/>
      <c r="AE78" s="900"/>
      <c r="AF78" s="900"/>
      <c r="AG78" s="900"/>
      <c r="AH78" s="900"/>
      <c r="AI78" s="900"/>
      <c r="AJ78" s="900"/>
      <c r="AK78" s="900"/>
      <c r="AL78" s="900"/>
      <c r="AM78" s="900"/>
      <c r="AN78" s="900"/>
      <c r="AO78" s="900"/>
      <c r="AP78" s="900"/>
      <c r="AQ78" s="900"/>
      <c r="AR78" s="900"/>
      <c r="AS78" s="900"/>
      <c r="AT78" s="900"/>
      <c r="AU78" s="900"/>
      <c r="AV78" s="900"/>
      <c r="AW78" s="900"/>
      <c r="AX78" s="900"/>
      <c r="AY78" s="900"/>
      <c r="AZ78" s="900"/>
      <c r="BA78" s="900"/>
      <c r="BB78" s="900"/>
      <c r="BC78" s="900"/>
      <c r="BD78" s="900"/>
      <c r="BE78" s="903"/>
      <c r="CK78" s="898"/>
      <c r="CL78" s="898"/>
      <c r="CM78" s="898"/>
      <c r="CN78" s="898"/>
      <c r="CO78" s="898"/>
      <c r="CP78" s="898"/>
    </row>
    <row r="79" spans="1:94" ht="15.75" customHeight="1">
      <c r="A79" s="900"/>
      <c r="B79" s="911" t="s">
        <v>1981</v>
      </c>
      <c r="C79" s="915"/>
      <c r="D79" s="915"/>
      <c r="E79" s="916"/>
      <c r="F79" s="1990"/>
      <c r="G79" s="1991"/>
      <c r="H79" s="1991"/>
      <c r="I79" s="1991"/>
      <c r="J79" s="1991"/>
      <c r="K79" s="1991"/>
      <c r="L79" s="1991"/>
      <c r="M79" s="1991"/>
      <c r="N79" s="1991"/>
      <c r="O79" s="1991"/>
      <c r="P79" s="1991"/>
      <c r="Q79" s="1991"/>
      <c r="R79" s="1991"/>
      <c r="S79" s="1991"/>
      <c r="T79" s="1992"/>
      <c r="U79" s="900"/>
      <c r="V79" s="900"/>
      <c r="W79" s="900"/>
      <c r="X79" s="900"/>
      <c r="Y79" s="900"/>
      <c r="Z79" s="900"/>
      <c r="AA79" s="900"/>
      <c r="AB79" s="900"/>
      <c r="AC79" s="900"/>
      <c r="AD79" s="900"/>
      <c r="AE79" s="900"/>
      <c r="AF79" s="900"/>
      <c r="AG79" s="900"/>
      <c r="AH79" s="900"/>
      <c r="AI79" s="900"/>
      <c r="AJ79" s="900"/>
      <c r="AK79" s="900"/>
      <c r="AL79" s="900"/>
      <c r="AM79" s="900"/>
      <c r="AN79" s="900"/>
      <c r="AO79" s="900"/>
      <c r="AP79" s="900"/>
      <c r="AQ79" s="900"/>
      <c r="AR79" s="900"/>
      <c r="AS79" s="900"/>
      <c r="AT79" s="900"/>
      <c r="AU79" s="900"/>
      <c r="AV79" s="900"/>
      <c r="AW79" s="900"/>
      <c r="AX79" s="900"/>
      <c r="AY79" s="900"/>
      <c r="AZ79" s="900"/>
      <c r="BA79" s="900"/>
      <c r="BB79" s="900"/>
      <c r="BC79" s="900"/>
      <c r="BD79" s="900"/>
      <c r="BE79" s="903"/>
      <c r="CK79" s="898"/>
      <c r="CL79" s="898"/>
      <c r="CM79" s="898"/>
      <c r="CN79" s="898"/>
      <c r="CO79" s="898"/>
      <c r="CP79" s="898"/>
    </row>
    <row r="80" spans="1:94" ht="15.75" customHeight="1" thickBot="1">
      <c r="A80" s="900"/>
      <c r="B80" s="1993" t="s">
        <v>1982</v>
      </c>
      <c r="C80" s="1994"/>
      <c r="D80" s="1994"/>
      <c r="E80" s="1994"/>
      <c r="F80" s="1994"/>
      <c r="G80" s="1994"/>
      <c r="H80" s="1994"/>
      <c r="I80" s="1994"/>
      <c r="J80" s="1994"/>
      <c r="K80" s="1994"/>
      <c r="L80" s="1994"/>
      <c r="M80" s="1994"/>
      <c r="N80" s="1994"/>
      <c r="O80" s="1994"/>
      <c r="P80" s="1994"/>
      <c r="Q80" s="1994"/>
      <c r="R80" s="1995" t="str">
        <f>IFERROR(INDEX(BR96:BR98,MATCH(F79,$BQ$96:$BQ$98,0))/SUM($BR$96:$BR$98),"")</f>
        <v/>
      </c>
      <c r="S80" s="1996"/>
      <c r="T80" s="1997"/>
      <c r="U80" s="900"/>
      <c r="V80" s="900"/>
      <c r="W80" s="900"/>
      <c r="X80" s="900"/>
      <c r="Y80" s="900"/>
      <c r="Z80" s="900"/>
      <c r="AA80" s="900"/>
      <c r="AB80" s="900"/>
      <c r="AC80" s="900"/>
      <c r="AD80" s="900"/>
      <c r="AE80" s="900"/>
      <c r="AF80" s="900"/>
      <c r="AG80" s="900"/>
      <c r="AH80" s="900"/>
      <c r="AI80" s="900"/>
      <c r="AJ80" s="900"/>
      <c r="AK80" s="900"/>
      <c r="AL80" s="900"/>
      <c r="AM80" s="900"/>
      <c r="AN80" s="900"/>
      <c r="AO80" s="900"/>
      <c r="AP80" s="900"/>
      <c r="AQ80" s="900"/>
      <c r="AR80" s="900"/>
      <c r="AS80" s="900"/>
      <c r="AT80" s="900"/>
      <c r="AU80" s="900"/>
      <c r="AV80" s="900"/>
      <c r="AW80" s="900"/>
      <c r="AX80" s="900"/>
      <c r="AY80" s="900"/>
      <c r="AZ80" s="900"/>
      <c r="BA80" s="900"/>
      <c r="BB80" s="900"/>
      <c r="BC80" s="900"/>
      <c r="BD80" s="900"/>
      <c r="BE80" s="903"/>
      <c r="CK80" s="898"/>
      <c r="CL80" s="898"/>
      <c r="CM80" s="898"/>
      <c r="CN80" s="898"/>
      <c r="CO80" s="898"/>
      <c r="CP80" s="898"/>
    </row>
    <row r="81" spans="1:94" ht="15.75" customHeight="1" thickBot="1">
      <c r="A81" s="900"/>
      <c r="B81" s="1998" t="s">
        <v>1983</v>
      </c>
      <c r="C81" s="1999"/>
      <c r="D81" s="1999"/>
      <c r="E81" s="1999"/>
      <c r="F81" s="1999"/>
      <c r="G81" s="1999"/>
      <c r="H81" s="1999"/>
      <c r="I81" s="1999"/>
      <c r="J81" s="1999"/>
      <c r="K81" s="1999"/>
      <c r="L81" s="1999"/>
      <c r="M81" s="1999"/>
      <c r="N81" s="1999"/>
      <c r="O81" s="1999"/>
      <c r="P81" s="1999"/>
      <c r="Q81" s="1999"/>
      <c r="R81" s="2000" t="s">
        <v>1984</v>
      </c>
      <c r="S81" s="2001"/>
      <c r="T81" s="2002"/>
      <c r="U81" s="900"/>
      <c r="V81" s="900"/>
      <c r="W81" s="900"/>
      <c r="X81" s="900"/>
      <c r="Y81" s="900"/>
      <c r="Z81" s="900"/>
      <c r="AA81" s="900"/>
      <c r="AB81" s="900"/>
      <c r="AC81" s="900"/>
      <c r="AD81" s="900"/>
      <c r="AE81" s="900"/>
      <c r="AF81" s="900"/>
      <c r="AG81" s="900"/>
      <c r="AH81" s="900"/>
      <c r="AI81" s="900"/>
      <c r="AJ81" s="900"/>
      <c r="AK81" s="900"/>
      <c r="AL81" s="900"/>
      <c r="AM81" s="900"/>
      <c r="AN81" s="900"/>
      <c r="AO81" s="900"/>
      <c r="AP81" s="900"/>
      <c r="AQ81" s="900"/>
      <c r="AR81" s="900"/>
      <c r="AS81" s="900"/>
      <c r="AT81" s="900"/>
      <c r="AU81" s="900"/>
      <c r="AV81" s="900"/>
      <c r="AW81" s="900"/>
      <c r="AX81" s="900"/>
      <c r="AY81" s="900"/>
      <c r="AZ81" s="900"/>
      <c r="BA81" s="900"/>
      <c r="BB81" s="900"/>
      <c r="BC81" s="900"/>
      <c r="BD81" s="900"/>
      <c r="BE81" s="903"/>
      <c r="CK81" s="898"/>
      <c r="CL81" s="898"/>
      <c r="CM81" s="898"/>
      <c r="CN81" s="898"/>
      <c r="CO81" s="898"/>
      <c r="CP81" s="898"/>
    </row>
    <row r="82" spans="1:94" ht="15.75" customHeight="1" thickBot="1">
      <c r="A82" s="900"/>
      <c r="B82" s="900"/>
      <c r="C82" s="900"/>
      <c r="D82" s="900"/>
      <c r="E82" s="900"/>
      <c r="F82" s="900"/>
      <c r="G82" s="900"/>
      <c r="H82" s="900"/>
      <c r="I82" s="900"/>
      <c r="J82" s="900"/>
      <c r="K82" s="900"/>
      <c r="L82" s="900"/>
      <c r="M82" s="900"/>
      <c r="N82" s="900"/>
      <c r="O82" s="900"/>
      <c r="P82" s="900"/>
      <c r="Q82" s="900"/>
      <c r="R82" s="900"/>
      <c r="S82" s="900"/>
      <c r="T82" s="900"/>
      <c r="U82" s="900"/>
      <c r="V82" s="900"/>
      <c r="W82" s="900"/>
      <c r="X82" s="900"/>
      <c r="Y82" s="900"/>
      <c r="Z82" s="900"/>
      <c r="AA82" s="900"/>
      <c r="AB82" s="900"/>
      <c r="AC82" s="900"/>
      <c r="AD82" s="900"/>
      <c r="AE82" s="900"/>
      <c r="AF82" s="900"/>
      <c r="AG82" s="900"/>
      <c r="AH82" s="900"/>
      <c r="AI82" s="900"/>
      <c r="AJ82" s="900"/>
      <c r="AK82" s="900"/>
      <c r="AL82" s="900"/>
      <c r="AM82" s="900"/>
      <c r="AN82" s="900"/>
      <c r="AO82" s="900"/>
      <c r="AP82" s="900"/>
      <c r="AQ82" s="900"/>
      <c r="AR82" s="900"/>
      <c r="AS82" s="900"/>
      <c r="AT82" s="900"/>
      <c r="AU82" s="900"/>
      <c r="AV82" s="900"/>
      <c r="AW82" s="900"/>
      <c r="AX82" s="900"/>
      <c r="AY82" s="900"/>
      <c r="AZ82" s="900"/>
      <c r="BA82" s="900"/>
      <c r="BB82" s="900"/>
      <c r="BC82" s="900"/>
      <c r="BD82" s="900"/>
      <c r="BE82" s="903"/>
      <c r="CK82" s="898"/>
      <c r="CL82" s="898"/>
      <c r="CM82" s="898"/>
      <c r="CN82" s="898"/>
      <c r="CO82" s="898"/>
      <c r="CP82" s="898"/>
    </row>
    <row r="83" spans="1:94" ht="15.75" customHeight="1">
      <c r="A83" s="900"/>
      <c r="B83" s="2003" t="s">
        <v>1985</v>
      </c>
      <c r="C83" s="2004"/>
      <c r="D83" s="2004"/>
      <c r="E83" s="2004"/>
      <c r="F83" s="2004"/>
      <c r="G83" s="2004"/>
      <c r="H83" s="2004"/>
      <c r="I83" s="2004"/>
      <c r="J83" s="2004"/>
      <c r="K83" s="2004"/>
      <c r="L83" s="2004"/>
      <c r="M83" s="2004"/>
      <c r="N83" s="2004"/>
      <c r="O83" s="2004"/>
      <c r="P83" s="2004"/>
      <c r="Q83" s="2004"/>
      <c r="R83" s="2004"/>
      <c r="S83" s="2004"/>
      <c r="T83" s="2004"/>
      <c r="U83" s="2004"/>
      <c r="V83" s="2004"/>
      <c r="W83" s="2004"/>
      <c r="X83" s="2004"/>
      <c r="Y83" s="2004"/>
      <c r="Z83" s="2004"/>
      <c r="AA83" s="2004"/>
      <c r="AB83" s="2004"/>
      <c r="AC83" s="2004"/>
      <c r="AD83" s="2004"/>
      <c r="AE83" s="2004"/>
      <c r="AF83" s="2004"/>
      <c r="AG83" s="2004"/>
      <c r="AH83" s="2005"/>
      <c r="AI83" s="900"/>
      <c r="AJ83" s="2021" t="s">
        <v>1986</v>
      </c>
      <c r="AK83" s="2022"/>
      <c r="AL83" s="2022"/>
      <c r="AM83" s="2022"/>
      <c r="AN83" s="2022"/>
      <c r="AO83" s="2022"/>
      <c r="AP83" s="2022"/>
      <c r="AQ83" s="2022"/>
      <c r="AR83" s="2022"/>
      <c r="AS83" s="2022"/>
      <c r="AT83" s="2022"/>
      <c r="AU83" s="2022"/>
      <c r="AV83" s="2022"/>
      <c r="AW83" s="2022"/>
      <c r="AX83" s="2022"/>
      <c r="AY83" s="2025" t="s">
        <v>694</v>
      </c>
      <c r="AZ83" s="2025"/>
      <c r="BA83" s="2025"/>
      <c r="BB83" s="2026"/>
      <c r="BC83" s="900"/>
      <c r="BD83" s="900"/>
      <c r="BE83" s="903"/>
      <c r="CK83" s="898"/>
      <c r="CL83" s="898"/>
      <c r="CM83" s="898"/>
      <c r="CN83" s="898"/>
      <c r="CO83" s="898"/>
      <c r="CP83" s="898"/>
    </row>
    <row r="84" spans="1:94" ht="15.75" customHeight="1">
      <c r="A84" s="900"/>
      <c r="B84" s="1942"/>
      <c r="C84" s="1943"/>
      <c r="D84" s="1943"/>
      <c r="E84" s="1943"/>
      <c r="F84" s="1943"/>
      <c r="G84" s="1943"/>
      <c r="H84" s="1943"/>
      <c r="I84" s="1943" t="s">
        <v>1987</v>
      </c>
      <c r="J84" s="1943"/>
      <c r="K84" s="1943"/>
      <c r="L84" s="1943"/>
      <c r="M84" s="1943"/>
      <c r="N84" s="1943"/>
      <c r="O84" s="1943" t="s">
        <v>1988</v>
      </c>
      <c r="P84" s="1943"/>
      <c r="Q84" s="1943"/>
      <c r="R84" s="1943"/>
      <c r="S84" s="1943"/>
      <c r="T84" s="1943"/>
      <c r="U84" s="1943"/>
      <c r="V84" s="2029" t="s">
        <v>1989</v>
      </c>
      <c r="W84" s="2029"/>
      <c r="X84" s="2029"/>
      <c r="Y84" s="2029"/>
      <c r="Z84" s="2029"/>
      <c r="AA84" s="2029"/>
      <c r="AB84" s="2030" t="s">
        <v>1990</v>
      </c>
      <c r="AC84" s="2030"/>
      <c r="AD84" s="2030"/>
      <c r="AE84" s="2030"/>
      <c r="AF84" s="2030"/>
      <c r="AG84" s="2030"/>
      <c r="AH84" s="2031"/>
      <c r="AI84" s="900"/>
      <c r="AJ84" s="2023"/>
      <c r="AK84" s="2024"/>
      <c r="AL84" s="2024"/>
      <c r="AM84" s="2024"/>
      <c r="AN84" s="2024"/>
      <c r="AO84" s="2024"/>
      <c r="AP84" s="2024"/>
      <c r="AQ84" s="2024"/>
      <c r="AR84" s="2024"/>
      <c r="AS84" s="2024"/>
      <c r="AT84" s="2024"/>
      <c r="AU84" s="2024"/>
      <c r="AV84" s="2024"/>
      <c r="AW84" s="2024"/>
      <c r="AX84" s="2024"/>
      <c r="AY84" s="2027"/>
      <c r="AZ84" s="2027"/>
      <c r="BA84" s="2027"/>
      <c r="BB84" s="2028"/>
      <c r="BC84" s="900"/>
      <c r="BD84" s="900"/>
      <c r="BE84" s="903"/>
      <c r="CK84" s="898"/>
      <c r="CL84" s="898"/>
      <c r="CM84" s="898"/>
      <c r="CN84" s="898"/>
      <c r="CO84" s="898"/>
      <c r="CP84" s="898"/>
    </row>
    <row r="85" spans="1:94" ht="15.75" customHeight="1">
      <c r="A85" s="900"/>
      <c r="B85" s="1942"/>
      <c r="C85" s="1943"/>
      <c r="D85" s="1943"/>
      <c r="E85" s="1943"/>
      <c r="F85" s="1943"/>
      <c r="G85" s="1943"/>
      <c r="H85" s="1943"/>
      <c r="I85" s="1943"/>
      <c r="J85" s="1943"/>
      <c r="K85" s="1943"/>
      <c r="L85" s="1943"/>
      <c r="M85" s="1943"/>
      <c r="N85" s="1943"/>
      <c r="O85" s="1943"/>
      <c r="P85" s="1943"/>
      <c r="Q85" s="1943"/>
      <c r="R85" s="1943"/>
      <c r="S85" s="1943"/>
      <c r="T85" s="1943"/>
      <c r="U85" s="1943"/>
      <c r="V85" s="2029"/>
      <c r="W85" s="2029"/>
      <c r="X85" s="2029"/>
      <c r="Y85" s="2029"/>
      <c r="Z85" s="2029"/>
      <c r="AA85" s="2029"/>
      <c r="AB85" s="2030"/>
      <c r="AC85" s="2030"/>
      <c r="AD85" s="2030"/>
      <c r="AE85" s="2030"/>
      <c r="AF85" s="2030"/>
      <c r="AG85" s="2030"/>
      <c r="AH85" s="2031"/>
      <c r="AI85" s="900"/>
      <c r="AJ85" s="2023"/>
      <c r="AK85" s="2024"/>
      <c r="AL85" s="2024"/>
      <c r="AM85" s="2024"/>
      <c r="AN85" s="2024"/>
      <c r="AO85" s="2024"/>
      <c r="AP85" s="2024"/>
      <c r="AQ85" s="2024"/>
      <c r="AR85" s="2024"/>
      <c r="AS85" s="2024"/>
      <c r="AT85" s="2024"/>
      <c r="AU85" s="2024"/>
      <c r="AV85" s="2024"/>
      <c r="AW85" s="2024"/>
      <c r="AX85" s="2024"/>
      <c r="AY85" s="2027"/>
      <c r="AZ85" s="2027"/>
      <c r="BA85" s="2027"/>
      <c r="BB85" s="2028"/>
      <c r="BC85" s="900"/>
      <c r="BD85" s="900"/>
      <c r="BE85" s="903"/>
      <c r="CK85" s="898"/>
      <c r="CL85" s="898"/>
      <c r="CM85" s="898"/>
      <c r="CN85" s="898"/>
      <c r="CO85" s="898"/>
      <c r="CP85" s="898"/>
    </row>
    <row r="86" spans="1:94" ht="15.75" customHeight="1">
      <c r="A86" s="900"/>
      <c r="B86" s="1942" t="s">
        <v>1991</v>
      </c>
      <c r="C86" s="1943"/>
      <c r="D86" s="1943"/>
      <c r="E86" s="1943"/>
      <c r="F86" s="1943"/>
      <c r="G86" s="1943"/>
      <c r="H86" s="1943"/>
      <c r="I86" s="2019">
        <v>0</v>
      </c>
      <c r="J86" s="2019"/>
      <c r="K86" s="2019"/>
      <c r="L86" s="2019"/>
      <c r="M86" s="2019"/>
      <c r="N86" s="2019"/>
      <c r="O86" s="2019">
        <v>0</v>
      </c>
      <c r="P86" s="2019"/>
      <c r="Q86" s="2019"/>
      <c r="R86" s="2019"/>
      <c r="S86" s="2019"/>
      <c r="T86" s="2019"/>
      <c r="U86" s="2019"/>
      <c r="V86" s="2019">
        <v>0</v>
      </c>
      <c r="W86" s="2019"/>
      <c r="X86" s="2019"/>
      <c r="Y86" s="2019"/>
      <c r="Z86" s="2019"/>
      <c r="AA86" s="2019"/>
      <c r="AB86" s="2019">
        <v>0</v>
      </c>
      <c r="AC86" s="2019"/>
      <c r="AD86" s="2019"/>
      <c r="AE86" s="2019"/>
      <c r="AF86" s="2019"/>
      <c r="AG86" s="2019"/>
      <c r="AH86" s="2020"/>
      <c r="AI86" s="900"/>
      <c r="AJ86" s="2023"/>
      <c r="AK86" s="2024"/>
      <c r="AL86" s="2024"/>
      <c r="AM86" s="2024"/>
      <c r="AN86" s="2024"/>
      <c r="AO86" s="2024"/>
      <c r="AP86" s="2024"/>
      <c r="AQ86" s="2024"/>
      <c r="AR86" s="2024"/>
      <c r="AS86" s="2024"/>
      <c r="AT86" s="2024"/>
      <c r="AU86" s="2024"/>
      <c r="AV86" s="2024"/>
      <c r="AW86" s="2024"/>
      <c r="AX86" s="2024"/>
      <c r="AY86" s="2027"/>
      <c r="AZ86" s="2027"/>
      <c r="BA86" s="2027"/>
      <c r="BB86" s="2028"/>
      <c r="BC86" s="900"/>
      <c r="BD86" s="900"/>
      <c r="BE86" s="903"/>
      <c r="CK86" s="898"/>
      <c r="CL86" s="898"/>
      <c r="CM86" s="898"/>
      <c r="CN86" s="898"/>
      <c r="CO86" s="898"/>
      <c r="CP86" s="898"/>
    </row>
    <row r="87" spans="1:94" ht="15.75" customHeight="1">
      <c r="A87" s="900"/>
      <c r="B87" s="1942" t="s">
        <v>1992</v>
      </c>
      <c r="C87" s="1943"/>
      <c r="D87" s="1943"/>
      <c r="E87" s="1943"/>
      <c r="F87" s="1943"/>
      <c r="G87" s="1943"/>
      <c r="H87" s="1943"/>
      <c r="I87" s="2019">
        <v>0</v>
      </c>
      <c r="J87" s="2019"/>
      <c r="K87" s="2019"/>
      <c r="L87" s="2019"/>
      <c r="M87" s="2019"/>
      <c r="N87" s="2019"/>
      <c r="O87" s="2019">
        <v>0</v>
      </c>
      <c r="P87" s="2019"/>
      <c r="Q87" s="2019"/>
      <c r="R87" s="2019"/>
      <c r="S87" s="2019"/>
      <c r="T87" s="2019"/>
      <c r="U87" s="2019"/>
      <c r="V87" s="2019">
        <v>0</v>
      </c>
      <c r="W87" s="2019"/>
      <c r="X87" s="2019"/>
      <c r="Y87" s="2019"/>
      <c r="Z87" s="2019"/>
      <c r="AA87" s="2019"/>
      <c r="AB87" s="2019">
        <v>0</v>
      </c>
      <c r="AC87" s="2019"/>
      <c r="AD87" s="2019"/>
      <c r="AE87" s="2019"/>
      <c r="AF87" s="2019"/>
      <c r="AG87" s="2019"/>
      <c r="AH87" s="2020"/>
      <c r="AI87" s="900"/>
      <c r="AJ87" s="2008" t="s">
        <v>1993</v>
      </c>
      <c r="AK87" s="2009"/>
      <c r="AL87" s="2009"/>
      <c r="AM87" s="2009"/>
      <c r="AN87" s="2009"/>
      <c r="AO87" s="2009"/>
      <c r="AP87" s="2009"/>
      <c r="AQ87" s="2009"/>
      <c r="AR87" s="2009"/>
      <c r="AS87" s="2009"/>
      <c r="AT87" s="2009"/>
      <c r="AU87" s="2009"/>
      <c r="AV87" s="2009"/>
      <c r="AW87" s="2009"/>
      <c r="AX87" s="2009"/>
      <c r="AY87" s="2009"/>
      <c r="AZ87" s="2009"/>
      <c r="BA87" s="2009"/>
      <c r="BB87" s="2010"/>
      <c r="BC87" s="900"/>
      <c r="BD87" s="900"/>
      <c r="BE87" s="903"/>
      <c r="CK87" s="898"/>
      <c r="CL87" s="898"/>
      <c r="CM87" s="898"/>
      <c r="CN87" s="898"/>
      <c r="CO87" s="898"/>
      <c r="CP87" s="898"/>
    </row>
    <row r="88" spans="1:94" ht="15.75" customHeight="1" thickBot="1">
      <c r="A88" s="900"/>
      <c r="B88" s="1960" t="s">
        <v>1994</v>
      </c>
      <c r="C88" s="1961"/>
      <c r="D88" s="1961"/>
      <c r="E88" s="1961"/>
      <c r="F88" s="1961"/>
      <c r="G88" s="1961"/>
      <c r="H88" s="1961"/>
      <c r="I88" s="2034">
        <v>0</v>
      </c>
      <c r="J88" s="2034"/>
      <c r="K88" s="2034"/>
      <c r="L88" s="2034"/>
      <c r="M88" s="2034"/>
      <c r="N88" s="2034"/>
      <c r="O88" s="2034">
        <v>0</v>
      </c>
      <c r="P88" s="2034"/>
      <c r="Q88" s="2034"/>
      <c r="R88" s="2034"/>
      <c r="S88" s="2034"/>
      <c r="T88" s="2034"/>
      <c r="U88" s="2034"/>
      <c r="V88" s="2034">
        <v>0</v>
      </c>
      <c r="W88" s="2034"/>
      <c r="X88" s="2034"/>
      <c r="Y88" s="2034"/>
      <c r="Z88" s="2034"/>
      <c r="AA88" s="2034"/>
      <c r="AB88" s="2034">
        <v>0</v>
      </c>
      <c r="AC88" s="2034"/>
      <c r="AD88" s="2034"/>
      <c r="AE88" s="2034"/>
      <c r="AF88" s="2034"/>
      <c r="AG88" s="2034"/>
      <c r="AH88" s="2035"/>
      <c r="AI88" s="900"/>
      <c r="AJ88" s="2011"/>
      <c r="AK88" s="2012"/>
      <c r="AL88" s="2012"/>
      <c r="AM88" s="2012"/>
      <c r="AN88" s="2012"/>
      <c r="AO88" s="2012"/>
      <c r="AP88" s="2012"/>
      <c r="AQ88" s="2012"/>
      <c r="AR88" s="2012"/>
      <c r="AS88" s="2012"/>
      <c r="AT88" s="2012"/>
      <c r="AU88" s="2012"/>
      <c r="AV88" s="2012"/>
      <c r="AW88" s="2012"/>
      <c r="AX88" s="2012"/>
      <c r="AY88" s="2012"/>
      <c r="AZ88" s="2012"/>
      <c r="BA88" s="2012"/>
      <c r="BB88" s="2013"/>
      <c r="BC88" s="900"/>
      <c r="BD88" s="900"/>
      <c r="BE88" s="903"/>
      <c r="CK88" s="898"/>
      <c r="CL88" s="898"/>
      <c r="CM88" s="898"/>
      <c r="CN88" s="898"/>
      <c r="CO88" s="898"/>
      <c r="CP88" s="898"/>
    </row>
    <row r="89" spans="1:94" ht="15.75" customHeight="1">
      <c r="A89" s="900"/>
      <c r="B89" s="900"/>
      <c r="C89" s="900"/>
      <c r="D89" s="900"/>
      <c r="E89" s="900"/>
      <c r="F89" s="900"/>
      <c r="G89" s="900"/>
      <c r="H89" s="900"/>
      <c r="I89" s="900"/>
      <c r="J89" s="900"/>
      <c r="K89" s="900"/>
      <c r="L89" s="900"/>
      <c r="M89" s="900"/>
      <c r="N89" s="900"/>
      <c r="O89" s="900"/>
      <c r="P89" s="900"/>
      <c r="Q89" s="900"/>
      <c r="R89" s="900"/>
      <c r="S89" s="900"/>
      <c r="T89" s="900"/>
      <c r="U89" s="900"/>
      <c r="V89" s="900"/>
      <c r="W89" s="900"/>
      <c r="X89" s="900"/>
      <c r="Y89" s="900"/>
      <c r="Z89" s="900"/>
      <c r="AA89" s="900"/>
      <c r="AB89" s="900"/>
      <c r="AC89" s="900"/>
      <c r="AD89" s="900"/>
      <c r="AE89" s="900"/>
      <c r="AF89" s="900"/>
      <c r="AG89" s="900"/>
      <c r="AH89" s="900"/>
      <c r="AI89" s="900"/>
      <c r="AJ89" s="900"/>
      <c r="AK89" s="900"/>
      <c r="AL89" s="900"/>
      <c r="AM89" s="900"/>
      <c r="AN89" s="900"/>
      <c r="AO89" s="900"/>
      <c r="AP89" s="900"/>
      <c r="AQ89" s="900"/>
      <c r="AR89" s="900"/>
      <c r="AS89" s="900"/>
      <c r="AT89" s="900"/>
      <c r="AU89" s="900"/>
      <c r="AV89" s="900"/>
      <c r="AW89" s="900"/>
      <c r="AX89" s="900"/>
      <c r="AY89" s="900"/>
      <c r="AZ89" s="900"/>
      <c r="BA89" s="900"/>
      <c r="BB89" s="900"/>
      <c r="BC89" s="900"/>
      <c r="BD89" s="900"/>
      <c r="BE89" s="903"/>
      <c r="CM89" s="898"/>
      <c r="CN89" s="898"/>
      <c r="CO89" s="898"/>
      <c r="CP89" s="898"/>
    </row>
    <row r="90" spans="1:94" ht="15.75" customHeight="1" thickBot="1">
      <c r="A90" s="900"/>
      <c r="B90" s="900"/>
      <c r="C90" s="900"/>
      <c r="D90" s="900"/>
      <c r="E90" s="900"/>
      <c r="F90" s="900"/>
      <c r="G90" s="900"/>
      <c r="H90" s="900"/>
      <c r="I90" s="900"/>
      <c r="J90" s="900"/>
      <c r="K90" s="900"/>
      <c r="L90" s="900"/>
      <c r="M90" s="900"/>
      <c r="N90" s="900"/>
      <c r="O90" s="900"/>
      <c r="P90" s="900"/>
      <c r="Q90" s="900"/>
      <c r="R90" s="900"/>
      <c r="S90" s="900"/>
      <c r="T90" s="900"/>
      <c r="U90" s="900"/>
      <c r="V90" s="900"/>
      <c r="W90" s="900"/>
      <c r="X90" s="900"/>
      <c r="Y90" s="900"/>
      <c r="Z90" s="900"/>
      <c r="AA90" s="900"/>
      <c r="AB90" s="900"/>
      <c r="AC90" s="900"/>
      <c r="AD90" s="900"/>
      <c r="AE90" s="900"/>
      <c r="AF90" s="900"/>
      <c r="AG90" s="900"/>
      <c r="AH90" s="900"/>
      <c r="AI90" s="900"/>
      <c r="AJ90" s="900"/>
      <c r="AK90" s="900"/>
      <c r="AL90" s="900"/>
      <c r="AM90" s="900"/>
      <c r="AN90" s="900"/>
      <c r="AO90" s="900"/>
      <c r="AP90" s="900"/>
      <c r="AQ90" s="900"/>
      <c r="AR90" s="900"/>
      <c r="AS90" s="900"/>
      <c r="AT90" s="900"/>
      <c r="AU90" s="900"/>
      <c r="AV90" s="900"/>
      <c r="AW90" s="900"/>
      <c r="AX90" s="900"/>
      <c r="AY90" s="900"/>
      <c r="AZ90" s="900"/>
      <c r="BA90" s="900"/>
      <c r="BB90" s="900"/>
      <c r="BC90" s="900"/>
      <c r="BD90" s="900"/>
      <c r="BE90" s="903"/>
      <c r="CM90" s="898"/>
      <c r="CN90" s="898"/>
      <c r="CO90" s="898"/>
      <c r="CP90" s="898"/>
    </row>
    <row r="91" spans="1:94" ht="15.75" customHeight="1" thickBot="1">
      <c r="A91" s="900"/>
      <c r="B91" s="911" t="s">
        <v>1995</v>
      </c>
      <c r="C91" s="917"/>
      <c r="D91" s="918"/>
      <c r="E91" s="919"/>
      <c r="F91" s="919"/>
      <c r="G91" s="919"/>
      <c r="H91" s="919"/>
      <c r="I91" s="919"/>
      <c r="J91" s="919"/>
      <c r="K91" s="919"/>
      <c r="L91" s="919"/>
      <c r="M91" s="919"/>
      <c r="N91" s="919"/>
      <c r="O91" s="919"/>
      <c r="P91" s="919"/>
      <c r="Q91" s="919"/>
      <c r="R91" s="919"/>
      <c r="S91" s="919"/>
      <c r="T91" s="920"/>
      <c r="U91" s="900"/>
      <c r="V91" s="900"/>
      <c r="W91" s="900"/>
      <c r="X91" s="900"/>
      <c r="Y91" s="900"/>
      <c r="Z91" s="900"/>
      <c r="AA91" s="900"/>
      <c r="AB91" s="900"/>
      <c r="AC91" s="900"/>
      <c r="AD91" s="900"/>
      <c r="AE91" s="900"/>
      <c r="AF91" s="900"/>
      <c r="AG91" s="900"/>
      <c r="AH91" s="900"/>
      <c r="AI91" s="900"/>
      <c r="AJ91" s="900"/>
      <c r="AK91" s="900"/>
      <c r="AL91" s="900"/>
      <c r="AM91" s="900"/>
      <c r="AN91" s="900"/>
      <c r="AO91" s="900"/>
      <c r="AP91" s="900"/>
      <c r="AQ91" s="900"/>
      <c r="AR91" s="900"/>
      <c r="AS91" s="900"/>
      <c r="AT91" s="900"/>
      <c r="AU91" s="900"/>
      <c r="AV91" s="900"/>
      <c r="AW91" s="900"/>
      <c r="AX91" s="900"/>
      <c r="AY91" s="900"/>
      <c r="AZ91" s="900"/>
      <c r="BA91" s="900"/>
      <c r="BB91" s="900"/>
      <c r="BC91" s="900"/>
      <c r="BD91" s="900"/>
      <c r="BE91" s="903"/>
      <c r="BQ91" s="963"/>
      <c r="CM91" s="898"/>
      <c r="CN91" s="898"/>
      <c r="CO91" s="898"/>
      <c r="CP91" s="898"/>
    </row>
    <row r="92" spans="1:94" ht="15.75" customHeight="1">
      <c r="A92" s="900"/>
      <c r="B92" s="921" t="s">
        <v>1981</v>
      </c>
      <c r="C92" s="921"/>
      <c r="D92" s="922"/>
      <c r="E92" s="923"/>
      <c r="F92" s="1990"/>
      <c r="G92" s="1991"/>
      <c r="H92" s="1991"/>
      <c r="I92" s="1991"/>
      <c r="J92" s="1991"/>
      <c r="K92" s="1991"/>
      <c r="L92" s="1991"/>
      <c r="M92" s="1991"/>
      <c r="N92" s="1991"/>
      <c r="O92" s="1991"/>
      <c r="P92" s="1991"/>
      <c r="Q92" s="1991"/>
      <c r="R92" s="1991"/>
      <c r="S92" s="1991"/>
      <c r="T92" s="1992"/>
      <c r="U92" s="900"/>
      <c r="V92" s="900"/>
      <c r="W92" s="900"/>
      <c r="X92" s="900"/>
      <c r="Y92" s="900"/>
      <c r="Z92" s="900"/>
      <c r="AA92" s="900"/>
      <c r="AB92" s="900"/>
      <c r="AC92" s="900"/>
      <c r="AD92" s="900"/>
      <c r="AE92" s="900"/>
      <c r="AF92" s="900"/>
      <c r="AG92" s="900"/>
      <c r="AH92" s="900"/>
      <c r="AI92" s="900"/>
      <c r="AJ92" s="900"/>
      <c r="AK92" s="900"/>
      <c r="AL92" s="900"/>
      <c r="AM92" s="900"/>
      <c r="AN92" s="900"/>
      <c r="AO92" s="900"/>
      <c r="AP92" s="900"/>
      <c r="AQ92" s="900"/>
      <c r="AR92" s="900"/>
      <c r="AS92" s="900"/>
      <c r="AT92" s="900"/>
      <c r="AU92" s="900"/>
      <c r="AV92" s="900"/>
      <c r="AW92" s="900"/>
      <c r="AX92" s="900"/>
      <c r="AY92" s="900"/>
      <c r="AZ92" s="900"/>
      <c r="BA92" s="900"/>
      <c r="BB92" s="900"/>
      <c r="BC92" s="900"/>
      <c r="BD92" s="900"/>
      <c r="BE92" s="903"/>
      <c r="CM92" s="898"/>
      <c r="CN92" s="898"/>
      <c r="CO92" s="898"/>
      <c r="CP92" s="898"/>
    </row>
    <row r="93" spans="1:94" ht="15.75" customHeight="1" thickBot="1">
      <c r="A93" s="900"/>
      <c r="B93" s="1993" t="s">
        <v>1996</v>
      </c>
      <c r="C93" s="1994"/>
      <c r="D93" s="1994"/>
      <c r="E93" s="1994"/>
      <c r="F93" s="1994"/>
      <c r="G93" s="1994"/>
      <c r="H93" s="1994"/>
      <c r="I93" s="1994"/>
      <c r="J93" s="1994"/>
      <c r="K93" s="1994"/>
      <c r="L93" s="1994"/>
      <c r="M93" s="1994"/>
      <c r="N93" s="1994"/>
      <c r="O93" s="1994"/>
      <c r="P93" s="1994"/>
      <c r="Q93" s="2032"/>
      <c r="R93" s="1995" t="str">
        <f>IFERROR(INDEX(BR96:BR98,MATCH(F92,$BQ$96:$BQ$98,0))/SUM($BR$96:$BR$98),"")</f>
        <v/>
      </c>
      <c r="S93" s="1996"/>
      <c r="T93" s="1997"/>
      <c r="U93" s="900"/>
      <c r="V93" s="900"/>
      <c r="W93" s="900"/>
      <c r="X93" s="900"/>
      <c r="Y93" s="900"/>
      <c r="Z93" s="900"/>
      <c r="AA93" s="900"/>
      <c r="AB93" s="900"/>
      <c r="AC93" s="900"/>
      <c r="AD93" s="900"/>
      <c r="AE93" s="900"/>
      <c r="AF93" s="900"/>
      <c r="AG93" s="900"/>
      <c r="AH93" s="900"/>
      <c r="AI93" s="900"/>
      <c r="AJ93" s="900"/>
      <c r="AK93" s="900"/>
      <c r="AL93" s="900"/>
      <c r="AM93" s="900"/>
      <c r="AN93" s="900"/>
      <c r="AO93" s="900"/>
      <c r="AP93" s="900"/>
      <c r="AQ93" s="900"/>
      <c r="AR93" s="900"/>
      <c r="AS93" s="900"/>
      <c r="AT93" s="900"/>
      <c r="AU93" s="900"/>
      <c r="AV93" s="900"/>
      <c r="AW93" s="900"/>
      <c r="AX93" s="900"/>
      <c r="AY93" s="900"/>
      <c r="AZ93" s="900"/>
      <c r="BA93" s="900"/>
      <c r="BB93" s="900"/>
      <c r="BC93" s="900"/>
      <c r="BD93" s="900"/>
      <c r="BE93" s="903"/>
      <c r="CM93" s="898"/>
      <c r="CN93" s="898"/>
      <c r="CO93" s="898"/>
      <c r="CP93" s="898"/>
    </row>
    <row r="94" spans="1:94" ht="15.75" customHeight="1" thickBot="1">
      <c r="A94" s="900"/>
      <c r="B94" s="1998" t="s">
        <v>1997</v>
      </c>
      <c r="C94" s="1999"/>
      <c r="D94" s="1999"/>
      <c r="E94" s="1999"/>
      <c r="F94" s="1999"/>
      <c r="G94" s="1999"/>
      <c r="H94" s="1999"/>
      <c r="I94" s="1999"/>
      <c r="J94" s="1999"/>
      <c r="K94" s="1999"/>
      <c r="L94" s="1999"/>
      <c r="M94" s="1999"/>
      <c r="N94" s="1999"/>
      <c r="O94" s="1999"/>
      <c r="P94" s="1999"/>
      <c r="Q94" s="2033"/>
      <c r="R94" s="2000" t="s">
        <v>1984</v>
      </c>
      <c r="S94" s="2001"/>
      <c r="T94" s="2002"/>
      <c r="U94" s="900"/>
      <c r="V94" s="900"/>
      <c r="W94" s="900"/>
      <c r="X94" s="900"/>
      <c r="Y94" s="900"/>
      <c r="Z94" s="900"/>
      <c r="AA94" s="900"/>
      <c r="AB94" s="900"/>
      <c r="AC94" s="900"/>
      <c r="AD94" s="900"/>
      <c r="AE94" s="900"/>
      <c r="AF94" s="900"/>
      <c r="AG94" s="900"/>
      <c r="AH94" s="900"/>
      <c r="AI94" s="900"/>
      <c r="AJ94" s="900"/>
      <c r="AK94" s="900"/>
      <c r="AL94" s="900"/>
      <c r="AM94" s="900"/>
      <c r="AN94" s="900"/>
      <c r="AO94" s="900"/>
      <c r="AP94" s="900"/>
      <c r="AQ94" s="900"/>
      <c r="AR94" s="900"/>
      <c r="AS94" s="900"/>
      <c r="AT94" s="900"/>
      <c r="AU94" s="900"/>
      <c r="AV94" s="900"/>
      <c r="AW94" s="900"/>
      <c r="AX94" s="900"/>
      <c r="AY94" s="900"/>
      <c r="AZ94" s="900"/>
      <c r="BA94" s="900"/>
      <c r="BB94" s="900"/>
      <c r="BC94" s="900"/>
      <c r="BD94" s="900"/>
      <c r="BE94" s="903"/>
      <c r="CM94" s="898"/>
      <c r="CN94" s="898"/>
      <c r="CO94" s="898"/>
      <c r="CP94" s="898"/>
    </row>
    <row r="95" spans="1:94" ht="15.75" customHeight="1" thickBot="1">
      <c r="A95" s="900"/>
      <c r="B95" s="900"/>
      <c r="C95" s="900"/>
      <c r="D95" s="900"/>
      <c r="E95" s="900"/>
      <c r="F95" s="900"/>
      <c r="G95" s="900"/>
      <c r="H95" s="900"/>
      <c r="I95" s="900"/>
      <c r="J95" s="900"/>
      <c r="K95" s="900"/>
      <c r="L95" s="900"/>
      <c r="M95" s="900"/>
      <c r="N95" s="900"/>
      <c r="O95" s="900"/>
      <c r="P95" s="900"/>
      <c r="Q95" s="900"/>
      <c r="R95" s="900"/>
      <c r="S95" s="900"/>
      <c r="T95" s="900"/>
      <c r="U95" s="900"/>
      <c r="V95" s="900"/>
      <c r="W95" s="900"/>
      <c r="X95" s="900"/>
      <c r="Y95" s="900"/>
      <c r="Z95" s="900"/>
      <c r="AA95" s="900"/>
      <c r="AB95" s="900"/>
      <c r="AC95" s="900"/>
      <c r="AD95" s="900"/>
      <c r="AE95" s="900"/>
      <c r="AF95" s="900"/>
      <c r="AG95" s="900"/>
      <c r="AH95" s="900"/>
      <c r="AI95" s="900"/>
      <c r="AJ95" s="900"/>
      <c r="AK95" s="900"/>
      <c r="AL95" s="900"/>
      <c r="AM95" s="900"/>
      <c r="AN95" s="900"/>
      <c r="AO95" s="900"/>
      <c r="AP95" s="900"/>
      <c r="AQ95" s="900"/>
      <c r="AR95" s="900"/>
      <c r="AS95" s="900"/>
      <c r="AT95" s="900"/>
      <c r="AU95" s="900"/>
      <c r="AV95" s="900"/>
      <c r="AW95" s="900"/>
      <c r="AX95" s="900"/>
      <c r="AY95" s="900"/>
      <c r="AZ95" s="900"/>
      <c r="BA95" s="900"/>
      <c r="BB95" s="900"/>
      <c r="BC95" s="900"/>
      <c r="BD95" s="900"/>
      <c r="BE95" s="903"/>
      <c r="CM95" s="898"/>
      <c r="CN95" s="898"/>
      <c r="CO95" s="898"/>
      <c r="CP95" s="898"/>
    </row>
    <row r="96" spans="1:94" ht="15.75" customHeight="1">
      <c r="A96" s="900"/>
      <c r="B96" s="2003" t="s">
        <v>1998</v>
      </c>
      <c r="C96" s="2004"/>
      <c r="D96" s="2004"/>
      <c r="E96" s="2004"/>
      <c r="F96" s="2004"/>
      <c r="G96" s="2004"/>
      <c r="H96" s="2004"/>
      <c r="I96" s="2004"/>
      <c r="J96" s="2004"/>
      <c r="K96" s="2004"/>
      <c r="L96" s="2004"/>
      <c r="M96" s="2004"/>
      <c r="N96" s="2004"/>
      <c r="O96" s="2004"/>
      <c r="P96" s="2004"/>
      <c r="Q96" s="2004"/>
      <c r="R96" s="2004"/>
      <c r="S96" s="2004"/>
      <c r="T96" s="2004"/>
      <c r="U96" s="2004"/>
      <c r="V96" s="2004"/>
      <c r="W96" s="2004"/>
      <c r="X96" s="2004"/>
      <c r="Y96" s="2004"/>
      <c r="Z96" s="2004"/>
      <c r="AA96" s="2004"/>
      <c r="AB96" s="2004"/>
      <c r="AC96" s="2004"/>
      <c r="AD96" s="2004"/>
      <c r="AE96" s="2004"/>
      <c r="AF96" s="2004"/>
      <c r="AG96" s="2004"/>
      <c r="AH96" s="2005"/>
      <c r="AI96" s="900"/>
      <c r="AJ96" s="2021" t="s">
        <v>1999</v>
      </c>
      <c r="AK96" s="2022"/>
      <c r="AL96" s="2022"/>
      <c r="AM96" s="2022"/>
      <c r="AN96" s="2022"/>
      <c r="AO96" s="2022"/>
      <c r="AP96" s="2022"/>
      <c r="AQ96" s="2022"/>
      <c r="AR96" s="2022"/>
      <c r="AS96" s="2022"/>
      <c r="AT96" s="2022"/>
      <c r="AU96" s="2022"/>
      <c r="AV96" s="2022"/>
      <c r="AW96" s="2022"/>
      <c r="AX96" s="2022"/>
      <c r="AY96" s="2025" t="s">
        <v>694</v>
      </c>
      <c r="AZ96" s="2025"/>
      <c r="BA96" s="2025"/>
      <c r="BB96" s="2026"/>
      <c r="BC96" s="900"/>
      <c r="BD96" s="900"/>
      <c r="BE96" s="903"/>
      <c r="BQ96" s="961" t="str">
        <f>Application!M243&amp;IF(TRIM(Application!AA249)&lt;&gt;""," ("&amp;Application!AA249&amp;")","")</f>
        <v>Creekside Commons AGP LLC</v>
      </c>
      <c r="BR96" s="964">
        <f>Application!AH246</f>
        <v>4.8999999999999998E-4</v>
      </c>
      <c r="CM96" s="898"/>
      <c r="CN96" s="898"/>
      <c r="CO96" s="898"/>
      <c r="CP96" s="898"/>
    </row>
    <row r="97" spans="1:94" ht="15.75" customHeight="1">
      <c r="A97" s="900"/>
      <c r="B97" s="1942"/>
      <c r="C97" s="1943"/>
      <c r="D97" s="1943"/>
      <c r="E97" s="1943"/>
      <c r="F97" s="1943"/>
      <c r="G97" s="1943"/>
      <c r="H97" s="1943"/>
      <c r="I97" s="1943" t="s">
        <v>1987</v>
      </c>
      <c r="J97" s="1943"/>
      <c r="K97" s="1943"/>
      <c r="L97" s="1943"/>
      <c r="M97" s="1943"/>
      <c r="N97" s="1943"/>
      <c r="O97" s="1943" t="s">
        <v>1988</v>
      </c>
      <c r="P97" s="1943"/>
      <c r="Q97" s="1943"/>
      <c r="R97" s="1943"/>
      <c r="S97" s="1943"/>
      <c r="T97" s="1943"/>
      <c r="U97" s="1943"/>
      <c r="V97" s="2029" t="s">
        <v>1989</v>
      </c>
      <c r="W97" s="2029"/>
      <c r="X97" s="2029"/>
      <c r="Y97" s="2029"/>
      <c r="Z97" s="2029"/>
      <c r="AA97" s="2029"/>
      <c r="AB97" s="2030" t="s">
        <v>1990</v>
      </c>
      <c r="AC97" s="2030"/>
      <c r="AD97" s="2030"/>
      <c r="AE97" s="2030"/>
      <c r="AF97" s="2030"/>
      <c r="AG97" s="2030"/>
      <c r="AH97" s="2031"/>
      <c r="AI97" s="900"/>
      <c r="AJ97" s="2023"/>
      <c r="AK97" s="2024"/>
      <c r="AL97" s="2024"/>
      <c r="AM97" s="2024"/>
      <c r="AN97" s="2024"/>
      <c r="AO97" s="2024"/>
      <c r="AP97" s="2024"/>
      <c r="AQ97" s="2024"/>
      <c r="AR97" s="2024"/>
      <c r="AS97" s="2024"/>
      <c r="AT97" s="2024"/>
      <c r="AU97" s="2024"/>
      <c r="AV97" s="2024"/>
      <c r="AW97" s="2024"/>
      <c r="AX97" s="2024"/>
      <c r="AY97" s="2027"/>
      <c r="AZ97" s="2027"/>
      <c r="BA97" s="2027"/>
      <c r="BB97" s="2028"/>
      <c r="BC97" s="900"/>
      <c r="BD97" s="900"/>
      <c r="BE97" s="903"/>
      <c r="BQ97" s="961" t="str">
        <f>Application!M251&amp;IF(TRIM(Application!AA257)&lt;&gt;""," ("&amp;Application!AA257&amp;")","")</f>
        <v>Central Valley Coalition for Affordable Housing</v>
      </c>
      <c r="BR97" s="964">
        <f>Application!AH254</f>
        <v>5.1000000000000004E-4</v>
      </c>
      <c r="CM97" s="898"/>
      <c r="CN97" s="898"/>
      <c r="CO97" s="898"/>
      <c r="CP97" s="898"/>
    </row>
    <row r="98" spans="1:94" ht="15.75" customHeight="1">
      <c r="A98" s="900"/>
      <c r="B98" s="1942"/>
      <c r="C98" s="1943"/>
      <c r="D98" s="1943"/>
      <c r="E98" s="1943"/>
      <c r="F98" s="1943"/>
      <c r="G98" s="1943"/>
      <c r="H98" s="1943"/>
      <c r="I98" s="1943"/>
      <c r="J98" s="1943"/>
      <c r="K98" s="1943"/>
      <c r="L98" s="1943"/>
      <c r="M98" s="1943"/>
      <c r="N98" s="1943"/>
      <c r="O98" s="1943"/>
      <c r="P98" s="1943"/>
      <c r="Q98" s="1943"/>
      <c r="R98" s="1943"/>
      <c r="S98" s="1943"/>
      <c r="T98" s="1943"/>
      <c r="U98" s="1943"/>
      <c r="V98" s="2029"/>
      <c r="W98" s="2029"/>
      <c r="X98" s="2029"/>
      <c r="Y98" s="2029"/>
      <c r="Z98" s="2029"/>
      <c r="AA98" s="2029"/>
      <c r="AB98" s="2030"/>
      <c r="AC98" s="2030"/>
      <c r="AD98" s="2030"/>
      <c r="AE98" s="2030"/>
      <c r="AF98" s="2030"/>
      <c r="AG98" s="2030"/>
      <c r="AH98" s="2031"/>
      <c r="AI98" s="900"/>
      <c r="AJ98" s="2023"/>
      <c r="AK98" s="2024"/>
      <c r="AL98" s="2024"/>
      <c r="AM98" s="2024"/>
      <c r="AN98" s="2024"/>
      <c r="AO98" s="2024"/>
      <c r="AP98" s="2024"/>
      <c r="AQ98" s="2024"/>
      <c r="AR98" s="2024"/>
      <c r="AS98" s="2024"/>
      <c r="AT98" s="2024"/>
      <c r="AU98" s="2024"/>
      <c r="AV98" s="2024"/>
      <c r="AW98" s="2024"/>
      <c r="AX98" s="2024"/>
      <c r="AY98" s="2027"/>
      <c r="AZ98" s="2027"/>
      <c r="BA98" s="2027"/>
      <c r="BB98" s="2028"/>
      <c r="BC98" s="900"/>
      <c r="BD98" s="900"/>
      <c r="BE98" s="903"/>
      <c r="BQ98" s="961" t="str">
        <f>Application!M259&amp;IF(TRIM(Application!AA265)&lt;&gt;""," ("&amp;Application!AA265&amp;")","")</f>
        <v/>
      </c>
      <c r="BR98" s="964">
        <f>Application!AH262</f>
        <v>0</v>
      </c>
      <c r="CM98" s="898"/>
      <c r="CN98" s="898"/>
      <c r="CO98" s="898"/>
      <c r="CP98" s="898"/>
    </row>
    <row r="99" spans="1:94" ht="15.75" customHeight="1">
      <c r="A99" s="900"/>
      <c r="B99" s="1942" t="s">
        <v>1991</v>
      </c>
      <c r="C99" s="1943"/>
      <c r="D99" s="1943"/>
      <c r="E99" s="1943"/>
      <c r="F99" s="1943"/>
      <c r="G99" s="1943"/>
      <c r="H99" s="1943"/>
      <c r="I99" s="2019">
        <v>0</v>
      </c>
      <c r="J99" s="2019"/>
      <c r="K99" s="2019"/>
      <c r="L99" s="2019"/>
      <c r="M99" s="2019"/>
      <c r="N99" s="2019"/>
      <c r="O99" s="2019">
        <v>0</v>
      </c>
      <c r="P99" s="2019"/>
      <c r="Q99" s="2019"/>
      <c r="R99" s="2019"/>
      <c r="S99" s="2019"/>
      <c r="T99" s="2019"/>
      <c r="U99" s="2019"/>
      <c r="V99" s="2019">
        <v>0</v>
      </c>
      <c r="W99" s="2019"/>
      <c r="X99" s="2019"/>
      <c r="Y99" s="2019"/>
      <c r="Z99" s="2019"/>
      <c r="AA99" s="2019"/>
      <c r="AB99" s="2019">
        <v>0</v>
      </c>
      <c r="AC99" s="2019"/>
      <c r="AD99" s="2019"/>
      <c r="AE99" s="2019"/>
      <c r="AF99" s="2019"/>
      <c r="AG99" s="2019"/>
      <c r="AH99" s="2020"/>
      <c r="AI99" s="900"/>
      <c r="AJ99" s="2023"/>
      <c r="AK99" s="2024"/>
      <c r="AL99" s="2024"/>
      <c r="AM99" s="2024"/>
      <c r="AN99" s="2024"/>
      <c r="AO99" s="2024"/>
      <c r="AP99" s="2024"/>
      <c r="AQ99" s="2024"/>
      <c r="AR99" s="2024"/>
      <c r="AS99" s="2024"/>
      <c r="AT99" s="2024"/>
      <c r="AU99" s="2024"/>
      <c r="AV99" s="2024"/>
      <c r="AW99" s="2024"/>
      <c r="AX99" s="2024"/>
      <c r="AY99" s="2027"/>
      <c r="AZ99" s="2027"/>
      <c r="BA99" s="2027"/>
      <c r="BB99" s="2028"/>
      <c r="BC99" s="900"/>
      <c r="BD99" s="900"/>
      <c r="BE99" s="903"/>
      <c r="CM99" s="898"/>
      <c r="CN99" s="898"/>
      <c r="CO99" s="898"/>
      <c r="CP99" s="898"/>
    </row>
    <row r="100" spans="1:94" ht="15.75" customHeight="1">
      <c r="A100" s="900"/>
      <c r="B100" s="1942" t="s">
        <v>1992</v>
      </c>
      <c r="C100" s="1943"/>
      <c r="D100" s="1943"/>
      <c r="E100" s="1943"/>
      <c r="F100" s="1943"/>
      <c r="G100" s="1943"/>
      <c r="H100" s="1943"/>
      <c r="I100" s="2019">
        <v>0</v>
      </c>
      <c r="J100" s="2019"/>
      <c r="K100" s="2019"/>
      <c r="L100" s="2019"/>
      <c r="M100" s="2019"/>
      <c r="N100" s="2019"/>
      <c r="O100" s="2019">
        <v>0</v>
      </c>
      <c r="P100" s="2019"/>
      <c r="Q100" s="2019"/>
      <c r="R100" s="2019"/>
      <c r="S100" s="2019"/>
      <c r="T100" s="2019"/>
      <c r="U100" s="2019"/>
      <c r="V100" s="2019">
        <v>0</v>
      </c>
      <c r="W100" s="2019"/>
      <c r="X100" s="2019"/>
      <c r="Y100" s="2019"/>
      <c r="Z100" s="2019"/>
      <c r="AA100" s="2019"/>
      <c r="AB100" s="2019">
        <v>0</v>
      </c>
      <c r="AC100" s="2019"/>
      <c r="AD100" s="2019"/>
      <c r="AE100" s="2019"/>
      <c r="AF100" s="2019"/>
      <c r="AG100" s="2019"/>
      <c r="AH100" s="2020"/>
      <c r="AI100" s="900"/>
      <c r="AJ100" s="2008" t="s">
        <v>1993</v>
      </c>
      <c r="AK100" s="2009"/>
      <c r="AL100" s="2009"/>
      <c r="AM100" s="2009"/>
      <c r="AN100" s="2009"/>
      <c r="AO100" s="2009"/>
      <c r="AP100" s="2009"/>
      <c r="AQ100" s="2009"/>
      <c r="AR100" s="2009"/>
      <c r="AS100" s="2009"/>
      <c r="AT100" s="2009"/>
      <c r="AU100" s="2009"/>
      <c r="AV100" s="2009"/>
      <c r="AW100" s="2009"/>
      <c r="AX100" s="2009"/>
      <c r="AY100" s="2009"/>
      <c r="AZ100" s="2009"/>
      <c r="BA100" s="2009"/>
      <c r="BB100" s="2010"/>
      <c r="BC100" s="900"/>
      <c r="BD100" s="900"/>
      <c r="BE100" s="903"/>
      <c r="CM100" s="898"/>
      <c r="CN100" s="898"/>
      <c r="CO100" s="898"/>
      <c r="CP100" s="898"/>
    </row>
    <row r="101" spans="1:94" ht="15.75" customHeight="1" thickBot="1">
      <c r="A101" s="900"/>
      <c r="B101" s="1960" t="s">
        <v>1994</v>
      </c>
      <c r="C101" s="1961"/>
      <c r="D101" s="1961"/>
      <c r="E101" s="1961"/>
      <c r="F101" s="1961"/>
      <c r="G101" s="1961"/>
      <c r="H101" s="1961"/>
      <c r="I101" s="2034">
        <v>0</v>
      </c>
      <c r="J101" s="2034"/>
      <c r="K101" s="2034"/>
      <c r="L101" s="2034"/>
      <c r="M101" s="2034"/>
      <c r="N101" s="2034"/>
      <c r="O101" s="2034">
        <v>0</v>
      </c>
      <c r="P101" s="2034"/>
      <c r="Q101" s="2034"/>
      <c r="R101" s="2034"/>
      <c r="S101" s="2034"/>
      <c r="T101" s="2034"/>
      <c r="U101" s="2034"/>
      <c r="V101" s="2034">
        <v>0</v>
      </c>
      <c r="W101" s="2034"/>
      <c r="X101" s="2034"/>
      <c r="Y101" s="2034"/>
      <c r="Z101" s="2034"/>
      <c r="AA101" s="2034"/>
      <c r="AB101" s="2034">
        <v>0</v>
      </c>
      <c r="AC101" s="2034"/>
      <c r="AD101" s="2034"/>
      <c r="AE101" s="2034"/>
      <c r="AF101" s="2034"/>
      <c r="AG101" s="2034"/>
      <c r="AH101" s="2035"/>
      <c r="AI101" s="900"/>
      <c r="AJ101" s="2011"/>
      <c r="AK101" s="2012"/>
      <c r="AL101" s="2012"/>
      <c r="AM101" s="2012"/>
      <c r="AN101" s="2012"/>
      <c r="AO101" s="2012"/>
      <c r="AP101" s="2012"/>
      <c r="AQ101" s="2012"/>
      <c r="AR101" s="2012"/>
      <c r="AS101" s="2012"/>
      <c r="AT101" s="2012"/>
      <c r="AU101" s="2012"/>
      <c r="AV101" s="2012"/>
      <c r="AW101" s="2012"/>
      <c r="AX101" s="2012"/>
      <c r="AY101" s="2012"/>
      <c r="AZ101" s="2012"/>
      <c r="BA101" s="2012"/>
      <c r="BB101" s="2013"/>
      <c r="BC101" s="900"/>
      <c r="BD101" s="900"/>
      <c r="BE101" s="903"/>
      <c r="BQ101" s="961" t="str">
        <f>Application!AA335</f>
        <v>The John Stewart Company</v>
      </c>
      <c r="CM101" s="898"/>
      <c r="CN101" s="898"/>
      <c r="CO101" s="898"/>
      <c r="CP101" s="898"/>
    </row>
    <row r="102" spans="1:94" ht="15.75" customHeight="1" thickBot="1">
      <c r="A102" s="900"/>
      <c r="B102" s="900"/>
      <c r="C102" s="900"/>
      <c r="D102" s="900"/>
      <c r="E102" s="900"/>
      <c r="F102" s="900"/>
      <c r="G102" s="900"/>
      <c r="H102" s="900"/>
      <c r="I102" s="900"/>
      <c r="J102" s="900"/>
      <c r="K102" s="900"/>
      <c r="L102" s="900"/>
      <c r="M102" s="900"/>
      <c r="N102" s="900"/>
      <c r="O102" s="900"/>
      <c r="P102" s="900"/>
      <c r="Q102" s="900"/>
      <c r="R102" s="900"/>
      <c r="S102" s="900"/>
      <c r="T102" s="900"/>
      <c r="U102" s="900"/>
      <c r="V102" s="900"/>
      <c r="W102" s="900"/>
      <c r="X102" s="900"/>
      <c r="Y102" s="900"/>
      <c r="Z102" s="900"/>
      <c r="AA102" s="900"/>
      <c r="AB102" s="900"/>
      <c r="AC102" s="900"/>
      <c r="AD102" s="900"/>
      <c r="AE102" s="900"/>
      <c r="AF102" s="900"/>
      <c r="AG102" s="900"/>
      <c r="AH102" s="900"/>
      <c r="AI102" s="900"/>
      <c r="AJ102" s="900"/>
      <c r="AK102" s="900"/>
      <c r="AL102" s="900"/>
      <c r="AM102" s="900"/>
      <c r="AN102" s="900"/>
      <c r="AO102" s="900"/>
      <c r="AP102" s="900"/>
      <c r="AQ102" s="900"/>
      <c r="AR102" s="900"/>
      <c r="AS102" s="900"/>
      <c r="AT102" s="900"/>
      <c r="AU102" s="900"/>
      <c r="AV102" s="900"/>
      <c r="AW102" s="900"/>
      <c r="AX102" s="900"/>
      <c r="AY102" s="900"/>
      <c r="AZ102" s="900"/>
      <c r="BA102" s="900"/>
      <c r="BB102" s="900"/>
      <c r="BC102" s="900"/>
      <c r="BD102" s="900"/>
      <c r="BE102" s="903"/>
      <c r="BQ102" s="961">
        <f>Application!P343</f>
        <v>0</v>
      </c>
      <c r="CM102" s="898"/>
      <c r="CN102" s="898"/>
      <c r="CO102" s="898"/>
      <c r="CP102" s="898"/>
    </row>
    <row r="103" spans="1:94" ht="15.75" customHeight="1" thickBot="1">
      <c r="A103" s="900"/>
      <c r="B103" s="918" t="s">
        <v>2000</v>
      </c>
      <c r="C103" s="912"/>
      <c r="D103" s="913"/>
      <c r="E103" s="913"/>
      <c r="F103" s="924"/>
      <c r="G103" s="924"/>
      <c r="H103" s="924"/>
      <c r="I103" s="924"/>
      <c r="J103" s="924"/>
      <c r="K103" s="924"/>
      <c r="L103" s="924"/>
      <c r="M103" s="924"/>
      <c r="N103" s="924"/>
      <c r="O103" s="925"/>
      <c r="P103" s="924"/>
      <c r="Q103" s="924"/>
      <c r="R103" s="925"/>
      <c r="S103" s="900" t="s">
        <v>254</v>
      </c>
      <c r="T103" s="900"/>
      <c r="U103" s="900"/>
      <c r="V103" s="900"/>
      <c r="W103" s="900"/>
      <c r="X103" s="900"/>
      <c r="Y103" s="900"/>
      <c r="Z103" s="900"/>
      <c r="AA103" s="900"/>
      <c r="AB103" s="900"/>
      <c r="AC103" s="900"/>
      <c r="AD103" s="900"/>
      <c r="AE103" s="900"/>
      <c r="AF103" s="900"/>
      <c r="AG103" s="900"/>
      <c r="AH103" s="900"/>
      <c r="AI103" s="900"/>
      <c r="AJ103" s="900"/>
      <c r="AK103" s="900"/>
      <c r="AL103" s="900"/>
      <c r="AM103" s="900"/>
      <c r="AN103" s="900"/>
      <c r="AO103" s="900"/>
      <c r="AP103" s="900"/>
      <c r="AQ103" s="900"/>
      <c r="AR103" s="900"/>
      <c r="AS103" s="900"/>
      <c r="AT103" s="900"/>
      <c r="AU103" s="900"/>
      <c r="AV103" s="900"/>
      <c r="AW103" s="900"/>
      <c r="AX103" s="900"/>
      <c r="AY103" s="900"/>
      <c r="AZ103" s="900"/>
      <c r="BA103" s="900"/>
      <c r="BB103" s="900"/>
      <c r="BC103" s="900"/>
      <c r="BD103" s="900"/>
      <c r="BE103" s="903"/>
      <c r="CM103" s="898"/>
      <c r="CN103" s="898"/>
      <c r="CO103" s="898"/>
      <c r="CP103" s="898"/>
    </row>
    <row r="104" spans="1:94" ht="15.75" customHeight="1">
      <c r="A104" s="900"/>
      <c r="B104" s="921" t="s">
        <v>1981</v>
      </c>
      <c r="C104" s="921"/>
      <c r="D104" s="926"/>
      <c r="E104" s="927"/>
      <c r="F104" s="2036"/>
      <c r="G104" s="2037"/>
      <c r="H104" s="2037"/>
      <c r="I104" s="2037"/>
      <c r="J104" s="2037"/>
      <c r="K104" s="2037"/>
      <c r="L104" s="2037"/>
      <c r="M104" s="2037"/>
      <c r="N104" s="2037"/>
      <c r="O104" s="2037"/>
      <c r="P104" s="2037"/>
      <c r="Q104" s="2037"/>
      <c r="R104" s="2038"/>
      <c r="S104" s="900"/>
      <c r="T104" s="900"/>
      <c r="U104" s="900"/>
      <c r="V104" s="900"/>
      <c r="W104" s="900"/>
      <c r="X104" s="900"/>
      <c r="Y104" s="900"/>
      <c r="Z104" s="900"/>
      <c r="AA104" s="900"/>
      <c r="AB104" s="900"/>
      <c r="AC104" s="900"/>
      <c r="AD104" s="900"/>
      <c r="AE104" s="900"/>
      <c r="AF104" s="900"/>
      <c r="AG104" s="900"/>
      <c r="AH104" s="900"/>
      <c r="AI104" s="900"/>
      <c r="AJ104" s="900"/>
      <c r="AK104" s="900"/>
      <c r="AL104" s="900"/>
      <c r="AM104" s="900"/>
      <c r="AN104" s="900"/>
      <c r="AO104" s="900"/>
      <c r="AP104" s="900"/>
      <c r="AQ104" s="900"/>
      <c r="AR104" s="900"/>
      <c r="AS104" s="900"/>
      <c r="AT104" s="900"/>
      <c r="AU104" s="900"/>
      <c r="AV104" s="900"/>
      <c r="AW104" s="900"/>
      <c r="AX104" s="900"/>
      <c r="AY104" s="900"/>
      <c r="AZ104" s="900"/>
      <c r="BA104" s="900"/>
      <c r="BB104" s="900"/>
      <c r="BC104" s="900"/>
      <c r="BD104" s="900"/>
      <c r="BE104" s="903"/>
      <c r="CM104" s="898"/>
      <c r="CN104" s="898"/>
      <c r="CO104" s="898"/>
      <c r="CP104" s="898"/>
    </row>
    <row r="105" spans="1:94" ht="15.75" customHeight="1" thickBot="1">
      <c r="A105" s="900"/>
      <c r="B105" s="928" t="s">
        <v>2001</v>
      </c>
      <c r="C105" s="929"/>
      <c r="D105" s="930"/>
      <c r="E105" s="930"/>
      <c r="F105" s="930"/>
      <c r="G105" s="930"/>
      <c r="H105" s="930"/>
      <c r="I105" s="930"/>
      <c r="J105" s="930"/>
      <c r="K105" s="930"/>
      <c r="L105" s="931"/>
      <c r="M105" s="930"/>
      <c r="N105" s="931"/>
      <c r="O105" s="2000" t="str">
        <f>IFERROR(INDEX(BR96:BR98,MATCH(F104,$BQ$96:$BQ$98,0))/SUM($BR$96:$BR$98),"")</f>
        <v/>
      </c>
      <c r="P105" s="2001"/>
      <c r="Q105" s="2001"/>
      <c r="R105" s="2002"/>
      <c r="S105" s="900"/>
      <c r="T105" s="900"/>
      <c r="U105" s="900"/>
      <c r="V105" s="900"/>
      <c r="W105" s="900"/>
      <c r="X105" s="900"/>
      <c r="Y105" s="900"/>
      <c r="Z105" s="900"/>
      <c r="AA105" s="900"/>
      <c r="AB105" s="900"/>
      <c r="AC105" s="900"/>
      <c r="AD105" s="900"/>
      <c r="AE105" s="900"/>
      <c r="AF105" s="900"/>
      <c r="AG105" s="900"/>
      <c r="AH105" s="900"/>
      <c r="AI105" s="900"/>
      <c r="AJ105" s="900"/>
      <c r="AK105" s="900"/>
      <c r="AL105" s="900"/>
      <c r="AM105" s="900"/>
      <c r="AN105" s="900"/>
      <c r="AO105" s="900"/>
      <c r="AP105" s="900"/>
      <c r="AQ105" s="900"/>
      <c r="AR105" s="900"/>
      <c r="AS105" s="900"/>
      <c r="AT105" s="900"/>
      <c r="AU105" s="900"/>
      <c r="AV105" s="900"/>
      <c r="AW105" s="900"/>
      <c r="AX105" s="900"/>
      <c r="AY105" s="900"/>
      <c r="AZ105" s="900"/>
      <c r="BA105" s="900"/>
      <c r="BB105" s="900"/>
      <c r="BC105" s="900"/>
      <c r="BD105" s="900"/>
      <c r="BE105" s="903"/>
      <c r="CM105" s="898"/>
      <c r="CN105" s="898"/>
      <c r="CO105" s="898"/>
      <c r="CP105" s="898"/>
    </row>
    <row r="106" spans="1:94" ht="15.75" customHeight="1" thickBot="1">
      <c r="A106" s="900"/>
      <c r="B106" s="900"/>
      <c r="C106" s="900"/>
      <c r="D106" s="900"/>
      <c r="E106" s="900"/>
      <c r="F106" s="900"/>
      <c r="G106" s="900"/>
      <c r="H106" s="900"/>
      <c r="I106" s="900"/>
      <c r="J106" s="900"/>
      <c r="K106" s="900"/>
      <c r="L106" s="900"/>
      <c r="M106" s="900"/>
      <c r="N106" s="900"/>
      <c r="O106" s="900"/>
      <c r="P106" s="932"/>
      <c r="Q106" s="900"/>
      <c r="R106" s="900"/>
      <c r="S106" s="900"/>
      <c r="T106" s="900"/>
      <c r="U106" s="900"/>
      <c r="V106" s="900"/>
      <c r="W106" s="900"/>
      <c r="X106" s="900"/>
      <c r="Y106" s="900"/>
      <c r="Z106" s="900"/>
      <c r="AA106" s="900"/>
      <c r="AB106" s="900"/>
      <c r="AC106" s="900"/>
      <c r="AD106" s="900"/>
      <c r="AE106" s="900"/>
      <c r="AF106" s="900"/>
      <c r="AG106" s="900"/>
      <c r="AH106" s="900"/>
      <c r="AI106" s="900"/>
      <c r="AJ106" s="900"/>
      <c r="AK106" s="900"/>
      <c r="AL106" s="900"/>
      <c r="AM106" s="900"/>
      <c r="AN106" s="900"/>
      <c r="AO106" s="900"/>
      <c r="AP106" s="900"/>
      <c r="AQ106" s="900"/>
      <c r="AR106" s="900"/>
      <c r="AS106" s="900"/>
      <c r="AT106" s="900"/>
      <c r="AU106" s="900"/>
      <c r="AV106" s="900"/>
      <c r="AW106" s="900"/>
      <c r="AX106" s="900"/>
      <c r="AY106" s="900"/>
      <c r="AZ106" s="900"/>
      <c r="BA106" s="900"/>
      <c r="BB106" s="900"/>
      <c r="BC106" s="900"/>
      <c r="BD106" s="900"/>
      <c r="BE106" s="903"/>
      <c r="CM106" s="898"/>
      <c r="CN106" s="898"/>
      <c r="CO106" s="898"/>
      <c r="CP106" s="898"/>
    </row>
    <row r="107" spans="1:94" ht="15.75" customHeight="1">
      <c r="A107" s="900"/>
      <c r="B107" s="1988" t="s">
        <v>2002</v>
      </c>
      <c r="C107" s="1989"/>
      <c r="D107" s="1989"/>
      <c r="E107" s="1989"/>
      <c r="F107" s="1989"/>
      <c r="G107" s="1989"/>
      <c r="H107" s="1989"/>
      <c r="I107" s="1989"/>
      <c r="J107" s="1989"/>
      <c r="K107" s="1989"/>
      <c r="L107" s="1989"/>
      <c r="M107" s="1989"/>
      <c r="N107" s="1989"/>
      <c r="O107" s="1989"/>
      <c r="P107" s="1989"/>
      <c r="Q107" s="1989"/>
      <c r="R107" s="1989"/>
      <c r="S107" s="1989"/>
      <c r="T107" s="1989"/>
      <c r="U107" s="1989"/>
      <c r="V107" s="1989"/>
      <c r="W107" s="1989"/>
      <c r="X107" s="1989"/>
      <c r="Y107" s="1989"/>
      <c r="Z107" s="1989"/>
      <c r="AA107" s="1989"/>
      <c r="AB107" s="1989"/>
      <c r="AC107" s="1989"/>
      <c r="AD107" s="1989"/>
      <c r="AE107" s="1989"/>
      <c r="AF107" s="1989"/>
      <c r="AG107" s="1989"/>
      <c r="AH107" s="2039"/>
      <c r="AI107" s="900"/>
      <c r="AJ107" s="900"/>
      <c r="AK107" s="900"/>
      <c r="AL107" s="900"/>
      <c r="AM107" s="900"/>
      <c r="AN107" s="900"/>
      <c r="AO107" s="900"/>
      <c r="AP107" s="900"/>
      <c r="AQ107" s="900"/>
      <c r="AR107" s="900"/>
      <c r="AS107" s="900"/>
      <c r="AT107" s="900"/>
      <c r="AU107" s="900"/>
      <c r="AV107" s="900"/>
      <c r="AW107" s="900"/>
      <c r="AX107" s="900"/>
      <c r="AY107" s="900"/>
      <c r="AZ107" s="900"/>
      <c r="BA107" s="900"/>
      <c r="BB107" s="900"/>
      <c r="BC107" s="900"/>
      <c r="BD107" s="900"/>
      <c r="BE107" s="903"/>
      <c r="CM107" s="898"/>
      <c r="CN107" s="898"/>
      <c r="CO107" s="898"/>
      <c r="CP107" s="898"/>
    </row>
    <row r="108" spans="1:94" ht="16.5" customHeight="1">
      <c r="A108" s="900"/>
      <c r="B108" s="1942"/>
      <c r="C108" s="1943"/>
      <c r="D108" s="1943"/>
      <c r="E108" s="1943"/>
      <c r="F108" s="1943"/>
      <c r="G108" s="1943"/>
      <c r="H108" s="1943"/>
      <c r="I108" s="1943" t="s">
        <v>1987</v>
      </c>
      <c r="J108" s="1943"/>
      <c r="K108" s="1943"/>
      <c r="L108" s="1943"/>
      <c r="M108" s="1943"/>
      <c r="N108" s="1943"/>
      <c r="O108" s="1943" t="s">
        <v>1988</v>
      </c>
      <c r="P108" s="1943"/>
      <c r="Q108" s="1943"/>
      <c r="R108" s="1943"/>
      <c r="S108" s="1943"/>
      <c r="T108" s="1943"/>
      <c r="U108" s="1943"/>
      <c r="V108" s="2029" t="s">
        <v>1989</v>
      </c>
      <c r="W108" s="2029"/>
      <c r="X108" s="2029"/>
      <c r="Y108" s="2029"/>
      <c r="Z108" s="2029"/>
      <c r="AA108" s="2029"/>
      <c r="AB108" s="2030" t="s">
        <v>1990</v>
      </c>
      <c r="AC108" s="2030"/>
      <c r="AD108" s="2030"/>
      <c r="AE108" s="2030"/>
      <c r="AF108" s="2030"/>
      <c r="AG108" s="2030"/>
      <c r="AH108" s="2031"/>
      <c r="AI108" s="900"/>
      <c r="AJ108" s="900"/>
      <c r="AK108" s="900"/>
      <c r="AL108" s="900"/>
      <c r="AM108" s="900"/>
      <c r="AN108" s="900"/>
      <c r="AO108" s="900"/>
      <c r="AP108" s="900"/>
      <c r="AQ108" s="900"/>
      <c r="AR108" s="900"/>
      <c r="AS108" s="900"/>
      <c r="AT108" s="900"/>
      <c r="AU108" s="900"/>
      <c r="AV108" s="900"/>
      <c r="AW108" s="900"/>
      <c r="AX108" s="900"/>
      <c r="AY108" s="900"/>
      <c r="AZ108" s="900"/>
      <c r="BA108" s="900"/>
      <c r="BB108" s="900"/>
      <c r="BC108" s="900"/>
      <c r="BD108" s="900"/>
      <c r="BE108" s="903"/>
      <c r="CM108" s="898"/>
      <c r="CN108" s="898"/>
      <c r="CO108" s="898"/>
      <c r="CP108" s="898"/>
    </row>
    <row r="109" spans="1:94" ht="16.5" customHeight="1">
      <c r="A109" s="900"/>
      <c r="B109" s="1942"/>
      <c r="C109" s="1943"/>
      <c r="D109" s="1943"/>
      <c r="E109" s="1943"/>
      <c r="F109" s="1943"/>
      <c r="G109" s="1943"/>
      <c r="H109" s="1943"/>
      <c r="I109" s="1943"/>
      <c r="J109" s="1943"/>
      <c r="K109" s="1943"/>
      <c r="L109" s="1943"/>
      <c r="M109" s="1943"/>
      <c r="N109" s="1943"/>
      <c r="O109" s="1943"/>
      <c r="P109" s="1943"/>
      <c r="Q109" s="1943"/>
      <c r="R109" s="1943"/>
      <c r="S109" s="1943"/>
      <c r="T109" s="1943"/>
      <c r="U109" s="1943"/>
      <c r="V109" s="2029"/>
      <c r="W109" s="2029"/>
      <c r="X109" s="2029"/>
      <c r="Y109" s="2029"/>
      <c r="Z109" s="2029"/>
      <c r="AA109" s="2029"/>
      <c r="AB109" s="2030"/>
      <c r="AC109" s="2030"/>
      <c r="AD109" s="2030"/>
      <c r="AE109" s="2030"/>
      <c r="AF109" s="2030"/>
      <c r="AG109" s="2030"/>
      <c r="AH109" s="2031"/>
      <c r="AI109" s="900"/>
      <c r="AJ109" s="900"/>
      <c r="AK109" s="900"/>
      <c r="AL109" s="900"/>
      <c r="AM109" s="900"/>
      <c r="AN109" s="900"/>
      <c r="AO109" s="900"/>
      <c r="AP109" s="900"/>
      <c r="AQ109" s="900"/>
      <c r="AR109" s="900"/>
      <c r="AS109" s="900"/>
      <c r="AT109" s="900"/>
      <c r="AU109" s="900"/>
      <c r="AV109" s="900"/>
      <c r="AW109" s="900"/>
      <c r="AX109" s="900"/>
      <c r="AY109" s="900"/>
      <c r="AZ109" s="900"/>
      <c r="BA109" s="900"/>
      <c r="BB109" s="900"/>
      <c r="BC109" s="900"/>
      <c r="BD109" s="900"/>
      <c r="BE109" s="903"/>
      <c r="CM109" s="898"/>
      <c r="CN109" s="898"/>
      <c r="CO109" s="898"/>
      <c r="CP109" s="898"/>
    </row>
    <row r="110" spans="1:94" ht="15.75" customHeight="1">
      <c r="A110" s="900"/>
      <c r="B110" s="1942" t="s">
        <v>1991</v>
      </c>
      <c r="C110" s="1943"/>
      <c r="D110" s="1943"/>
      <c r="E110" s="1943"/>
      <c r="F110" s="1943"/>
      <c r="G110" s="1943"/>
      <c r="H110" s="1943"/>
      <c r="I110" s="2019">
        <v>0</v>
      </c>
      <c r="J110" s="2019"/>
      <c r="K110" s="2019"/>
      <c r="L110" s="2019"/>
      <c r="M110" s="2019"/>
      <c r="N110" s="2019"/>
      <c r="O110" s="2019">
        <v>0</v>
      </c>
      <c r="P110" s="2019"/>
      <c r="Q110" s="2019"/>
      <c r="R110" s="2019"/>
      <c r="S110" s="2019"/>
      <c r="T110" s="2019"/>
      <c r="U110" s="2019"/>
      <c r="V110" s="2019">
        <v>0</v>
      </c>
      <c r="W110" s="2019"/>
      <c r="X110" s="2019"/>
      <c r="Y110" s="2019"/>
      <c r="Z110" s="2019"/>
      <c r="AA110" s="2019"/>
      <c r="AB110" s="2019">
        <v>0</v>
      </c>
      <c r="AC110" s="2019"/>
      <c r="AD110" s="2019"/>
      <c r="AE110" s="2019"/>
      <c r="AF110" s="2019"/>
      <c r="AG110" s="2019"/>
      <c r="AH110" s="2020"/>
      <c r="AI110" s="900"/>
      <c r="AJ110" s="900"/>
      <c r="AK110" s="900"/>
      <c r="AL110" s="900"/>
      <c r="AM110" s="900"/>
      <c r="AN110" s="900"/>
      <c r="AO110" s="900"/>
      <c r="AP110" s="900"/>
      <c r="AQ110" s="900"/>
      <c r="AR110" s="900"/>
      <c r="AS110" s="900"/>
      <c r="AT110" s="900"/>
      <c r="AU110" s="900"/>
      <c r="AV110" s="900"/>
      <c r="AW110" s="900"/>
      <c r="AX110" s="900"/>
      <c r="AY110" s="900"/>
      <c r="AZ110" s="900"/>
      <c r="BA110" s="900"/>
      <c r="BB110" s="900"/>
      <c r="BC110" s="900"/>
      <c r="BD110" s="900"/>
      <c r="BE110" s="903"/>
      <c r="CM110" s="898"/>
      <c r="CN110" s="898"/>
      <c r="CO110" s="898"/>
      <c r="CP110" s="898"/>
    </row>
    <row r="111" spans="1:94" ht="15.75" customHeight="1">
      <c r="A111" s="900"/>
      <c r="B111" s="1942" t="s">
        <v>1992</v>
      </c>
      <c r="C111" s="1943"/>
      <c r="D111" s="1943"/>
      <c r="E111" s="1943"/>
      <c r="F111" s="1943"/>
      <c r="G111" s="1943"/>
      <c r="H111" s="1943"/>
      <c r="I111" s="2019">
        <v>0</v>
      </c>
      <c r="J111" s="2019"/>
      <c r="K111" s="2019"/>
      <c r="L111" s="2019"/>
      <c r="M111" s="2019"/>
      <c r="N111" s="2019"/>
      <c r="O111" s="2019">
        <v>0</v>
      </c>
      <c r="P111" s="2019"/>
      <c r="Q111" s="2019"/>
      <c r="R111" s="2019"/>
      <c r="S111" s="2019"/>
      <c r="T111" s="2019"/>
      <c r="U111" s="2019"/>
      <c r="V111" s="2019">
        <v>0</v>
      </c>
      <c r="W111" s="2019"/>
      <c r="X111" s="2019"/>
      <c r="Y111" s="2019"/>
      <c r="Z111" s="2019"/>
      <c r="AA111" s="2019"/>
      <c r="AB111" s="2019">
        <v>0</v>
      </c>
      <c r="AC111" s="2019"/>
      <c r="AD111" s="2019"/>
      <c r="AE111" s="2019"/>
      <c r="AF111" s="2019"/>
      <c r="AG111" s="2019"/>
      <c r="AH111" s="2020"/>
      <c r="AI111" s="900"/>
      <c r="AJ111" s="900"/>
      <c r="AK111" s="900"/>
      <c r="AL111" s="900"/>
      <c r="AM111" s="900"/>
      <c r="AN111" s="900"/>
      <c r="AO111" s="900"/>
      <c r="AP111" s="900"/>
      <c r="AQ111" s="900"/>
      <c r="AR111" s="900"/>
      <c r="AS111" s="900"/>
      <c r="AT111" s="900"/>
      <c r="AU111" s="900"/>
      <c r="AV111" s="900"/>
      <c r="AW111" s="900"/>
      <c r="AX111" s="900"/>
      <c r="AY111" s="900"/>
      <c r="AZ111" s="900"/>
      <c r="BA111" s="900"/>
      <c r="BB111" s="900"/>
      <c r="BC111" s="900"/>
      <c r="BD111" s="900"/>
      <c r="BE111" s="903"/>
      <c r="CM111" s="898"/>
      <c r="CN111" s="898"/>
      <c r="CO111" s="898"/>
      <c r="CP111" s="898"/>
    </row>
    <row r="112" spans="1:94" ht="15.75" customHeight="1" thickBot="1">
      <c r="A112" s="900"/>
      <c r="B112" s="1960" t="s">
        <v>1994</v>
      </c>
      <c r="C112" s="1961"/>
      <c r="D112" s="1961"/>
      <c r="E112" s="1961"/>
      <c r="F112" s="1961"/>
      <c r="G112" s="1961"/>
      <c r="H112" s="1961"/>
      <c r="I112" s="2034">
        <v>0</v>
      </c>
      <c r="J112" s="2034"/>
      <c r="K112" s="2034"/>
      <c r="L112" s="2034"/>
      <c r="M112" s="2034"/>
      <c r="N112" s="2034"/>
      <c r="O112" s="2034">
        <v>0</v>
      </c>
      <c r="P112" s="2034"/>
      <c r="Q112" s="2034"/>
      <c r="R112" s="2034"/>
      <c r="S112" s="2034"/>
      <c r="T112" s="2034"/>
      <c r="U112" s="2034"/>
      <c r="V112" s="2034">
        <v>0</v>
      </c>
      <c r="W112" s="2034"/>
      <c r="X112" s="2034"/>
      <c r="Y112" s="2034"/>
      <c r="Z112" s="2034"/>
      <c r="AA112" s="2034"/>
      <c r="AB112" s="2034">
        <v>0</v>
      </c>
      <c r="AC112" s="2034"/>
      <c r="AD112" s="2034"/>
      <c r="AE112" s="2034"/>
      <c r="AF112" s="2034"/>
      <c r="AG112" s="2034"/>
      <c r="AH112" s="2035"/>
      <c r="AI112" s="900"/>
      <c r="AJ112" s="900"/>
      <c r="AK112" s="900"/>
      <c r="AL112" s="900"/>
      <c r="AM112" s="900"/>
      <c r="AN112" s="900"/>
      <c r="AO112" s="900"/>
      <c r="AP112" s="900"/>
      <c r="AQ112" s="900"/>
      <c r="AR112" s="900"/>
      <c r="AS112" s="900"/>
      <c r="AT112" s="900"/>
      <c r="AU112" s="900"/>
      <c r="AV112" s="900"/>
      <c r="AW112" s="900"/>
      <c r="AX112" s="900"/>
      <c r="AY112" s="900"/>
      <c r="AZ112" s="900"/>
      <c r="BA112" s="900"/>
      <c r="BB112" s="900"/>
      <c r="BC112" s="900"/>
      <c r="BD112" s="900"/>
      <c r="BE112" s="903"/>
      <c r="CM112" s="898"/>
      <c r="CN112" s="898"/>
      <c r="CO112" s="898"/>
      <c r="CP112" s="898"/>
    </row>
    <row r="113" spans="1:57" ht="15.75" customHeight="1" thickBot="1">
      <c r="A113" s="900"/>
      <c r="B113" s="900"/>
      <c r="C113" s="900"/>
      <c r="D113" s="900"/>
      <c r="E113" s="900"/>
      <c r="F113" s="900"/>
      <c r="G113" s="900"/>
      <c r="H113" s="900"/>
      <c r="I113" s="900"/>
      <c r="J113" s="900"/>
      <c r="K113" s="900"/>
      <c r="L113" s="900"/>
      <c r="M113" s="900"/>
      <c r="N113" s="900"/>
      <c r="O113" s="900"/>
      <c r="P113" s="900"/>
      <c r="Q113" s="900"/>
      <c r="R113" s="900"/>
      <c r="S113" s="900"/>
      <c r="T113" s="900"/>
      <c r="U113" s="900" t="s">
        <v>254</v>
      </c>
      <c r="V113" s="900"/>
      <c r="W113" s="900"/>
      <c r="X113" s="900"/>
      <c r="Y113" s="900"/>
      <c r="Z113" s="900"/>
      <c r="AA113" s="900"/>
      <c r="AB113" s="900"/>
      <c r="AC113" s="900"/>
      <c r="AD113" s="900"/>
      <c r="AE113" s="900"/>
      <c r="AF113" s="900"/>
      <c r="AG113" s="900"/>
      <c r="AH113" s="900"/>
      <c r="AI113" s="900"/>
      <c r="AJ113" s="900"/>
      <c r="AK113" s="900"/>
      <c r="AL113" s="900"/>
      <c r="AM113" s="900"/>
      <c r="AN113" s="900"/>
      <c r="AO113" s="900"/>
      <c r="AP113" s="900"/>
      <c r="AQ113" s="900"/>
      <c r="AR113" s="900"/>
      <c r="AS113" s="900"/>
      <c r="AT113" s="900"/>
      <c r="AU113" s="900"/>
      <c r="AV113" s="900"/>
      <c r="AW113" s="900"/>
      <c r="AX113" s="900"/>
      <c r="AY113" s="900"/>
      <c r="AZ113" s="900"/>
      <c r="BA113" s="900"/>
      <c r="BB113" s="900"/>
      <c r="BC113" s="900"/>
      <c r="BD113" s="900"/>
      <c r="BE113" s="903"/>
    </row>
    <row r="114" spans="1:57" ht="15.75" customHeight="1" thickBot="1">
      <c r="A114" s="900"/>
      <c r="B114" s="911" t="s">
        <v>2003</v>
      </c>
      <c r="C114" s="917"/>
      <c r="D114" s="917"/>
      <c r="E114" s="917"/>
      <c r="F114" s="917"/>
      <c r="G114" s="917"/>
      <c r="H114" s="917"/>
      <c r="I114" s="917"/>
      <c r="J114" s="917"/>
      <c r="K114" s="917"/>
      <c r="L114" s="917"/>
      <c r="M114" s="917"/>
      <c r="N114" s="917"/>
      <c r="O114" s="917"/>
      <c r="P114" s="917"/>
      <c r="Q114" s="917"/>
      <c r="R114" s="933"/>
      <c r="S114" s="900"/>
      <c r="T114" s="900"/>
      <c r="U114" s="900"/>
      <c r="V114" s="900"/>
      <c r="W114" s="900"/>
      <c r="X114" s="900"/>
      <c r="Y114" s="900"/>
      <c r="Z114" s="900"/>
      <c r="AA114" s="900"/>
      <c r="AB114" s="900"/>
      <c r="AC114" s="900"/>
      <c r="AD114" s="900"/>
      <c r="AE114" s="900"/>
      <c r="AF114" s="900"/>
      <c r="AG114" s="900"/>
      <c r="AH114" s="900"/>
      <c r="AI114" s="900"/>
      <c r="AJ114" s="900"/>
      <c r="AK114" s="900"/>
      <c r="AL114" s="900"/>
      <c r="AM114" s="900"/>
      <c r="AN114" s="900"/>
      <c r="AO114" s="900"/>
      <c r="AP114" s="900"/>
      <c r="AQ114" s="900"/>
      <c r="AR114" s="900"/>
      <c r="AS114" s="900"/>
      <c r="AT114" s="900"/>
      <c r="AU114" s="900"/>
      <c r="AV114" s="900"/>
      <c r="AW114" s="900"/>
      <c r="AX114" s="900"/>
      <c r="AY114" s="900"/>
      <c r="AZ114" s="900"/>
      <c r="BA114" s="900"/>
      <c r="BB114" s="900"/>
      <c r="BC114" s="900"/>
      <c r="BD114" s="900"/>
      <c r="BE114" s="903"/>
    </row>
    <row r="115" spans="1:57" ht="15.75" customHeight="1">
      <c r="A115" s="900"/>
      <c r="B115" s="921" t="s">
        <v>1981</v>
      </c>
      <c r="C115" s="921"/>
      <c r="D115" s="926"/>
      <c r="E115" s="927"/>
      <c r="F115" s="2036"/>
      <c r="G115" s="2037"/>
      <c r="H115" s="2037"/>
      <c r="I115" s="2037"/>
      <c r="J115" s="2037"/>
      <c r="K115" s="2037"/>
      <c r="L115" s="2037"/>
      <c r="M115" s="2037"/>
      <c r="N115" s="2037"/>
      <c r="O115" s="2037"/>
      <c r="P115" s="2037"/>
      <c r="Q115" s="2037"/>
      <c r="R115" s="2038"/>
      <c r="S115" s="900"/>
      <c r="T115" s="900"/>
      <c r="U115" s="900"/>
      <c r="V115" s="900"/>
      <c r="W115" s="900"/>
      <c r="X115" s="900"/>
      <c r="Y115" s="900"/>
      <c r="Z115" s="900"/>
      <c r="AA115" s="900"/>
      <c r="AB115" s="900"/>
      <c r="AC115" s="900"/>
      <c r="AD115" s="900"/>
      <c r="AE115" s="900"/>
      <c r="AF115" s="900"/>
      <c r="AG115" s="900"/>
      <c r="AH115" s="900"/>
      <c r="AI115" s="900"/>
      <c r="AJ115" s="900"/>
      <c r="AK115" s="900"/>
      <c r="AL115" s="900"/>
      <c r="AM115" s="900"/>
      <c r="AN115" s="900"/>
      <c r="AO115" s="900"/>
      <c r="AP115" s="900"/>
      <c r="AQ115" s="900"/>
      <c r="AR115" s="900"/>
      <c r="AS115" s="900"/>
      <c r="AT115" s="900"/>
      <c r="AU115" s="900"/>
      <c r="AV115" s="900"/>
      <c r="AW115" s="900"/>
      <c r="AX115" s="900"/>
      <c r="AY115" s="900"/>
      <c r="AZ115" s="900"/>
      <c r="BA115" s="900"/>
      <c r="BB115" s="900"/>
      <c r="BC115" s="900"/>
      <c r="BD115" s="900"/>
      <c r="BE115" s="903"/>
    </row>
    <row r="116" spans="1:57" ht="15.75" customHeight="1" thickBot="1">
      <c r="A116" s="900"/>
      <c r="B116" s="900"/>
      <c r="C116" s="900"/>
      <c r="D116" s="900"/>
      <c r="E116" s="900"/>
      <c r="F116" s="900"/>
      <c r="G116" s="900"/>
      <c r="H116" s="900"/>
      <c r="I116" s="900"/>
      <c r="J116" s="900"/>
      <c r="K116" s="900"/>
      <c r="L116" s="900"/>
      <c r="M116" s="900"/>
      <c r="N116" s="900"/>
      <c r="O116" s="900"/>
      <c r="P116" s="900"/>
      <c r="Q116" s="900"/>
      <c r="R116" s="900"/>
      <c r="S116" s="900"/>
      <c r="T116" s="900"/>
      <c r="U116" s="900"/>
      <c r="V116" s="900"/>
      <c r="W116" s="900"/>
      <c r="X116" s="900"/>
      <c r="Y116" s="900"/>
      <c r="Z116" s="900"/>
      <c r="AA116" s="900"/>
      <c r="AB116" s="900"/>
      <c r="AC116" s="900"/>
      <c r="AD116" s="900"/>
      <c r="AE116" s="900"/>
      <c r="AF116" s="900"/>
      <c r="AG116" s="900"/>
      <c r="AH116" s="900"/>
      <c r="AI116" s="900"/>
      <c r="AJ116" s="900"/>
      <c r="AK116" s="900"/>
      <c r="AL116" s="900"/>
      <c r="AM116" s="900"/>
      <c r="AN116" s="900"/>
      <c r="AO116" s="900"/>
      <c r="AP116" s="900"/>
      <c r="AQ116" s="900"/>
      <c r="AR116" s="900"/>
      <c r="AS116" s="900"/>
      <c r="AT116" s="900"/>
      <c r="AU116" s="900"/>
      <c r="AV116" s="900"/>
      <c r="AW116" s="900"/>
      <c r="AX116" s="900"/>
      <c r="AY116" s="900"/>
      <c r="AZ116" s="900"/>
      <c r="BA116" s="900"/>
      <c r="BB116" s="900"/>
      <c r="BC116" s="900"/>
      <c r="BD116" s="900"/>
      <c r="BE116" s="903"/>
    </row>
    <row r="117" spans="1:57" ht="15.75" customHeight="1">
      <c r="A117" s="900"/>
      <c r="B117" s="2048" t="s">
        <v>2004</v>
      </c>
      <c r="C117" s="2049"/>
      <c r="D117" s="2049"/>
      <c r="E117" s="2049"/>
      <c r="F117" s="2049"/>
      <c r="G117" s="2049"/>
      <c r="H117" s="2049"/>
      <c r="I117" s="2049"/>
      <c r="J117" s="2049"/>
      <c r="K117" s="2049"/>
      <c r="L117" s="2049"/>
      <c r="M117" s="2049"/>
      <c r="N117" s="2049"/>
      <c r="O117" s="2049"/>
      <c r="P117" s="2049"/>
      <c r="Q117" s="2049"/>
      <c r="R117" s="2049"/>
      <c r="S117" s="2049"/>
      <c r="T117" s="2049"/>
      <c r="U117" s="2052" t="s">
        <v>694</v>
      </c>
      <c r="V117" s="2052"/>
      <c r="W117" s="2052"/>
      <c r="X117" s="2053"/>
      <c r="Y117" s="900"/>
      <c r="Z117" s="900"/>
      <c r="AA117" s="900"/>
      <c r="AB117" s="900"/>
      <c r="AC117" s="900"/>
      <c r="AD117" s="900"/>
      <c r="AE117" s="900"/>
      <c r="AF117" s="900"/>
      <c r="AG117" s="900"/>
      <c r="AH117" s="900"/>
      <c r="AI117" s="900"/>
      <c r="AJ117" s="900"/>
      <c r="AK117" s="900"/>
      <c r="AL117" s="900"/>
      <c r="AM117" s="900"/>
      <c r="AN117" s="900"/>
      <c r="AO117" s="900"/>
      <c r="AP117" s="900"/>
      <c r="AQ117" s="900"/>
      <c r="AR117" s="900"/>
      <c r="AS117" s="900"/>
      <c r="AT117" s="900"/>
      <c r="AU117" s="900"/>
      <c r="AV117" s="900"/>
      <c r="AW117" s="900"/>
      <c r="AX117" s="900"/>
      <c r="AY117" s="900"/>
      <c r="AZ117" s="900"/>
      <c r="BA117" s="900"/>
      <c r="BB117" s="900"/>
      <c r="BC117" s="900"/>
      <c r="BD117" s="900"/>
      <c r="BE117" s="903"/>
    </row>
    <row r="118" spans="1:57" ht="15.75" customHeight="1">
      <c r="A118" s="900"/>
      <c r="B118" s="2050"/>
      <c r="C118" s="2051"/>
      <c r="D118" s="2051"/>
      <c r="E118" s="2051"/>
      <c r="F118" s="2051"/>
      <c r="G118" s="2051"/>
      <c r="H118" s="2051"/>
      <c r="I118" s="2051"/>
      <c r="J118" s="2051"/>
      <c r="K118" s="2051"/>
      <c r="L118" s="2051"/>
      <c r="M118" s="2051"/>
      <c r="N118" s="2051"/>
      <c r="O118" s="2051"/>
      <c r="P118" s="2051"/>
      <c r="Q118" s="2051"/>
      <c r="R118" s="2051"/>
      <c r="S118" s="2051"/>
      <c r="T118" s="2051"/>
      <c r="U118" s="2054"/>
      <c r="V118" s="2054"/>
      <c r="W118" s="2054"/>
      <c r="X118" s="2055"/>
      <c r="Y118" s="900"/>
      <c r="Z118" s="900"/>
      <c r="AA118" s="900"/>
      <c r="AB118" s="900"/>
      <c r="AC118" s="900"/>
      <c r="AD118" s="900"/>
      <c r="AE118" s="900"/>
      <c r="AF118" s="900"/>
      <c r="AG118" s="900"/>
      <c r="AH118" s="900"/>
      <c r="AI118" s="900"/>
      <c r="AJ118" s="900"/>
      <c r="AK118" s="900"/>
      <c r="AL118" s="900"/>
      <c r="AM118" s="900"/>
      <c r="AN118" s="900"/>
      <c r="AO118" s="900"/>
      <c r="AP118" s="900"/>
      <c r="AQ118" s="900"/>
      <c r="AR118" s="900"/>
      <c r="AS118" s="900"/>
      <c r="AT118" s="900"/>
      <c r="AU118" s="900"/>
      <c r="AV118" s="900"/>
      <c r="AW118" s="900"/>
      <c r="AX118" s="900"/>
      <c r="AY118" s="900"/>
      <c r="AZ118" s="900"/>
      <c r="BA118" s="900"/>
      <c r="BB118" s="900"/>
      <c r="BC118" s="900"/>
      <c r="BD118" s="900"/>
      <c r="BE118" s="903"/>
    </row>
    <row r="119" spans="1:57" ht="15.75" customHeight="1">
      <c r="A119" s="900"/>
      <c r="B119" s="2050"/>
      <c r="C119" s="2051"/>
      <c r="D119" s="2051"/>
      <c r="E119" s="2051"/>
      <c r="F119" s="2051"/>
      <c r="G119" s="2051"/>
      <c r="H119" s="2051"/>
      <c r="I119" s="2051"/>
      <c r="J119" s="2051"/>
      <c r="K119" s="2051"/>
      <c r="L119" s="2051"/>
      <c r="M119" s="2051"/>
      <c r="N119" s="2051"/>
      <c r="O119" s="2051"/>
      <c r="P119" s="2051"/>
      <c r="Q119" s="2051"/>
      <c r="R119" s="2051"/>
      <c r="S119" s="2051"/>
      <c r="T119" s="2051"/>
      <c r="U119" s="2054"/>
      <c r="V119" s="2054"/>
      <c r="W119" s="2054"/>
      <c r="X119" s="2055"/>
      <c r="Y119" s="900"/>
      <c r="Z119" s="900"/>
      <c r="AA119" s="900"/>
      <c r="AB119" s="900"/>
      <c r="AC119" s="900"/>
      <c r="AD119" s="900"/>
      <c r="AE119" s="900"/>
      <c r="AF119" s="900"/>
      <c r="AG119" s="900"/>
      <c r="AH119" s="900"/>
      <c r="AI119" s="900"/>
      <c r="AJ119" s="900"/>
      <c r="AK119" s="900"/>
      <c r="AL119" s="900"/>
      <c r="AM119" s="900"/>
      <c r="AN119" s="900"/>
      <c r="AO119" s="900"/>
      <c r="AP119" s="900"/>
      <c r="AQ119" s="900"/>
      <c r="AR119" s="900"/>
      <c r="AS119" s="900"/>
      <c r="AT119" s="900"/>
      <c r="AU119" s="900"/>
      <c r="AV119" s="900"/>
      <c r="AW119" s="900"/>
      <c r="AX119" s="900"/>
      <c r="AY119" s="900"/>
      <c r="AZ119" s="900"/>
      <c r="BA119" s="900"/>
      <c r="BB119" s="900"/>
      <c r="BC119" s="900"/>
      <c r="BD119" s="900"/>
      <c r="BE119" s="903"/>
    </row>
    <row r="120" spans="1:57" ht="15.75" customHeight="1">
      <c r="A120" s="900"/>
      <c r="B120" s="2050"/>
      <c r="C120" s="2051"/>
      <c r="D120" s="2051"/>
      <c r="E120" s="2051"/>
      <c r="F120" s="2051"/>
      <c r="G120" s="2051"/>
      <c r="H120" s="2051"/>
      <c r="I120" s="2051"/>
      <c r="J120" s="2051"/>
      <c r="K120" s="2051"/>
      <c r="L120" s="2051"/>
      <c r="M120" s="2051"/>
      <c r="N120" s="2051"/>
      <c r="O120" s="2051"/>
      <c r="P120" s="2051"/>
      <c r="Q120" s="2051"/>
      <c r="R120" s="2051"/>
      <c r="S120" s="2051"/>
      <c r="T120" s="2051"/>
      <c r="U120" s="2054"/>
      <c r="V120" s="2054"/>
      <c r="W120" s="2054"/>
      <c r="X120" s="2055"/>
      <c r="Y120" s="900"/>
      <c r="Z120" s="900"/>
      <c r="AA120" s="900"/>
      <c r="AB120" s="900"/>
      <c r="AC120" s="900"/>
      <c r="AD120" s="900"/>
      <c r="AE120" s="900"/>
      <c r="AF120" s="900"/>
      <c r="AG120" s="900"/>
      <c r="AH120" s="900"/>
      <c r="AI120" s="900"/>
      <c r="AJ120" s="900"/>
      <c r="AK120" s="900"/>
      <c r="AL120" s="900"/>
      <c r="AM120" s="900"/>
      <c r="AN120" s="900"/>
      <c r="AO120" s="900"/>
      <c r="AP120" s="900"/>
      <c r="AQ120" s="900"/>
      <c r="AR120" s="900"/>
      <c r="AS120" s="900"/>
      <c r="AT120" s="900"/>
      <c r="AU120" s="900"/>
      <c r="AV120" s="900"/>
      <c r="AW120" s="900"/>
      <c r="AX120" s="900"/>
      <c r="AY120" s="900"/>
      <c r="AZ120" s="900"/>
      <c r="BA120" s="900"/>
      <c r="BB120" s="900"/>
      <c r="BC120" s="900"/>
      <c r="BD120" s="900"/>
      <c r="BE120" s="903"/>
    </row>
    <row r="121" spans="1:57" ht="15.75" customHeight="1">
      <c r="A121" s="900"/>
      <c r="B121" s="2056" t="s">
        <v>2004</v>
      </c>
      <c r="C121" s="2057"/>
      <c r="D121" s="2057"/>
      <c r="E121" s="2057"/>
      <c r="F121" s="2057"/>
      <c r="G121" s="2057"/>
      <c r="H121" s="2057"/>
      <c r="I121" s="2057"/>
      <c r="J121" s="2057"/>
      <c r="K121" s="2057"/>
      <c r="L121" s="2057"/>
      <c r="M121" s="2057"/>
      <c r="N121" s="2057"/>
      <c r="O121" s="2057"/>
      <c r="P121" s="2057"/>
      <c r="Q121" s="2057"/>
      <c r="R121" s="2057"/>
      <c r="S121" s="2057"/>
      <c r="T121" s="2057"/>
      <c r="U121" s="2060" t="s">
        <v>694</v>
      </c>
      <c r="V121" s="2060"/>
      <c r="W121" s="2060"/>
      <c r="X121" s="2061"/>
      <c r="Y121" s="900"/>
      <c r="Z121" s="900"/>
      <c r="AA121" s="900"/>
      <c r="AB121" s="900"/>
      <c r="AC121" s="900"/>
      <c r="AD121" s="900"/>
      <c r="AE121" s="900"/>
      <c r="AF121" s="900"/>
      <c r="AG121" s="900"/>
      <c r="AH121" s="900"/>
      <c r="AI121" s="900"/>
      <c r="AJ121" s="900"/>
      <c r="AK121" s="900"/>
      <c r="AL121" s="900"/>
      <c r="AM121" s="900"/>
      <c r="AN121" s="900"/>
      <c r="AO121" s="900"/>
      <c r="AP121" s="900"/>
      <c r="AQ121" s="900"/>
      <c r="AR121" s="900"/>
      <c r="AS121" s="900"/>
      <c r="AT121" s="900"/>
      <c r="AU121" s="900"/>
      <c r="AV121" s="900"/>
      <c r="AW121" s="900"/>
      <c r="AX121" s="900"/>
      <c r="AY121" s="900"/>
      <c r="AZ121" s="900"/>
      <c r="BA121" s="900"/>
      <c r="BB121" s="900"/>
      <c r="BC121" s="900"/>
      <c r="BD121" s="900"/>
      <c r="BE121" s="903"/>
    </row>
    <row r="122" spans="1:57" ht="15.75" customHeight="1" thickBot="1">
      <c r="A122" s="900"/>
      <c r="B122" s="2058"/>
      <c r="C122" s="2059"/>
      <c r="D122" s="2059"/>
      <c r="E122" s="2059"/>
      <c r="F122" s="2059"/>
      <c r="G122" s="2059"/>
      <c r="H122" s="2059"/>
      <c r="I122" s="2059"/>
      <c r="J122" s="2059"/>
      <c r="K122" s="2059"/>
      <c r="L122" s="2059"/>
      <c r="M122" s="2059"/>
      <c r="N122" s="2059"/>
      <c r="O122" s="2059"/>
      <c r="P122" s="2059"/>
      <c r="Q122" s="2059"/>
      <c r="R122" s="2059"/>
      <c r="S122" s="2059"/>
      <c r="T122" s="2059"/>
      <c r="U122" s="2062"/>
      <c r="V122" s="2062"/>
      <c r="W122" s="2062"/>
      <c r="X122" s="2063"/>
      <c r="Y122" s="900"/>
      <c r="Z122" s="900"/>
      <c r="AA122" s="900"/>
      <c r="AB122" s="900"/>
      <c r="AC122" s="900"/>
      <c r="AD122" s="900"/>
      <c r="AE122" s="900"/>
      <c r="AF122" s="900"/>
      <c r="AG122" s="900"/>
      <c r="AH122" s="900"/>
      <c r="AI122" s="900"/>
      <c r="AJ122" s="900"/>
      <c r="AK122" s="900"/>
      <c r="AL122" s="900"/>
      <c r="AM122" s="900"/>
      <c r="AN122" s="900"/>
      <c r="AO122" s="900"/>
      <c r="AP122" s="900"/>
      <c r="AQ122" s="900"/>
      <c r="AR122" s="900"/>
      <c r="AS122" s="900"/>
      <c r="AT122" s="900"/>
      <c r="AU122" s="900"/>
      <c r="AV122" s="900"/>
      <c r="AW122" s="900"/>
      <c r="AX122" s="900"/>
      <c r="AY122" s="900"/>
      <c r="AZ122" s="900"/>
      <c r="BA122" s="900"/>
      <c r="BB122" s="900"/>
      <c r="BC122" s="900"/>
      <c r="BD122" s="900"/>
      <c r="BE122" s="903"/>
    </row>
    <row r="123" spans="1:57" ht="15.75" customHeight="1" thickBot="1">
      <c r="A123" s="900"/>
      <c r="B123" s="900"/>
      <c r="C123" s="900"/>
      <c r="D123" s="900"/>
      <c r="E123" s="900"/>
      <c r="F123" s="900"/>
      <c r="G123" s="900"/>
      <c r="H123" s="900"/>
      <c r="I123" s="900"/>
      <c r="J123" s="900"/>
      <c r="K123" s="900"/>
      <c r="L123" s="900"/>
      <c r="M123" s="900"/>
      <c r="N123" s="900"/>
      <c r="O123" s="900"/>
      <c r="P123" s="900"/>
      <c r="Q123" s="900"/>
      <c r="R123" s="900"/>
      <c r="S123" s="900"/>
      <c r="T123" s="900"/>
      <c r="U123" s="900"/>
      <c r="V123" s="900"/>
      <c r="W123" s="900"/>
      <c r="X123" s="900"/>
      <c r="Y123" s="900"/>
      <c r="Z123" s="900"/>
      <c r="AA123" s="900"/>
      <c r="AB123" s="900"/>
      <c r="AC123" s="900"/>
      <c r="AD123" s="900"/>
      <c r="AE123" s="900"/>
      <c r="AF123" s="900"/>
      <c r="AG123" s="900"/>
      <c r="AH123" s="900"/>
      <c r="AI123" s="900"/>
      <c r="AJ123" s="900"/>
      <c r="AK123" s="900"/>
      <c r="AL123" s="900"/>
      <c r="AM123" s="900"/>
      <c r="AN123" s="900"/>
      <c r="AO123" s="900"/>
      <c r="AP123" s="900"/>
      <c r="AQ123" s="900"/>
      <c r="AR123" s="900"/>
      <c r="AS123" s="900"/>
      <c r="AT123" s="900"/>
      <c r="AU123" s="900"/>
      <c r="AV123" s="900"/>
      <c r="AW123" s="900"/>
      <c r="AX123" s="900"/>
      <c r="AY123" s="900"/>
      <c r="AZ123" s="900"/>
      <c r="BA123" s="900"/>
      <c r="BB123" s="900"/>
      <c r="BC123" s="900"/>
      <c r="BD123" s="900"/>
      <c r="BE123" s="903"/>
    </row>
    <row r="124" spans="1:57" ht="15.75" customHeight="1" thickBot="1">
      <c r="A124" s="900"/>
      <c r="B124" s="918" t="s">
        <v>2005</v>
      </c>
      <c r="C124" s="913"/>
      <c r="D124" s="913"/>
      <c r="E124" s="913"/>
      <c r="F124" s="913"/>
      <c r="G124" s="913"/>
      <c r="H124" s="913"/>
      <c r="I124" s="913"/>
      <c r="J124" s="913"/>
      <c r="K124" s="913"/>
      <c r="L124" s="913"/>
      <c r="M124" s="913"/>
      <c r="N124" s="913"/>
      <c r="O124" s="913"/>
      <c r="P124" s="913"/>
      <c r="Q124" s="913"/>
      <c r="R124" s="914"/>
      <c r="S124" s="900"/>
      <c r="T124" s="900"/>
      <c r="U124" s="900"/>
      <c r="V124" s="900"/>
      <c r="W124" s="900"/>
      <c r="X124" s="900"/>
      <c r="Y124" s="900"/>
      <c r="Z124" s="900"/>
      <c r="AA124" s="900"/>
      <c r="AB124" s="900"/>
      <c r="AC124" s="900"/>
      <c r="AD124" s="900"/>
      <c r="AE124" s="900"/>
      <c r="AF124" s="900"/>
      <c r="AG124" s="900"/>
      <c r="AH124" s="900"/>
      <c r="AI124" s="900"/>
      <c r="AJ124" s="900"/>
      <c r="AK124" s="900"/>
      <c r="AL124" s="900"/>
      <c r="AM124" s="900"/>
      <c r="AN124" s="900"/>
      <c r="AO124" s="900"/>
      <c r="AP124" s="900"/>
      <c r="AQ124" s="900"/>
      <c r="AR124" s="900"/>
      <c r="AS124" s="900"/>
      <c r="AT124" s="900"/>
      <c r="AU124" s="900"/>
      <c r="AV124" s="900"/>
      <c r="AW124" s="900"/>
      <c r="AX124" s="900"/>
      <c r="AY124" s="900"/>
      <c r="AZ124" s="900"/>
      <c r="BA124" s="900"/>
      <c r="BB124" s="900"/>
      <c r="BC124" s="900"/>
      <c r="BD124" s="900"/>
      <c r="BE124" s="903"/>
    </row>
    <row r="125" spans="1:57" ht="15.75" customHeight="1" thickBot="1">
      <c r="A125" s="900"/>
      <c r="B125" s="900"/>
      <c r="C125" s="900"/>
      <c r="D125" s="900"/>
      <c r="E125" s="900"/>
      <c r="F125" s="900"/>
      <c r="G125" s="900"/>
      <c r="H125" s="900"/>
      <c r="I125" s="900"/>
      <c r="J125" s="900"/>
      <c r="K125" s="900"/>
      <c r="L125" s="900"/>
      <c r="M125" s="900"/>
      <c r="N125" s="900"/>
      <c r="O125" s="900"/>
      <c r="P125" s="932"/>
      <c r="Q125" s="900"/>
      <c r="R125" s="900"/>
      <c r="S125" s="900"/>
      <c r="T125" s="900"/>
      <c r="U125" s="900"/>
      <c r="V125" s="900"/>
      <c r="W125" s="900"/>
      <c r="X125" s="2021" t="s">
        <v>2006</v>
      </c>
      <c r="Y125" s="2022"/>
      <c r="Z125" s="2022"/>
      <c r="AA125" s="2022"/>
      <c r="AB125" s="2022"/>
      <c r="AC125" s="2022"/>
      <c r="AD125" s="2022"/>
      <c r="AE125" s="2022"/>
      <c r="AF125" s="2022"/>
      <c r="AG125" s="2022"/>
      <c r="AH125" s="2022"/>
      <c r="AI125" s="2022"/>
      <c r="AJ125" s="2022"/>
      <c r="AK125" s="2022"/>
      <c r="AL125" s="2022"/>
      <c r="AM125" s="2022"/>
      <c r="AN125" s="2022"/>
      <c r="AO125" s="2022"/>
      <c r="AP125" s="2022"/>
      <c r="AQ125" s="2022"/>
      <c r="AR125" s="2022"/>
      <c r="AS125" s="2022"/>
      <c r="AT125" s="2022"/>
      <c r="AU125" s="2022"/>
      <c r="AV125" s="2022"/>
      <c r="AW125" s="2022"/>
      <c r="AX125" s="2022"/>
      <c r="AY125" s="2022"/>
      <c r="AZ125" s="2022"/>
      <c r="BA125" s="2022"/>
      <c r="BB125" s="2022"/>
      <c r="BC125" s="2022"/>
      <c r="BD125" s="2064"/>
      <c r="BE125" s="903"/>
    </row>
    <row r="126" spans="1:57" ht="15.75" customHeight="1">
      <c r="A126" s="900"/>
      <c r="B126" s="2066" t="s">
        <v>2007</v>
      </c>
      <c r="C126" s="2067"/>
      <c r="D126" s="2067"/>
      <c r="E126" s="2067"/>
      <c r="F126" s="2067"/>
      <c r="G126" s="2067"/>
      <c r="H126" s="2067"/>
      <c r="I126" s="2067"/>
      <c r="J126" s="2067"/>
      <c r="K126" s="2067"/>
      <c r="L126" s="2067"/>
      <c r="M126" s="2067"/>
      <c r="N126" s="2067"/>
      <c r="O126" s="2067"/>
      <c r="P126" s="2067"/>
      <c r="Q126" s="2067"/>
      <c r="R126" s="2067"/>
      <c r="S126" s="2067"/>
      <c r="T126" s="2067"/>
      <c r="U126" s="2068"/>
      <c r="V126" s="900"/>
      <c r="W126" s="900"/>
      <c r="X126" s="2023"/>
      <c r="Y126" s="2024"/>
      <c r="Z126" s="2024"/>
      <c r="AA126" s="2024"/>
      <c r="AB126" s="2024"/>
      <c r="AC126" s="2024"/>
      <c r="AD126" s="2024"/>
      <c r="AE126" s="2024"/>
      <c r="AF126" s="2024"/>
      <c r="AG126" s="2024"/>
      <c r="AH126" s="2024"/>
      <c r="AI126" s="2024"/>
      <c r="AJ126" s="2024"/>
      <c r="AK126" s="2024"/>
      <c r="AL126" s="2024"/>
      <c r="AM126" s="2024"/>
      <c r="AN126" s="2024"/>
      <c r="AO126" s="2024"/>
      <c r="AP126" s="2024"/>
      <c r="AQ126" s="2024"/>
      <c r="AR126" s="2024"/>
      <c r="AS126" s="2024"/>
      <c r="AT126" s="2024"/>
      <c r="AU126" s="2024"/>
      <c r="AV126" s="2024"/>
      <c r="AW126" s="2024"/>
      <c r="AX126" s="2024"/>
      <c r="AY126" s="2024"/>
      <c r="AZ126" s="2024"/>
      <c r="BA126" s="2024"/>
      <c r="BB126" s="2024"/>
      <c r="BC126" s="2024"/>
      <c r="BD126" s="2065"/>
      <c r="BE126" s="903"/>
    </row>
    <row r="127" spans="1:57" ht="15.75" customHeight="1">
      <c r="A127" s="900"/>
      <c r="B127" s="2084"/>
      <c r="C127" s="2085"/>
      <c r="D127" s="2085"/>
      <c r="E127" s="2085"/>
      <c r="F127" s="2085"/>
      <c r="G127" s="2085"/>
      <c r="H127" s="2085"/>
      <c r="I127" s="1943" t="s">
        <v>2008</v>
      </c>
      <c r="J127" s="1943"/>
      <c r="K127" s="1943"/>
      <c r="L127" s="1943"/>
      <c r="M127" s="1943"/>
      <c r="N127" s="1943"/>
      <c r="O127" s="2040" t="s">
        <v>2009</v>
      </c>
      <c r="P127" s="2040"/>
      <c r="Q127" s="2040"/>
      <c r="R127" s="2040"/>
      <c r="S127" s="2040"/>
      <c r="T127" s="2040"/>
      <c r="U127" s="2041"/>
      <c r="V127" s="900"/>
      <c r="W127" s="900"/>
      <c r="X127" s="2008" t="s">
        <v>1979</v>
      </c>
      <c r="Y127" s="2009"/>
      <c r="Z127" s="2009"/>
      <c r="AA127" s="2009"/>
      <c r="AB127" s="2009"/>
      <c r="AC127" s="2009"/>
      <c r="AD127" s="2009"/>
      <c r="AE127" s="2009"/>
      <c r="AF127" s="2009"/>
      <c r="AG127" s="2009"/>
      <c r="AH127" s="2009"/>
      <c r="AI127" s="2009"/>
      <c r="AJ127" s="2009"/>
      <c r="AK127" s="2009"/>
      <c r="AL127" s="2009"/>
      <c r="AM127" s="2009"/>
      <c r="AN127" s="2009"/>
      <c r="AO127" s="2009"/>
      <c r="AP127" s="2009"/>
      <c r="AQ127" s="2009"/>
      <c r="AR127" s="2009"/>
      <c r="AS127" s="2009"/>
      <c r="AT127" s="2009"/>
      <c r="AU127" s="2009"/>
      <c r="AV127" s="2009"/>
      <c r="AW127" s="2009"/>
      <c r="AX127" s="2009"/>
      <c r="AY127" s="2009"/>
      <c r="AZ127" s="2009"/>
      <c r="BA127" s="2009"/>
      <c r="BB127" s="2009"/>
      <c r="BC127" s="2009"/>
      <c r="BD127" s="2010"/>
      <c r="BE127" s="903"/>
    </row>
    <row r="128" spans="1:57" ht="15.75" customHeight="1">
      <c r="A128" s="900"/>
      <c r="B128" s="2042" t="s">
        <v>2010</v>
      </c>
      <c r="C128" s="2043"/>
      <c r="D128" s="2043"/>
      <c r="E128" s="2043"/>
      <c r="F128" s="2043"/>
      <c r="G128" s="2043"/>
      <c r="H128" s="2043"/>
      <c r="I128" s="2019">
        <v>0</v>
      </c>
      <c r="J128" s="2019"/>
      <c r="K128" s="2019"/>
      <c r="L128" s="2019"/>
      <c r="M128" s="2019"/>
      <c r="N128" s="2019"/>
      <c r="O128" s="2019">
        <v>0</v>
      </c>
      <c r="P128" s="2019"/>
      <c r="Q128" s="2019"/>
      <c r="R128" s="2019"/>
      <c r="S128" s="2019"/>
      <c r="T128" s="2019"/>
      <c r="U128" s="2020"/>
      <c r="V128" s="900"/>
      <c r="W128" s="900"/>
      <c r="X128" s="2008"/>
      <c r="Y128" s="2009"/>
      <c r="Z128" s="2009"/>
      <c r="AA128" s="2009"/>
      <c r="AB128" s="2009"/>
      <c r="AC128" s="2009"/>
      <c r="AD128" s="2009"/>
      <c r="AE128" s="2009"/>
      <c r="AF128" s="2009"/>
      <c r="AG128" s="2009"/>
      <c r="AH128" s="2009"/>
      <c r="AI128" s="2009"/>
      <c r="AJ128" s="2009"/>
      <c r="AK128" s="2009"/>
      <c r="AL128" s="2009"/>
      <c r="AM128" s="2009"/>
      <c r="AN128" s="2009"/>
      <c r="AO128" s="2009"/>
      <c r="AP128" s="2009"/>
      <c r="AQ128" s="2009"/>
      <c r="AR128" s="2009"/>
      <c r="AS128" s="2009"/>
      <c r="AT128" s="2009"/>
      <c r="AU128" s="2009"/>
      <c r="AV128" s="2009"/>
      <c r="AW128" s="2009"/>
      <c r="AX128" s="2009"/>
      <c r="AY128" s="2009"/>
      <c r="AZ128" s="2009"/>
      <c r="BA128" s="2009"/>
      <c r="BB128" s="2009"/>
      <c r="BC128" s="2009"/>
      <c r="BD128" s="2010"/>
      <c r="BE128" s="903"/>
    </row>
    <row r="129" spans="1:57" ht="15.75" customHeight="1" thickBot="1">
      <c r="A129" s="900"/>
      <c r="B129" s="2044" t="s">
        <v>2011</v>
      </c>
      <c r="C129" s="2045"/>
      <c r="D129" s="2045"/>
      <c r="E129" s="2045"/>
      <c r="F129" s="2045"/>
      <c r="G129" s="2045"/>
      <c r="H129" s="2045"/>
      <c r="I129" s="2034">
        <v>0</v>
      </c>
      <c r="J129" s="2034"/>
      <c r="K129" s="2034"/>
      <c r="L129" s="2034"/>
      <c r="M129" s="2034"/>
      <c r="N129" s="2034"/>
      <c r="O129" s="2046"/>
      <c r="P129" s="2046"/>
      <c r="Q129" s="2046"/>
      <c r="R129" s="2046"/>
      <c r="S129" s="2046"/>
      <c r="T129" s="2046"/>
      <c r="U129" s="2047"/>
      <c r="V129" s="900"/>
      <c r="W129" s="900"/>
      <c r="X129" s="2008"/>
      <c r="Y129" s="2009"/>
      <c r="Z129" s="2009"/>
      <c r="AA129" s="2009"/>
      <c r="AB129" s="2009"/>
      <c r="AC129" s="2009"/>
      <c r="AD129" s="2009"/>
      <c r="AE129" s="2009"/>
      <c r="AF129" s="2009"/>
      <c r="AG129" s="2009"/>
      <c r="AH129" s="2009"/>
      <c r="AI129" s="2009"/>
      <c r="AJ129" s="2009"/>
      <c r="AK129" s="2009"/>
      <c r="AL129" s="2009"/>
      <c r="AM129" s="2009"/>
      <c r="AN129" s="2009"/>
      <c r="AO129" s="2009"/>
      <c r="AP129" s="2009"/>
      <c r="AQ129" s="2009"/>
      <c r="AR129" s="2009"/>
      <c r="AS129" s="2009"/>
      <c r="AT129" s="2009"/>
      <c r="AU129" s="2009"/>
      <c r="AV129" s="2009"/>
      <c r="AW129" s="2009"/>
      <c r="AX129" s="2009"/>
      <c r="AY129" s="2009"/>
      <c r="AZ129" s="2009"/>
      <c r="BA129" s="2009"/>
      <c r="BB129" s="2009"/>
      <c r="BC129" s="2009"/>
      <c r="BD129" s="2010"/>
      <c r="BE129" s="903"/>
    </row>
    <row r="130" spans="1:57" ht="15.75" customHeight="1" thickBot="1">
      <c r="A130" s="900"/>
      <c r="B130" s="900"/>
      <c r="C130" s="900"/>
      <c r="D130" s="900"/>
      <c r="E130" s="900"/>
      <c r="F130" s="900"/>
      <c r="G130" s="900"/>
      <c r="H130" s="900"/>
      <c r="I130" s="900"/>
      <c r="J130" s="900"/>
      <c r="K130" s="900"/>
      <c r="L130" s="900"/>
      <c r="M130" s="900"/>
      <c r="N130" s="900"/>
      <c r="O130" s="900"/>
      <c r="P130" s="900"/>
      <c r="Q130" s="900"/>
      <c r="R130" s="900"/>
      <c r="S130" s="900"/>
      <c r="T130" s="900"/>
      <c r="U130" s="900"/>
      <c r="V130" s="900"/>
      <c r="W130" s="900"/>
      <c r="X130" s="2008"/>
      <c r="Y130" s="2009"/>
      <c r="Z130" s="2009"/>
      <c r="AA130" s="2009"/>
      <c r="AB130" s="2009"/>
      <c r="AC130" s="2009"/>
      <c r="AD130" s="2009"/>
      <c r="AE130" s="2009"/>
      <c r="AF130" s="2009"/>
      <c r="AG130" s="2009"/>
      <c r="AH130" s="2009"/>
      <c r="AI130" s="2009"/>
      <c r="AJ130" s="2009"/>
      <c r="AK130" s="2009"/>
      <c r="AL130" s="2009"/>
      <c r="AM130" s="2009"/>
      <c r="AN130" s="2009"/>
      <c r="AO130" s="2009"/>
      <c r="AP130" s="2009"/>
      <c r="AQ130" s="2009"/>
      <c r="AR130" s="2009"/>
      <c r="AS130" s="2009"/>
      <c r="AT130" s="2009"/>
      <c r="AU130" s="2009"/>
      <c r="AV130" s="2009"/>
      <c r="AW130" s="2009"/>
      <c r="AX130" s="2009"/>
      <c r="AY130" s="2009"/>
      <c r="AZ130" s="2009"/>
      <c r="BA130" s="2009"/>
      <c r="BB130" s="2009"/>
      <c r="BC130" s="2009"/>
      <c r="BD130" s="2010"/>
      <c r="BE130" s="903"/>
    </row>
    <row r="131" spans="1:57" ht="15.75" customHeight="1" thickBot="1">
      <c r="A131" s="900"/>
      <c r="B131" s="918" t="s">
        <v>2012</v>
      </c>
      <c r="C131" s="919"/>
      <c r="D131" s="919"/>
      <c r="E131" s="919"/>
      <c r="F131" s="919"/>
      <c r="G131" s="919"/>
      <c r="H131" s="919"/>
      <c r="I131" s="919"/>
      <c r="J131" s="919"/>
      <c r="K131" s="919"/>
      <c r="L131" s="919"/>
      <c r="M131" s="919"/>
      <c r="N131" s="919"/>
      <c r="O131" s="919"/>
      <c r="P131" s="920"/>
      <c r="Q131" s="904" t="s">
        <v>254</v>
      </c>
      <c r="R131" s="904" t="s">
        <v>254</v>
      </c>
      <c r="S131" s="900"/>
      <c r="T131" s="900"/>
      <c r="U131" s="900"/>
      <c r="V131" s="900" t="s">
        <v>254</v>
      </c>
      <c r="W131" s="900"/>
      <c r="X131" s="2008"/>
      <c r="Y131" s="2009"/>
      <c r="Z131" s="2009"/>
      <c r="AA131" s="2009"/>
      <c r="AB131" s="2009"/>
      <c r="AC131" s="2009"/>
      <c r="AD131" s="2009"/>
      <c r="AE131" s="2009"/>
      <c r="AF131" s="2009"/>
      <c r="AG131" s="2009"/>
      <c r="AH131" s="2009"/>
      <c r="AI131" s="2009"/>
      <c r="AJ131" s="2009"/>
      <c r="AK131" s="2009"/>
      <c r="AL131" s="2009"/>
      <c r="AM131" s="2009"/>
      <c r="AN131" s="2009"/>
      <c r="AO131" s="2009"/>
      <c r="AP131" s="2009"/>
      <c r="AQ131" s="2009"/>
      <c r="AR131" s="2009"/>
      <c r="AS131" s="2009"/>
      <c r="AT131" s="2009"/>
      <c r="AU131" s="2009"/>
      <c r="AV131" s="2009"/>
      <c r="AW131" s="2009"/>
      <c r="AX131" s="2009"/>
      <c r="AY131" s="2009"/>
      <c r="AZ131" s="2009"/>
      <c r="BA131" s="2009"/>
      <c r="BB131" s="2009"/>
      <c r="BC131" s="2009"/>
      <c r="BD131" s="2010"/>
      <c r="BE131" s="903"/>
    </row>
    <row r="132" spans="1:57" ht="15.75" customHeight="1" thickBot="1">
      <c r="A132" s="900"/>
      <c r="B132" s="900"/>
      <c r="C132" s="900"/>
      <c r="D132" s="900"/>
      <c r="E132" s="900"/>
      <c r="F132" s="900"/>
      <c r="G132" s="900"/>
      <c r="H132" s="900"/>
      <c r="I132" s="900"/>
      <c r="J132" s="900"/>
      <c r="K132" s="900"/>
      <c r="L132" s="900"/>
      <c r="M132" s="900"/>
      <c r="N132" s="900"/>
      <c r="O132" s="900"/>
      <c r="P132" s="900"/>
      <c r="Q132" s="900"/>
      <c r="R132" s="900"/>
      <c r="S132" s="900"/>
      <c r="T132" s="900"/>
      <c r="U132" s="900"/>
      <c r="V132" s="900"/>
      <c r="W132" s="900"/>
      <c r="X132" s="2008"/>
      <c r="Y132" s="2009"/>
      <c r="Z132" s="2009"/>
      <c r="AA132" s="2009"/>
      <c r="AB132" s="2009"/>
      <c r="AC132" s="2009"/>
      <c r="AD132" s="2009"/>
      <c r="AE132" s="2009"/>
      <c r="AF132" s="2009"/>
      <c r="AG132" s="2009"/>
      <c r="AH132" s="2009"/>
      <c r="AI132" s="2009"/>
      <c r="AJ132" s="2009"/>
      <c r="AK132" s="2009"/>
      <c r="AL132" s="2009"/>
      <c r="AM132" s="2009"/>
      <c r="AN132" s="2009"/>
      <c r="AO132" s="2009"/>
      <c r="AP132" s="2009"/>
      <c r="AQ132" s="2009"/>
      <c r="AR132" s="2009"/>
      <c r="AS132" s="2009"/>
      <c r="AT132" s="2009"/>
      <c r="AU132" s="2009"/>
      <c r="AV132" s="2009"/>
      <c r="AW132" s="2009"/>
      <c r="AX132" s="2009"/>
      <c r="AY132" s="2009"/>
      <c r="AZ132" s="2009"/>
      <c r="BA132" s="2009"/>
      <c r="BB132" s="2009"/>
      <c r="BC132" s="2009"/>
      <c r="BD132" s="2010"/>
      <c r="BE132" s="903"/>
    </row>
    <row r="133" spans="1:57" ht="15.75" customHeight="1">
      <c r="A133" s="900"/>
      <c r="B133" s="1844" t="s">
        <v>2013</v>
      </c>
      <c r="C133" s="1845"/>
      <c r="D133" s="1845"/>
      <c r="E133" s="1845"/>
      <c r="F133" s="1845"/>
      <c r="G133" s="1845"/>
      <c r="H133" s="1845"/>
      <c r="I133" s="1845"/>
      <c r="J133" s="1845"/>
      <c r="K133" s="1845"/>
      <c r="L133" s="1845"/>
      <c r="M133" s="1845"/>
      <c r="N133" s="1845"/>
      <c r="O133" s="1845"/>
      <c r="P133" s="1845"/>
      <c r="Q133" s="1845"/>
      <c r="R133" s="1845"/>
      <c r="S133" s="1845"/>
      <c r="T133" s="1845"/>
      <c r="U133" s="1846"/>
      <c r="V133" s="900"/>
      <c r="W133" s="900"/>
      <c r="X133" s="2008"/>
      <c r="Y133" s="2009"/>
      <c r="Z133" s="2009"/>
      <c r="AA133" s="2009"/>
      <c r="AB133" s="2009"/>
      <c r="AC133" s="2009"/>
      <c r="AD133" s="2009"/>
      <c r="AE133" s="2009"/>
      <c r="AF133" s="2009"/>
      <c r="AG133" s="2009"/>
      <c r="AH133" s="2009"/>
      <c r="AI133" s="2009"/>
      <c r="AJ133" s="2009"/>
      <c r="AK133" s="2009"/>
      <c r="AL133" s="2009"/>
      <c r="AM133" s="2009"/>
      <c r="AN133" s="2009"/>
      <c r="AO133" s="2009"/>
      <c r="AP133" s="2009"/>
      <c r="AQ133" s="2009"/>
      <c r="AR133" s="2009"/>
      <c r="AS133" s="2009"/>
      <c r="AT133" s="2009"/>
      <c r="AU133" s="2009"/>
      <c r="AV133" s="2009"/>
      <c r="AW133" s="2009"/>
      <c r="AX133" s="2009"/>
      <c r="AY133" s="2009"/>
      <c r="AZ133" s="2009"/>
      <c r="BA133" s="2009"/>
      <c r="BB133" s="2009"/>
      <c r="BC133" s="2009"/>
      <c r="BD133" s="2010"/>
      <c r="BE133" s="903"/>
    </row>
    <row r="134" spans="1:57" ht="15.75" customHeight="1">
      <c r="A134" s="900"/>
      <c r="B134" s="2084"/>
      <c r="C134" s="2085"/>
      <c r="D134" s="2085"/>
      <c r="E134" s="2085"/>
      <c r="F134" s="2085"/>
      <c r="G134" s="2085"/>
      <c r="H134" s="2085"/>
      <c r="I134" s="2086" t="s">
        <v>1988</v>
      </c>
      <c r="J134" s="2086"/>
      <c r="K134" s="2086"/>
      <c r="L134" s="2086"/>
      <c r="M134" s="2086"/>
      <c r="N134" s="2086"/>
      <c r="O134" s="2086"/>
      <c r="P134" s="2086" t="s">
        <v>1989</v>
      </c>
      <c r="Q134" s="2086"/>
      <c r="R134" s="2086"/>
      <c r="S134" s="2086"/>
      <c r="T134" s="2086"/>
      <c r="U134" s="2087"/>
      <c r="V134" s="900"/>
      <c r="W134" s="900"/>
      <c r="X134" s="2008"/>
      <c r="Y134" s="2009"/>
      <c r="Z134" s="2009"/>
      <c r="AA134" s="2009"/>
      <c r="AB134" s="2009"/>
      <c r="AC134" s="2009"/>
      <c r="AD134" s="2009"/>
      <c r="AE134" s="2009"/>
      <c r="AF134" s="2009"/>
      <c r="AG134" s="2009"/>
      <c r="AH134" s="2009"/>
      <c r="AI134" s="2009"/>
      <c r="AJ134" s="2009"/>
      <c r="AK134" s="2009"/>
      <c r="AL134" s="2009"/>
      <c r="AM134" s="2009"/>
      <c r="AN134" s="2009"/>
      <c r="AO134" s="2009"/>
      <c r="AP134" s="2009"/>
      <c r="AQ134" s="2009"/>
      <c r="AR134" s="2009"/>
      <c r="AS134" s="2009"/>
      <c r="AT134" s="2009"/>
      <c r="AU134" s="2009"/>
      <c r="AV134" s="2009"/>
      <c r="AW134" s="2009"/>
      <c r="AX134" s="2009"/>
      <c r="AY134" s="2009"/>
      <c r="AZ134" s="2009"/>
      <c r="BA134" s="2009"/>
      <c r="BB134" s="2009"/>
      <c r="BC134" s="2009"/>
      <c r="BD134" s="2010"/>
      <c r="BE134" s="903"/>
    </row>
    <row r="135" spans="1:57" ht="15.75" customHeight="1">
      <c r="A135" s="900"/>
      <c r="B135" s="2084"/>
      <c r="C135" s="2085"/>
      <c r="D135" s="2085"/>
      <c r="E135" s="2085"/>
      <c r="F135" s="2085"/>
      <c r="G135" s="2085"/>
      <c r="H135" s="2085"/>
      <c r="I135" s="2086"/>
      <c r="J135" s="2086"/>
      <c r="K135" s="2086"/>
      <c r="L135" s="2086"/>
      <c r="M135" s="2086"/>
      <c r="N135" s="2086"/>
      <c r="O135" s="2086"/>
      <c r="P135" s="2086"/>
      <c r="Q135" s="2086"/>
      <c r="R135" s="2086"/>
      <c r="S135" s="2086"/>
      <c r="T135" s="2086"/>
      <c r="U135" s="2087"/>
      <c r="V135" s="900"/>
      <c r="W135" s="900"/>
      <c r="X135" s="2008"/>
      <c r="Y135" s="2009"/>
      <c r="Z135" s="2009"/>
      <c r="AA135" s="2009"/>
      <c r="AB135" s="2009"/>
      <c r="AC135" s="2009"/>
      <c r="AD135" s="2009"/>
      <c r="AE135" s="2009"/>
      <c r="AF135" s="2009"/>
      <c r="AG135" s="2009"/>
      <c r="AH135" s="2009"/>
      <c r="AI135" s="2009"/>
      <c r="AJ135" s="2009"/>
      <c r="AK135" s="2009"/>
      <c r="AL135" s="2009"/>
      <c r="AM135" s="2009"/>
      <c r="AN135" s="2009"/>
      <c r="AO135" s="2009"/>
      <c r="AP135" s="2009"/>
      <c r="AQ135" s="2009"/>
      <c r="AR135" s="2009"/>
      <c r="AS135" s="2009"/>
      <c r="AT135" s="2009"/>
      <c r="AU135" s="2009"/>
      <c r="AV135" s="2009"/>
      <c r="AW135" s="2009"/>
      <c r="AX135" s="2009"/>
      <c r="AY135" s="2009"/>
      <c r="AZ135" s="2009"/>
      <c r="BA135" s="2009"/>
      <c r="BB135" s="2009"/>
      <c r="BC135" s="2009"/>
      <c r="BD135" s="2010"/>
      <c r="BE135" s="903"/>
    </row>
    <row r="136" spans="1:57" ht="15.75" customHeight="1">
      <c r="A136" s="900"/>
      <c r="B136" s="2042" t="s">
        <v>2010</v>
      </c>
      <c r="C136" s="2043"/>
      <c r="D136" s="2043"/>
      <c r="E136" s="2043"/>
      <c r="F136" s="2043"/>
      <c r="G136" s="2043"/>
      <c r="H136" s="2043"/>
      <c r="I136" s="2019">
        <v>0</v>
      </c>
      <c r="J136" s="2019"/>
      <c r="K136" s="2019"/>
      <c r="L136" s="2019"/>
      <c r="M136" s="2019"/>
      <c r="N136" s="2019"/>
      <c r="O136" s="2019"/>
      <c r="P136" s="2019">
        <v>0</v>
      </c>
      <c r="Q136" s="2019"/>
      <c r="R136" s="2019"/>
      <c r="S136" s="2019"/>
      <c r="T136" s="2019"/>
      <c r="U136" s="2020"/>
      <c r="V136" s="900"/>
      <c r="W136" s="900"/>
      <c r="X136" s="2008"/>
      <c r="Y136" s="2009"/>
      <c r="Z136" s="2009"/>
      <c r="AA136" s="2009"/>
      <c r="AB136" s="2009"/>
      <c r="AC136" s="2009"/>
      <c r="AD136" s="2009"/>
      <c r="AE136" s="2009"/>
      <c r="AF136" s="2009"/>
      <c r="AG136" s="2009"/>
      <c r="AH136" s="2009"/>
      <c r="AI136" s="2009"/>
      <c r="AJ136" s="2009"/>
      <c r="AK136" s="2009"/>
      <c r="AL136" s="2009"/>
      <c r="AM136" s="2009"/>
      <c r="AN136" s="2009"/>
      <c r="AO136" s="2009"/>
      <c r="AP136" s="2009"/>
      <c r="AQ136" s="2009"/>
      <c r="AR136" s="2009"/>
      <c r="AS136" s="2009"/>
      <c r="AT136" s="2009"/>
      <c r="AU136" s="2009"/>
      <c r="AV136" s="2009"/>
      <c r="AW136" s="2009"/>
      <c r="AX136" s="2009"/>
      <c r="AY136" s="2009"/>
      <c r="AZ136" s="2009"/>
      <c r="BA136" s="2009"/>
      <c r="BB136" s="2009"/>
      <c r="BC136" s="2009"/>
      <c r="BD136" s="2010"/>
      <c r="BE136" s="903"/>
    </row>
    <row r="137" spans="1:57" ht="15.75" customHeight="1" thickBot="1">
      <c r="A137" s="900"/>
      <c r="B137" s="2044" t="s">
        <v>2011</v>
      </c>
      <c r="C137" s="2045"/>
      <c r="D137" s="2045"/>
      <c r="E137" s="2045"/>
      <c r="F137" s="2045"/>
      <c r="G137" s="2045"/>
      <c r="H137" s="2045"/>
      <c r="I137" s="2034">
        <v>0</v>
      </c>
      <c r="J137" s="2034"/>
      <c r="K137" s="2034"/>
      <c r="L137" s="2034"/>
      <c r="M137" s="2034"/>
      <c r="N137" s="2034"/>
      <c r="O137" s="2034"/>
      <c r="P137" s="2034">
        <v>0</v>
      </c>
      <c r="Q137" s="2034"/>
      <c r="R137" s="2034"/>
      <c r="S137" s="2034"/>
      <c r="T137" s="2034"/>
      <c r="U137" s="2035"/>
      <c r="V137" s="900"/>
      <c r="W137" s="900"/>
      <c r="X137" s="2011"/>
      <c r="Y137" s="2012"/>
      <c r="Z137" s="2012"/>
      <c r="AA137" s="2012"/>
      <c r="AB137" s="2012"/>
      <c r="AC137" s="2012"/>
      <c r="AD137" s="2012"/>
      <c r="AE137" s="2012"/>
      <c r="AF137" s="2012"/>
      <c r="AG137" s="2012"/>
      <c r="AH137" s="2012"/>
      <c r="AI137" s="2012"/>
      <c r="AJ137" s="2012"/>
      <c r="AK137" s="2012"/>
      <c r="AL137" s="2012"/>
      <c r="AM137" s="2012"/>
      <c r="AN137" s="2012"/>
      <c r="AO137" s="2012"/>
      <c r="AP137" s="2012"/>
      <c r="AQ137" s="2012"/>
      <c r="AR137" s="2012"/>
      <c r="AS137" s="2012"/>
      <c r="AT137" s="2012"/>
      <c r="AU137" s="2012"/>
      <c r="AV137" s="2012"/>
      <c r="AW137" s="2012"/>
      <c r="AX137" s="2012"/>
      <c r="AY137" s="2012"/>
      <c r="AZ137" s="2012"/>
      <c r="BA137" s="2012"/>
      <c r="BB137" s="2012"/>
      <c r="BC137" s="2012"/>
      <c r="BD137" s="2013"/>
      <c r="BE137" s="903"/>
    </row>
    <row r="138" spans="1:57" ht="15.75" customHeight="1" thickBot="1">
      <c r="A138" s="900"/>
      <c r="B138" s="900"/>
      <c r="C138" s="900"/>
      <c r="D138" s="900"/>
      <c r="E138" s="900"/>
      <c r="F138" s="900"/>
      <c r="G138" s="900"/>
      <c r="H138" s="900"/>
      <c r="I138" s="900"/>
      <c r="J138" s="900"/>
      <c r="K138" s="900"/>
      <c r="L138" s="900"/>
      <c r="M138" s="900"/>
      <c r="N138" s="900"/>
      <c r="O138" s="900"/>
      <c r="P138" s="900"/>
      <c r="Q138" s="934"/>
      <c r="R138" s="900"/>
      <c r="S138" s="900"/>
      <c r="T138" s="900"/>
      <c r="U138" s="900"/>
      <c r="V138" s="900"/>
      <c r="W138" s="900"/>
      <c r="X138" s="900"/>
      <c r="Y138" s="900"/>
      <c r="Z138" s="900"/>
      <c r="AA138" s="900"/>
      <c r="AB138" s="900"/>
      <c r="AC138" s="900"/>
      <c r="AD138" s="900"/>
      <c r="AE138" s="900"/>
      <c r="AF138" s="900"/>
      <c r="AG138" s="900"/>
      <c r="AH138" s="900"/>
      <c r="AI138" s="900"/>
      <c r="AJ138" s="900"/>
      <c r="AK138" s="900"/>
      <c r="AL138" s="900"/>
      <c r="AM138" s="900"/>
      <c r="AN138" s="900"/>
      <c r="AO138" s="900"/>
      <c r="AP138" s="900"/>
      <c r="AQ138" s="900"/>
      <c r="AR138" s="900"/>
      <c r="AS138" s="900"/>
      <c r="AT138" s="900"/>
      <c r="AU138" s="900"/>
      <c r="AV138" s="900"/>
      <c r="AW138" s="900"/>
      <c r="AX138" s="900"/>
      <c r="AY138" s="900"/>
      <c r="AZ138" s="900"/>
      <c r="BA138" s="900"/>
      <c r="BB138" s="900"/>
      <c r="BC138" s="900"/>
      <c r="BD138" s="900"/>
      <c r="BE138" s="903"/>
    </row>
    <row r="139" spans="1:57" ht="15.75" customHeight="1">
      <c r="A139" s="900"/>
      <c r="B139" s="2082" t="s">
        <v>2014</v>
      </c>
      <c r="C139" s="2083"/>
      <c r="D139" s="2083"/>
      <c r="E139" s="2083"/>
      <c r="F139" s="2083"/>
      <c r="G139" s="2083"/>
      <c r="H139" s="2083"/>
      <c r="I139" s="2083"/>
      <c r="J139" s="2083"/>
      <c r="K139" s="2083"/>
      <c r="L139" s="2083"/>
      <c r="M139" s="2083"/>
      <c r="N139" s="2083"/>
      <c r="O139" s="2083"/>
      <c r="P139" s="2083"/>
      <c r="Q139" s="2083"/>
      <c r="R139" s="2083"/>
      <c r="S139" s="2083"/>
      <c r="T139" s="2083"/>
      <c r="U139" s="2083"/>
      <c r="V139" s="2083"/>
      <c r="W139" s="2083"/>
      <c r="X139" s="2083"/>
      <c r="Y139" s="2083"/>
      <c r="Z139" s="2083"/>
      <c r="AA139" s="2083"/>
      <c r="AB139" s="2083"/>
      <c r="AC139" s="2083"/>
      <c r="AD139" s="2083"/>
      <c r="AE139" s="2083"/>
      <c r="AF139" s="2083"/>
      <c r="AG139" s="2083"/>
      <c r="AH139" s="1967" t="s">
        <v>694</v>
      </c>
      <c r="AI139" s="1967"/>
      <c r="AJ139" s="1967"/>
      <c r="AK139" s="1967"/>
      <c r="AL139" s="1967"/>
      <c r="AM139" s="1967"/>
      <c r="AN139" s="1967"/>
      <c r="AO139" s="1967"/>
      <c r="AP139" s="1967"/>
      <c r="AQ139" s="1967"/>
      <c r="AR139" s="1967"/>
      <c r="AS139" s="1967"/>
      <c r="AT139" s="1967"/>
      <c r="AU139" s="1967"/>
      <c r="AV139" s="1967"/>
      <c r="AW139" s="1967"/>
      <c r="AX139" s="1968"/>
      <c r="AY139" s="900"/>
      <c r="AZ139" s="900"/>
      <c r="BA139" s="900"/>
      <c r="BB139" s="900"/>
      <c r="BC139" s="900"/>
      <c r="BD139" s="900"/>
      <c r="BE139" s="903"/>
    </row>
    <row r="140" spans="1:57" ht="15.75" customHeight="1" thickBot="1">
      <c r="A140" s="900"/>
      <c r="B140" s="2069" t="s">
        <v>2015</v>
      </c>
      <c r="C140" s="2070"/>
      <c r="D140" s="2070"/>
      <c r="E140" s="2070"/>
      <c r="F140" s="2070"/>
      <c r="G140" s="2070"/>
      <c r="H140" s="2070"/>
      <c r="I140" s="2070"/>
      <c r="J140" s="2070"/>
      <c r="K140" s="2070"/>
      <c r="L140" s="2070"/>
      <c r="M140" s="2070"/>
      <c r="N140" s="2070"/>
      <c r="O140" s="2070"/>
      <c r="P140" s="2070"/>
      <c r="Q140" s="2070"/>
      <c r="R140" s="2070"/>
      <c r="S140" s="2070"/>
      <c r="T140" s="2070"/>
      <c r="U140" s="2070"/>
      <c r="V140" s="2070"/>
      <c r="W140" s="2070"/>
      <c r="X140" s="2070"/>
      <c r="Y140" s="2070"/>
      <c r="Z140" s="2070"/>
      <c r="AA140" s="2070"/>
      <c r="AB140" s="2070"/>
      <c r="AC140" s="2070"/>
      <c r="AD140" s="2070"/>
      <c r="AE140" s="2070"/>
      <c r="AF140" s="2070"/>
      <c r="AG140" s="2071"/>
      <c r="AH140" s="2036"/>
      <c r="AI140" s="2037"/>
      <c r="AJ140" s="2037"/>
      <c r="AK140" s="2037"/>
      <c r="AL140" s="2037"/>
      <c r="AM140" s="2037"/>
      <c r="AN140" s="2037"/>
      <c r="AO140" s="2037"/>
      <c r="AP140" s="2037"/>
      <c r="AQ140" s="2037"/>
      <c r="AR140" s="2037"/>
      <c r="AS140" s="2037"/>
      <c r="AT140" s="2037"/>
      <c r="AU140" s="2037"/>
      <c r="AV140" s="2037"/>
      <c r="AW140" s="2037"/>
      <c r="AX140" s="2038"/>
      <c r="AY140" s="900"/>
      <c r="AZ140" s="900"/>
      <c r="BA140" s="900"/>
      <c r="BB140" s="900"/>
      <c r="BC140" s="900"/>
      <c r="BD140" s="900"/>
      <c r="BE140" s="903"/>
    </row>
    <row r="141" spans="1:57" ht="15.75" customHeight="1">
      <c r="A141" s="900"/>
      <c r="B141" s="2069" t="s">
        <v>2016</v>
      </c>
      <c r="C141" s="2070"/>
      <c r="D141" s="2070"/>
      <c r="E141" s="2070"/>
      <c r="F141" s="2070"/>
      <c r="G141" s="2070"/>
      <c r="H141" s="2070"/>
      <c r="I141" s="2070"/>
      <c r="J141" s="2070"/>
      <c r="K141" s="2070"/>
      <c r="L141" s="2070"/>
      <c r="M141" s="2070"/>
      <c r="N141" s="2070"/>
      <c r="O141" s="2070"/>
      <c r="P141" s="2070"/>
      <c r="Q141" s="2070"/>
      <c r="R141" s="2070"/>
      <c r="S141" s="2070"/>
      <c r="T141" s="2070"/>
      <c r="U141" s="2070"/>
      <c r="V141" s="2070"/>
      <c r="W141" s="2070"/>
      <c r="X141" s="2070"/>
      <c r="Y141" s="2070"/>
      <c r="Z141" s="2070"/>
      <c r="AA141" s="2070"/>
      <c r="AB141" s="2070"/>
      <c r="AC141" s="2070"/>
      <c r="AD141" s="2070"/>
      <c r="AE141" s="2070"/>
      <c r="AF141" s="2070"/>
      <c r="AG141" s="2071"/>
      <c r="AH141" s="1967" t="s">
        <v>694</v>
      </c>
      <c r="AI141" s="1967"/>
      <c r="AJ141" s="1967"/>
      <c r="AK141" s="1967"/>
      <c r="AL141" s="1967"/>
      <c r="AM141" s="1967"/>
      <c r="AN141" s="1967"/>
      <c r="AO141" s="1967"/>
      <c r="AP141" s="1967"/>
      <c r="AQ141" s="1967"/>
      <c r="AR141" s="1967"/>
      <c r="AS141" s="1967"/>
      <c r="AT141" s="1967"/>
      <c r="AU141" s="1967"/>
      <c r="AV141" s="1967"/>
      <c r="AW141" s="1967"/>
      <c r="AX141" s="1968"/>
      <c r="AY141" s="900"/>
      <c r="AZ141" s="900"/>
      <c r="BA141" s="900"/>
      <c r="BB141" s="900"/>
      <c r="BC141" s="900"/>
      <c r="BD141" s="900"/>
      <c r="BE141" s="903"/>
    </row>
    <row r="142" spans="1:57" ht="15.75" customHeight="1">
      <c r="A142" s="900"/>
      <c r="B142" s="2072" t="s">
        <v>2017</v>
      </c>
      <c r="C142" s="2073"/>
      <c r="D142" s="2073"/>
      <c r="E142" s="2073"/>
      <c r="F142" s="2073"/>
      <c r="G142" s="2073"/>
      <c r="H142" s="2073"/>
      <c r="I142" s="2073"/>
      <c r="J142" s="2073"/>
      <c r="K142" s="2073"/>
      <c r="L142" s="2073"/>
      <c r="M142" s="2073"/>
      <c r="N142" s="2073"/>
      <c r="O142" s="2073"/>
      <c r="P142" s="2073"/>
      <c r="Q142" s="2073"/>
      <c r="R142" s="2074" t="s">
        <v>2018</v>
      </c>
      <c r="S142" s="2074"/>
      <c r="T142" s="2074"/>
      <c r="U142" s="2074"/>
      <c r="V142" s="2074"/>
      <c r="W142" s="2074"/>
      <c r="X142" s="2074"/>
      <c r="Y142" s="2074"/>
      <c r="Z142" s="2074"/>
      <c r="AA142" s="2074"/>
      <c r="AB142" s="2074"/>
      <c r="AC142" s="2074"/>
      <c r="AD142" s="2074"/>
      <c r="AE142" s="2074"/>
      <c r="AF142" s="2074"/>
      <c r="AG142" s="2074"/>
      <c r="AH142" s="2074"/>
      <c r="AI142" s="2074"/>
      <c r="AJ142" s="2074"/>
      <c r="AK142" s="2074"/>
      <c r="AL142" s="2074"/>
      <c r="AM142" s="2074"/>
      <c r="AN142" s="2074"/>
      <c r="AO142" s="2074"/>
      <c r="AP142" s="2074"/>
      <c r="AQ142" s="2074"/>
      <c r="AR142" s="2074"/>
      <c r="AS142" s="2074"/>
      <c r="AT142" s="2074"/>
      <c r="AU142" s="2074"/>
      <c r="AV142" s="2074"/>
      <c r="AW142" s="2074"/>
      <c r="AX142" s="2075"/>
      <c r="AY142" s="900"/>
      <c r="AZ142" s="900"/>
      <c r="BA142" s="900"/>
      <c r="BB142" s="900"/>
      <c r="BC142" s="900" t="s">
        <v>254</v>
      </c>
      <c r="BD142" s="900"/>
      <c r="BE142" s="903"/>
    </row>
    <row r="143" spans="1:57" ht="15.75" customHeight="1">
      <c r="A143" s="900"/>
      <c r="B143" s="2076" t="s">
        <v>2019</v>
      </c>
      <c r="C143" s="2077"/>
      <c r="D143" s="2077"/>
      <c r="E143" s="2077"/>
      <c r="F143" s="2077"/>
      <c r="G143" s="2077"/>
      <c r="H143" s="2077"/>
      <c r="I143" s="2077"/>
      <c r="J143" s="2077"/>
      <c r="K143" s="2077"/>
      <c r="L143" s="2077"/>
      <c r="M143" s="2077"/>
      <c r="N143" s="2077"/>
      <c r="O143" s="2077"/>
      <c r="P143" s="2077"/>
      <c r="Q143" s="2077"/>
      <c r="R143" s="2077"/>
      <c r="S143" s="2077"/>
      <c r="T143" s="2077"/>
      <c r="U143" s="2077"/>
      <c r="V143" s="2077"/>
      <c r="W143" s="2077"/>
      <c r="X143" s="2077"/>
      <c r="Y143" s="2077"/>
      <c r="Z143" s="2077"/>
      <c r="AA143" s="2077"/>
      <c r="AB143" s="2077"/>
      <c r="AC143" s="2077"/>
      <c r="AD143" s="2077"/>
      <c r="AE143" s="2077"/>
      <c r="AF143" s="2077"/>
      <c r="AG143" s="2077"/>
      <c r="AH143" s="2077"/>
      <c r="AI143" s="2077"/>
      <c r="AJ143" s="2077"/>
      <c r="AK143" s="2077"/>
      <c r="AL143" s="2077"/>
      <c r="AM143" s="2077"/>
      <c r="AN143" s="2077"/>
      <c r="AO143" s="2077"/>
      <c r="AP143" s="2077"/>
      <c r="AQ143" s="2077"/>
      <c r="AR143" s="2077"/>
      <c r="AS143" s="2077"/>
      <c r="AT143" s="2077"/>
      <c r="AU143" s="2077"/>
      <c r="AV143" s="2077"/>
      <c r="AW143" s="2077"/>
      <c r="AX143" s="2078"/>
      <c r="AY143" s="900"/>
      <c r="AZ143" s="900"/>
      <c r="BA143" s="900"/>
      <c r="BB143" s="900"/>
      <c r="BC143" s="900"/>
      <c r="BD143" s="900"/>
      <c r="BE143" s="903"/>
    </row>
    <row r="144" spans="1:57" ht="15.75" customHeight="1">
      <c r="A144" s="900"/>
      <c r="B144" s="2076"/>
      <c r="C144" s="2077"/>
      <c r="D144" s="2077"/>
      <c r="E144" s="2077"/>
      <c r="F144" s="2077"/>
      <c r="G144" s="2077"/>
      <c r="H144" s="2077"/>
      <c r="I144" s="2077"/>
      <c r="J144" s="2077"/>
      <c r="K144" s="2077"/>
      <c r="L144" s="2077"/>
      <c r="M144" s="2077"/>
      <c r="N144" s="2077"/>
      <c r="O144" s="2077"/>
      <c r="P144" s="2077"/>
      <c r="Q144" s="2077"/>
      <c r="R144" s="2077"/>
      <c r="S144" s="2077"/>
      <c r="T144" s="2077"/>
      <c r="U144" s="2077"/>
      <c r="V144" s="2077"/>
      <c r="W144" s="2077"/>
      <c r="X144" s="2077"/>
      <c r="Y144" s="2077"/>
      <c r="Z144" s="2077"/>
      <c r="AA144" s="2077"/>
      <c r="AB144" s="2077"/>
      <c r="AC144" s="2077"/>
      <c r="AD144" s="2077"/>
      <c r="AE144" s="2077"/>
      <c r="AF144" s="2077"/>
      <c r="AG144" s="2077"/>
      <c r="AH144" s="2077"/>
      <c r="AI144" s="2077"/>
      <c r="AJ144" s="2077"/>
      <c r="AK144" s="2077"/>
      <c r="AL144" s="2077"/>
      <c r="AM144" s="2077"/>
      <c r="AN144" s="2077"/>
      <c r="AO144" s="2077"/>
      <c r="AP144" s="2077"/>
      <c r="AQ144" s="2077"/>
      <c r="AR144" s="2077"/>
      <c r="AS144" s="2077"/>
      <c r="AT144" s="2077"/>
      <c r="AU144" s="2077"/>
      <c r="AV144" s="2077"/>
      <c r="AW144" s="2077"/>
      <c r="AX144" s="2078"/>
      <c r="AY144" s="900"/>
      <c r="AZ144" s="900"/>
      <c r="BA144" s="900"/>
      <c r="BB144" s="900"/>
      <c r="BC144" s="900"/>
      <c r="BD144" s="900"/>
      <c r="BE144" s="903"/>
    </row>
    <row r="145" spans="1:57" ht="15.75" customHeight="1">
      <c r="A145" s="900"/>
      <c r="B145" s="2076"/>
      <c r="C145" s="2077"/>
      <c r="D145" s="2077"/>
      <c r="E145" s="2077"/>
      <c r="F145" s="2077"/>
      <c r="G145" s="2077"/>
      <c r="H145" s="2077"/>
      <c r="I145" s="2077"/>
      <c r="J145" s="2077"/>
      <c r="K145" s="2077"/>
      <c r="L145" s="2077"/>
      <c r="M145" s="2077"/>
      <c r="N145" s="2077"/>
      <c r="O145" s="2077"/>
      <c r="P145" s="2077"/>
      <c r="Q145" s="2077"/>
      <c r="R145" s="2077"/>
      <c r="S145" s="2077"/>
      <c r="T145" s="2077"/>
      <c r="U145" s="2077"/>
      <c r="V145" s="2077"/>
      <c r="W145" s="2077"/>
      <c r="X145" s="2077"/>
      <c r="Y145" s="2077"/>
      <c r="Z145" s="2077"/>
      <c r="AA145" s="2077"/>
      <c r="AB145" s="2077"/>
      <c r="AC145" s="2077"/>
      <c r="AD145" s="2077"/>
      <c r="AE145" s="2077"/>
      <c r="AF145" s="2077"/>
      <c r="AG145" s="2077"/>
      <c r="AH145" s="2077"/>
      <c r="AI145" s="2077"/>
      <c r="AJ145" s="2077"/>
      <c r="AK145" s="2077"/>
      <c r="AL145" s="2077"/>
      <c r="AM145" s="2077"/>
      <c r="AN145" s="2077"/>
      <c r="AO145" s="2077"/>
      <c r="AP145" s="2077"/>
      <c r="AQ145" s="2077"/>
      <c r="AR145" s="2077"/>
      <c r="AS145" s="2077"/>
      <c r="AT145" s="2077"/>
      <c r="AU145" s="2077"/>
      <c r="AV145" s="2077"/>
      <c r="AW145" s="2077"/>
      <c r="AX145" s="2078"/>
      <c r="AY145" s="900"/>
      <c r="AZ145" s="900"/>
      <c r="BA145" s="900"/>
      <c r="BB145" s="900"/>
      <c r="BC145" s="900"/>
      <c r="BD145" s="900"/>
      <c r="BE145" s="903"/>
    </row>
    <row r="146" spans="1:57" ht="15.75" customHeight="1">
      <c r="A146" s="900"/>
      <c r="B146" s="2076"/>
      <c r="C146" s="2077"/>
      <c r="D146" s="2077"/>
      <c r="E146" s="2077"/>
      <c r="F146" s="2077"/>
      <c r="G146" s="2077"/>
      <c r="H146" s="2077"/>
      <c r="I146" s="2077"/>
      <c r="J146" s="2077"/>
      <c r="K146" s="2077"/>
      <c r="L146" s="2077"/>
      <c r="M146" s="2077"/>
      <c r="N146" s="2077"/>
      <c r="O146" s="2077"/>
      <c r="P146" s="2077"/>
      <c r="Q146" s="2077"/>
      <c r="R146" s="2077"/>
      <c r="S146" s="2077"/>
      <c r="T146" s="2077"/>
      <c r="U146" s="2077"/>
      <c r="V146" s="2077"/>
      <c r="W146" s="2077"/>
      <c r="X146" s="2077"/>
      <c r="Y146" s="2077"/>
      <c r="Z146" s="2077"/>
      <c r="AA146" s="2077"/>
      <c r="AB146" s="2077"/>
      <c r="AC146" s="2077"/>
      <c r="AD146" s="2077"/>
      <c r="AE146" s="2077"/>
      <c r="AF146" s="2077"/>
      <c r="AG146" s="2077"/>
      <c r="AH146" s="2077"/>
      <c r="AI146" s="2077"/>
      <c r="AJ146" s="2077"/>
      <c r="AK146" s="2077"/>
      <c r="AL146" s="2077"/>
      <c r="AM146" s="2077"/>
      <c r="AN146" s="2077"/>
      <c r="AO146" s="2077"/>
      <c r="AP146" s="2077"/>
      <c r="AQ146" s="2077"/>
      <c r="AR146" s="2077"/>
      <c r="AS146" s="2077"/>
      <c r="AT146" s="2077"/>
      <c r="AU146" s="2077"/>
      <c r="AV146" s="2077"/>
      <c r="AW146" s="2077"/>
      <c r="AX146" s="2078"/>
      <c r="AY146" s="900"/>
      <c r="AZ146" s="900"/>
      <c r="BA146" s="900"/>
      <c r="BB146" s="900"/>
      <c r="BC146" s="900"/>
      <c r="BD146" s="900"/>
      <c r="BE146" s="903"/>
    </row>
    <row r="147" spans="1:57" ht="15.75" customHeight="1">
      <c r="A147" s="900"/>
      <c r="B147" s="2076"/>
      <c r="C147" s="2077"/>
      <c r="D147" s="2077"/>
      <c r="E147" s="2077"/>
      <c r="F147" s="2077"/>
      <c r="G147" s="2077"/>
      <c r="H147" s="2077"/>
      <c r="I147" s="2077"/>
      <c r="J147" s="2077"/>
      <c r="K147" s="2077"/>
      <c r="L147" s="2077"/>
      <c r="M147" s="2077"/>
      <c r="N147" s="2077"/>
      <c r="O147" s="2077"/>
      <c r="P147" s="2077"/>
      <c r="Q147" s="2077"/>
      <c r="R147" s="2077"/>
      <c r="S147" s="2077"/>
      <c r="T147" s="2077"/>
      <c r="U147" s="2077"/>
      <c r="V147" s="2077"/>
      <c r="W147" s="2077"/>
      <c r="X147" s="2077"/>
      <c r="Y147" s="2077"/>
      <c r="Z147" s="2077"/>
      <c r="AA147" s="2077"/>
      <c r="AB147" s="2077"/>
      <c r="AC147" s="2077"/>
      <c r="AD147" s="2077"/>
      <c r="AE147" s="2077"/>
      <c r="AF147" s="2077"/>
      <c r="AG147" s="2077"/>
      <c r="AH147" s="2077"/>
      <c r="AI147" s="2077"/>
      <c r="AJ147" s="2077"/>
      <c r="AK147" s="2077"/>
      <c r="AL147" s="2077"/>
      <c r="AM147" s="2077"/>
      <c r="AN147" s="2077"/>
      <c r="AO147" s="2077"/>
      <c r="AP147" s="2077"/>
      <c r="AQ147" s="2077"/>
      <c r="AR147" s="2077"/>
      <c r="AS147" s="2077"/>
      <c r="AT147" s="2077"/>
      <c r="AU147" s="2077"/>
      <c r="AV147" s="2077"/>
      <c r="AW147" s="2077"/>
      <c r="AX147" s="2078"/>
      <c r="AY147" s="900"/>
      <c r="AZ147" s="900"/>
      <c r="BA147" s="900"/>
      <c r="BB147" s="900"/>
      <c r="BC147" s="900"/>
      <c r="BD147" s="900"/>
      <c r="BE147" s="903"/>
    </row>
    <row r="148" spans="1:57" ht="15.75" customHeight="1">
      <c r="A148" s="900"/>
      <c r="B148" s="2076"/>
      <c r="C148" s="2077"/>
      <c r="D148" s="2077"/>
      <c r="E148" s="2077"/>
      <c r="F148" s="2077"/>
      <c r="G148" s="2077"/>
      <c r="H148" s="2077"/>
      <c r="I148" s="2077"/>
      <c r="J148" s="2077"/>
      <c r="K148" s="2077"/>
      <c r="L148" s="2077"/>
      <c r="M148" s="2077"/>
      <c r="N148" s="2077"/>
      <c r="O148" s="2077"/>
      <c r="P148" s="2077"/>
      <c r="Q148" s="2077"/>
      <c r="R148" s="2077"/>
      <c r="S148" s="2077"/>
      <c r="T148" s="2077"/>
      <c r="U148" s="2077"/>
      <c r="V148" s="2077"/>
      <c r="W148" s="2077"/>
      <c r="X148" s="2077"/>
      <c r="Y148" s="2077"/>
      <c r="Z148" s="2077"/>
      <c r="AA148" s="2077"/>
      <c r="AB148" s="2077"/>
      <c r="AC148" s="2077"/>
      <c r="AD148" s="2077"/>
      <c r="AE148" s="2077"/>
      <c r="AF148" s="2077"/>
      <c r="AG148" s="2077"/>
      <c r="AH148" s="2077"/>
      <c r="AI148" s="2077"/>
      <c r="AJ148" s="2077"/>
      <c r="AK148" s="2077"/>
      <c r="AL148" s="2077"/>
      <c r="AM148" s="2077"/>
      <c r="AN148" s="2077"/>
      <c r="AO148" s="2077"/>
      <c r="AP148" s="2077"/>
      <c r="AQ148" s="2077"/>
      <c r="AR148" s="2077"/>
      <c r="AS148" s="2077"/>
      <c r="AT148" s="2077"/>
      <c r="AU148" s="2077"/>
      <c r="AV148" s="2077"/>
      <c r="AW148" s="2077"/>
      <c r="AX148" s="2078"/>
      <c r="AY148" s="900"/>
      <c r="AZ148" s="900"/>
      <c r="BA148" s="900"/>
      <c r="BB148" s="900"/>
      <c r="BC148" s="900"/>
      <c r="BD148" s="900"/>
      <c r="BE148" s="903"/>
    </row>
    <row r="149" spans="1:57" ht="15.75" customHeight="1">
      <c r="A149" s="900"/>
      <c r="B149" s="2076"/>
      <c r="C149" s="2077"/>
      <c r="D149" s="2077"/>
      <c r="E149" s="2077"/>
      <c r="F149" s="2077"/>
      <c r="G149" s="2077"/>
      <c r="H149" s="2077"/>
      <c r="I149" s="2077"/>
      <c r="J149" s="2077"/>
      <c r="K149" s="2077"/>
      <c r="L149" s="2077"/>
      <c r="M149" s="2077"/>
      <c r="N149" s="2077"/>
      <c r="O149" s="2077"/>
      <c r="P149" s="2077"/>
      <c r="Q149" s="2077"/>
      <c r="R149" s="2077"/>
      <c r="S149" s="2077"/>
      <c r="T149" s="2077"/>
      <c r="U149" s="2077"/>
      <c r="V149" s="2077"/>
      <c r="W149" s="2077"/>
      <c r="X149" s="2077"/>
      <c r="Y149" s="2077"/>
      <c r="Z149" s="2077"/>
      <c r="AA149" s="2077"/>
      <c r="AB149" s="2077"/>
      <c r="AC149" s="2077"/>
      <c r="AD149" s="2077"/>
      <c r="AE149" s="2077"/>
      <c r="AF149" s="2077"/>
      <c r="AG149" s="2077"/>
      <c r="AH149" s="2077"/>
      <c r="AI149" s="2077"/>
      <c r="AJ149" s="2077"/>
      <c r="AK149" s="2077"/>
      <c r="AL149" s="2077"/>
      <c r="AM149" s="2077"/>
      <c r="AN149" s="2077"/>
      <c r="AO149" s="2077"/>
      <c r="AP149" s="2077"/>
      <c r="AQ149" s="2077"/>
      <c r="AR149" s="2077"/>
      <c r="AS149" s="2077"/>
      <c r="AT149" s="2077"/>
      <c r="AU149" s="2077"/>
      <c r="AV149" s="2077"/>
      <c r="AW149" s="2077"/>
      <c r="AX149" s="2078"/>
      <c r="AY149" s="900"/>
      <c r="AZ149" s="900"/>
      <c r="BA149" s="900"/>
      <c r="BB149" s="900"/>
      <c r="BC149" s="900"/>
      <c r="BD149" s="900"/>
      <c r="BE149" s="903"/>
    </row>
    <row r="150" spans="1:57" ht="15.75" customHeight="1">
      <c r="A150" s="900"/>
      <c r="B150" s="2076"/>
      <c r="C150" s="2077"/>
      <c r="D150" s="2077"/>
      <c r="E150" s="2077"/>
      <c r="F150" s="2077"/>
      <c r="G150" s="2077"/>
      <c r="H150" s="2077"/>
      <c r="I150" s="2077"/>
      <c r="J150" s="2077"/>
      <c r="K150" s="2077"/>
      <c r="L150" s="2077"/>
      <c r="M150" s="2077"/>
      <c r="N150" s="2077"/>
      <c r="O150" s="2077"/>
      <c r="P150" s="2077"/>
      <c r="Q150" s="2077"/>
      <c r="R150" s="2077"/>
      <c r="S150" s="2077"/>
      <c r="T150" s="2077"/>
      <c r="U150" s="2077"/>
      <c r="V150" s="2077"/>
      <c r="W150" s="2077"/>
      <c r="X150" s="2077"/>
      <c r="Y150" s="2077"/>
      <c r="Z150" s="2077"/>
      <c r="AA150" s="2077"/>
      <c r="AB150" s="2077"/>
      <c r="AC150" s="2077"/>
      <c r="AD150" s="2077"/>
      <c r="AE150" s="2077"/>
      <c r="AF150" s="2077"/>
      <c r="AG150" s="2077"/>
      <c r="AH150" s="2077"/>
      <c r="AI150" s="2077"/>
      <c r="AJ150" s="2077"/>
      <c r="AK150" s="2077"/>
      <c r="AL150" s="2077"/>
      <c r="AM150" s="2077"/>
      <c r="AN150" s="2077"/>
      <c r="AO150" s="2077"/>
      <c r="AP150" s="2077"/>
      <c r="AQ150" s="2077"/>
      <c r="AR150" s="2077"/>
      <c r="AS150" s="2077"/>
      <c r="AT150" s="2077"/>
      <c r="AU150" s="2077"/>
      <c r="AV150" s="2077"/>
      <c r="AW150" s="2077"/>
      <c r="AX150" s="2078"/>
      <c r="AY150" s="900"/>
      <c r="AZ150" s="900"/>
      <c r="BA150" s="900"/>
      <c r="BB150" s="900"/>
      <c r="BC150" s="900"/>
      <c r="BD150" s="900"/>
      <c r="BE150" s="903"/>
    </row>
    <row r="151" spans="1:57" ht="15.75" customHeight="1">
      <c r="A151" s="900"/>
      <c r="B151" s="2076"/>
      <c r="C151" s="2077"/>
      <c r="D151" s="2077"/>
      <c r="E151" s="2077"/>
      <c r="F151" s="2077"/>
      <c r="G151" s="2077"/>
      <c r="H151" s="2077"/>
      <c r="I151" s="2077"/>
      <c r="J151" s="2077"/>
      <c r="K151" s="2077"/>
      <c r="L151" s="2077"/>
      <c r="M151" s="2077"/>
      <c r="N151" s="2077"/>
      <c r="O151" s="2077"/>
      <c r="P151" s="2077"/>
      <c r="Q151" s="2077"/>
      <c r="R151" s="2077"/>
      <c r="S151" s="2077"/>
      <c r="T151" s="2077"/>
      <c r="U151" s="2077"/>
      <c r="V151" s="2077"/>
      <c r="W151" s="2077"/>
      <c r="X151" s="2077"/>
      <c r="Y151" s="2077"/>
      <c r="Z151" s="2077"/>
      <c r="AA151" s="2077"/>
      <c r="AB151" s="2077"/>
      <c r="AC151" s="2077"/>
      <c r="AD151" s="2077"/>
      <c r="AE151" s="2077"/>
      <c r="AF151" s="2077"/>
      <c r="AG151" s="2077"/>
      <c r="AH151" s="2077"/>
      <c r="AI151" s="2077"/>
      <c r="AJ151" s="2077"/>
      <c r="AK151" s="2077"/>
      <c r="AL151" s="2077"/>
      <c r="AM151" s="2077"/>
      <c r="AN151" s="2077"/>
      <c r="AO151" s="2077"/>
      <c r="AP151" s="2077"/>
      <c r="AQ151" s="2077"/>
      <c r="AR151" s="2077"/>
      <c r="AS151" s="2077"/>
      <c r="AT151" s="2077"/>
      <c r="AU151" s="2077"/>
      <c r="AV151" s="2077"/>
      <c r="AW151" s="2077"/>
      <c r="AX151" s="2078"/>
      <c r="AY151" s="900"/>
      <c r="AZ151" s="900"/>
      <c r="BA151" s="900"/>
      <c r="BB151" s="900"/>
      <c r="BC151" s="900"/>
      <c r="BD151" s="900"/>
      <c r="BE151" s="903"/>
    </row>
    <row r="152" spans="1:57" ht="15.75" customHeight="1" thickBot="1">
      <c r="A152" s="900"/>
      <c r="B152" s="2079"/>
      <c r="C152" s="2080"/>
      <c r="D152" s="2080"/>
      <c r="E152" s="2080"/>
      <c r="F152" s="2080"/>
      <c r="G152" s="2080"/>
      <c r="H152" s="2080"/>
      <c r="I152" s="2080"/>
      <c r="J152" s="2080"/>
      <c r="K152" s="2080"/>
      <c r="L152" s="2080"/>
      <c r="M152" s="2080"/>
      <c r="N152" s="2080"/>
      <c r="O152" s="2080"/>
      <c r="P152" s="2080"/>
      <c r="Q152" s="2080"/>
      <c r="R152" s="2080"/>
      <c r="S152" s="2080"/>
      <c r="T152" s="2080"/>
      <c r="U152" s="2080"/>
      <c r="V152" s="2080"/>
      <c r="W152" s="2080"/>
      <c r="X152" s="2080"/>
      <c r="Y152" s="2080"/>
      <c r="Z152" s="2080"/>
      <c r="AA152" s="2080"/>
      <c r="AB152" s="2080"/>
      <c r="AC152" s="2080"/>
      <c r="AD152" s="2080"/>
      <c r="AE152" s="2080"/>
      <c r="AF152" s="2080"/>
      <c r="AG152" s="2080"/>
      <c r="AH152" s="2080"/>
      <c r="AI152" s="2080"/>
      <c r="AJ152" s="2080"/>
      <c r="AK152" s="2080"/>
      <c r="AL152" s="2080"/>
      <c r="AM152" s="2080"/>
      <c r="AN152" s="2080"/>
      <c r="AO152" s="2080"/>
      <c r="AP152" s="2080"/>
      <c r="AQ152" s="2080"/>
      <c r="AR152" s="2080"/>
      <c r="AS152" s="2080"/>
      <c r="AT152" s="2080"/>
      <c r="AU152" s="2080"/>
      <c r="AV152" s="2080"/>
      <c r="AW152" s="2080"/>
      <c r="AX152" s="2081"/>
      <c r="AY152" s="900"/>
      <c r="AZ152" s="900"/>
      <c r="BA152" s="900"/>
      <c r="BB152" s="900"/>
      <c r="BC152" s="900"/>
      <c r="BD152" s="900"/>
      <c r="BE152" s="903"/>
    </row>
    <row r="153" spans="1:57" ht="15.75" customHeight="1" thickBot="1">
      <c r="A153" s="900"/>
      <c r="B153" s="900"/>
      <c r="C153" s="900"/>
      <c r="D153" s="900"/>
      <c r="E153" s="900"/>
      <c r="F153" s="900"/>
      <c r="G153" s="900"/>
      <c r="H153" s="900"/>
      <c r="I153" s="900"/>
      <c r="J153" s="900"/>
      <c r="K153" s="900"/>
      <c r="L153" s="900"/>
      <c r="M153" s="900"/>
      <c r="N153" s="900"/>
      <c r="O153" s="900"/>
      <c r="P153" s="900"/>
      <c r="Q153" s="900"/>
      <c r="R153" s="900"/>
      <c r="S153" s="900"/>
      <c r="T153" s="900"/>
      <c r="U153" s="900"/>
      <c r="V153" s="900"/>
      <c r="W153" s="900"/>
      <c r="X153" s="900"/>
      <c r="Y153" s="900"/>
      <c r="Z153" s="900"/>
      <c r="AA153" s="900"/>
      <c r="AB153" s="900"/>
      <c r="AC153" s="900"/>
      <c r="AD153" s="900"/>
      <c r="AE153" s="900"/>
      <c r="AF153" s="900"/>
      <c r="AG153" s="900"/>
      <c r="AH153" s="900"/>
      <c r="AI153" s="900"/>
      <c r="AJ153" s="900"/>
      <c r="AK153" s="900"/>
      <c r="AL153" s="900"/>
      <c r="AM153" s="900"/>
      <c r="AN153" s="900"/>
      <c r="AO153" s="900"/>
      <c r="AP153" s="900"/>
      <c r="AQ153" s="900"/>
      <c r="AR153" s="900"/>
      <c r="AS153" s="900"/>
      <c r="AT153" s="900"/>
      <c r="AU153" s="900"/>
      <c r="AV153" s="900"/>
      <c r="AW153" s="900"/>
      <c r="AX153" s="900"/>
      <c r="AY153" s="900"/>
      <c r="AZ153" s="900"/>
      <c r="BA153" s="900"/>
      <c r="BB153" s="900"/>
      <c r="BC153" s="900"/>
      <c r="BD153" s="900"/>
      <c r="BE153" s="903"/>
    </row>
    <row r="154" spans="1:57" ht="15.75" customHeight="1" thickBot="1">
      <c r="A154" s="900"/>
      <c r="B154" s="918" t="s">
        <v>2020</v>
      </c>
      <c r="C154" s="919"/>
      <c r="D154" s="919"/>
      <c r="E154" s="919"/>
      <c r="F154" s="919"/>
      <c r="G154" s="919"/>
      <c r="H154" s="919"/>
      <c r="I154" s="919"/>
      <c r="J154" s="919"/>
      <c r="K154" s="919"/>
      <c r="L154" s="919"/>
      <c r="M154" s="920"/>
      <c r="N154" s="904"/>
      <c r="O154" s="904"/>
      <c r="P154" s="900"/>
      <c r="Q154" s="900"/>
      <c r="R154" s="900"/>
      <c r="S154" s="900"/>
      <c r="T154" s="900"/>
      <c r="U154" s="900" t="s">
        <v>254</v>
      </c>
      <c r="V154" s="900"/>
      <c r="W154" s="900"/>
      <c r="X154" s="918" t="s">
        <v>2021</v>
      </c>
      <c r="Y154" s="919"/>
      <c r="Z154" s="919"/>
      <c r="AA154" s="919"/>
      <c r="AB154" s="919"/>
      <c r="AC154" s="919"/>
      <c r="AD154" s="919"/>
      <c r="AE154" s="919"/>
      <c r="AF154" s="919"/>
      <c r="AG154" s="919"/>
      <c r="AH154" s="919"/>
      <c r="AI154" s="919"/>
      <c r="AJ154" s="919"/>
      <c r="AK154" s="913"/>
      <c r="AL154" s="913"/>
      <c r="AM154" s="914"/>
      <c r="AN154" s="900"/>
      <c r="AO154" s="900"/>
      <c r="AP154" s="900"/>
      <c r="AQ154" s="900"/>
      <c r="AR154" s="900"/>
      <c r="AS154" s="900"/>
      <c r="AT154" s="900"/>
      <c r="AU154" s="900"/>
      <c r="AV154" s="900"/>
      <c r="AW154" s="900"/>
      <c r="AX154" s="900"/>
      <c r="AY154" s="900"/>
      <c r="AZ154" s="900"/>
      <c r="BA154" s="900"/>
      <c r="BB154" s="900"/>
      <c r="BC154" s="900"/>
      <c r="BD154" s="900"/>
      <c r="BE154" s="903"/>
    </row>
    <row r="155" spans="1:57" ht="15.75" customHeight="1" thickBot="1">
      <c r="A155" s="900"/>
      <c r="B155" s="900"/>
      <c r="C155" s="900"/>
      <c r="D155" s="900"/>
      <c r="E155" s="900"/>
      <c r="F155" s="900"/>
      <c r="G155" s="900"/>
      <c r="H155" s="900"/>
      <c r="I155" s="900"/>
      <c r="J155" s="900"/>
      <c r="K155" s="900"/>
      <c r="L155" s="900"/>
      <c r="M155" s="900"/>
      <c r="N155" s="900"/>
      <c r="O155" s="900"/>
      <c r="P155" s="904"/>
      <c r="Q155" s="900"/>
      <c r="R155" s="900"/>
      <c r="S155" s="900"/>
      <c r="T155" s="900"/>
      <c r="U155" s="900"/>
      <c r="V155" s="900"/>
      <c r="W155" s="900"/>
      <c r="X155" s="900"/>
      <c r="Y155" s="900"/>
      <c r="Z155" s="900"/>
      <c r="AA155" s="900"/>
      <c r="AB155" s="900"/>
      <c r="AC155" s="900"/>
      <c r="AD155" s="900"/>
      <c r="AE155" s="900"/>
      <c r="AF155" s="900"/>
      <c r="AG155" s="900"/>
      <c r="AH155" s="900"/>
      <c r="AI155" s="900"/>
      <c r="AJ155" s="900"/>
      <c r="AK155" s="900"/>
      <c r="AL155" s="900"/>
      <c r="AM155" s="900"/>
      <c r="AN155" s="900"/>
      <c r="AO155" s="900"/>
      <c r="AP155" s="900"/>
      <c r="AQ155" s="900"/>
      <c r="AR155" s="900"/>
      <c r="AS155" s="900"/>
      <c r="AT155" s="900"/>
      <c r="AU155" s="900"/>
      <c r="AV155" s="900"/>
      <c r="AW155" s="900"/>
      <c r="AX155" s="900"/>
      <c r="AY155" s="900"/>
      <c r="AZ155" s="900"/>
      <c r="BA155" s="900"/>
      <c r="BB155" s="900"/>
      <c r="BC155" s="900"/>
      <c r="BD155" s="900"/>
      <c r="BE155" s="903"/>
    </row>
    <row r="156" spans="1:57" ht="15.75" customHeight="1">
      <c r="A156" s="900"/>
      <c r="B156" s="1939" t="s">
        <v>2022</v>
      </c>
      <c r="C156" s="1940"/>
      <c r="D156" s="1940"/>
      <c r="E156" s="1940"/>
      <c r="F156" s="1940"/>
      <c r="G156" s="1940"/>
      <c r="H156" s="1940"/>
      <c r="I156" s="1940"/>
      <c r="J156" s="1940"/>
      <c r="K156" s="1940"/>
      <c r="L156" s="1940"/>
      <c r="M156" s="1940"/>
      <c r="N156" s="1940"/>
      <c r="O156" s="1940"/>
      <c r="P156" s="1940"/>
      <c r="Q156" s="1940"/>
      <c r="R156" s="1940"/>
      <c r="S156" s="1940"/>
      <c r="T156" s="1940"/>
      <c r="U156" s="1941"/>
      <c r="V156" s="900"/>
      <c r="W156" s="901"/>
      <c r="X156" s="1939" t="s">
        <v>2023</v>
      </c>
      <c r="Y156" s="1940"/>
      <c r="Z156" s="1940"/>
      <c r="AA156" s="1940"/>
      <c r="AB156" s="1940"/>
      <c r="AC156" s="1940"/>
      <c r="AD156" s="1940"/>
      <c r="AE156" s="1940"/>
      <c r="AF156" s="1940"/>
      <c r="AG156" s="1940"/>
      <c r="AH156" s="1940"/>
      <c r="AI156" s="1940"/>
      <c r="AJ156" s="1940"/>
      <c r="AK156" s="1940"/>
      <c r="AL156" s="1940"/>
      <c r="AM156" s="1940"/>
      <c r="AN156" s="1940"/>
      <c r="AO156" s="1940"/>
      <c r="AP156" s="1940"/>
      <c r="AQ156" s="1941"/>
      <c r="AR156" s="900"/>
      <c r="AS156" s="900"/>
      <c r="AT156" s="900"/>
      <c r="AU156" s="900"/>
      <c r="AV156" s="900"/>
      <c r="AW156" s="900"/>
      <c r="AX156" s="900"/>
      <c r="AY156" s="900"/>
      <c r="AZ156" s="900"/>
      <c r="BA156" s="900"/>
      <c r="BB156" s="900"/>
      <c r="BC156" s="900"/>
      <c r="BD156" s="900"/>
      <c r="BE156" s="903"/>
    </row>
    <row r="157" spans="1:57" ht="15.75" customHeight="1">
      <c r="A157" s="900"/>
      <c r="B157" s="2084"/>
      <c r="C157" s="2085"/>
      <c r="D157" s="2085"/>
      <c r="E157" s="2085"/>
      <c r="F157" s="2085"/>
      <c r="G157" s="2085"/>
      <c r="H157" s="2085"/>
      <c r="I157" s="2086" t="s">
        <v>1988</v>
      </c>
      <c r="J157" s="2086"/>
      <c r="K157" s="2086"/>
      <c r="L157" s="2086"/>
      <c r="M157" s="2086"/>
      <c r="N157" s="2086"/>
      <c r="O157" s="2086"/>
      <c r="P157" s="2086" t="s">
        <v>2024</v>
      </c>
      <c r="Q157" s="2086"/>
      <c r="R157" s="2086"/>
      <c r="S157" s="2086"/>
      <c r="T157" s="2086"/>
      <c r="U157" s="2087"/>
      <c r="V157" s="900"/>
      <c r="W157" s="900"/>
      <c r="X157" s="2084"/>
      <c r="Y157" s="2085"/>
      <c r="Z157" s="2085"/>
      <c r="AA157" s="2085"/>
      <c r="AB157" s="2085"/>
      <c r="AC157" s="2085"/>
      <c r="AD157" s="2085"/>
      <c r="AE157" s="2086" t="s">
        <v>1988</v>
      </c>
      <c r="AF157" s="2086"/>
      <c r="AG157" s="2086"/>
      <c r="AH157" s="2086"/>
      <c r="AI157" s="2086"/>
      <c r="AJ157" s="2086"/>
      <c r="AK157" s="2086"/>
      <c r="AL157" s="2086" t="s">
        <v>1989</v>
      </c>
      <c r="AM157" s="2086"/>
      <c r="AN157" s="2086"/>
      <c r="AO157" s="2086"/>
      <c r="AP157" s="2086"/>
      <c r="AQ157" s="2087"/>
      <c r="AR157" s="900"/>
      <c r="AS157" s="900"/>
      <c r="AT157" s="900"/>
      <c r="AU157" s="900"/>
      <c r="AV157" s="900"/>
      <c r="AW157" s="900"/>
      <c r="AX157" s="900"/>
      <c r="AY157" s="900"/>
      <c r="AZ157" s="900"/>
      <c r="BA157" s="900"/>
      <c r="BB157" s="900"/>
      <c r="BC157" s="900"/>
      <c r="BD157" s="900"/>
      <c r="BE157" s="903"/>
    </row>
    <row r="158" spans="1:57" ht="15.75" customHeight="1">
      <c r="A158" s="900"/>
      <c r="B158" s="2084"/>
      <c r="C158" s="2085"/>
      <c r="D158" s="2085"/>
      <c r="E158" s="2085"/>
      <c r="F158" s="2085"/>
      <c r="G158" s="2085"/>
      <c r="H158" s="2085"/>
      <c r="I158" s="2086"/>
      <c r="J158" s="2086"/>
      <c r="K158" s="2086"/>
      <c r="L158" s="2086"/>
      <c r="M158" s="2086"/>
      <c r="N158" s="2086"/>
      <c r="O158" s="2086"/>
      <c r="P158" s="2086"/>
      <c r="Q158" s="2086"/>
      <c r="R158" s="2086"/>
      <c r="S158" s="2086"/>
      <c r="T158" s="2086"/>
      <c r="U158" s="2087"/>
      <c r="V158" s="900"/>
      <c r="W158" s="900"/>
      <c r="X158" s="2084"/>
      <c r="Y158" s="2085"/>
      <c r="Z158" s="2085"/>
      <c r="AA158" s="2085"/>
      <c r="AB158" s="2085"/>
      <c r="AC158" s="2085"/>
      <c r="AD158" s="2085"/>
      <c r="AE158" s="2086"/>
      <c r="AF158" s="2086"/>
      <c r="AG158" s="2086"/>
      <c r="AH158" s="2086"/>
      <c r="AI158" s="2086"/>
      <c r="AJ158" s="2086"/>
      <c r="AK158" s="2086"/>
      <c r="AL158" s="2086"/>
      <c r="AM158" s="2086"/>
      <c r="AN158" s="2086"/>
      <c r="AO158" s="2086"/>
      <c r="AP158" s="2086"/>
      <c r="AQ158" s="2087"/>
      <c r="AR158" s="900"/>
      <c r="AS158" s="900"/>
      <c r="AT158" s="900"/>
      <c r="AU158" s="900"/>
      <c r="AV158" s="900"/>
      <c r="AW158" s="900"/>
      <c r="AX158" s="900"/>
      <c r="AY158" s="900"/>
      <c r="AZ158" s="900"/>
      <c r="BA158" s="900"/>
      <c r="BB158" s="900"/>
      <c r="BC158" s="900"/>
      <c r="BD158" s="900"/>
      <c r="BE158" s="903"/>
    </row>
    <row r="159" spans="1:57" ht="15.75" customHeight="1" thickBot="1">
      <c r="A159" s="900"/>
      <c r="B159" s="2042" t="s">
        <v>2010</v>
      </c>
      <c r="C159" s="2043"/>
      <c r="D159" s="2043"/>
      <c r="E159" s="2043"/>
      <c r="F159" s="2043"/>
      <c r="G159" s="2043"/>
      <c r="H159" s="2043"/>
      <c r="I159" s="2019">
        <v>0</v>
      </c>
      <c r="J159" s="2019"/>
      <c r="K159" s="2019"/>
      <c r="L159" s="2019"/>
      <c r="M159" s="2019"/>
      <c r="N159" s="2019"/>
      <c r="O159" s="2019"/>
      <c r="P159" s="2019">
        <v>0</v>
      </c>
      <c r="Q159" s="2019"/>
      <c r="R159" s="2019"/>
      <c r="S159" s="2019"/>
      <c r="T159" s="2019"/>
      <c r="U159" s="2020"/>
      <c r="V159" s="900"/>
      <c r="W159" s="900"/>
      <c r="X159" s="2044" t="s">
        <v>2010</v>
      </c>
      <c r="Y159" s="2045"/>
      <c r="Z159" s="2045"/>
      <c r="AA159" s="2045"/>
      <c r="AB159" s="2045"/>
      <c r="AC159" s="2045"/>
      <c r="AD159" s="2045"/>
      <c r="AE159" s="2034">
        <v>0</v>
      </c>
      <c r="AF159" s="2034"/>
      <c r="AG159" s="2034"/>
      <c r="AH159" s="2034"/>
      <c r="AI159" s="2034"/>
      <c r="AJ159" s="2034"/>
      <c r="AK159" s="2034"/>
      <c r="AL159" s="2034">
        <v>0</v>
      </c>
      <c r="AM159" s="2034"/>
      <c r="AN159" s="2034"/>
      <c r="AO159" s="2034"/>
      <c r="AP159" s="2034"/>
      <c r="AQ159" s="2035"/>
      <c r="AR159" s="900"/>
      <c r="AS159" s="900"/>
      <c r="AT159" s="900"/>
      <c r="AU159" s="900"/>
      <c r="AV159" s="900"/>
      <c r="AW159" s="900"/>
      <c r="AX159" s="900"/>
      <c r="AY159" s="900"/>
      <c r="AZ159" s="900"/>
      <c r="BA159" s="900"/>
      <c r="BB159" s="900"/>
      <c r="BC159" s="900"/>
      <c r="BD159" s="900"/>
      <c r="BE159" s="903"/>
    </row>
    <row r="160" spans="1:57" ht="15.75" customHeight="1" thickBot="1">
      <c r="A160" s="900"/>
      <c r="B160" s="2044" t="s">
        <v>2011</v>
      </c>
      <c r="C160" s="2045"/>
      <c r="D160" s="2045"/>
      <c r="E160" s="2045"/>
      <c r="F160" s="2045"/>
      <c r="G160" s="2045"/>
      <c r="H160" s="2045"/>
      <c r="I160" s="2034">
        <v>0</v>
      </c>
      <c r="J160" s="2034"/>
      <c r="K160" s="2034"/>
      <c r="L160" s="2034"/>
      <c r="M160" s="2034"/>
      <c r="N160" s="2034"/>
      <c r="O160" s="2034"/>
      <c r="P160" s="2034">
        <v>0</v>
      </c>
      <c r="Q160" s="2034"/>
      <c r="R160" s="2034"/>
      <c r="S160" s="2034"/>
      <c r="T160" s="2034"/>
      <c r="U160" s="2035"/>
      <c r="V160" s="900"/>
      <c r="W160" s="900"/>
      <c r="X160" s="900"/>
      <c r="Y160" s="900"/>
      <c r="Z160" s="900"/>
      <c r="AA160" s="900"/>
      <c r="AB160" s="900"/>
      <c r="AC160" s="900"/>
      <c r="AD160" s="900"/>
      <c r="AE160" s="900"/>
      <c r="AF160" s="900"/>
      <c r="AG160" s="900"/>
      <c r="AH160" s="900"/>
      <c r="AI160" s="900"/>
      <c r="AJ160" s="900"/>
      <c r="AK160" s="900"/>
      <c r="AL160" s="900"/>
      <c r="AM160" s="900"/>
      <c r="AN160" s="900"/>
      <c r="AO160" s="900"/>
      <c r="AP160" s="900"/>
      <c r="AQ160" s="900"/>
      <c r="AR160" s="900"/>
      <c r="AS160" s="900"/>
      <c r="AT160" s="900"/>
      <c r="AU160" s="900"/>
      <c r="AV160" s="900"/>
      <c r="AW160" s="900"/>
      <c r="AX160" s="900"/>
      <c r="AY160" s="900"/>
      <c r="AZ160" s="900"/>
      <c r="BA160" s="900"/>
      <c r="BB160" s="900"/>
      <c r="BC160" s="900"/>
      <c r="BD160" s="900"/>
      <c r="BE160" s="903"/>
    </row>
    <row r="161" spans="1:57" ht="15.75" customHeight="1" thickBot="1">
      <c r="A161" s="900"/>
      <c r="B161" s="900"/>
      <c r="C161" s="900"/>
      <c r="D161" s="900"/>
      <c r="E161" s="900"/>
      <c r="F161" s="900"/>
      <c r="G161" s="900"/>
      <c r="H161" s="900"/>
      <c r="I161" s="900"/>
      <c r="J161" s="900"/>
      <c r="K161" s="900"/>
      <c r="L161" s="900"/>
      <c r="M161" s="900"/>
      <c r="N161" s="900"/>
      <c r="O161" s="900"/>
      <c r="P161" s="900"/>
      <c r="Q161" s="900"/>
      <c r="R161" s="900"/>
      <c r="S161" s="900"/>
      <c r="T161" s="900"/>
      <c r="U161" s="900"/>
      <c r="V161" s="900"/>
      <c r="W161" s="900"/>
      <c r="X161" s="900"/>
      <c r="Y161" s="900"/>
      <c r="Z161" s="900"/>
      <c r="AA161" s="900"/>
      <c r="AB161" s="900"/>
      <c r="AC161" s="900"/>
      <c r="AD161" s="900"/>
      <c r="AE161" s="900"/>
      <c r="AF161" s="900"/>
      <c r="AG161" s="900"/>
      <c r="AH161" s="900"/>
      <c r="AI161" s="900"/>
      <c r="AJ161" s="900"/>
      <c r="AK161" s="900"/>
      <c r="AL161" s="900"/>
      <c r="AM161" s="900"/>
      <c r="AN161" s="900"/>
      <c r="AO161" s="900"/>
      <c r="AP161" s="900"/>
      <c r="AQ161" s="900"/>
      <c r="AR161" s="900"/>
      <c r="AS161" s="900"/>
      <c r="AT161" s="900"/>
      <c r="AU161" s="900"/>
      <c r="AV161" s="900"/>
      <c r="AW161" s="900"/>
      <c r="AX161" s="900"/>
      <c r="AY161" s="900"/>
      <c r="AZ161" s="900"/>
      <c r="BA161" s="900"/>
      <c r="BB161" s="900"/>
      <c r="BC161" s="900"/>
      <c r="BD161" s="900"/>
      <c r="BE161" s="903"/>
    </row>
    <row r="162" spans="1:57" ht="15.75" customHeight="1">
      <c r="A162" s="900"/>
      <c r="B162" s="900"/>
      <c r="C162" s="1939" t="s">
        <v>2025</v>
      </c>
      <c r="D162" s="1940"/>
      <c r="E162" s="1940"/>
      <c r="F162" s="1940"/>
      <c r="G162" s="1940"/>
      <c r="H162" s="1940"/>
      <c r="I162" s="1940"/>
      <c r="J162" s="1940"/>
      <c r="K162" s="1940"/>
      <c r="L162" s="1940"/>
      <c r="M162" s="1940"/>
      <c r="N162" s="1940"/>
      <c r="O162" s="1940"/>
      <c r="P162" s="1940"/>
      <c r="Q162" s="1940"/>
      <c r="R162" s="1940"/>
      <c r="S162" s="1940"/>
      <c r="T162" s="1940"/>
      <c r="U162" s="1940"/>
      <c r="V162" s="1940"/>
      <c r="W162" s="1940"/>
      <c r="X162" s="1940"/>
      <c r="Y162" s="1940"/>
      <c r="Z162" s="1940"/>
      <c r="AA162" s="1940"/>
      <c r="AB162" s="1940"/>
      <c r="AC162" s="1940"/>
      <c r="AD162" s="1940"/>
      <c r="AE162" s="1940"/>
      <c r="AF162" s="1940"/>
      <c r="AG162" s="1941"/>
      <c r="AH162" s="900"/>
      <c r="AI162" s="900"/>
      <c r="AJ162" s="900"/>
      <c r="AK162" s="900"/>
      <c r="AL162" s="900"/>
      <c r="AM162" s="900"/>
      <c r="AN162" s="900"/>
      <c r="AO162" s="900"/>
      <c r="AP162" s="900"/>
      <c r="AQ162" s="900"/>
      <c r="AR162" s="900"/>
      <c r="AS162" s="900"/>
      <c r="AT162" s="900"/>
      <c r="AU162" s="900"/>
      <c r="AV162" s="900"/>
      <c r="AW162" s="900"/>
      <c r="AX162" s="900"/>
      <c r="AY162" s="900"/>
      <c r="AZ162" s="900"/>
      <c r="BA162" s="900"/>
      <c r="BB162" s="900"/>
      <c r="BC162" s="900"/>
      <c r="BD162" s="900"/>
      <c r="BE162" s="903"/>
    </row>
    <row r="163" spans="1:57" ht="15.75" customHeight="1">
      <c r="A163" s="900"/>
      <c r="B163" s="900"/>
      <c r="C163" s="2084" t="s">
        <v>2026</v>
      </c>
      <c r="D163" s="2085"/>
      <c r="E163" s="2085"/>
      <c r="F163" s="2085"/>
      <c r="G163" s="2085"/>
      <c r="H163" s="2085"/>
      <c r="I163" s="2085"/>
      <c r="J163" s="2085"/>
      <c r="K163" s="2085"/>
      <c r="L163" s="2085"/>
      <c r="M163" s="2085"/>
      <c r="N163" s="2085"/>
      <c r="O163" s="2085"/>
      <c r="P163" s="2085"/>
      <c r="Q163" s="2085" t="s">
        <v>2027</v>
      </c>
      <c r="R163" s="2085"/>
      <c r="S163" s="2085"/>
      <c r="T163" s="2030" t="s">
        <v>2028</v>
      </c>
      <c r="U163" s="2030"/>
      <c r="V163" s="2030"/>
      <c r="W163" s="2030"/>
      <c r="X163" s="2030"/>
      <c r="Y163" s="2030"/>
      <c r="Z163" s="2030"/>
      <c r="AA163" s="2030"/>
      <c r="AB163" s="2085" t="s">
        <v>2029</v>
      </c>
      <c r="AC163" s="2085"/>
      <c r="AD163" s="2085"/>
      <c r="AE163" s="2085"/>
      <c r="AF163" s="2085"/>
      <c r="AG163" s="2093"/>
      <c r="AH163" s="900"/>
      <c r="AI163" s="900"/>
      <c r="AJ163" s="900"/>
      <c r="AK163" s="900"/>
      <c r="AL163" s="900"/>
      <c r="AM163" s="900"/>
      <c r="AN163" s="900"/>
      <c r="AO163" s="900"/>
      <c r="AP163" s="900"/>
      <c r="AQ163" s="900"/>
      <c r="AR163" s="900"/>
      <c r="AS163" s="900"/>
      <c r="AT163" s="900"/>
      <c r="AU163" s="900"/>
      <c r="AV163" s="900"/>
      <c r="AW163" s="900"/>
      <c r="AX163" s="900"/>
      <c r="AY163" s="900"/>
      <c r="AZ163" s="900"/>
      <c r="BA163" s="900"/>
      <c r="BB163" s="900"/>
      <c r="BC163" s="900"/>
      <c r="BD163" s="900"/>
      <c r="BE163" s="903"/>
    </row>
    <row r="164" spans="1:57" ht="15.75" customHeight="1">
      <c r="A164" s="900"/>
      <c r="B164" s="900"/>
      <c r="C164" s="2088" t="s">
        <v>2030</v>
      </c>
      <c r="D164" s="2089"/>
      <c r="E164" s="2089"/>
      <c r="F164" s="2089"/>
      <c r="G164" s="2089"/>
      <c r="H164" s="2089"/>
      <c r="I164" s="2089"/>
      <c r="J164" s="2089"/>
      <c r="K164" s="2089"/>
      <c r="L164" s="2089"/>
      <c r="M164" s="2089"/>
      <c r="N164" s="2089"/>
      <c r="O164" s="2089"/>
      <c r="P164" s="2089"/>
      <c r="Q164" s="2090">
        <v>55</v>
      </c>
      <c r="R164" s="2090"/>
      <c r="S164" s="2090"/>
      <c r="T164" s="2091"/>
      <c r="U164" s="2091"/>
      <c r="V164" s="2091"/>
      <c r="W164" s="2091"/>
      <c r="X164" s="2091"/>
      <c r="Y164" s="2091"/>
      <c r="Z164" s="2091"/>
      <c r="AA164" s="2091"/>
      <c r="AB164" s="1077"/>
      <c r="AC164" s="1077"/>
      <c r="AD164" s="1077"/>
      <c r="AE164" s="1077"/>
      <c r="AF164" s="1077"/>
      <c r="AG164" s="935"/>
      <c r="AH164" s="900"/>
      <c r="AI164" s="900"/>
      <c r="AJ164" s="900"/>
      <c r="AK164" s="900"/>
      <c r="AL164" s="900"/>
      <c r="AM164" s="900"/>
      <c r="AN164" s="900"/>
      <c r="AO164" s="900"/>
      <c r="AP164" s="900" t="s">
        <v>254</v>
      </c>
      <c r="AQ164" s="900"/>
      <c r="AR164" s="900"/>
      <c r="AS164" s="900"/>
      <c r="AT164" s="900"/>
      <c r="AU164" s="900"/>
      <c r="AV164" s="900"/>
      <c r="AW164" s="900"/>
      <c r="AX164" s="900"/>
      <c r="AY164" s="900"/>
      <c r="AZ164" s="900"/>
      <c r="BA164" s="900"/>
      <c r="BB164" s="900"/>
      <c r="BC164" s="900"/>
      <c r="BD164" s="900"/>
      <c r="BE164" s="903"/>
    </row>
    <row r="165" spans="1:57" ht="15.75" customHeight="1">
      <c r="A165" s="900"/>
      <c r="B165" s="900"/>
      <c r="C165" s="2088" t="s">
        <v>2031</v>
      </c>
      <c r="D165" s="2089"/>
      <c r="E165" s="2089"/>
      <c r="F165" s="2089"/>
      <c r="G165" s="2089"/>
      <c r="H165" s="2089"/>
      <c r="I165" s="2089"/>
      <c r="J165" s="2089"/>
      <c r="K165" s="2089"/>
      <c r="L165" s="2089"/>
      <c r="M165" s="2089"/>
      <c r="N165" s="2089"/>
      <c r="O165" s="2089"/>
      <c r="P165" s="2089"/>
      <c r="Q165" s="2090">
        <v>55</v>
      </c>
      <c r="R165" s="2090"/>
      <c r="S165" s="2090"/>
      <c r="T165" s="2092"/>
      <c r="U165" s="2092"/>
      <c r="V165" s="2092"/>
      <c r="W165" s="2092"/>
      <c r="X165" s="2092"/>
      <c r="Y165" s="2092"/>
      <c r="Z165" s="2092"/>
      <c r="AA165" s="2092"/>
      <c r="AB165" s="1077"/>
      <c r="AC165" s="1077"/>
      <c r="AD165" s="1077"/>
      <c r="AE165" s="1077"/>
      <c r="AF165" s="1077"/>
      <c r="AG165" s="935"/>
      <c r="AH165" s="900"/>
      <c r="AI165" s="900"/>
      <c r="AJ165" s="900"/>
      <c r="AK165" s="900"/>
      <c r="AL165" s="900"/>
      <c r="AM165" s="900"/>
      <c r="AN165" s="900"/>
      <c r="AO165" s="900"/>
      <c r="AP165" s="900"/>
      <c r="AQ165" s="900"/>
      <c r="AR165" s="900"/>
      <c r="AS165" s="900"/>
      <c r="AT165" s="900"/>
      <c r="AU165" s="900"/>
      <c r="AV165" s="900"/>
      <c r="AW165" s="900"/>
      <c r="AX165" s="900"/>
      <c r="AY165" s="900"/>
      <c r="AZ165" s="900"/>
      <c r="BA165" s="900"/>
      <c r="BB165" s="900"/>
      <c r="BC165" s="900"/>
      <c r="BD165" s="900"/>
      <c r="BE165" s="903"/>
    </row>
    <row r="166" spans="1:57" ht="15.75" customHeight="1">
      <c r="A166" s="900"/>
      <c r="B166" s="900"/>
      <c r="C166" s="2088" t="s">
        <v>2032</v>
      </c>
      <c r="D166" s="2089"/>
      <c r="E166" s="2089"/>
      <c r="F166" s="2089"/>
      <c r="G166" s="2089"/>
      <c r="H166" s="2089"/>
      <c r="I166" s="2089"/>
      <c r="J166" s="2089"/>
      <c r="K166" s="2089"/>
      <c r="L166" s="2089"/>
      <c r="M166" s="2089"/>
      <c r="N166" s="2089"/>
      <c r="O166" s="2089"/>
      <c r="P166" s="2089"/>
      <c r="Q166" s="2090">
        <v>55</v>
      </c>
      <c r="R166" s="2090"/>
      <c r="S166" s="2090"/>
      <c r="T166" s="2091"/>
      <c r="U166" s="2091"/>
      <c r="V166" s="2091"/>
      <c r="W166" s="2091"/>
      <c r="X166" s="2091"/>
      <c r="Y166" s="2091"/>
      <c r="Z166" s="2091"/>
      <c r="AA166" s="2091"/>
      <c r="AB166" s="1077"/>
      <c r="AC166" s="1077"/>
      <c r="AD166" s="1077"/>
      <c r="AE166" s="1077"/>
      <c r="AF166" s="1077"/>
      <c r="AG166" s="935"/>
      <c r="AH166" s="900"/>
      <c r="AI166" s="900"/>
      <c r="AJ166" s="900"/>
      <c r="AK166" s="900"/>
      <c r="AL166" s="900"/>
      <c r="AM166" s="900"/>
      <c r="AN166" s="900"/>
      <c r="AO166" s="900"/>
      <c r="AP166" s="900"/>
      <c r="AQ166" s="900"/>
      <c r="AR166" s="900"/>
      <c r="AS166" s="900"/>
      <c r="AT166" s="900"/>
      <c r="AU166" s="900"/>
      <c r="AV166" s="900"/>
      <c r="AW166" s="900"/>
      <c r="AX166" s="900"/>
      <c r="AY166" s="900"/>
      <c r="AZ166" s="900"/>
      <c r="BA166" s="900"/>
      <c r="BB166" s="900"/>
      <c r="BC166" s="900"/>
      <c r="BD166" s="900"/>
      <c r="BE166" s="903"/>
    </row>
    <row r="167" spans="1:57" ht="15.75" customHeight="1">
      <c r="A167" s="900"/>
      <c r="B167" s="900"/>
      <c r="C167" s="2088" t="s">
        <v>1952</v>
      </c>
      <c r="D167" s="2089"/>
      <c r="E167" s="2089"/>
      <c r="F167" s="2089"/>
      <c r="G167" s="2089"/>
      <c r="H167" s="2089"/>
      <c r="I167" s="2089"/>
      <c r="J167" s="2089"/>
      <c r="K167" s="2089"/>
      <c r="L167" s="2089"/>
      <c r="M167" s="2089"/>
      <c r="N167" s="2089"/>
      <c r="O167" s="2089"/>
      <c r="P167" s="2089"/>
      <c r="Q167" s="2090">
        <v>55</v>
      </c>
      <c r="R167" s="2090"/>
      <c r="S167" s="2090"/>
      <c r="T167" s="2091"/>
      <c r="U167" s="2091"/>
      <c r="V167" s="2091"/>
      <c r="W167" s="2091"/>
      <c r="X167" s="2091"/>
      <c r="Y167" s="2091"/>
      <c r="Z167" s="2091"/>
      <c r="AA167" s="2091"/>
      <c r="AB167" s="2094">
        <v>0</v>
      </c>
      <c r="AC167" s="2094"/>
      <c r="AD167" s="2094"/>
      <c r="AE167" s="2094"/>
      <c r="AF167" s="2094"/>
      <c r="AG167" s="2095"/>
      <c r="AH167" s="900"/>
      <c r="AI167" s="900"/>
      <c r="AJ167" s="900"/>
      <c r="AK167" s="900"/>
      <c r="AL167" s="900"/>
      <c r="AM167" s="900"/>
      <c r="AN167" s="900"/>
      <c r="AO167" s="900"/>
      <c r="AP167" s="900"/>
      <c r="AQ167" s="900"/>
      <c r="AR167" s="900"/>
      <c r="AS167" s="900"/>
      <c r="AT167" s="900"/>
      <c r="AU167" s="900"/>
      <c r="AV167" s="900"/>
      <c r="AW167" s="900"/>
      <c r="AX167" s="900"/>
      <c r="AY167" s="900"/>
      <c r="AZ167" s="900"/>
      <c r="BA167" s="900"/>
      <c r="BB167" s="900"/>
      <c r="BC167" s="900"/>
      <c r="BD167" s="900"/>
      <c r="BE167" s="903"/>
    </row>
    <row r="168" spans="1:57" ht="15.75" customHeight="1">
      <c r="A168" s="900"/>
      <c r="B168" s="900"/>
      <c r="C168" s="2088" t="s">
        <v>233</v>
      </c>
      <c r="D168" s="2089"/>
      <c r="E168" s="2089"/>
      <c r="F168" s="2096" t="s">
        <v>2033</v>
      </c>
      <c r="G168" s="2096"/>
      <c r="H168" s="2096"/>
      <c r="I168" s="2096"/>
      <c r="J168" s="2096"/>
      <c r="K168" s="2096"/>
      <c r="L168" s="2096"/>
      <c r="M168" s="2096"/>
      <c r="N168" s="2096"/>
      <c r="O168" s="2096"/>
      <c r="P168" s="2096"/>
      <c r="Q168" s="2090">
        <v>55</v>
      </c>
      <c r="R168" s="2090"/>
      <c r="S168" s="2090"/>
      <c r="T168" s="2092"/>
      <c r="U168" s="2092"/>
      <c r="V168" s="2092"/>
      <c r="W168" s="2092"/>
      <c r="X168" s="2092"/>
      <c r="Y168" s="2092"/>
      <c r="Z168" s="2092"/>
      <c r="AA168" s="2092"/>
      <c r="AB168" s="2094">
        <v>0</v>
      </c>
      <c r="AC168" s="2094"/>
      <c r="AD168" s="2094"/>
      <c r="AE168" s="2094"/>
      <c r="AF168" s="2094"/>
      <c r="AG168" s="2095"/>
      <c r="AH168" s="900"/>
      <c r="AI168" s="900"/>
      <c r="AJ168" s="900"/>
      <c r="AK168" s="900"/>
      <c r="AL168" s="900"/>
      <c r="AM168" s="900"/>
      <c r="AN168" s="900"/>
      <c r="AO168" s="900"/>
      <c r="AP168" s="900"/>
      <c r="AQ168" s="900"/>
      <c r="AR168" s="900"/>
      <c r="AS168" s="900"/>
      <c r="AT168" s="900"/>
      <c r="AU168" s="900"/>
      <c r="AV168" s="900"/>
      <c r="AW168" s="900"/>
      <c r="AX168" s="900"/>
      <c r="AY168" s="900"/>
      <c r="AZ168" s="900"/>
      <c r="BA168" s="900"/>
      <c r="BB168" s="900"/>
      <c r="BC168" s="900"/>
      <c r="BD168" s="900"/>
      <c r="BE168" s="903"/>
    </row>
    <row r="169" spans="1:57" ht="15.75" customHeight="1">
      <c r="A169" s="900"/>
      <c r="B169" s="900"/>
      <c r="C169" s="2088" t="s">
        <v>233</v>
      </c>
      <c r="D169" s="2089"/>
      <c r="E169" s="2089"/>
      <c r="F169" s="2096" t="s">
        <v>2033</v>
      </c>
      <c r="G169" s="2096"/>
      <c r="H169" s="2096"/>
      <c r="I169" s="2096"/>
      <c r="J169" s="2096"/>
      <c r="K169" s="2096"/>
      <c r="L169" s="2096"/>
      <c r="M169" s="2096"/>
      <c r="N169" s="2096"/>
      <c r="O169" s="2096"/>
      <c r="P169" s="2096"/>
      <c r="Q169" s="2090">
        <v>55</v>
      </c>
      <c r="R169" s="2090"/>
      <c r="S169" s="2090"/>
      <c r="T169" s="2092"/>
      <c r="U169" s="2092"/>
      <c r="V169" s="2092"/>
      <c r="W169" s="2092"/>
      <c r="X169" s="2092"/>
      <c r="Y169" s="2092"/>
      <c r="Z169" s="2092"/>
      <c r="AA169" s="2092"/>
      <c r="AB169" s="2094">
        <v>0</v>
      </c>
      <c r="AC169" s="2094"/>
      <c r="AD169" s="2094"/>
      <c r="AE169" s="2094"/>
      <c r="AF169" s="2094"/>
      <c r="AG169" s="2095"/>
      <c r="AH169" s="900"/>
      <c r="AI169" s="900"/>
      <c r="AJ169" s="900"/>
      <c r="AK169" s="900" t="s">
        <v>254</v>
      </c>
      <c r="AL169" s="900"/>
      <c r="AM169" s="900"/>
      <c r="AN169" s="900"/>
      <c r="AO169" s="900"/>
      <c r="AP169" s="900"/>
      <c r="AQ169" s="900"/>
      <c r="AR169" s="900"/>
      <c r="AS169" s="900"/>
      <c r="AT169" s="900"/>
      <c r="AU169" s="900"/>
      <c r="AV169" s="900"/>
      <c r="AW169" s="900"/>
      <c r="AX169" s="900"/>
      <c r="AY169" s="900"/>
      <c r="AZ169" s="900"/>
      <c r="BA169" s="900"/>
      <c r="BB169" s="900"/>
      <c r="BC169" s="900"/>
      <c r="BD169" s="900"/>
      <c r="BE169" s="903"/>
    </row>
    <row r="170" spans="1:57" ht="15.75" customHeight="1" thickBot="1">
      <c r="A170" s="900"/>
      <c r="B170" s="900"/>
      <c r="C170" s="2097" t="s">
        <v>233</v>
      </c>
      <c r="D170" s="2098"/>
      <c r="E170" s="2098"/>
      <c r="F170" s="2099" t="s">
        <v>2033</v>
      </c>
      <c r="G170" s="2099"/>
      <c r="H170" s="2099"/>
      <c r="I170" s="2099"/>
      <c r="J170" s="2099"/>
      <c r="K170" s="2099"/>
      <c r="L170" s="2099"/>
      <c r="M170" s="2099"/>
      <c r="N170" s="2099"/>
      <c r="O170" s="2099"/>
      <c r="P170" s="2099"/>
      <c r="Q170" s="2100">
        <v>55</v>
      </c>
      <c r="R170" s="2100"/>
      <c r="S170" s="2100"/>
      <c r="T170" s="2101"/>
      <c r="U170" s="2101"/>
      <c r="V170" s="2101"/>
      <c r="W170" s="2101"/>
      <c r="X170" s="2101"/>
      <c r="Y170" s="2101"/>
      <c r="Z170" s="2101"/>
      <c r="AA170" s="2101"/>
      <c r="AB170" s="2102">
        <v>0</v>
      </c>
      <c r="AC170" s="2102"/>
      <c r="AD170" s="2102"/>
      <c r="AE170" s="2102"/>
      <c r="AF170" s="2102"/>
      <c r="AG170" s="2103"/>
      <c r="AH170" s="900"/>
      <c r="AI170" s="900"/>
      <c r="AJ170" s="900"/>
      <c r="AK170" s="900"/>
      <c r="AL170" s="900"/>
      <c r="AM170" s="900"/>
      <c r="AN170" s="900"/>
      <c r="AO170" s="900"/>
      <c r="AP170" s="900"/>
      <c r="AQ170" s="900"/>
      <c r="AR170" s="900"/>
      <c r="AS170" s="900"/>
      <c r="AT170" s="900"/>
      <c r="AU170" s="900"/>
      <c r="AV170" s="900"/>
      <c r="AW170" s="900"/>
      <c r="AX170" s="900"/>
      <c r="AY170" s="900"/>
      <c r="AZ170" s="900"/>
      <c r="BA170" s="900"/>
      <c r="BB170" s="900"/>
      <c r="BC170" s="900"/>
      <c r="BD170" s="900"/>
      <c r="BE170" s="903"/>
    </row>
    <row r="171" spans="1:57" ht="15.75" customHeight="1" thickBot="1">
      <c r="A171" s="900"/>
      <c r="B171" s="900"/>
      <c r="C171" s="900"/>
      <c r="D171" s="900"/>
      <c r="E171" s="900"/>
      <c r="F171" s="900"/>
      <c r="G171" s="900"/>
      <c r="H171" s="900"/>
      <c r="I171" s="900"/>
      <c r="J171" s="900"/>
      <c r="K171" s="900"/>
      <c r="L171" s="900"/>
      <c r="M171" s="900"/>
      <c r="N171" s="900"/>
      <c r="O171" s="900"/>
      <c r="P171" s="900"/>
      <c r="Q171" s="900"/>
      <c r="R171" s="900"/>
      <c r="S171" s="900"/>
      <c r="T171" s="900"/>
      <c r="U171" s="900"/>
      <c r="V171" s="900"/>
      <c r="W171" s="900"/>
      <c r="X171" s="900"/>
      <c r="Y171" s="900"/>
      <c r="Z171" s="900"/>
      <c r="AA171" s="900"/>
      <c r="AB171" s="900"/>
      <c r="AC171" s="900"/>
      <c r="AD171" s="900"/>
      <c r="AE171" s="900"/>
      <c r="AF171" s="900"/>
      <c r="AG171" s="900"/>
      <c r="AH171" s="900"/>
      <c r="AI171" s="900"/>
      <c r="AJ171" s="900"/>
      <c r="AK171" s="900"/>
      <c r="AL171" s="900"/>
      <c r="AM171" s="900"/>
      <c r="AN171" s="900"/>
      <c r="AO171" s="900"/>
      <c r="AP171" s="900"/>
      <c r="AQ171" s="900"/>
      <c r="AR171" s="900"/>
      <c r="AS171" s="900"/>
      <c r="AT171" s="900"/>
      <c r="AU171" s="900"/>
      <c r="AV171" s="900"/>
      <c r="AW171" s="900"/>
      <c r="AX171" s="900"/>
      <c r="AY171" s="900"/>
      <c r="AZ171" s="900"/>
      <c r="BA171" s="900"/>
      <c r="BB171" s="900"/>
      <c r="BC171" s="900"/>
      <c r="BD171" s="900"/>
      <c r="BE171" s="903"/>
    </row>
    <row r="172" spans="1:57" ht="15.75" customHeight="1">
      <c r="A172" s="900"/>
      <c r="B172" s="900"/>
      <c r="C172" s="1988" t="s">
        <v>2034</v>
      </c>
      <c r="D172" s="1989"/>
      <c r="E172" s="1989"/>
      <c r="F172" s="1989"/>
      <c r="G172" s="1989"/>
      <c r="H172" s="1989"/>
      <c r="I172" s="1989"/>
      <c r="J172" s="1989"/>
      <c r="K172" s="1989"/>
      <c r="L172" s="1989"/>
      <c r="M172" s="1989"/>
      <c r="N172" s="2039"/>
      <c r="O172" s="900"/>
      <c r="P172" s="2104" t="s">
        <v>2035</v>
      </c>
      <c r="Q172" s="2105"/>
      <c r="R172" s="2105"/>
      <c r="S172" s="2105"/>
      <c r="T172" s="2105"/>
      <c r="U172" s="2105"/>
      <c r="V172" s="2105"/>
      <c r="W172" s="2105"/>
      <c r="X172" s="2105"/>
      <c r="Y172" s="2105"/>
      <c r="Z172" s="2105"/>
      <c r="AA172" s="2105"/>
      <c r="AB172" s="2105"/>
      <c r="AC172" s="2105"/>
      <c r="AD172" s="2105"/>
      <c r="AE172" s="2105"/>
      <c r="AF172" s="2105"/>
      <c r="AG172" s="2105"/>
      <c r="AH172" s="2105"/>
      <c r="AI172" s="2105"/>
      <c r="AJ172" s="2105"/>
      <c r="AK172" s="2105"/>
      <c r="AL172" s="2105"/>
      <c r="AM172" s="2105"/>
      <c r="AN172" s="2105"/>
      <c r="AO172" s="2106"/>
      <c r="AP172" s="900"/>
      <c r="AQ172" s="900"/>
      <c r="AR172" s="900"/>
      <c r="AS172" s="900"/>
      <c r="AT172" s="900"/>
      <c r="AU172" s="900"/>
      <c r="AV172" s="900"/>
      <c r="AW172" s="900"/>
      <c r="AX172" s="900"/>
      <c r="AY172" s="900"/>
      <c r="AZ172" s="900"/>
      <c r="BA172" s="900"/>
      <c r="BB172" s="900"/>
      <c r="BC172" s="900"/>
      <c r="BD172" s="900"/>
      <c r="BE172" s="903"/>
    </row>
    <row r="173" spans="1:57" ht="15.75" customHeight="1">
      <c r="A173" s="900"/>
      <c r="B173" s="900"/>
      <c r="C173" s="2084" t="s">
        <v>2036</v>
      </c>
      <c r="D173" s="2085"/>
      <c r="E173" s="2085"/>
      <c r="F173" s="2085"/>
      <c r="G173" s="2085"/>
      <c r="H173" s="2085"/>
      <c r="I173" s="2085" t="s">
        <v>2037</v>
      </c>
      <c r="J173" s="2085"/>
      <c r="K173" s="2085"/>
      <c r="L173" s="2085"/>
      <c r="M173" s="2085"/>
      <c r="N173" s="2093"/>
      <c r="O173" s="900"/>
      <c r="P173" s="2008" t="s">
        <v>1979</v>
      </c>
      <c r="Q173" s="2009"/>
      <c r="R173" s="2009"/>
      <c r="S173" s="2009"/>
      <c r="T173" s="2009"/>
      <c r="U173" s="2009"/>
      <c r="V173" s="2009"/>
      <c r="W173" s="2009"/>
      <c r="X173" s="2009"/>
      <c r="Y173" s="2009"/>
      <c r="Z173" s="2009"/>
      <c r="AA173" s="2009"/>
      <c r="AB173" s="2009"/>
      <c r="AC173" s="2009"/>
      <c r="AD173" s="2009"/>
      <c r="AE173" s="2009"/>
      <c r="AF173" s="2009"/>
      <c r="AG173" s="2009"/>
      <c r="AH173" s="2009"/>
      <c r="AI173" s="2009"/>
      <c r="AJ173" s="2009"/>
      <c r="AK173" s="2009"/>
      <c r="AL173" s="2009"/>
      <c r="AM173" s="2009"/>
      <c r="AN173" s="2009"/>
      <c r="AO173" s="2010"/>
      <c r="AP173" s="900"/>
      <c r="AQ173" s="900"/>
      <c r="AR173" s="900"/>
      <c r="AS173" s="900"/>
      <c r="AT173" s="900"/>
      <c r="AU173" s="900"/>
      <c r="AV173" s="900"/>
      <c r="AW173" s="900"/>
      <c r="AX173" s="900"/>
      <c r="AY173" s="900"/>
      <c r="AZ173" s="900"/>
      <c r="BA173" s="900"/>
      <c r="BB173" s="900"/>
      <c r="BC173" s="900"/>
      <c r="BD173" s="900"/>
      <c r="BE173" s="903"/>
    </row>
    <row r="174" spans="1:57" ht="15.75" customHeight="1">
      <c r="A174" s="900"/>
      <c r="B174" s="900"/>
      <c r="C174" s="2014"/>
      <c r="D174" s="1946"/>
      <c r="E174" s="1946"/>
      <c r="F174" s="1946"/>
      <c r="G174" s="1946"/>
      <c r="H174" s="1946"/>
      <c r="I174" s="2091"/>
      <c r="J174" s="2091"/>
      <c r="K174" s="2091"/>
      <c r="L174" s="2091"/>
      <c r="M174" s="2091"/>
      <c r="N174" s="2107"/>
      <c r="O174" s="900"/>
      <c r="P174" s="2008"/>
      <c r="Q174" s="2009"/>
      <c r="R174" s="2009"/>
      <c r="S174" s="2009"/>
      <c r="T174" s="2009"/>
      <c r="U174" s="2009"/>
      <c r="V174" s="2009"/>
      <c r="W174" s="2009"/>
      <c r="X174" s="2009"/>
      <c r="Y174" s="2009"/>
      <c r="Z174" s="2009"/>
      <c r="AA174" s="2009"/>
      <c r="AB174" s="2009"/>
      <c r="AC174" s="2009"/>
      <c r="AD174" s="2009"/>
      <c r="AE174" s="2009"/>
      <c r="AF174" s="2009"/>
      <c r="AG174" s="2009"/>
      <c r="AH174" s="2009"/>
      <c r="AI174" s="2009"/>
      <c r="AJ174" s="2009"/>
      <c r="AK174" s="2009"/>
      <c r="AL174" s="2009"/>
      <c r="AM174" s="2009"/>
      <c r="AN174" s="2009"/>
      <c r="AO174" s="2010"/>
      <c r="AP174" s="900"/>
      <c r="AQ174" s="900"/>
      <c r="AR174" s="900"/>
      <c r="AS174" s="900"/>
      <c r="AT174" s="900"/>
      <c r="AU174" s="900"/>
      <c r="AV174" s="900"/>
      <c r="AW174" s="900"/>
      <c r="AX174" s="900"/>
      <c r="AY174" s="900"/>
      <c r="AZ174" s="900"/>
      <c r="BA174" s="900"/>
      <c r="BB174" s="900"/>
      <c r="BC174" s="900"/>
      <c r="BD174" s="900"/>
      <c r="BE174" s="903"/>
    </row>
    <row r="175" spans="1:57" ht="15.75" customHeight="1">
      <c r="A175" s="900"/>
      <c r="B175" s="900"/>
      <c r="C175" s="2014"/>
      <c r="D175" s="1946"/>
      <c r="E175" s="1946"/>
      <c r="F175" s="1946"/>
      <c r="G175" s="1946"/>
      <c r="H175" s="1946"/>
      <c r="I175" s="2091"/>
      <c r="J175" s="2091"/>
      <c r="K175" s="2091"/>
      <c r="L175" s="2091"/>
      <c r="M175" s="2091"/>
      <c r="N175" s="2107"/>
      <c r="O175" s="900"/>
      <c r="P175" s="2008"/>
      <c r="Q175" s="2009"/>
      <c r="R175" s="2009"/>
      <c r="S175" s="2009"/>
      <c r="T175" s="2009"/>
      <c r="U175" s="2009"/>
      <c r="V175" s="2009"/>
      <c r="W175" s="2009"/>
      <c r="X175" s="2009"/>
      <c r="Y175" s="2009"/>
      <c r="Z175" s="2009"/>
      <c r="AA175" s="2009"/>
      <c r="AB175" s="2009"/>
      <c r="AC175" s="2009"/>
      <c r="AD175" s="2009"/>
      <c r="AE175" s="2009"/>
      <c r="AF175" s="2009"/>
      <c r="AG175" s="2009"/>
      <c r="AH175" s="2009"/>
      <c r="AI175" s="2009"/>
      <c r="AJ175" s="2009"/>
      <c r="AK175" s="2009"/>
      <c r="AL175" s="2009"/>
      <c r="AM175" s="2009"/>
      <c r="AN175" s="2009"/>
      <c r="AO175" s="2010"/>
      <c r="AP175" s="900"/>
      <c r="AQ175" s="900"/>
      <c r="AR175" s="900"/>
      <c r="AS175" s="900"/>
      <c r="AT175" s="900"/>
      <c r="AU175" s="900"/>
      <c r="AV175" s="900"/>
      <c r="AW175" s="900"/>
      <c r="AX175" s="900"/>
      <c r="AY175" s="900"/>
      <c r="AZ175" s="900"/>
      <c r="BA175" s="900"/>
      <c r="BB175" s="900"/>
      <c r="BC175" s="900"/>
      <c r="BD175" s="900"/>
      <c r="BE175" s="903"/>
    </row>
    <row r="176" spans="1:57" ht="15.75" customHeight="1">
      <c r="A176" s="900"/>
      <c r="B176" s="900"/>
      <c r="C176" s="2014"/>
      <c r="D176" s="1946"/>
      <c r="E176" s="1946"/>
      <c r="F176" s="1946"/>
      <c r="G176" s="1946"/>
      <c r="H176" s="1946"/>
      <c r="I176" s="2091"/>
      <c r="J176" s="2091"/>
      <c r="K176" s="2091"/>
      <c r="L176" s="2091"/>
      <c r="M176" s="2091"/>
      <c r="N176" s="2107"/>
      <c r="O176" s="900"/>
      <c r="P176" s="2008"/>
      <c r="Q176" s="2009"/>
      <c r="R176" s="2009"/>
      <c r="S176" s="2009"/>
      <c r="T176" s="2009"/>
      <c r="U176" s="2009"/>
      <c r="V176" s="2009"/>
      <c r="W176" s="2009"/>
      <c r="X176" s="2009"/>
      <c r="Y176" s="2009"/>
      <c r="Z176" s="2009"/>
      <c r="AA176" s="2009"/>
      <c r="AB176" s="2009"/>
      <c r="AC176" s="2009"/>
      <c r="AD176" s="2009"/>
      <c r="AE176" s="2009"/>
      <c r="AF176" s="2009"/>
      <c r="AG176" s="2009"/>
      <c r="AH176" s="2009"/>
      <c r="AI176" s="2009"/>
      <c r="AJ176" s="2009"/>
      <c r="AK176" s="2009"/>
      <c r="AL176" s="2009"/>
      <c r="AM176" s="2009"/>
      <c r="AN176" s="2009"/>
      <c r="AO176" s="2010"/>
      <c r="AP176" s="900"/>
      <c r="AQ176" s="900"/>
      <c r="AR176" s="900"/>
      <c r="AS176" s="900"/>
      <c r="AT176" s="900"/>
      <c r="AU176" s="900"/>
      <c r="AV176" s="900"/>
      <c r="AW176" s="900"/>
      <c r="AX176" s="900"/>
      <c r="AY176" s="900"/>
      <c r="AZ176" s="900"/>
      <c r="BA176" s="900"/>
      <c r="BB176" s="900"/>
      <c r="BC176" s="900"/>
      <c r="BD176" s="900"/>
      <c r="BE176" s="903"/>
    </row>
    <row r="177" spans="1:57" ht="15.75" customHeight="1">
      <c r="A177" s="900"/>
      <c r="B177" s="900"/>
      <c r="C177" s="2014"/>
      <c r="D177" s="1946"/>
      <c r="E177" s="1946"/>
      <c r="F177" s="1946"/>
      <c r="G177" s="1946"/>
      <c r="H177" s="1946"/>
      <c r="I177" s="2091"/>
      <c r="J177" s="2091"/>
      <c r="K177" s="2091"/>
      <c r="L177" s="2091"/>
      <c r="M177" s="2091"/>
      <c r="N177" s="2107"/>
      <c r="O177" s="900"/>
      <c r="P177" s="2008"/>
      <c r="Q177" s="2009"/>
      <c r="R177" s="2009"/>
      <c r="S177" s="2009"/>
      <c r="T177" s="2009"/>
      <c r="U177" s="2009"/>
      <c r="V177" s="2009"/>
      <c r="W177" s="2009"/>
      <c r="X177" s="2009"/>
      <c r="Y177" s="2009"/>
      <c r="Z177" s="2009"/>
      <c r="AA177" s="2009"/>
      <c r="AB177" s="2009"/>
      <c r="AC177" s="2009"/>
      <c r="AD177" s="2009"/>
      <c r="AE177" s="2009"/>
      <c r="AF177" s="2009"/>
      <c r="AG177" s="2009"/>
      <c r="AH177" s="2009"/>
      <c r="AI177" s="2009"/>
      <c r="AJ177" s="2009"/>
      <c r="AK177" s="2009"/>
      <c r="AL177" s="2009"/>
      <c r="AM177" s="2009"/>
      <c r="AN177" s="2009"/>
      <c r="AO177" s="2010"/>
      <c r="AP177" s="900"/>
      <c r="AQ177" s="900"/>
      <c r="AR177" s="900"/>
      <c r="AS177" s="900"/>
      <c r="AT177" s="900"/>
      <c r="AU177" s="900"/>
      <c r="AV177" s="900"/>
      <c r="AW177" s="900"/>
      <c r="AX177" s="900"/>
      <c r="AY177" s="900"/>
      <c r="AZ177" s="900"/>
      <c r="BA177" s="900"/>
      <c r="BB177" s="900"/>
      <c r="BC177" s="900"/>
      <c r="BD177" s="900"/>
      <c r="BE177" s="903"/>
    </row>
    <row r="178" spans="1:57" ht="15.75" customHeight="1">
      <c r="A178" s="900"/>
      <c r="B178" s="900"/>
      <c r="C178" s="2014"/>
      <c r="D178" s="1946"/>
      <c r="E178" s="1946"/>
      <c r="F178" s="1946"/>
      <c r="G178" s="1946"/>
      <c r="H178" s="1946"/>
      <c r="I178" s="2091"/>
      <c r="J178" s="2091"/>
      <c r="K178" s="2091"/>
      <c r="L178" s="2091"/>
      <c r="M178" s="2091"/>
      <c r="N178" s="2107"/>
      <c r="O178" s="900"/>
      <c r="P178" s="2008"/>
      <c r="Q178" s="2009"/>
      <c r="R178" s="2009"/>
      <c r="S178" s="2009"/>
      <c r="T178" s="2009"/>
      <c r="U178" s="2009"/>
      <c r="V178" s="2009"/>
      <c r="W178" s="2009"/>
      <c r="X178" s="2009"/>
      <c r="Y178" s="2009"/>
      <c r="Z178" s="2009"/>
      <c r="AA178" s="2009"/>
      <c r="AB178" s="2009"/>
      <c r="AC178" s="2009"/>
      <c r="AD178" s="2009"/>
      <c r="AE178" s="2009"/>
      <c r="AF178" s="2009"/>
      <c r="AG178" s="2009"/>
      <c r="AH178" s="2009"/>
      <c r="AI178" s="2009"/>
      <c r="AJ178" s="2009"/>
      <c r="AK178" s="2009"/>
      <c r="AL178" s="2009"/>
      <c r="AM178" s="2009"/>
      <c r="AN178" s="2009"/>
      <c r="AO178" s="2010"/>
      <c r="AP178" s="900"/>
      <c r="AQ178" s="900"/>
      <c r="AR178" s="900"/>
      <c r="AS178" s="900"/>
      <c r="AT178" s="900"/>
      <c r="AU178" s="900"/>
      <c r="AV178" s="900"/>
      <c r="AW178" s="900"/>
      <c r="AX178" s="900"/>
      <c r="AY178" s="900"/>
      <c r="AZ178" s="900"/>
      <c r="BA178" s="900"/>
      <c r="BB178" s="900"/>
      <c r="BC178" s="900"/>
      <c r="BD178" s="900"/>
      <c r="BE178" s="903"/>
    </row>
    <row r="179" spans="1:57" ht="15.75" customHeight="1">
      <c r="A179" s="900"/>
      <c r="B179" s="900"/>
      <c r="C179" s="2014"/>
      <c r="D179" s="1946"/>
      <c r="E179" s="1946"/>
      <c r="F179" s="1946"/>
      <c r="G179" s="1946"/>
      <c r="H179" s="1946"/>
      <c r="I179" s="2091"/>
      <c r="J179" s="2091"/>
      <c r="K179" s="2091"/>
      <c r="L179" s="2091"/>
      <c r="M179" s="2091"/>
      <c r="N179" s="2107"/>
      <c r="O179" s="900"/>
      <c r="P179" s="2008"/>
      <c r="Q179" s="2009"/>
      <c r="R179" s="2009"/>
      <c r="S179" s="2009"/>
      <c r="T179" s="2009"/>
      <c r="U179" s="2009"/>
      <c r="V179" s="2009"/>
      <c r="W179" s="2009"/>
      <c r="X179" s="2009"/>
      <c r="Y179" s="2009"/>
      <c r="Z179" s="2009"/>
      <c r="AA179" s="2009"/>
      <c r="AB179" s="2009"/>
      <c r="AC179" s="2009"/>
      <c r="AD179" s="2009"/>
      <c r="AE179" s="2009"/>
      <c r="AF179" s="2009"/>
      <c r="AG179" s="2009"/>
      <c r="AH179" s="2009"/>
      <c r="AI179" s="2009"/>
      <c r="AJ179" s="2009"/>
      <c r="AK179" s="2009"/>
      <c r="AL179" s="2009"/>
      <c r="AM179" s="2009"/>
      <c r="AN179" s="2009"/>
      <c r="AO179" s="2010"/>
      <c r="AP179" s="900"/>
      <c r="AQ179" s="900"/>
      <c r="AR179" s="900"/>
      <c r="AS179" s="900"/>
      <c r="AT179" s="900"/>
      <c r="AU179" s="900"/>
      <c r="AV179" s="900"/>
      <c r="AW179" s="900"/>
      <c r="AX179" s="900"/>
      <c r="AY179" s="900"/>
      <c r="AZ179" s="900"/>
      <c r="BA179" s="900"/>
      <c r="BB179" s="900"/>
      <c r="BC179" s="900"/>
      <c r="BD179" s="900"/>
      <c r="BE179" s="903"/>
    </row>
    <row r="180" spans="1:57" ht="15.75" customHeight="1" thickBot="1">
      <c r="A180" s="900"/>
      <c r="B180" s="900"/>
      <c r="C180" s="2108"/>
      <c r="D180" s="2109"/>
      <c r="E180" s="2109"/>
      <c r="F180" s="2109"/>
      <c r="G180" s="2109"/>
      <c r="H180" s="2109"/>
      <c r="I180" s="2110"/>
      <c r="J180" s="2110"/>
      <c r="K180" s="2110"/>
      <c r="L180" s="2110"/>
      <c r="M180" s="2110"/>
      <c r="N180" s="2111"/>
      <c r="O180" s="900"/>
      <c r="P180" s="2011"/>
      <c r="Q180" s="2012"/>
      <c r="R180" s="2012"/>
      <c r="S180" s="2012"/>
      <c r="T180" s="2012"/>
      <c r="U180" s="2012"/>
      <c r="V180" s="2012"/>
      <c r="W180" s="2012"/>
      <c r="X180" s="2012"/>
      <c r="Y180" s="2012"/>
      <c r="Z180" s="2012"/>
      <c r="AA180" s="2012"/>
      <c r="AB180" s="2012"/>
      <c r="AC180" s="2012"/>
      <c r="AD180" s="2012"/>
      <c r="AE180" s="2012"/>
      <c r="AF180" s="2012"/>
      <c r="AG180" s="2012"/>
      <c r="AH180" s="2012"/>
      <c r="AI180" s="2012"/>
      <c r="AJ180" s="2012"/>
      <c r="AK180" s="2012"/>
      <c r="AL180" s="2012"/>
      <c r="AM180" s="2012"/>
      <c r="AN180" s="2012"/>
      <c r="AO180" s="2013"/>
      <c r="AP180" s="900"/>
      <c r="AQ180" s="900"/>
      <c r="AR180" s="900"/>
      <c r="AS180" s="900"/>
      <c r="AT180" s="900"/>
      <c r="AU180" s="900"/>
      <c r="AV180" s="900"/>
      <c r="AW180" s="900"/>
      <c r="AX180" s="900"/>
      <c r="AY180" s="900"/>
      <c r="AZ180" s="900"/>
      <c r="BA180" s="900"/>
      <c r="BB180" s="900"/>
      <c r="BC180" s="900"/>
      <c r="BD180" s="900"/>
      <c r="BE180" s="903"/>
    </row>
    <row r="181" spans="1:57" ht="15.75" customHeight="1" thickBot="1">
      <c r="A181" s="900"/>
      <c r="B181" s="900"/>
      <c r="C181" s="900"/>
      <c r="D181" s="900"/>
      <c r="E181" s="900"/>
      <c r="F181" s="900"/>
      <c r="G181" s="900"/>
      <c r="H181" s="900"/>
      <c r="I181" s="900"/>
      <c r="J181" s="900"/>
      <c r="K181" s="900"/>
      <c r="L181" s="900"/>
      <c r="M181" s="900"/>
      <c r="N181" s="900"/>
      <c r="O181" s="900"/>
      <c r="P181" s="900"/>
      <c r="Q181" s="900"/>
      <c r="R181" s="900"/>
      <c r="S181" s="900"/>
      <c r="T181" s="900"/>
      <c r="U181" s="900"/>
      <c r="V181" s="900"/>
      <c r="W181" s="900"/>
      <c r="X181" s="900"/>
      <c r="Y181" s="900"/>
      <c r="Z181" s="900"/>
      <c r="AA181" s="900"/>
      <c r="AB181" s="900"/>
      <c r="AC181" s="900"/>
      <c r="AD181" s="900"/>
      <c r="AE181" s="900"/>
      <c r="AF181" s="900"/>
      <c r="AG181" s="900"/>
      <c r="AH181" s="900"/>
      <c r="AI181" s="900"/>
      <c r="AJ181" s="900"/>
      <c r="AK181" s="900"/>
      <c r="AL181" s="900"/>
      <c r="AM181" s="900"/>
      <c r="AN181" s="900"/>
      <c r="AO181" s="900"/>
      <c r="AP181" s="900"/>
      <c r="AQ181" s="900"/>
      <c r="AR181" s="900"/>
      <c r="AS181" s="900"/>
      <c r="AT181" s="900"/>
      <c r="AU181" s="900"/>
      <c r="AV181" s="900"/>
      <c r="AW181" s="900"/>
      <c r="AX181" s="900"/>
      <c r="AY181" s="900"/>
      <c r="AZ181" s="900"/>
      <c r="BA181" s="900"/>
      <c r="BB181" s="900"/>
      <c r="BC181" s="900"/>
      <c r="BD181" s="900"/>
      <c r="BE181" s="903"/>
    </row>
    <row r="182" spans="1:57" ht="15.75" customHeight="1">
      <c r="A182" s="900"/>
      <c r="B182" s="900"/>
      <c r="C182" s="2115" t="s">
        <v>2038</v>
      </c>
      <c r="D182" s="2116"/>
      <c r="E182" s="2116"/>
      <c r="F182" s="2116"/>
      <c r="G182" s="2116"/>
      <c r="H182" s="2116"/>
      <c r="I182" s="2116"/>
      <c r="J182" s="2116"/>
      <c r="K182" s="2116"/>
      <c r="L182" s="2116"/>
      <c r="M182" s="2116"/>
      <c r="N182" s="2116"/>
      <c r="O182" s="2116"/>
      <c r="P182" s="2116"/>
      <c r="Q182" s="2116"/>
      <c r="R182" s="2116"/>
      <c r="S182" s="2116"/>
      <c r="T182" s="2116"/>
      <c r="U182" s="2116"/>
      <c r="V182" s="2116"/>
      <c r="W182" s="2116"/>
      <c r="X182" s="2116"/>
      <c r="Y182" s="2116"/>
      <c r="Z182" s="2116"/>
      <c r="AA182" s="2116"/>
      <c r="AB182" s="2116"/>
      <c r="AC182" s="2116"/>
      <c r="AD182" s="2116"/>
      <c r="AE182" s="2117"/>
      <c r="AF182" s="900"/>
      <c r="AG182" s="900"/>
      <c r="AH182" s="2125"/>
      <c r="AI182" s="2125"/>
      <c r="AJ182" s="2125"/>
      <c r="AK182" s="2125"/>
      <c r="AL182" s="2125"/>
      <c r="AM182" s="2125"/>
      <c r="AN182" s="2125"/>
      <c r="AO182" s="2125"/>
      <c r="AP182" s="2125"/>
      <c r="AQ182" s="2125"/>
      <c r="AR182" s="2125"/>
      <c r="AS182" s="2125"/>
      <c r="AT182" s="2125"/>
      <c r="AU182" s="2125"/>
      <c r="AV182" s="2125"/>
      <c r="AW182" s="2125"/>
      <c r="AX182" s="2125"/>
      <c r="AY182" s="2125"/>
      <c r="AZ182" s="2125"/>
      <c r="BA182" s="2125"/>
      <c r="BB182" s="2125"/>
      <c r="BC182" s="2125"/>
      <c r="BD182" s="2125"/>
      <c r="BE182" s="2125"/>
    </row>
    <row r="183" spans="1:57" ht="15.75" customHeight="1" thickBot="1">
      <c r="A183" s="900"/>
      <c r="B183" s="900"/>
      <c r="C183" s="2118"/>
      <c r="D183" s="2119"/>
      <c r="E183" s="2119"/>
      <c r="F183" s="2119"/>
      <c r="G183" s="2119"/>
      <c r="H183" s="2119"/>
      <c r="I183" s="2119"/>
      <c r="J183" s="2119"/>
      <c r="K183" s="2119"/>
      <c r="L183" s="2119"/>
      <c r="M183" s="2119"/>
      <c r="N183" s="2119"/>
      <c r="O183" s="2119"/>
      <c r="P183" s="2119"/>
      <c r="Q183" s="2119"/>
      <c r="R183" s="2119"/>
      <c r="S183" s="2119"/>
      <c r="T183" s="2119"/>
      <c r="U183" s="2119"/>
      <c r="V183" s="2119"/>
      <c r="W183" s="2119"/>
      <c r="X183" s="2119"/>
      <c r="Y183" s="2119"/>
      <c r="Z183" s="2119"/>
      <c r="AA183" s="2119"/>
      <c r="AB183" s="2119"/>
      <c r="AC183" s="2119"/>
      <c r="AD183" s="2119"/>
      <c r="AE183" s="2120"/>
      <c r="AF183" s="900"/>
      <c r="AG183" s="900"/>
      <c r="AH183" s="2125"/>
      <c r="AI183" s="2125"/>
      <c r="AJ183" s="2125"/>
      <c r="AK183" s="2125"/>
      <c r="AL183" s="2125"/>
      <c r="AM183" s="2125"/>
      <c r="AN183" s="2125"/>
      <c r="AO183" s="2125"/>
      <c r="AP183" s="2125"/>
      <c r="AQ183" s="2125"/>
      <c r="AR183" s="2125"/>
      <c r="AS183" s="2125"/>
      <c r="AT183" s="2125"/>
      <c r="AU183" s="2125"/>
      <c r="AV183" s="2125"/>
      <c r="AW183" s="2125"/>
      <c r="AX183" s="2125"/>
      <c r="AY183" s="2125"/>
      <c r="AZ183" s="2125"/>
      <c r="BA183" s="2125"/>
      <c r="BB183" s="2125"/>
      <c r="BC183" s="2125"/>
      <c r="BD183" s="2125"/>
      <c r="BE183" s="2125"/>
    </row>
    <row r="184" spans="1:57" ht="15.75" customHeight="1">
      <c r="A184" s="900"/>
      <c r="B184" s="900"/>
      <c r="C184" s="1988" t="s">
        <v>2026</v>
      </c>
      <c r="D184" s="1989"/>
      <c r="E184" s="1989"/>
      <c r="F184" s="1989"/>
      <c r="G184" s="1989"/>
      <c r="H184" s="1989"/>
      <c r="I184" s="1989"/>
      <c r="J184" s="1989"/>
      <c r="K184" s="1989"/>
      <c r="L184" s="1989"/>
      <c r="M184" s="1989"/>
      <c r="N184" s="1989" t="s">
        <v>2039</v>
      </c>
      <c r="O184" s="1989"/>
      <c r="P184" s="1989"/>
      <c r="Q184" s="1989"/>
      <c r="R184" s="1989"/>
      <c r="S184" s="1989"/>
      <c r="T184" s="1989"/>
      <c r="U184" s="1940" t="s">
        <v>2026</v>
      </c>
      <c r="V184" s="1940"/>
      <c r="W184" s="1940"/>
      <c r="X184" s="1940"/>
      <c r="Y184" s="1940"/>
      <c r="Z184" s="1940"/>
      <c r="AA184" s="1940"/>
      <c r="AB184" s="1940"/>
      <c r="AC184" s="1940"/>
      <c r="AD184" s="1940"/>
      <c r="AE184" s="1941"/>
      <c r="AF184" s="900"/>
      <c r="AG184" s="900"/>
      <c r="AH184" s="2125"/>
      <c r="AI184" s="2125"/>
      <c r="AJ184" s="2125"/>
      <c r="AK184" s="2125"/>
      <c r="AL184" s="2125"/>
      <c r="AM184" s="2125"/>
      <c r="AN184" s="2125"/>
      <c r="AO184" s="2125"/>
      <c r="AP184" s="2125"/>
      <c r="AQ184" s="2125"/>
      <c r="AR184" s="2125"/>
      <c r="AS184" s="2125"/>
      <c r="AT184" s="2125"/>
      <c r="AU184" s="2125"/>
      <c r="AV184" s="2125"/>
      <c r="AW184" s="2125"/>
      <c r="AX184" s="2125"/>
      <c r="AY184" s="2125"/>
      <c r="AZ184" s="2125"/>
      <c r="BA184" s="2125"/>
      <c r="BB184" s="2125"/>
      <c r="BC184" s="2125"/>
      <c r="BD184" s="2125"/>
      <c r="BE184" s="2125"/>
    </row>
    <row r="185" spans="1:57" ht="15.75" customHeight="1">
      <c r="A185" s="900"/>
      <c r="B185" s="900"/>
      <c r="C185" s="2112" t="s">
        <v>2040</v>
      </c>
      <c r="D185" s="2113"/>
      <c r="E185" s="2113"/>
      <c r="F185" s="2113"/>
      <c r="G185" s="2113"/>
      <c r="H185" s="2113"/>
      <c r="I185" s="2113"/>
      <c r="J185" s="2113"/>
      <c r="K185" s="2113"/>
      <c r="L185" s="2113"/>
      <c r="M185" s="2113"/>
      <c r="N185" s="2114">
        <f>'Sources and Uses Budget'!B105</f>
        <v>88469408</v>
      </c>
      <c r="O185" s="2114"/>
      <c r="P185" s="2114"/>
      <c r="Q185" s="2114"/>
      <c r="R185" s="2114"/>
      <c r="S185" s="2114"/>
      <c r="T185" s="2114"/>
      <c r="U185" s="2126"/>
      <c r="V185" s="2126"/>
      <c r="W185" s="2126"/>
      <c r="X185" s="2126"/>
      <c r="Y185" s="2126"/>
      <c r="Z185" s="2126"/>
      <c r="AA185" s="2126"/>
      <c r="AB185" s="2126"/>
      <c r="AC185" s="2126"/>
      <c r="AD185" s="2126"/>
      <c r="AE185" s="2127"/>
      <c r="AF185" s="900"/>
      <c r="AG185" s="900"/>
      <c r="AH185" s="2125"/>
      <c r="AI185" s="2125"/>
      <c r="AJ185" s="2125"/>
      <c r="AK185" s="2125"/>
      <c r="AL185" s="2125"/>
      <c r="AM185" s="2125"/>
      <c r="AN185" s="2125"/>
      <c r="AO185" s="2125"/>
      <c r="AP185" s="2125"/>
      <c r="AQ185" s="2125"/>
      <c r="AR185" s="2125"/>
      <c r="AS185" s="2125"/>
      <c r="AT185" s="2125"/>
      <c r="AU185" s="2125"/>
      <c r="AV185" s="2125"/>
      <c r="AW185" s="2125"/>
      <c r="AX185" s="2125"/>
      <c r="AY185" s="2125"/>
      <c r="AZ185" s="2125"/>
      <c r="BA185" s="2125"/>
      <c r="BB185" s="2125"/>
      <c r="BC185" s="2125"/>
      <c r="BD185" s="2125"/>
      <c r="BE185" s="2125"/>
    </row>
    <row r="186" spans="1:57" ht="15.75" customHeight="1">
      <c r="A186" s="900"/>
      <c r="B186" s="900"/>
      <c r="C186" s="2112" t="s">
        <v>2041</v>
      </c>
      <c r="D186" s="2113"/>
      <c r="E186" s="2113"/>
      <c r="F186" s="2113"/>
      <c r="G186" s="2113"/>
      <c r="H186" s="2113"/>
      <c r="I186" s="2113"/>
      <c r="J186" s="2113"/>
      <c r="K186" s="2113"/>
      <c r="L186" s="2113"/>
      <c r="M186" s="2113"/>
      <c r="N186" s="2114">
        <f>N185/J29</f>
        <v>691167.25</v>
      </c>
      <c r="O186" s="2114"/>
      <c r="P186" s="2114"/>
      <c r="Q186" s="2114"/>
      <c r="R186" s="2114"/>
      <c r="S186" s="2114"/>
      <c r="T186" s="2114"/>
      <c r="U186" s="1185"/>
      <c r="V186" s="1185"/>
      <c r="W186" s="1185"/>
      <c r="X186" s="1185"/>
      <c r="Y186" s="1185"/>
      <c r="Z186" s="1185"/>
      <c r="AA186" s="1185"/>
      <c r="AB186" s="1185"/>
      <c r="AC186" s="1185"/>
      <c r="AD186" s="1185"/>
      <c r="AE186" s="1186"/>
      <c r="AF186" s="900"/>
      <c r="AG186" s="900"/>
      <c r="AH186" s="2125"/>
      <c r="AI186" s="2125"/>
      <c r="AJ186" s="2125"/>
      <c r="AK186" s="2125"/>
      <c r="AL186" s="2125"/>
      <c r="AM186" s="2125"/>
      <c r="AN186" s="2125"/>
      <c r="AO186" s="2125"/>
      <c r="AP186" s="2125"/>
      <c r="AQ186" s="2125"/>
      <c r="AR186" s="2125"/>
      <c r="AS186" s="2125"/>
      <c r="AT186" s="2125"/>
      <c r="AU186" s="2125"/>
      <c r="AV186" s="2125"/>
      <c r="AW186" s="2125"/>
      <c r="AX186" s="2125"/>
      <c r="AY186" s="2125"/>
      <c r="AZ186" s="2125"/>
      <c r="BA186" s="2125"/>
      <c r="BB186" s="2125"/>
      <c r="BC186" s="2125"/>
      <c r="BD186" s="2125"/>
      <c r="BE186" s="2125"/>
    </row>
    <row r="187" spans="1:57" ht="15.75" customHeight="1">
      <c r="A187" s="900"/>
      <c r="B187" s="900"/>
      <c r="C187" s="2128" t="s">
        <v>2042</v>
      </c>
      <c r="D187" s="2129"/>
      <c r="E187" s="2129"/>
      <c r="F187" s="2129"/>
      <c r="G187" s="2129"/>
      <c r="H187" s="2129"/>
      <c r="I187" s="2129"/>
      <c r="J187" s="2129"/>
      <c r="K187" s="2129"/>
      <c r="L187" s="2129"/>
      <c r="M187" s="2129"/>
      <c r="N187" s="1982">
        <v>0</v>
      </c>
      <c r="O187" s="1982"/>
      <c r="P187" s="1982"/>
      <c r="Q187" s="1982"/>
      <c r="R187" s="1982"/>
      <c r="S187" s="1982"/>
      <c r="T187" s="1982"/>
      <c r="U187" s="1958"/>
      <c r="V187" s="1958"/>
      <c r="W187" s="1958"/>
      <c r="X187" s="1958"/>
      <c r="Y187" s="1958"/>
      <c r="Z187" s="1958"/>
      <c r="AA187" s="1958"/>
      <c r="AB187" s="1958"/>
      <c r="AC187" s="1958"/>
      <c r="AD187" s="1958"/>
      <c r="AE187" s="1959"/>
      <c r="AF187" s="900"/>
      <c r="AG187" s="900"/>
      <c r="AH187" s="2125"/>
      <c r="AI187" s="2125"/>
      <c r="AJ187" s="2125"/>
      <c r="AK187" s="2125"/>
      <c r="AL187" s="2125"/>
      <c r="AM187" s="2125"/>
      <c r="AN187" s="2125"/>
      <c r="AO187" s="2125"/>
      <c r="AP187" s="2125"/>
      <c r="AQ187" s="2125"/>
      <c r="AR187" s="2125"/>
      <c r="AS187" s="2125"/>
      <c r="AT187" s="2125"/>
      <c r="AU187" s="2125"/>
      <c r="AV187" s="2125"/>
      <c r="AW187" s="2125"/>
      <c r="AX187" s="2125"/>
      <c r="AY187" s="2125"/>
      <c r="AZ187" s="2125"/>
      <c r="BA187" s="2125"/>
      <c r="BB187" s="2125"/>
      <c r="BC187" s="2125"/>
      <c r="BD187" s="2125"/>
      <c r="BE187" s="2125"/>
    </row>
    <row r="188" spans="1:57" ht="15.75" customHeight="1" thickBot="1">
      <c r="A188" s="900"/>
      <c r="B188" s="900"/>
      <c r="C188" s="2112" t="s">
        <v>2043</v>
      </c>
      <c r="D188" s="2113"/>
      <c r="E188" s="2113"/>
      <c r="F188" s="2113"/>
      <c r="G188" s="2113"/>
      <c r="H188" s="2113"/>
      <c r="I188" s="2113"/>
      <c r="J188" s="2113"/>
      <c r="K188" s="2113"/>
      <c r="L188" s="2113"/>
      <c r="M188" s="2113"/>
      <c r="N188" s="2130">
        <f>SUM('Sources and Uses Budget'!B85:B86)</f>
        <v>3200000</v>
      </c>
      <c r="O188" s="2130"/>
      <c r="P188" s="2130"/>
      <c r="Q188" s="2130"/>
      <c r="R188" s="2130"/>
      <c r="S188" s="2130"/>
      <c r="T188" s="2130"/>
      <c r="U188" s="1958"/>
      <c r="V188" s="1958"/>
      <c r="W188" s="1958"/>
      <c r="X188" s="1958"/>
      <c r="Y188" s="1958"/>
      <c r="Z188" s="1958"/>
      <c r="AA188" s="1958"/>
      <c r="AB188" s="1958"/>
      <c r="AC188" s="1958"/>
      <c r="AD188" s="1958"/>
      <c r="AE188" s="1959"/>
      <c r="AF188" s="900"/>
      <c r="AG188" s="900"/>
      <c r="AH188" s="2125"/>
      <c r="AI188" s="2125"/>
      <c r="AJ188" s="2125"/>
      <c r="AK188" s="2125"/>
      <c r="AL188" s="2125"/>
      <c r="AM188" s="2125"/>
      <c r="AN188" s="2125"/>
      <c r="AO188" s="2125"/>
      <c r="AP188" s="2125"/>
      <c r="AQ188" s="2125"/>
      <c r="AR188" s="2125"/>
      <c r="AS188" s="2125"/>
      <c r="AT188" s="2125"/>
      <c r="AU188" s="2125"/>
      <c r="AV188" s="2125"/>
      <c r="AW188" s="2125"/>
      <c r="AX188" s="2125"/>
      <c r="AY188" s="2125"/>
      <c r="AZ188" s="2125"/>
      <c r="BA188" s="2125"/>
      <c r="BB188" s="2125"/>
      <c r="BC188" s="2125"/>
      <c r="BD188" s="2125"/>
      <c r="BE188" s="2125"/>
    </row>
    <row r="189" spans="1:57" ht="15.75" customHeight="1" thickBot="1">
      <c r="A189" s="900"/>
      <c r="B189" s="900"/>
      <c r="C189" s="2112" t="s">
        <v>2044</v>
      </c>
      <c r="D189" s="2113"/>
      <c r="E189" s="2113"/>
      <c r="F189" s="2113"/>
      <c r="G189" s="2113"/>
      <c r="H189" s="2113"/>
      <c r="I189" s="2113"/>
      <c r="J189" s="2113"/>
      <c r="K189" s="2113"/>
      <c r="L189" s="2113"/>
      <c r="M189" s="2113"/>
      <c r="N189" s="2130">
        <f>'Sources and Uses Budget'!B8</f>
        <v>0</v>
      </c>
      <c r="O189" s="2130"/>
      <c r="P189" s="2130"/>
      <c r="Q189" s="2130"/>
      <c r="R189" s="2130"/>
      <c r="S189" s="2130"/>
      <c r="T189" s="2130"/>
      <c r="U189" s="1958"/>
      <c r="V189" s="1958"/>
      <c r="W189" s="1958"/>
      <c r="X189" s="1958"/>
      <c r="Y189" s="1958"/>
      <c r="Z189" s="1958"/>
      <c r="AA189" s="1958"/>
      <c r="AB189" s="1958"/>
      <c r="AC189" s="1958"/>
      <c r="AD189" s="1958"/>
      <c r="AE189" s="1959"/>
      <c r="AF189" s="900"/>
      <c r="AG189" s="900"/>
      <c r="AH189" s="2134" t="s">
        <v>1446</v>
      </c>
      <c r="AI189" s="2135"/>
      <c r="AJ189" s="2135"/>
      <c r="AK189" s="2135"/>
      <c r="AL189" s="2135"/>
      <c r="AM189" s="2135"/>
      <c r="AN189" s="2135"/>
      <c r="AO189" s="2135"/>
      <c r="AP189" s="2135"/>
      <c r="AQ189" s="2135"/>
      <c r="AR189" s="2135"/>
      <c r="AS189" s="2135"/>
      <c r="AT189" s="2135"/>
      <c r="AU189" s="2135"/>
      <c r="AV189" s="2135"/>
      <c r="AW189" s="2135"/>
      <c r="AX189" s="2135"/>
      <c r="AY189" s="2135"/>
      <c r="AZ189" s="2135"/>
      <c r="BA189" s="2135"/>
      <c r="BB189" s="2135"/>
      <c r="BC189" s="2135"/>
      <c r="BD189" s="2135"/>
      <c r="BE189" s="2136"/>
    </row>
    <row r="190" spans="1:57" ht="15.75" customHeight="1">
      <c r="A190" s="900"/>
      <c r="B190" s="900"/>
      <c r="C190" s="2112" t="s">
        <v>2045</v>
      </c>
      <c r="D190" s="2113"/>
      <c r="E190" s="2113"/>
      <c r="F190" s="2113"/>
      <c r="G190" s="2113"/>
      <c r="H190" s="2113"/>
      <c r="I190" s="2113"/>
      <c r="J190" s="2113"/>
      <c r="K190" s="2113"/>
      <c r="L190" s="2113"/>
      <c r="M190" s="2113"/>
      <c r="N190" s="2121">
        <v>0</v>
      </c>
      <c r="O190" s="2121"/>
      <c r="P190" s="2121"/>
      <c r="Q190" s="2121"/>
      <c r="R190" s="2121"/>
      <c r="S190" s="2121"/>
      <c r="T190" s="2121"/>
      <c r="U190" s="1958"/>
      <c r="V190" s="1958"/>
      <c r="W190" s="1958"/>
      <c r="X190" s="1958"/>
      <c r="Y190" s="1958"/>
      <c r="Z190" s="1958"/>
      <c r="AA190" s="1958"/>
      <c r="AB190" s="1958"/>
      <c r="AC190" s="1958"/>
      <c r="AD190" s="1958"/>
      <c r="AE190" s="1959"/>
      <c r="AF190" s="900"/>
      <c r="AG190" s="900"/>
      <c r="AH190" s="2137" t="s">
        <v>1446</v>
      </c>
      <c r="AI190" s="2138"/>
      <c r="AJ190" s="2138"/>
      <c r="AK190" s="2138"/>
      <c r="AL190" s="2138"/>
      <c r="AM190" s="2138"/>
      <c r="AN190" s="2138"/>
      <c r="AO190" s="2138"/>
      <c r="AP190" s="2138"/>
      <c r="AQ190" s="2138"/>
      <c r="AR190" s="2138"/>
      <c r="AS190" s="2138"/>
      <c r="AT190" s="2138"/>
      <c r="AU190" s="2139">
        <v>0</v>
      </c>
      <c r="AV190" s="2139"/>
      <c r="AW190" s="2139"/>
      <c r="AX190" s="2139"/>
      <c r="AY190" s="2139"/>
      <c r="AZ190" s="2139"/>
      <c r="BA190" s="2139"/>
      <c r="BB190" s="2139"/>
      <c r="BC190" s="2140"/>
      <c r="BD190" s="2141"/>
      <c r="BE190" s="2142"/>
    </row>
    <row r="191" spans="1:57" ht="15.75" customHeight="1">
      <c r="A191" s="900"/>
      <c r="B191" s="900"/>
      <c r="C191" s="2112" t="s">
        <v>2046</v>
      </c>
      <c r="D191" s="2113"/>
      <c r="E191" s="2113"/>
      <c r="F191" s="2113"/>
      <c r="G191" s="2113"/>
      <c r="H191" s="2113"/>
      <c r="I191" s="2113"/>
      <c r="J191" s="2113"/>
      <c r="K191" s="2113"/>
      <c r="L191" s="2113"/>
      <c r="M191" s="2113"/>
      <c r="N191" s="2121">
        <v>0</v>
      </c>
      <c r="O191" s="2121"/>
      <c r="P191" s="2121"/>
      <c r="Q191" s="2121"/>
      <c r="R191" s="2121"/>
      <c r="S191" s="2121"/>
      <c r="T191" s="2121"/>
      <c r="U191" s="1958"/>
      <c r="V191" s="1958"/>
      <c r="W191" s="1958"/>
      <c r="X191" s="1958"/>
      <c r="Y191" s="1958"/>
      <c r="Z191" s="1958"/>
      <c r="AA191" s="1958"/>
      <c r="AB191" s="1958"/>
      <c r="AC191" s="1958"/>
      <c r="AD191" s="1958"/>
      <c r="AE191" s="1959"/>
      <c r="AF191" s="900"/>
      <c r="AG191" s="900"/>
      <c r="AH191" s="2122" t="s">
        <v>2047</v>
      </c>
      <c r="AI191" s="2123"/>
      <c r="AJ191" s="2123"/>
      <c r="AK191" s="2123"/>
      <c r="AL191" s="2123"/>
      <c r="AM191" s="2123"/>
      <c r="AN191" s="2123"/>
      <c r="AO191" s="2123"/>
      <c r="AP191" s="2123"/>
      <c r="AQ191" s="2123"/>
      <c r="AR191" s="2123"/>
      <c r="AS191" s="2123"/>
      <c r="AT191" s="2123"/>
      <c r="AU191" s="2124"/>
      <c r="AV191" s="2124"/>
      <c r="AW191" s="2124"/>
      <c r="AX191" s="2124"/>
      <c r="AY191" s="2124"/>
      <c r="AZ191" s="2124"/>
      <c r="BA191" s="2124"/>
      <c r="BB191" s="2124"/>
      <c r="BC191" s="2131"/>
      <c r="BD191" s="2132"/>
      <c r="BE191" s="2133"/>
    </row>
    <row r="192" spans="1:57" ht="15.75" customHeight="1">
      <c r="A192" s="900"/>
      <c r="B192" s="900"/>
      <c r="C192" s="2147" t="s">
        <v>1052</v>
      </c>
      <c r="D192" s="2090"/>
      <c r="E192" s="2143" t="s">
        <v>2033</v>
      </c>
      <c r="F192" s="2143"/>
      <c r="G192" s="2143"/>
      <c r="H192" s="2143"/>
      <c r="I192" s="2143"/>
      <c r="J192" s="2143"/>
      <c r="K192" s="2143"/>
      <c r="L192" s="2143"/>
      <c r="M192" s="2143"/>
      <c r="N192" s="2121">
        <v>0</v>
      </c>
      <c r="O192" s="2121"/>
      <c r="P192" s="2121"/>
      <c r="Q192" s="2121"/>
      <c r="R192" s="2121"/>
      <c r="S192" s="2121"/>
      <c r="T192" s="2121"/>
      <c r="U192" s="1958"/>
      <c r="V192" s="1958"/>
      <c r="W192" s="1958"/>
      <c r="X192" s="1958"/>
      <c r="Y192" s="1958"/>
      <c r="Z192" s="1958"/>
      <c r="AA192" s="1958"/>
      <c r="AB192" s="1958"/>
      <c r="AC192" s="1958"/>
      <c r="AD192" s="1958"/>
      <c r="AE192" s="1959"/>
      <c r="AF192" s="900"/>
      <c r="AG192" s="900"/>
      <c r="AH192" s="2148" t="s">
        <v>2048</v>
      </c>
      <c r="AI192" s="2149"/>
      <c r="AJ192" s="2149"/>
      <c r="AK192" s="2149"/>
      <c r="AL192" s="2149"/>
      <c r="AM192" s="2149"/>
      <c r="AN192" s="2149"/>
      <c r="AO192" s="2149"/>
      <c r="AP192" s="2149"/>
      <c r="AQ192" s="2149"/>
      <c r="AR192" s="2149"/>
      <c r="AS192" s="2149"/>
      <c r="AT192" s="2149"/>
      <c r="AU192" s="2150">
        <f>SUM(AU190:BB191)</f>
        <v>0</v>
      </c>
      <c r="AV192" s="2150"/>
      <c r="AW192" s="2150"/>
      <c r="AX192" s="2150"/>
      <c r="AY192" s="2150"/>
      <c r="AZ192" s="2150"/>
      <c r="BA192" s="2150"/>
      <c r="BB192" s="2150"/>
      <c r="BC192" s="2131"/>
      <c r="BD192" s="2132"/>
      <c r="BE192" s="2133"/>
    </row>
    <row r="193" spans="1:57" ht="15.75" customHeight="1" thickBot="1">
      <c r="A193" s="900"/>
      <c r="B193" s="900"/>
      <c r="C193" s="2014" t="s">
        <v>1052</v>
      </c>
      <c r="D193" s="1946"/>
      <c r="E193" s="2143" t="s">
        <v>2033</v>
      </c>
      <c r="F193" s="2143"/>
      <c r="G193" s="2143"/>
      <c r="H193" s="2143"/>
      <c r="I193" s="2143"/>
      <c r="J193" s="2143"/>
      <c r="K193" s="2143"/>
      <c r="L193" s="2143"/>
      <c r="M193" s="2143"/>
      <c r="N193" s="2121">
        <v>0</v>
      </c>
      <c r="O193" s="2121"/>
      <c r="P193" s="2121"/>
      <c r="Q193" s="2121"/>
      <c r="R193" s="2121"/>
      <c r="S193" s="2121"/>
      <c r="T193" s="2121"/>
      <c r="U193" s="1958"/>
      <c r="V193" s="1958"/>
      <c r="W193" s="1958"/>
      <c r="X193" s="1958"/>
      <c r="Y193" s="1958"/>
      <c r="Z193" s="1958"/>
      <c r="AA193" s="1958"/>
      <c r="AB193" s="1958"/>
      <c r="AC193" s="1958"/>
      <c r="AD193" s="1958"/>
      <c r="AE193" s="1959"/>
      <c r="AF193" s="900"/>
      <c r="AG193" s="900"/>
      <c r="AH193" s="936"/>
      <c r="AI193" s="937"/>
      <c r="AJ193" s="937"/>
      <c r="AK193" s="937"/>
      <c r="AL193" s="937"/>
      <c r="AM193" s="937"/>
      <c r="AN193" s="937"/>
      <c r="AO193" s="937"/>
      <c r="AP193" s="937"/>
      <c r="AQ193" s="937"/>
      <c r="AR193" s="937"/>
      <c r="AS193" s="937"/>
      <c r="AT193" s="937"/>
      <c r="AU193" s="937"/>
      <c r="AV193" s="937"/>
      <c r="AW193" s="937"/>
      <c r="AX193" s="937"/>
      <c r="AY193" s="937"/>
      <c r="AZ193" s="937"/>
      <c r="BA193" s="937"/>
      <c r="BB193" s="937"/>
      <c r="BC193" s="2144"/>
      <c r="BD193" s="2145"/>
      <c r="BE193" s="2146"/>
    </row>
    <row r="194" spans="1:57" ht="15.75" customHeight="1" thickBot="1">
      <c r="A194" s="900"/>
      <c r="B194" s="900"/>
      <c r="C194" s="2168" t="s">
        <v>1052</v>
      </c>
      <c r="D194" s="2169"/>
      <c r="E194" s="2170" t="s">
        <v>2033</v>
      </c>
      <c r="F194" s="2170"/>
      <c r="G194" s="2170"/>
      <c r="H194" s="2170"/>
      <c r="I194" s="2170"/>
      <c r="J194" s="2170"/>
      <c r="K194" s="2170"/>
      <c r="L194" s="2170"/>
      <c r="M194" s="2171"/>
      <c r="N194" s="2172">
        <v>0</v>
      </c>
      <c r="O194" s="2172"/>
      <c r="P194" s="2172"/>
      <c r="Q194" s="2172"/>
      <c r="R194" s="2172"/>
      <c r="S194" s="2172"/>
      <c r="T194" s="2173"/>
      <c r="U194" s="2174"/>
      <c r="V194" s="2175"/>
      <c r="W194" s="2175"/>
      <c r="X194" s="2175"/>
      <c r="Y194" s="2175"/>
      <c r="Z194" s="2175"/>
      <c r="AA194" s="2175"/>
      <c r="AB194" s="2175"/>
      <c r="AC194" s="2175"/>
      <c r="AD194" s="2175"/>
      <c r="AE194" s="2176"/>
      <c r="AF194" s="900"/>
      <c r="AG194" s="900"/>
      <c r="AH194" s="2177" t="s">
        <v>2049</v>
      </c>
      <c r="AI194" s="2178"/>
      <c r="AJ194" s="2178"/>
      <c r="AK194" s="2178"/>
      <c r="AL194" s="2178"/>
      <c r="AM194" s="2178"/>
      <c r="AN194" s="2178"/>
      <c r="AO194" s="2178"/>
      <c r="AP194" s="2178"/>
      <c r="AQ194" s="2178"/>
      <c r="AR194" s="2178"/>
      <c r="AS194" s="2178"/>
      <c r="AT194" s="2178"/>
      <c r="AU194" s="2179"/>
      <c r="AV194" s="2179"/>
      <c r="AW194" s="2179"/>
      <c r="AX194" s="2179"/>
      <c r="AY194" s="2179"/>
      <c r="AZ194" s="2179"/>
      <c r="BA194" s="2179"/>
      <c r="BB194" s="2179"/>
      <c r="BC194" s="882"/>
      <c r="BD194" s="882"/>
      <c r="BE194" s="938"/>
    </row>
    <row r="195" spans="1:57" ht="15.75" customHeight="1">
      <c r="A195" s="900"/>
      <c r="B195" s="900"/>
      <c r="C195" s="2151" t="s">
        <v>2050</v>
      </c>
      <c r="D195" s="2152"/>
      <c r="E195" s="2152"/>
      <c r="F195" s="2152"/>
      <c r="G195" s="2152"/>
      <c r="H195" s="2152"/>
      <c r="I195" s="2152"/>
      <c r="J195" s="2152"/>
      <c r="K195" s="2152"/>
      <c r="L195" s="2152"/>
      <c r="M195" s="2152"/>
      <c r="N195" s="2153">
        <f>SUM(N187:T194)</f>
        <v>3200000</v>
      </c>
      <c r="O195" s="2153"/>
      <c r="P195" s="2153"/>
      <c r="Q195" s="2153"/>
      <c r="R195" s="2153"/>
      <c r="S195" s="2153"/>
      <c r="T195" s="2154"/>
      <c r="U195" s="900"/>
      <c r="V195" s="900"/>
      <c r="W195" s="900"/>
      <c r="X195" s="900"/>
      <c r="Y195" s="900"/>
      <c r="Z195" s="900"/>
      <c r="AA195" s="900"/>
      <c r="AB195" s="900"/>
      <c r="AC195" s="900"/>
      <c r="AD195" s="900"/>
      <c r="AE195" s="900"/>
      <c r="AF195" s="900"/>
      <c r="AG195" s="900"/>
      <c r="AH195" s="2155" t="s">
        <v>2051</v>
      </c>
      <c r="AI195" s="2156"/>
      <c r="AJ195" s="2156"/>
      <c r="AK195" s="2156"/>
      <c r="AL195" s="2156"/>
      <c r="AM195" s="2156"/>
      <c r="AN195" s="2156"/>
      <c r="AO195" s="2156"/>
      <c r="AP195" s="2156"/>
      <c r="AQ195" s="2156"/>
      <c r="AR195" s="2156"/>
      <c r="AS195" s="2156"/>
      <c r="AT195" s="2156"/>
      <c r="AU195" s="2156"/>
      <c r="AV195" s="2156"/>
      <c r="AW195" s="2156"/>
      <c r="AX195" s="2156"/>
      <c r="AY195" s="2156"/>
      <c r="AZ195" s="2156"/>
      <c r="BA195" s="2156"/>
      <c r="BB195" s="2156"/>
      <c r="BC195" s="2156"/>
      <c r="BD195" s="2156"/>
      <c r="BE195" s="2157"/>
    </row>
    <row r="196" spans="1:57" ht="15.75" customHeight="1" thickBot="1">
      <c r="A196" s="900"/>
      <c r="B196" s="900"/>
      <c r="C196" s="2161" t="s">
        <v>2052</v>
      </c>
      <c r="D196" s="2162"/>
      <c r="E196" s="2162"/>
      <c r="F196" s="2162"/>
      <c r="G196" s="2162"/>
      <c r="H196" s="2162"/>
      <c r="I196" s="2162"/>
      <c r="J196" s="2162"/>
      <c r="K196" s="2162"/>
      <c r="L196" s="2162"/>
      <c r="M196" s="2162"/>
      <c r="N196" s="2163">
        <f>(N185-N195)/J29</f>
        <v>666167.25</v>
      </c>
      <c r="O196" s="2164"/>
      <c r="P196" s="2164"/>
      <c r="Q196" s="2164"/>
      <c r="R196" s="2164"/>
      <c r="S196" s="2164"/>
      <c r="T196" s="2165"/>
      <c r="U196" s="904"/>
      <c r="V196" s="900"/>
      <c r="W196" s="900"/>
      <c r="X196" s="900"/>
      <c r="Y196" s="900"/>
      <c r="Z196" s="900"/>
      <c r="AA196" s="900"/>
      <c r="AB196" s="900"/>
      <c r="AC196" s="900"/>
      <c r="AD196" s="900"/>
      <c r="AE196" s="900"/>
      <c r="AF196" s="900"/>
      <c r="AG196" s="900"/>
      <c r="AH196" s="2158"/>
      <c r="AI196" s="2159"/>
      <c r="AJ196" s="2159"/>
      <c r="AK196" s="2159"/>
      <c r="AL196" s="2159"/>
      <c r="AM196" s="2159"/>
      <c r="AN196" s="2159"/>
      <c r="AO196" s="2159"/>
      <c r="AP196" s="2159"/>
      <c r="AQ196" s="2159"/>
      <c r="AR196" s="2159"/>
      <c r="AS196" s="2159"/>
      <c r="AT196" s="2159"/>
      <c r="AU196" s="2159"/>
      <c r="AV196" s="2159"/>
      <c r="AW196" s="2159"/>
      <c r="AX196" s="2159"/>
      <c r="AY196" s="2159"/>
      <c r="AZ196" s="2159"/>
      <c r="BA196" s="2159"/>
      <c r="BB196" s="2159"/>
      <c r="BC196" s="2159"/>
      <c r="BD196" s="2159"/>
      <c r="BE196" s="2160"/>
    </row>
    <row r="197" spans="1:57" ht="15.75" customHeight="1">
      <c r="A197" s="900"/>
      <c r="B197" s="900"/>
      <c r="C197" s="900"/>
      <c r="D197" s="900"/>
      <c r="E197" s="900"/>
      <c r="F197" s="900"/>
      <c r="G197" s="900"/>
      <c r="H197" s="900"/>
      <c r="I197" s="900"/>
      <c r="J197" s="900"/>
      <c r="K197" s="900"/>
      <c r="L197" s="900"/>
      <c r="M197" s="900"/>
      <c r="N197" s="900"/>
      <c r="O197" s="900"/>
      <c r="P197" s="900"/>
      <c r="Q197" s="900"/>
      <c r="R197" s="900"/>
      <c r="S197" s="900"/>
      <c r="T197" s="900"/>
      <c r="U197" s="900"/>
      <c r="V197" s="900"/>
      <c r="W197" s="900"/>
      <c r="X197" s="900"/>
      <c r="Y197" s="900"/>
      <c r="Z197" s="900"/>
      <c r="AA197" s="900"/>
      <c r="AB197" s="900"/>
      <c r="AC197" s="900"/>
      <c r="AD197" s="900"/>
      <c r="AE197" s="900"/>
      <c r="AF197" s="900"/>
      <c r="AG197" s="900"/>
      <c r="AH197" s="2166"/>
      <c r="AI197" s="2166"/>
      <c r="AJ197" s="2166"/>
      <c r="AK197" s="2166"/>
      <c r="AL197" s="2166"/>
      <c r="AM197" s="2166"/>
      <c r="AN197" s="2166"/>
      <c r="AO197" s="2166"/>
      <c r="AP197" s="2166"/>
      <c r="AQ197" s="2166"/>
      <c r="AR197" s="2166"/>
      <c r="AS197" s="2167"/>
      <c r="AT197" s="2167"/>
      <c r="AU197" s="2167"/>
      <c r="AV197" s="2167"/>
      <c r="AW197" s="2167"/>
      <c r="AX197" s="2167"/>
      <c r="AY197" s="2167"/>
      <c r="AZ197" s="2167"/>
      <c r="BA197" s="2167"/>
      <c r="BB197" s="2167"/>
      <c r="BC197" s="2167"/>
      <c r="BD197" s="2167"/>
      <c r="BE197" s="903"/>
    </row>
    <row r="198" spans="1:57" ht="15.75" customHeight="1" thickBot="1">
      <c r="A198" s="900"/>
      <c r="B198" s="900"/>
      <c r="C198" s="900"/>
      <c r="D198" s="900"/>
      <c r="E198" s="900"/>
      <c r="F198" s="900"/>
      <c r="G198" s="900"/>
      <c r="H198" s="900"/>
      <c r="I198" s="900"/>
      <c r="J198" s="900"/>
      <c r="K198" s="900"/>
      <c r="L198" s="900"/>
      <c r="M198" s="900"/>
      <c r="N198" s="900"/>
      <c r="O198" s="900"/>
      <c r="P198" s="900"/>
      <c r="Q198" s="900"/>
      <c r="R198" s="900"/>
      <c r="S198" s="900"/>
      <c r="T198" s="900"/>
      <c r="U198" s="900"/>
      <c r="V198" s="900"/>
      <c r="W198" s="900"/>
      <c r="X198" s="900"/>
      <c r="Y198" s="900"/>
      <c r="Z198" s="900"/>
      <c r="AA198" s="900"/>
      <c r="AB198" s="900"/>
      <c r="AC198" s="900"/>
      <c r="AD198" s="900"/>
      <c r="AE198" s="900"/>
      <c r="AF198" s="900"/>
      <c r="AG198" s="900"/>
      <c r="AH198" s="900"/>
      <c r="AI198" s="900"/>
      <c r="AJ198" s="900"/>
      <c r="AK198" s="900"/>
      <c r="AL198" s="900"/>
      <c r="AM198" s="900"/>
      <c r="AN198" s="900"/>
      <c r="AO198" s="900"/>
      <c r="AP198" s="900"/>
      <c r="AQ198" s="900"/>
      <c r="AR198" s="900"/>
      <c r="AS198" s="900"/>
      <c r="AT198" s="900"/>
      <c r="AU198" s="900"/>
      <c r="AV198" s="900"/>
      <c r="AW198" s="900"/>
      <c r="AX198" s="900"/>
      <c r="AY198" s="900"/>
      <c r="AZ198" s="900"/>
      <c r="BA198" s="900"/>
      <c r="BB198" s="900"/>
      <c r="BC198" s="900"/>
      <c r="BD198" s="900"/>
      <c r="BE198" s="903"/>
    </row>
    <row r="199" spans="1:57" ht="15.75" customHeight="1" thickBot="1">
      <c r="A199" s="900"/>
      <c r="B199" s="900"/>
      <c r="C199" s="2185" t="s">
        <v>2053</v>
      </c>
      <c r="D199" s="2186"/>
      <c r="E199" s="2186"/>
      <c r="F199" s="2186"/>
      <c r="G199" s="2186"/>
      <c r="H199" s="2186"/>
      <c r="I199" s="2186"/>
      <c r="J199" s="2186"/>
      <c r="K199" s="2186"/>
      <c r="L199" s="2186"/>
      <c r="M199" s="2186"/>
      <c r="N199" s="2186"/>
      <c r="O199" s="2186"/>
      <c r="P199" s="2186"/>
      <c r="Q199" s="2186"/>
      <c r="R199" s="2186"/>
      <c r="S199" s="2186"/>
      <c r="T199" s="2186"/>
      <c r="U199" s="2186"/>
      <c r="V199" s="2186"/>
      <c r="W199" s="2186"/>
      <c r="X199" s="2186"/>
      <c r="Y199" s="2186"/>
      <c r="Z199" s="2186"/>
      <c r="AA199" s="2186"/>
      <c r="AB199" s="2186"/>
      <c r="AC199" s="2186"/>
      <c r="AD199" s="2186"/>
      <c r="AE199" s="2187"/>
      <c r="AF199" s="900"/>
      <c r="AG199" s="900"/>
      <c r="AH199" s="900"/>
      <c r="AI199" s="900"/>
      <c r="AJ199" s="900"/>
      <c r="AK199" s="900"/>
      <c r="AL199" s="900"/>
      <c r="AM199" s="900"/>
      <c r="AN199" s="900"/>
      <c r="AO199" s="900"/>
      <c r="AP199" s="900"/>
      <c r="AQ199" s="900"/>
      <c r="AR199" s="900"/>
      <c r="AS199" s="900"/>
      <c r="AT199" s="900"/>
      <c r="AU199" s="900"/>
      <c r="AV199" s="900"/>
      <c r="AW199" s="900"/>
      <c r="AX199" s="900"/>
      <c r="AY199" s="900"/>
      <c r="AZ199" s="900"/>
      <c r="BA199" s="900"/>
      <c r="BB199" s="900"/>
      <c r="BC199" s="900"/>
      <c r="BD199" s="900"/>
      <c r="BE199" s="903"/>
    </row>
    <row r="200" spans="1:57" ht="15.75" customHeight="1">
      <c r="A200" s="900"/>
      <c r="B200" s="900"/>
      <c r="C200" s="2188" t="s">
        <v>2054</v>
      </c>
      <c r="D200" s="2188"/>
      <c r="E200" s="2188"/>
      <c r="F200" s="2188"/>
      <c r="G200" s="2188"/>
      <c r="H200" s="2188"/>
      <c r="I200" s="2188"/>
      <c r="J200" s="2188"/>
      <c r="K200" s="2188"/>
      <c r="L200" s="2188"/>
      <c r="M200" s="2188"/>
      <c r="N200" s="2188"/>
      <c r="O200" s="2189" t="s">
        <v>2055</v>
      </c>
      <c r="P200" s="2189"/>
      <c r="Q200" s="2189"/>
      <c r="R200" s="2189"/>
      <c r="S200" s="2189"/>
      <c r="T200" s="2189"/>
      <c r="U200" s="2189"/>
      <c r="V200" s="2189"/>
      <c r="W200" s="2189"/>
      <c r="X200" s="2189" t="s">
        <v>2056</v>
      </c>
      <c r="Y200" s="2189"/>
      <c r="Z200" s="2189"/>
      <c r="AA200" s="2189"/>
      <c r="AB200" s="2189"/>
      <c r="AC200" s="2189"/>
      <c r="AD200" s="2189"/>
      <c r="AE200" s="2189"/>
      <c r="AF200" s="900"/>
      <c r="AG200" s="900"/>
      <c r="AH200" s="900"/>
      <c r="AI200" s="900"/>
      <c r="AJ200" s="900"/>
      <c r="AK200" s="900"/>
      <c r="AL200" s="900"/>
      <c r="AM200" s="900"/>
      <c r="AN200" s="900"/>
      <c r="AO200" s="900"/>
      <c r="AP200" s="900"/>
      <c r="AQ200" s="900"/>
      <c r="AR200" s="900"/>
      <c r="AS200" s="900"/>
      <c r="AT200" s="900"/>
      <c r="AU200" s="900"/>
      <c r="AV200" s="900"/>
      <c r="AW200" s="900"/>
      <c r="AX200" s="900"/>
      <c r="AY200" s="900"/>
      <c r="AZ200" s="900"/>
      <c r="BA200" s="900"/>
      <c r="BB200" s="900"/>
      <c r="BC200" s="900"/>
      <c r="BD200" s="900"/>
      <c r="BE200" s="903"/>
    </row>
    <row r="201" spans="1:57" ht="15.75" customHeight="1">
      <c r="A201" s="900"/>
      <c r="B201" s="900"/>
      <c r="C201" s="2180" t="s">
        <v>2057</v>
      </c>
      <c r="D201" s="2180"/>
      <c r="E201" s="2180"/>
      <c r="F201" s="2180"/>
      <c r="G201" s="2180"/>
      <c r="H201" s="2180"/>
      <c r="I201" s="2180"/>
      <c r="J201" s="2180"/>
      <c r="K201" s="2180"/>
      <c r="L201" s="2180"/>
      <c r="M201" s="2180"/>
      <c r="N201" s="2180"/>
      <c r="O201" s="2181" t="s">
        <v>2058</v>
      </c>
      <c r="P201" s="2181"/>
      <c r="Q201" s="2181"/>
      <c r="R201" s="2181"/>
      <c r="S201" s="2181"/>
      <c r="T201" s="2181"/>
      <c r="U201" s="2181"/>
      <c r="V201" s="2181"/>
      <c r="W201" s="2181"/>
      <c r="X201" s="2182">
        <v>0.03</v>
      </c>
      <c r="Y201" s="2182"/>
      <c r="Z201" s="2182"/>
      <c r="AA201" s="2182"/>
      <c r="AB201" s="2182"/>
      <c r="AC201" s="2182"/>
      <c r="AD201" s="2182"/>
      <c r="AE201" s="2182"/>
      <c r="AF201" s="900"/>
      <c r="AG201" s="900"/>
      <c r="AH201" s="900"/>
      <c r="AI201" s="900"/>
      <c r="AJ201" s="900"/>
      <c r="AK201" s="900"/>
      <c r="AL201" s="900"/>
      <c r="AM201" s="900"/>
      <c r="AN201" s="900"/>
      <c r="AO201" s="900"/>
      <c r="AP201" s="900"/>
      <c r="AQ201" s="900"/>
      <c r="AR201" s="900"/>
      <c r="AS201" s="900"/>
      <c r="AT201" s="900"/>
      <c r="AU201" s="900"/>
      <c r="AV201" s="900"/>
      <c r="AW201" s="900"/>
      <c r="AX201" s="900"/>
      <c r="AY201" s="900"/>
      <c r="AZ201" s="900"/>
      <c r="BA201" s="900"/>
      <c r="BB201" s="900"/>
      <c r="BC201" s="900"/>
      <c r="BD201" s="900"/>
      <c r="BE201" s="903"/>
    </row>
    <row r="202" spans="1:57" ht="15.75" customHeight="1">
      <c r="A202" s="900"/>
      <c r="B202" s="900"/>
      <c r="C202" s="2180" t="s">
        <v>2059</v>
      </c>
      <c r="D202" s="2180"/>
      <c r="E202" s="2180"/>
      <c r="F202" s="2180"/>
      <c r="G202" s="2180"/>
      <c r="H202" s="2180"/>
      <c r="I202" s="2180"/>
      <c r="J202" s="2180"/>
      <c r="K202" s="2180"/>
      <c r="L202" s="2180"/>
      <c r="M202" s="2180"/>
      <c r="N202" s="2180"/>
      <c r="O202" s="2181" t="s">
        <v>2058</v>
      </c>
      <c r="P202" s="2181"/>
      <c r="Q202" s="2181"/>
      <c r="R202" s="2181"/>
      <c r="S202" s="2181"/>
      <c r="T202" s="2181"/>
      <c r="U202" s="2181"/>
      <c r="V202" s="2181"/>
      <c r="W202" s="2181"/>
      <c r="X202" s="2182">
        <v>0.03</v>
      </c>
      <c r="Y202" s="2182"/>
      <c r="Z202" s="2182"/>
      <c r="AA202" s="2182"/>
      <c r="AB202" s="2182"/>
      <c r="AC202" s="2182"/>
      <c r="AD202" s="2182"/>
      <c r="AE202" s="2182"/>
      <c r="AF202" s="900"/>
      <c r="AG202" s="900"/>
      <c r="AH202" s="900"/>
      <c r="AI202" s="900"/>
      <c r="AJ202" s="900"/>
      <c r="AK202" s="900"/>
      <c r="AL202" s="900"/>
      <c r="AM202" s="900"/>
      <c r="AN202" s="900"/>
      <c r="AO202" s="900"/>
      <c r="AP202" s="900"/>
      <c r="AQ202" s="900"/>
      <c r="AR202" s="900"/>
      <c r="AS202" s="900"/>
      <c r="AT202" s="900"/>
      <c r="AU202" s="900"/>
      <c r="AV202" s="900"/>
      <c r="AW202" s="900"/>
      <c r="AX202" s="900"/>
      <c r="AY202" s="900"/>
      <c r="AZ202" s="900"/>
      <c r="BA202" s="900"/>
      <c r="BB202" s="900"/>
      <c r="BC202" s="900"/>
      <c r="BD202" s="900"/>
      <c r="BE202" s="903"/>
    </row>
    <row r="203" spans="1:57" ht="15.75" customHeight="1">
      <c r="A203" s="900"/>
      <c r="B203" s="900"/>
      <c r="C203" s="2180" t="s">
        <v>2060</v>
      </c>
      <c r="D203" s="2180"/>
      <c r="E203" s="2180"/>
      <c r="F203" s="2180"/>
      <c r="G203" s="2180"/>
      <c r="H203" s="2180"/>
      <c r="I203" s="2180"/>
      <c r="J203" s="2180"/>
      <c r="K203" s="2180"/>
      <c r="L203" s="2180"/>
      <c r="M203" s="2180"/>
      <c r="N203" s="2180"/>
      <c r="O203" s="2183">
        <f>SUM(O201:W202)</f>
        <v>0</v>
      </c>
      <c r="P203" s="2184"/>
      <c r="Q203" s="2184"/>
      <c r="R203" s="2184"/>
      <c r="S203" s="2184"/>
      <c r="T203" s="2184"/>
      <c r="U203" s="2184"/>
      <c r="V203" s="2184"/>
      <c r="W203" s="2184"/>
      <c r="X203" s="2184" t="s">
        <v>2061</v>
      </c>
      <c r="Y203" s="2184"/>
      <c r="Z203" s="2184"/>
      <c r="AA203" s="2184"/>
      <c r="AB203" s="2184"/>
      <c r="AC203" s="2184"/>
      <c r="AD203" s="2184"/>
      <c r="AE203" s="2184"/>
      <c r="AF203" s="900"/>
      <c r="AG203" s="900"/>
      <c r="AH203" s="900"/>
      <c r="AI203" s="900"/>
      <c r="AJ203" s="900"/>
      <c r="AK203" s="900"/>
      <c r="AL203" s="900"/>
      <c r="AM203" s="900"/>
      <c r="AN203" s="900"/>
      <c r="AO203" s="900"/>
      <c r="AP203" s="900"/>
      <c r="AQ203" s="900"/>
      <c r="AR203" s="900"/>
      <c r="AS203" s="900"/>
      <c r="AT203" s="900"/>
      <c r="AU203" s="900"/>
      <c r="AV203" s="900"/>
      <c r="AW203" s="900"/>
      <c r="AX203" s="900"/>
      <c r="AY203" s="900"/>
      <c r="AZ203" s="900"/>
      <c r="BA203" s="900"/>
      <c r="BB203" s="900"/>
      <c r="BC203" s="900"/>
      <c r="BD203" s="900"/>
      <c r="BE203" s="903"/>
    </row>
    <row r="204" spans="1:57" ht="15.75" customHeight="1">
      <c r="A204" s="900"/>
      <c r="B204" s="900"/>
      <c r="C204" s="2190" t="s">
        <v>2062</v>
      </c>
      <c r="D204" s="2190"/>
      <c r="E204" s="2190"/>
      <c r="F204" s="2190"/>
      <c r="G204" s="2190"/>
      <c r="H204" s="2190"/>
      <c r="I204" s="2190"/>
      <c r="J204" s="2190"/>
      <c r="K204" s="2190"/>
      <c r="L204" s="2190"/>
      <c r="M204" s="2190"/>
      <c r="N204" s="2190"/>
      <c r="O204" s="2190"/>
      <c r="P204" s="2190"/>
      <c r="Q204" s="2190"/>
      <c r="R204" s="2190"/>
      <c r="S204" s="2190"/>
      <c r="T204" s="2190"/>
      <c r="U204" s="2190"/>
      <c r="V204" s="2190"/>
      <c r="W204" s="2190"/>
      <c r="X204" s="2190"/>
      <c r="Y204" s="2190"/>
      <c r="Z204" s="2190"/>
      <c r="AA204" s="2190"/>
      <c r="AB204" s="2190"/>
      <c r="AC204" s="2190"/>
      <c r="AD204" s="2190"/>
      <c r="AE204" s="2190"/>
      <c r="AF204" s="900"/>
      <c r="AG204" s="900"/>
      <c r="AH204" s="900"/>
      <c r="AI204" s="900"/>
      <c r="AJ204" s="900"/>
      <c r="AK204" s="900"/>
      <c r="AL204" s="900"/>
      <c r="AM204" s="900"/>
      <c r="AN204" s="900"/>
      <c r="AO204" s="900"/>
      <c r="AP204" s="900"/>
      <c r="AQ204" s="900"/>
      <c r="AR204" s="900"/>
      <c r="AS204" s="900"/>
      <c r="AT204" s="900"/>
      <c r="AU204" s="900"/>
      <c r="AV204" s="900"/>
      <c r="AW204" s="900"/>
      <c r="AX204" s="900"/>
      <c r="AY204" s="900"/>
      <c r="AZ204" s="900"/>
      <c r="BA204" s="900"/>
      <c r="BB204" s="900"/>
      <c r="BC204" s="900"/>
      <c r="BD204" s="900"/>
      <c r="BE204" s="903"/>
    </row>
    <row r="205" spans="1:57" ht="15.75" customHeight="1" thickBot="1">
      <c r="A205" s="900"/>
      <c r="B205" s="900"/>
      <c r="C205" s="900"/>
      <c r="D205" s="900"/>
      <c r="E205" s="900"/>
      <c r="F205" s="900"/>
      <c r="G205" s="900"/>
      <c r="H205" s="900"/>
      <c r="I205" s="900"/>
      <c r="J205" s="900"/>
      <c r="K205" s="900"/>
      <c r="L205" s="900"/>
      <c r="M205" s="900"/>
      <c r="N205" s="900"/>
      <c r="O205" s="900"/>
      <c r="P205" s="900"/>
      <c r="Q205" s="900"/>
      <c r="R205" s="900"/>
      <c r="S205" s="900"/>
      <c r="T205" s="900"/>
      <c r="U205" s="900"/>
      <c r="V205" s="900"/>
      <c r="W205" s="900"/>
      <c r="X205" s="900"/>
      <c r="Y205" s="900"/>
      <c r="Z205" s="900"/>
      <c r="AA205" s="900"/>
      <c r="AB205" s="900"/>
      <c r="AC205" s="900"/>
      <c r="AD205" s="900"/>
      <c r="AE205" s="900"/>
      <c r="AF205" s="900"/>
      <c r="AG205" s="900"/>
      <c r="AH205" s="900"/>
      <c r="AI205" s="900"/>
      <c r="AJ205" s="900"/>
      <c r="AK205" s="900"/>
      <c r="AL205" s="900"/>
      <c r="AM205" s="900"/>
      <c r="AN205" s="900"/>
      <c r="AO205" s="900"/>
      <c r="AP205" s="900"/>
      <c r="AQ205" s="900"/>
      <c r="AR205" s="900"/>
      <c r="AS205" s="900"/>
      <c r="AT205" s="900"/>
      <c r="AU205" s="900"/>
      <c r="AV205" s="900"/>
      <c r="AW205" s="900"/>
      <c r="AX205" s="900"/>
      <c r="AY205" s="900"/>
      <c r="AZ205" s="900"/>
      <c r="BA205" s="900"/>
      <c r="BB205" s="900"/>
      <c r="BC205" s="900"/>
      <c r="BD205" s="900"/>
      <c r="BE205" s="903"/>
    </row>
    <row r="206" spans="1:57" ht="15.75" customHeight="1" thickBot="1">
      <c r="A206" s="900"/>
      <c r="B206" s="900"/>
      <c r="C206" s="2191" t="s">
        <v>2063</v>
      </c>
      <c r="D206" s="2192"/>
      <c r="E206" s="2192"/>
      <c r="F206" s="2192"/>
      <c r="G206" s="2192"/>
      <c r="H206" s="2192"/>
      <c r="I206" s="2192"/>
      <c r="J206" s="2192"/>
      <c r="K206" s="2192"/>
      <c r="L206" s="2192"/>
      <c r="M206" s="2192"/>
      <c r="N206" s="2192"/>
      <c r="O206" s="2192"/>
      <c r="P206" s="2192"/>
      <c r="Q206" s="2192"/>
      <c r="R206" s="2192"/>
      <c r="S206" s="2192"/>
      <c r="T206" s="2192"/>
      <c r="U206" s="2192"/>
      <c r="V206" s="2192"/>
      <c r="W206" s="2192"/>
      <c r="X206" s="2192"/>
      <c r="Y206" s="2192"/>
      <c r="Z206" s="2192"/>
      <c r="AA206" s="2192"/>
      <c r="AB206" s="2192"/>
      <c r="AC206" s="2192"/>
      <c r="AD206" s="2192"/>
      <c r="AE206" s="2192"/>
      <c r="AF206" s="2192"/>
      <c r="AG206" s="2192"/>
      <c r="AH206" s="2192"/>
      <c r="AI206" s="2192"/>
      <c r="AJ206" s="2192"/>
      <c r="AK206" s="2193"/>
      <c r="AL206" s="900"/>
      <c r="AM206" s="900"/>
      <c r="AN206" s="900"/>
      <c r="AO206" s="900"/>
      <c r="AP206" s="900"/>
      <c r="AQ206" s="900"/>
      <c r="AR206" s="900"/>
      <c r="AS206" s="900"/>
      <c r="AT206" s="900"/>
      <c r="AU206" s="900"/>
      <c r="AV206" s="900"/>
      <c r="AW206" s="900"/>
      <c r="AX206" s="900"/>
      <c r="AY206" s="900"/>
      <c r="AZ206" s="900"/>
      <c r="BA206" s="900"/>
      <c r="BB206" s="900"/>
      <c r="BC206" s="900"/>
      <c r="BD206" s="900"/>
      <c r="BE206" s="903"/>
    </row>
    <row r="207" spans="1:57" ht="15.75" customHeight="1">
      <c r="A207" s="900"/>
      <c r="B207" s="900"/>
      <c r="C207" s="2194" t="s">
        <v>2064</v>
      </c>
      <c r="D207" s="2195"/>
      <c r="E207" s="2195"/>
      <c r="F207" s="2196"/>
      <c r="G207" s="2200" t="s">
        <v>2065</v>
      </c>
      <c r="H207" s="2195"/>
      <c r="I207" s="2195"/>
      <c r="J207" s="2195"/>
      <c r="K207" s="2195"/>
      <c r="L207" s="2195"/>
      <c r="M207" s="2195"/>
      <c r="N207" s="2195"/>
      <c r="O207" s="2196"/>
      <c r="P207" s="2202" t="s">
        <v>2066</v>
      </c>
      <c r="Q207" s="2203"/>
      <c r="R207" s="2203"/>
      <c r="S207" s="2203"/>
      <c r="T207" s="2204"/>
      <c r="U207" s="2208" t="s">
        <v>2067</v>
      </c>
      <c r="V207" s="2209"/>
      <c r="W207" s="2209"/>
      <c r="X207" s="2210"/>
      <c r="Y207" s="2208" t="s">
        <v>2068</v>
      </c>
      <c r="Z207" s="2209"/>
      <c r="AA207" s="2209"/>
      <c r="AB207" s="2210"/>
      <c r="AC207" s="2208" t="s">
        <v>2069</v>
      </c>
      <c r="AD207" s="2209"/>
      <c r="AE207" s="2209"/>
      <c r="AF207" s="2210"/>
      <c r="AG207" s="2200" t="s">
        <v>2070</v>
      </c>
      <c r="AH207" s="2195"/>
      <c r="AI207" s="2195"/>
      <c r="AJ207" s="2195"/>
      <c r="AK207" s="2214"/>
      <c r="AL207" s="900"/>
      <c r="AM207" s="900"/>
      <c r="AN207" s="900"/>
      <c r="AO207" s="900"/>
      <c r="AP207" s="900"/>
      <c r="AQ207" s="900"/>
      <c r="AR207" s="900"/>
      <c r="AS207" s="900"/>
      <c r="AT207" s="900"/>
      <c r="AU207" s="900"/>
      <c r="AV207" s="900"/>
      <c r="AW207" s="900"/>
      <c r="AX207" s="900"/>
      <c r="AY207" s="900"/>
      <c r="AZ207" s="900"/>
      <c r="BA207" s="900"/>
      <c r="BB207" s="900"/>
      <c r="BC207" s="900"/>
      <c r="BD207" s="900"/>
      <c r="BE207" s="903"/>
    </row>
    <row r="208" spans="1:57" ht="15.75" customHeight="1">
      <c r="A208" s="900"/>
      <c r="B208" s="900"/>
      <c r="C208" s="2197"/>
      <c r="D208" s="2198"/>
      <c r="E208" s="2198"/>
      <c r="F208" s="2199"/>
      <c r="G208" s="2201"/>
      <c r="H208" s="2198"/>
      <c r="I208" s="2198"/>
      <c r="J208" s="2198"/>
      <c r="K208" s="2198"/>
      <c r="L208" s="2198"/>
      <c r="M208" s="2198"/>
      <c r="N208" s="2198"/>
      <c r="O208" s="2199"/>
      <c r="P208" s="2205"/>
      <c r="Q208" s="2206"/>
      <c r="R208" s="2206"/>
      <c r="S208" s="2206"/>
      <c r="T208" s="2207"/>
      <c r="U208" s="2211"/>
      <c r="V208" s="2212"/>
      <c r="W208" s="2212"/>
      <c r="X208" s="2213"/>
      <c r="Y208" s="2211"/>
      <c r="Z208" s="2212"/>
      <c r="AA208" s="2212"/>
      <c r="AB208" s="2213"/>
      <c r="AC208" s="2211"/>
      <c r="AD208" s="2212"/>
      <c r="AE208" s="2212"/>
      <c r="AF208" s="2213"/>
      <c r="AG208" s="2201"/>
      <c r="AH208" s="2198"/>
      <c r="AI208" s="2198"/>
      <c r="AJ208" s="2198"/>
      <c r="AK208" s="2215"/>
      <c r="AL208" s="900"/>
      <c r="AM208" s="900"/>
      <c r="AN208" s="900"/>
      <c r="AO208" s="900"/>
      <c r="AP208" s="900"/>
      <c r="AQ208" s="900"/>
      <c r="AR208" s="900"/>
      <c r="AS208" s="900"/>
      <c r="AT208" s="900"/>
      <c r="AU208" s="900"/>
      <c r="AV208" s="900"/>
      <c r="AW208" s="900"/>
      <c r="AX208" s="900"/>
      <c r="AY208" s="900"/>
      <c r="AZ208" s="900"/>
      <c r="BA208" s="900"/>
      <c r="BB208" s="900"/>
      <c r="BC208" s="900"/>
      <c r="BD208" s="900"/>
      <c r="BE208" s="903"/>
    </row>
    <row r="209" spans="1:57" ht="15.75" customHeight="1">
      <c r="A209" s="900"/>
      <c r="B209" s="900"/>
      <c r="C209" s="2219">
        <v>1</v>
      </c>
      <c r="D209" s="2220"/>
      <c r="E209" s="2220"/>
      <c r="F209" s="2220"/>
      <c r="G209" s="2221" t="s">
        <v>2071</v>
      </c>
      <c r="H209" s="2221"/>
      <c r="I209" s="2221"/>
      <c r="J209" s="2221"/>
      <c r="K209" s="2221"/>
      <c r="L209" s="2221"/>
      <c r="M209" s="2221"/>
      <c r="N209" s="2221"/>
      <c r="O209" s="2221"/>
      <c r="P209" s="2222"/>
      <c r="Q209" s="2225"/>
      <c r="R209" s="2225"/>
      <c r="S209" s="2225"/>
      <c r="T209" s="2225"/>
      <c r="U209" s="2223" t="s">
        <v>2071</v>
      </c>
      <c r="V209" s="2223"/>
      <c r="W209" s="2223"/>
      <c r="X209" s="2223"/>
      <c r="Y209" s="2223" t="s">
        <v>2071</v>
      </c>
      <c r="Z209" s="2223"/>
      <c r="AA209" s="2223"/>
      <c r="AB209" s="2223"/>
      <c r="AC209" s="2224" t="s">
        <v>2071</v>
      </c>
      <c r="AD209" s="2224"/>
      <c r="AE209" s="2224"/>
      <c r="AF209" s="2224"/>
      <c r="AG209" s="2216"/>
      <c r="AH209" s="2217"/>
      <c r="AI209" s="2217"/>
      <c r="AJ209" s="2217"/>
      <c r="AK209" s="2218"/>
      <c r="AL209" s="900"/>
      <c r="AM209" s="900"/>
      <c r="AN209" s="900"/>
      <c r="AO209" s="900"/>
      <c r="AP209" s="900"/>
      <c r="AQ209" s="900"/>
      <c r="AR209" s="900"/>
      <c r="AS209" s="900"/>
      <c r="AT209" s="900"/>
      <c r="AU209" s="900"/>
      <c r="AV209" s="900"/>
      <c r="AW209" s="900"/>
      <c r="AX209" s="900"/>
      <c r="AY209" s="900"/>
      <c r="AZ209" s="900"/>
      <c r="BA209" s="900"/>
      <c r="BB209" s="900"/>
      <c r="BC209" s="900"/>
      <c r="BD209" s="900"/>
      <c r="BE209" s="903"/>
    </row>
    <row r="210" spans="1:57" ht="15.75" customHeight="1">
      <c r="A210" s="900"/>
      <c r="B210" s="900"/>
      <c r="C210" s="2219">
        <v>2</v>
      </c>
      <c r="D210" s="2220"/>
      <c r="E210" s="2220"/>
      <c r="F210" s="2220"/>
      <c r="G210" s="2221" t="s">
        <v>2071</v>
      </c>
      <c r="H210" s="2221"/>
      <c r="I210" s="2221"/>
      <c r="J210" s="2221"/>
      <c r="K210" s="2221"/>
      <c r="L210" s="2221"/>
      <c r="M210" s="2221"/>
      <c r="N210" s="2221"/>
      <c r="O210" s="2221"/>
      <c r="P210" s="2222"/>
      <c r="Q210" s="2222"/>
      <c r="R210" s="2222"/>
      <c r="S210" s="2222"/>
      <c r="T210" s="2222"/>
      <c r="U210" s="2223" t="s">
        <v>2071</v>
      </c>
      <c r="V210" s="2223"/>
      <c r="W210" s="2223"/>
      <c r="X210" s="2223"/>
      <c r="Y210" s="2223" t="s">
        <v>2071</v>
      </c>
      <c r="Z210" s="2223"/>
      <c r="AA210" s="2223"/>
      <c r="AB210" s="2223"/>
      <c r="AC210" s="2224" t="s">
        <v>2071</v>
      </c>
      <c r="AD210" s="2224"/>
      <c r="AE210" s="2224"/>
      <c r="AF210" s="2224"/>
      <c r="AG210" s="2216"/>
      <c r="AH210" s="2217"/>
      <c r="AI210" s="2217"/>
      <c r="AJ210" s="2217"/>
      <c r="AK210" s="2218"/>
      <c r="AL210" s="900"/>
      <c r="AM210" s="900"/>
      <c r="AN210" s="900"/>
      <c r="AO210" s="900"/>
      <c r="AP210" s="900"/>
      <c r="AQ210" s="900"/>
      <c r="AR210" s="900"/>
      <c r="AS210" s="900"/>
      <c r="AT210" s="900"/>
      <c r="AU210" s="900"/>
      <c r="AV210" s="900"/>
      <c r="AW210" s="900"/>
      <c r="AX210" s="900"/>
      <c r="AY210" s="900"/>
      <c r="AZ210" s="900"/>
      <c r="BA210" s="900"/>
      <c r="BB210" s="900"/>
      <c r="BC210" s="900"/>
      <c r="BD210" s="900"/>
      <c r="BE210" s="903"/>
    </row>
    <row r="211" spans="1:57" ht="15.75" customHeight="1">
      <c r="A211" s="900"/>
      <c r="B211" s="900"/>
      <c r="C211" s="2219">
        <v>3</v>
      </c>
      <c r="D211" s="2220"/>
      <c r="E211" s="2220"/>
      <c r="F211" s="2220"/>
      <c r="G211" s="2221" t="s">
        <v>2071</v>
      </c>
      <c r="H211" s="2221"/>
      <c r="I211" s="2221"/>
      <c r="J211" s="2221"/>
      <c r="K211" s="2221"/>
      <c r="L211" s="2221"/>
      <c r="M211" s="2221"/>
      <c r="N211" s="2221"/>
      <c r="O211" s="2221"/>
      <c r="P211" s="2222"/>
      <c r="Q211" s="2222"/>
      <c r="R211" s="2222"/>
      <c r="S211" s="2222"/>
      <c r="T211" s="2222"/>
      <c r="U211" s="2223" t="s">
        <v>2071</v>
      </c>
      <c r="V211" s="2223"/>
      <c r="W211" s="2223"/>
      <c r="X211" s="2223"/>
      <c r="Y211" s="2223" t="s">
        <v>2071</v>
      </c>
      <c r="Z211" s="2223"/>
      <c r="AA211" s="2223"/>
      <c r="AB211" s="2223"/>
      <c r="AC211" s="2224" t="s">
        <v>2071</v>
      </c>
      <c r="AD211" s="2224"/>
      <c r="AE211" s="2224"/>
      <c r="AF211" s="2224"/>
      <c r="AG211" s="2216"/>
      <c r="AH211" s="2217"/>
      <c r="AI211" s="2217"/>
      <c r="AJ211" s="2217"/>
      <c r="AK211" s="2218"/>
      <c r="AL211" s="900"/>
      <c r="AM211" s="900"/>
      <c r="AN211" s="900"/>
      <c r="AO211" s="900"/>
      <c r="AP211" s="900"/>
      <c r="AQ211" s="900"/>
      <c r="AR211" s="900"/>
      <c r="AS211" s="900"/>
      <c r="AT211" s="900"/>
      <c r="AU211" s="900"/>
      <c r="AV211" s="900"/>
      <c r="AW211" s="900"/>
      <c r="AX211" s="900"/>
      <c r="AY211" s="900"/>
      <c r="AZ211" s="900"/>
      <c r="BA211" s="900"/>
      <c r="BB211" s="900"/>
      <c r="BC211" s="900"/>
      <c r="BD211" s="900"/>
      <c r="BE211" s="903"/>
    </row>
    <row r="212" spans="1:57" ht="15.75" customHeight="1">
      <c r="A212" s="900"/>
      <c r="B212" s="900"/>
      <c r="C212" s="2219">
        <v>4</v>
      </c>
      <c r="D212" s="2220"/>
      <c r="E212" s="2220"/>
      <c r="F212" s="2220"/>
      <c r="G212" s="2221" t="s">
        <v>2071</v>
      </c>
      <c r="H212" s="2221"/>
      <c r="I212" s="2221"/>
      <c r="J212" s="2221"/>
      <c r="K212" s="2221"/>
      <c r="L212" s="2221"/>
      <c r="M212" s="2221"/>
      <c r="N212" s="2221"/>
      <c r="O212" s="2221"/>
      <c r="P212" s="2222"/>
      <c r="Q212" s="2222"/>
      <c r="R212" s="2222"/>
      <c r="S212" s="2222"/>
      <c r="T212" s="2222"/>
      <c r="U212" s="2223" t="s">
        <v>2071</v>
      </c>
      <c r="V212" s="2223"/>
      <c r="W212" s="2223"/>
      <c r="X212" s="2223"/>
      <c r="Y212" s="2223" t="s">
        <v>2071</v>
      </c>
      <c r="Z212" s="2223"/>
      <c r="AA212" s="2223"/>
      <c r="AB212" s="2223"/>
      <c r="AC212" s="2224" t="s">
        <v>2071</v>
      </c>
      <c r="AD212" s="2224"/>
      <c r="AE212" s="2224"/>
      <c r="AF212" s="2224"/>
      <c r="AG212" s="2216"/>
      <c r="AH212" s="2217"/>
      <c r="AI212" s="2217"/>
      <c r="AJ212" s="2217"/>
      <c r="AK212" s="2218"/>
      <c r="AL212" s="900"/>
      <c r="AM212" s="900"/>
      <c r="AN212" s="900"/>
      <c r="AO212" s="900"/>
      <c r="AP212" s="900"/>
      <c r="AQ212" s="900"/>
      <c r="AR212" s="900"/>
      <c r="AS212" s="900"/>
      <c r="AT212" s="900"/>
      <c r="AU212" s="900"/>
      <c r="AV212" s="900"/>
      <c r="AW212" s="900"/>
      <c r="AX212" s="900"/>
      <c r="AY212" s="900"/>
      <c r="AZ212" s="900"/>
      <c r="BA212" s="900"/>
      <c r="BB212" s="900"/>
      <c r="BC212" s="900"/>
      <c r="BD212" s="900"/>
      <c r="BE212" s="903"/>
    </row>
    <row r="213" spans="1:57" ht="15.75" customHeight="1">
      <c r="A213" s="900"/>
      <c r="B213" s="900"/>
      <c r="C213" s="2219">
        <v>5</v>
      </c>
      <c r="D213" s="2220"/>
      <c r="E213" s="2220"/>
      <c r="F213" s="2220"/>
      <c r="G213" s="2221" t="s">
        <v>2071</v>
      </c>
      <c r="H213" s="2221"/>
      <c r="I213" s="2221"/>
      <c r="J213" s="2221"/>
      <c r="K213" s="2221"/>
      <c r="L213" s="2221"/>
      <c r="M213" s="2221"/>
      <c r="N213" s="2221"/>
      <c r="O213" s="2221"/>
      <c r="P213" s="2222"/>
      <c r="Q213" s="2222"/>
      <c r="R213" s="2222"/>
      <c r="S213" s="2222"/>
      <c r="T213" s="2222"/>
      <c r="U213" s="2223" t="s">
        <v>2071</v>
      </c>
      <c r="V213" s="2223"/>
      <c r="W213" s="2223"/>
      <c r="X213" s="2223"/>
      <c r="Y213" s="2223" t="s">
        <v>2071</v>
      </c>
      <c r="Z213" s="2223"/>
      <c r="AA213" s="2223"/>
      <c r="AB213" s="2223"/>
      <c r="AC213" s="2224" t="s">
        <v>2071</v>
      </c>
      <c r="AD213" s="2224"/>
      <c r="AE213" s="2224"/>
      <c r="AF213" s="2224"/>
      <c r="AG213" s="2216"/>
      <c r="AH213" s="2217"/>
      <c r="AI213" s="2217"/>
      <c r="AJ213" s="2217"/>
      <c r="AK213" s="2218"/>
      <c r="AL213" s="900"/>
      <c r="AM213" s="900"/>
      <c r="AN213" s="900"/>
      <c r="AO213" s="900"/>
      <c r="AP213" s="900"/>
      <c r="AQ213" s="900"/>
      <c r="AR213" s="900"/>
      <c r="AS213" s="900"/>
      <c r="AT213" s="900"/>
      <c r="AU213" s="900"/>
      <c r="AV213" s="900"/>
      <c r="AW213" s="900"/>
      <c r="AX213" s="900"/>
      <c r="AY213" s="900"/>
      <c r="AZ213" s="900"/>
      <c r="BA213" s="900"/>
      <c r="BB213" s="900"/>
      <c r="BC213" s="900"/>
      <c r="BD213" s="900"/>
      <c r="BE213" s="903"/>
    </row>
    <row r="214" spans="1:57" ht="15.75" customHeight="1">
      <c r="A214" s="900"/>
      <c r="B214" s="900"/>
      <c r="C214" s="2219">
        <v>6</v>
      </c>
      <c r="D214" s="2220"/>
      <c r="E214" s="2220"/>
      <c r="F214" s="2220"/>
      <c r="G214" s="2221" t="s">
        <v>2071</v>
      </c>
      <c r="H214" s="2221"/>
      <c r="I214" s="2221"/>
      <c r="J214" s="2221"/>
      <c r="K214" s="2221"/>
      <c r="L214" s="2221"/>
      <c r="M214" s="2221"/>
      <c r="N214" s="2221"/>
      <c r="O214" s="2221"/>
      <c r="P214" s="2222"/>
      <c r="Q214" s="2222"/>
      <c r="R214" s="2222"/>
      <c r="S214" s="2222"/>
      <c r="T214" s="2222"/>
      <c r="U214" s="2223"/>
      <c r="V214" s="2223"/>
      <c r="W214" s="2223"/>
      <c r="X214" s="2223"/>
      <c r="Y214" s="2223"/>
      <c r="Z214" s="2223"/>
      <c r="AA214" s="2223"/>
      <c r="AB214" s="2223"/>
      <c r="AC214" s="2224" t="s">
        <v>2071</v>
      </c>
      <c r="AD214" s="2224"/>
      <c r="AE214" s="2224"/>
      <c r="AF214" s="2224"/>
      <c r="AG214" s="2216"/>
      <c r="AH214" s="2217"/>
      <c r="AI214" s="2217"/>
      <c r="AJ214" s="2217"/>
      <c r="AK214" s="2218"/>
      <c r="AL214" s="900"/>
      <c r="AM214" s="900"/>
      <c r="AN214" s="900"/>
      <c r="AO214" s="900"/>
      <c r="AP214" s="900"/>
      <c r="AQ214" s="900"/>
      <c r="AR214" s="900"/>
      <c r="AS214" s="900"/>
      <c r="AT214" s="900"/>
      <c r="AU214" s="900"/>
      <c r="AV214" s="900"/>
      <c r="AW214" s="900"/>
      <c r="AX214" s="900"/>
      <c r="AY214" s="900"/>
      <c r="AZ214" s="900"/>
      <c r="BA214" s="900"/>
      <c r="BB214" s="900"/>
      <c r="BC214" s="900"/>
      <c r="BD214" s="900"/>
      <c r="BE214" s="903"/>
    </row>
    <row r="215" spans="1:57" ht="15.75" customHeight="1">
      <c r="A215" s="900"/>
      <c r="B215" s="900"/>
      <c r="C215" s="2219">
        <v>7</v>
      </c>
      <c r="D215" s="2220"/>
      <c r="E215" s="2220"/>
      <c r="F215" s="2220"/>
      <c r="G215" s="2221"/>
      <c r="H215" s="2221"/>
      <c r="I215" s="2221"/>
      <c r="J215" s="2221"/>
      <c r="K215" s="2221"/>
      <c r="L215" s="2221"/>
      <c r="M215" s="2221"/>
      <c r="N215" s="2221"/>
      <c r="O215" s="2221"/>
      <c r="P215" s="2222"/>
      <c r="Q215" s="2222"/>
      <c r="R215" s="2222"/>
      <c r="S215" s="2222"/>
      <c r="T215" s="2222"/>
      <c r="U215" s="2223"/>
      <c r="V215" s="2223"/>
      <c r="W215" s="2223"/>
      <c r="X215" s="2223"/>
      <c r="Y215" s="2223"/>
      <c r="Z215" s="2223"/>
      <c r="AA215" s="2223"/>
      <c r="AB215" s="2223"/>
      <c r="AC215" s="2224" t="s">
        <v>2071</v>
      </c>
      <c r="AD215" s="2224"/>
      <c r="AE215" s="2224"/>
      <c r="AF215" s="2224"/>
      <c r="AG215" s="2216"/>
      <c r="AH215" s="2217"/>
      <c r="AI215" s="2217"/>
      <c r="AJ215" s="2217"/>
      <c r="AK215" s="2218"/>
      <c r="AL215" s="900"/>
      <c r="AM215" s="900"/>
      <c r="AN215" s="900"/>
      <c r="AO215" s="900"/>
      <c r="AP215" s="900"/>
      <c r="AQ215" s="900"/>
      <c r="AR215" s="900"/>
      <c r="AS215" s="900"/>
      <c r="AT215" s="900"/>
      <c r="AU215" s="900"/>
      <c r="AV215" s="900"/>
      <c r="AW215" s="900"/>
      <c r="AX215" s="900"/>
      <c r="AY215" s="900"/>
      <c r="AZ215" s="900"/>
      <c r="BA215" s="900"/>
      <c r="BB215" s="900"/>
      <c r="BC215" s="900"/>
      <c r="BD215" s="900"/>
      <c r="BE215" s="903"/>
    </row>
    <row r="216" spans="1:57" ht="15.75" customHeight="1">
      <c r="A216" s="900"/>
      <c r="B216" s="900"/>
      <c r="C216" s="2238" t="s">
        <v>2072</v>
      </c>
      <c r="D216" s="2239"/>
      <c r="E216" s="2239"/>
      <c r="F216" s="2239"/>
      <c r="G216" s="2239"/>
      <c r="H216" s="2239"/>
      <c r="I216" s="2239"/>
      <c r="J216" s="2239"/>
      <c r="K216" s="2239"/>
      <c r="L216" s="2239"/>
      <c r="M216" s="2239"/>
      <c r="N216" s="2239"/>
      <c r="O216" s="2239"/>
      <c r="P216" s="2240"/>
      <c r="Q216" s="2240"/>
      <c r="R216" s="2240"/>
      <c r="S216" s="2240"/>
      <c r="T216" s="2240"/>
      <c r="U216" s="2241">
        <f>-SUM(U209:U215)</f>
        <v>0</v>
      </c>
      <c r="V216" s="2241"/>
      <c r="W216" s="2241"/>
      <c r="X216" s="2241"/>
      <c r="Y216" s="2241">
        <f>-SUM(Y209:Y215)</f>
        <v>0</v>
      </c>
      <c r="Z216" s="2241"/>
      <c r="AA216" s="2241"/>
      <c r="AB216" s="2241"/>
      <c r="AC216" s="2242">
        <f>-SUM(AC209:AC215)</f>
        <v>0</v>
      </c>
      <c r="AD216" s="2242"/>
      <c r="AE216" s="2242"/>
      <c r="AF216" s="2242"/>
      <c r="AG216" s="2243"/>
      <c r="AH216" s="2244"/>
      <c r="AI216" s="2244"/>
      <c r="AJ216" s="2244"/>
      <c r="AK216" s="2245"/>
      <c r="AL216" s="900"/>
      <c r="AM216" s="900"/>
      <c r="AN216" s="900"/>
      <c r="AO216" s="900"/>
      <c r="AP216" s="900"/>
      <c r="AQ216" s="900"/>
      <c r="AR216" s="900"/>
      <c r="AS216" s="900"/>
      <c r="AT216" s="900"/>
      <c r="AU216" s="900"/>
      <c r="AV216" s="900"/>
      <c r="AW216" s="900"/>
      <c r="AX216" s="900"/>
      <c r="AY216" s="900"/>
      <c r="AZ216" s="900"/>
      <c r="BA216" s="900"/>
      <c r="BB216" s="900"/>
      <c r="BC216" s="900"/>
      <c r="BD216" s="900"/>
      <c r="BE216" s="903"/>
    </row>
    <row r="217" spans="1:57" ht="15.75" customHeight="1">
      <c r="A217" s="900"/>
      <c r="B217" s="900"/>
      <c r="C217" s="900" t="s">
        <v>2073</v>
      </c>
      <c r="D217" s="900"/>
      <c r="E217" s="900"/>
      <c r="F217" s="900"/>
      <c r="G217" s="900"/>
      <c r="H217" s="900"/>
      <c r="I217" s="900"/>
      <c r="J217" s="900"/>
      <c r="K217" s="900"/>
      <c r="L217" s="900"/>
      <c r="M217" s="900"/>
      <c r="N217" s="900"/>
      <c r="O217" s="900"/>
      <c r="P217" s="900"/>
      <c r="Q217" s="900"/>
      <c r="R217" s="900"/>
      <c r="S217" s="900"/>
      <c r="T217" s="900"/>
      <c r="U217" s="900"/>
      <c r="V217" s="900"/>
      <c r="W217" s="900"/>
      <c r="X217" s="900"/>
      <c r="Y217" s="900"/>
      <c r="Z217" s="900"/>
      <c r="AA217" s="900"/>
      <c r="AB217" s="900"/>
      <c r="AC217" s="900"/>
      <c r="AD217" s="900"/>
      <c r="AE217" s="900"/>
      <c r="AF217" s="900"/>
      <c r="AG217" s="900"/>
      <c r="AH217" s="900"/>
      <c r="AI217" s="900"/>
      <c r="AJ217" s="900"/>
      <c r="AK217" s="900"/>
      <c r="AL217" s="900"/>
      <c r="AM217" s="900"/>
      <c r="AN217" s="900"/>
      <c r="AO217" s="900"/>
      <c r="AP217" s="900"/>
      <c r="AQ217" s="900"/>
      <c r="AR217" s="900"/>
      <c r="AS217" s="900"/>
      <c r="AT217" s="900"/>
      <c r="AU217" s="900"/>
      <c r="AV217" s="900"/>
      <c r="AW217" s="900"/>
      <c r="AX217" s="900"/>
      <c r="AY217" s="900"/>
      <c r="AZ217" s="900"/>
      <c r="BA217" s="900"/>
      <c r="BB217" s="900"/>
      <c r="BC217" s="900"/>
      <c r="BD217" s="900"/>
      <c r="BE217" s="903"/>
    </row>
    <row r="218" spans="1:57" ht="15.75" customHeight="1">
      <c r="A218" s="900"/>
      <c r="B218" s="900"/>
      <c r="C218" s="900"/>
      <c r="D218" s="900"/>
      <c r="E218" s="900"/>
      <c r="F218" s="900"/>
      <c r="G218" s="900"/>
      <c r="H218" s="900"/>
      <c r="I218" s="900"/>
      <c r="J218" s="900"/>
      <c r="K218" s="900"/>
      <c r="L218" s="900"/>
      <c r="M218" s="900"/>
      <c r="N218" s="900"/>
      <c r="O218" s="900"/>
      <c r="P218" s="900"/>
      <c r="Q218" s="900"/>
      <c r="R218" s="900"/>
      <c r="S218" s="900"/>
      <c r="T218" s="900"/>
      <c r="U218" s="900"/>
      <c r="V218" s="900"/>
      <c r="W218" s="900"/>
      <c r="X218" s="900"/>
      <c r="Y218" s="900"/>
      <c r="Z218" s="900"/>
      <c r="AA218" s="900"/>
      <c r="AB218" s="900"/>
      <c r="AC218" s="900"/>
      <c r="AD218" s="900"/>
      <c r="AE218" s="900"/>
      <c r="AF218" s="900"/>
      <c r="AG218" s="900"/>
      <c r="AH218" s="900"/>
      <c r="AI218" s="900"/>
      <c r="AJ218" s="900"/>
      <c r="AK218" s="900"/>
      <c r="AL218" s="900"/>
      <c r="AM218" s="900"/>
      <c r="AN218" s="900"/>
      <c r="AO218" s="900"/>
      <c r="AP218" s="900"/>
      <c r="AQ218" s="900"/>
      <c r="AR218" s="900"/>
      <c r="AS218" s="900"/>
      <c r="AT218" s="900"/>
      <c r="AU218" s="900"/>
      <c r="AV218" s="900"/>
      <c r="AW218" s="900"/>
      <c r="AX218" s="900"/>
      <c r="AY218" s="900"/>
      <c r="AZ218" s="900"/>
      <c r="BA218" s="900"/>
      <c r="BB218" s="900"/>
      <c r="BC218" s="900"/>
      <c r="BD218" s="900"/>
      <c r="BE218" s="903"/>
    </row>
    <row r="219" spans="1:57" ht="15.75" customHeight="1">
      <c r="A219" s="900"/>
      <c r="B219" s="900"/>
      <c r="C219" s="900"/>
      <c r="D219" s="900"/>
      <c r="E219" s="900"/>
      <c r="F219" s="900"/>
      <c r="G219" s="900"/>
      <c r="H219" s="900"/>
      <c r="I219" s="900"/>
      <c r="J219" s="900"/>
      <c r="K219" s="900"/>
      <c r="L219" s="900"/>
      <c r="M219" s="900"/>
      <c r="N219" s="900"/>
      <c r="O219" s="900"/>
      <c r="P219" s="900"/>
      <c r="Q219" s="900"/>
      <c r="R219" s="900"/>
      <c r="S219" s="900"/>
      <c r="T219" s="900"/>
      <c r="U219" s="900"/>
      <c r="V219" s="900"/>
      <c r="W219" s="900"/>
      <c r="X219" s="900"/>
      <c r="Y219" s="900"/>
      <c r="Z219" s="900"/>
      <c r="AA219" s="900"/>
      <c r="AB219" s="900"/>
      <c r="AC219" s="900"/>
      <c r="AD219" s="900"/>
      <c r="AE219" s="900"/>
      <c r="AF219" s="900"/>
      <c r="AG219" s="900"/>
      <c r="AH219" s="900"/>
      <c r="AI219" s="900"/>
      <c r="AJ219" s="900"/>
      <c r="AK219" s="900"/>
      <c r="AL219" s="900"/>
      <c r="AM219" s="900"/>
      <c r="AN219" s="900"/>
      <c r="AO219" s="900"/>
      <c r="AP219" s="900"/>
      <c r="AQ219" s="900"/>
      <c r="AR219" s="900"/>
      <c r="AS219" s="900"/>
      <c r="AT219" s="900"/>
      <c r="AU219" s="900"/>
      <c r="AV219" s="900"/>
      <c r="AW219" s="900"/>
      <c r="AX219" s="900"/>
      <c r="AY219" s="900"/>
      <c r="AZ219" s="900"/>
      <c r="BA219" s="900"/>
      <c r="BB219" s="900"/>
      <c r="BC219" s="900"/>
      <c r="BD219" s="900"/>
      <c r="BE219" s="903"/>
    </row>
    <row r="220" spans="1:57" ht="15.75" customHeight="1" thickBot="1">
      <c r="A220" s="900"/>
      <c r="B220" s="900"/>
      <c r="C220" s="900"/>
      <c r="D220" s="900"/>
      <c r="E220" s="900"/>
      <c r="F220" s="900"/>
      <c r="G220" s="900"/>
      <c r="H220" s="900"/>
      <c r="I220" s="900"/>
      <c r="J220" s="900"/>
      <c r="K220" s="900"/>
      <c r="L220" s="900"/>
      <c r="M220" s="900"/>
      <c r="N220" s="900"/>
      <c r="O220" s="900"/>
      <c r="P220" s="900"/>
      <c r="Q220" s="900"/>
      <c r="R220" s="900"/>
      <c r="S220" s="900"/>
      <c r="T220" s="900"/>
      <c r="U220" s="900"/>
      <c r="V220" s="900"/>
      <c r="W220" s="900"/>
      <c r="X220" s="900"/>
      <c r="Y220" s="900"/>
      <c r="Z220" s="900"/>
      <c r="AA220" s="900"/>
      <c r="AB220" s="900"/>
      <c r="AC220" s="900"/>
      <c r="AD220" s="900"/>
      <c r="AE220" s="900"/>
      <c r="AF220" s="900"/>
      <c r="AG220" s="900"/>
      <c r="AH220" s="900"/>
      <c r="AI220" s="900"/>
      <c r="AJ220" s="900"/>
      <c r="AK220" s="900"/>
      <c r="AL220" s="900"/>
      <c r="AM220" s="900"/>
      <c r="AN220" s="900"/>
      <c r="AO220" s="900"/>
      <c r="AP220" s="900"/>
      <c r="AQ220" s="900"/>
      <c r="AR220" s="900"/>
      <c r="AS220" s="900"/>
      <c r="AT220" s="900"/>
      <c r="AU220" s="900"/>
      <c r="AV220" s="900"/>
      <c r="AW220" s="900"/>
      <c r="AX220" s="900"/>
      <c r="AY220" s="900"/>
      <c r="AZ220" s="900"/>
      <c r="BA220" s="900"/>
      <c r="BB220" s="900"/>
      <c r="BC220" s="900"/>
      <c r="BD220" s="900"/>
      <c r="BE220" s="903"/>
    </row>
    <row r="221" spans="1:57" ht="15.75" customHeight="1">
      <c r="A221" s="900"/>
      <c r="B221" s="2226" t="s">
        <v>2074</v>
      </c>
      <c r="C221" s="2227"/>
      <c r="D221" s="2227"/>
      <c r="E221" s="2227"/>
      <c r="F221" s="2227"/>
      <c r="G221" s="2227"/>
      <c r="H221" s="2227"/>
      <c r="I221" s="2227"/>
      <c r="J221" s="2227"/>
      <c r="K221" s="2227"/>
      <c r="L221" s="2227"/>
      <c r="M221" s="2227"/>
      <c r="N221" s="2227"/>
      <c r="O221" s="2227"/>
      <c r="P221" s="2227"/>
      <c r="Q221" s="2227"/>
      <c r="R221" s="2227"/>
      <c r="S221" s="2227"/>
      <c r="T221" s="2227"/>
      <c r="U221" s="2227"/>
      <c r="V221" s="2227"/>
      <c r="W221" s="2227"/>
      <c r="X221" s="2227"/>
      <c r="Y221" s="2227"/>
      <c r="Z221" s="2227"/>
      <c r="AA221" s="2227"/>
      <c r="AB221" s="2227"/>
      <c r="AC221" s="2227"/>
      <c r="AD221" s="2227"/>
      <c r="AE221" s="2227"/>
      <c r="AF221" s="2227"/>
      <c r="AG221" s="2227"/>
      <c r="AH221" s="2227"/>
      <c r="AI221" s="2227"/>
      <c r="AJ221" s="2227"/>
      <c r="AK221" s="2227"/>
      <c r="AL221" s="2227"/>
      <c r="AM221" s="2227"/>
      <c r="AN221" s="2227"/>
      <c r="AO221" s="2227"/>
      <c r="AP221" s="2227"/>
      <c r="AQ221" s="2227"/>
      <c r="AR221" s="2227"/>
      <c r="AS221" s="2227"/>
      <c r="AT221" s="2227"/>
      <c r="AU221" s="2227"/>
      <c r="AV221" s="2227"/>
      <c r="AW221" s="2227"/>
      <c r="AX221" s="2227"/>
      <c r="AY221" s="2227"/>
      <c r="AZ221" s="2227"/>
      <c r="BA221" s="2227"/>
      <c r="BB221" s="2227"/>
      <c r="BC221" s="2227"/>
      <c r="BD221" s="2228"/>
      <c r="BE221" s="903"/>
    </row>
    <row r="222" spans="1:57" ht="15.75" customHeight="1">
      <c r="A222" s="900"/>
      <c r="B222" s="2229"/>
      <c r="C222" s="2230"/>
      <c r="D222" s="2230"/>
      <c r="E222" s="2230"/>
      <c r="F222" s="2230"/>
      <c r="G222" s="2230"/>
      <c r="H222" s="2230"/>
      <c r="I222" s="2230"/>
      <c r="J222" s="2230"/>
      <c r="K222" s="2230"/>
      <c r="L222" s="2230"/>
      <c r="M222" s="2230"/>
      <c r="N222" s="2230"/>
      <c r="O222" s="2230"/>
      <c r="P222" s="2230"/>
      <c r="Q222" s="2230"/>
      <c r="R222" s="2230"/>
      <c r="S222" s="2230"/>
      <c r="T222" s="2230"/>
      <c r="U222" s="2230"/>
      <c r="V222" s="2230"/>
      <c r="W222" s="2230"/>
      <c r="X222" s="2230"/>
      <c r="Y222" s="2230"/>
      <c r="Z222" s="2230"/>
      <c r="AA222" s="2230"/>
      <c r="AB222" s="2230"/>
      <c r="AC222" s="2230"/>
      <c r="AD222" s="2230"/>
      <c r="AE222" s="2230"/>
      <c r="AF222" s="2230"/>
      <c r="AG222" s="2230"/>
      <c r="AH222" s="2230"/>
      <c r="AI222" s="2230"/>
      <c r="AJ222" s="2230"/>
      <c r="AK222" s="2230"/>
      <c r="AL222" s="2230"/>
      <c r="AM222" s="2230"/>
      <c r="AN222" s="2230"/>
      <c r="AO222" s="2230"/>
      <c r="AP222" s="2230"/>
      <c r="AQ222" s="2230"/>
      <c r="AR222" s="2230"/>
      <c r="AS222" s="2230"/>
      <c r="AT222" s="2230"/>
      <c r="AU222" s="2230"/>
      <c r="AV222" s="2230"/>
      <c r="AW222" s="2230"/>
      <c r="AX222" s="2230"/>
      <c r="AY222" s="2230"/>
      <c r="AZ222" s="2230"/>
      <c r="BA222" s="2230"/>
      <c r="BB222" s="2230"/>
      <c r="BC222" s="2230"/>
      <c r="BD222" s="2231"/>
      <c r="BE222" s="903"/>
    </row>
    <row r="223" spans="1:57" ht="15.75" customHeight="1">
      <c r="A223" s="900"/>
      <c r="B223" s="2232" t="s">
        <v>2075</v>
      </c>
      <c r="C223" s="2233"/>
      <c r="D223" s="2233"/>
      <c r="E223" s="2233"/>
      <c r="F223" s="2233"/>
      <c r="G223" s="2233"/>
      <c r="H223" s="2233"/>
      <c r="I223" s="2233"/>
      <c r="J223" s="2233"/>
      <c r="K223" s="2233"/>
      <c r="L223" s="2233"/>
      <c r="M223" s="2233"/>
      <c r="N223" s="2233"/>
      <c r="O223" s="2233"/>
      <c r="P223" s="2233"/>
      <c r="Q223" s="2233"/>
      <c r="R223" s="2233"/>
      <c r="S223" s="2233"/>
      <c r="T223" s="2233"/>
      <c r="U223" s="2233"/>
      <c r="V223" s="2233"/>
      <c r="W223" s="2233"/>
      <c r="X223" s="2233"/>
      <c r="Y223" s="2233"/>
      <c r="Z223" s="2233"/>
      <c r="AA223" s="2233"/>
      <c r="AB223" s="2233"/>
      <c r="AC223" s="2233"/>
      <c r="AD223" s="2233"/>
      <c r="AE223" s="2233"/>
      <c r="AF223" s="2233"/>
      <c r="AG223" s="2233"/>
      <c r="AH223" s="2233"/>
      <c r="AI223" s="2233"/>
      <c r="AJ223" s="2233"/>
      <c r="AK223" s="2233"/>
      <c r="AL223" s="2233"/>
      <c r="AM223" s="2233"/>
      <c r="AN223" s="2233"/>
      <c r="AO223" s="2233"/>
      <c r="AP223" s="2233"/>
      <c r="AQ223" s="2233"/>
      <c r="AR223" s="2233"/>
      <c r="AS223" s="2233"/>
      <c r="AT223" s="2233"/>
      <c r="AU223" s="2233"/>
      <c r="AV223" s="2233"/>
      <c r="AW223" s="2233"/>
      <c r="AX223" s="2233"/>
      <c r="AY223" s="2233"/>
      <c r="AZ223" s="2233"/>
      <c r="BA223" s="2233"/>
      <c r="BB223" s="2233"/>
      <c r="BC223" s="2233"/>
      <c r="BD223" s="2234"/>
      <c r="BE223" s="903"/>
    </row>
    <row r="224" spans="1:57" ht="15.75" customHeight="1">
      <c r="A224" s="900"/>
      <c r="B224" s="2232" t="s">
        <v>2076</v>
      </c>
      <c r="C224" s="2233"/>
      <c r="D224" s="2233"/>
      <c r="E224" s="2233"/>
      <c r="F224" s="2233"/>
      <c r="G224" s="2233"/>
      <c r="H224" s="2233"/>
      <c r="I224" s="2233"/>
      <c r="J224" s="2233"/>
      <c r="K224" s="2233"/>
      <c r="L224" s="2233"/>
      <c r="M224" s="2233"/>
      <c r="N224" s="2233"/>
      <c r="O224" s="2233"/>
      <c r="P224" s="2233"/>
      <c r="Q224" s="2233"/>
      <c r="R224" s="2233"/>
      <c r="S224" s="2233"/>
      <c r="T224" s="2233"/>
      <c r="U224" s="2233"/>
      <c r="V224" s="2233"/>
      <c r="W224" s="2233"/>
      <c r="X224" s="2233"/>
      <c r="Y224" s="2233"/>
      <c r="Z224" s="2233"/>
      <c r="AA224" s="2233"/>
      <c r="AB224" s="2233"/>
      <c r="AC224" s="2233"/>
      <c r="AD224" s="2233"/>
      <c r="AE224" s="2233"/>
      <c r="AF224" s="2233"/>
      <c r="AG224" s="2233"/>
      <c r="AH224" s="2233"/>
      <c r="AI224" s="2233"/>
      <c r="AJ224" s="2233"/>
      <c r="AK224" s="2233"/>
      <c r="AL224" s="2233"/>
      <c r="AM224" s="2233"/>
      <c r="AN224" s="2233"/>
      <c r="AO224" s="2233"/>
      <c r="AP224" s="2233"/>
      <c r="AQ224" s="2233"/>
      <c r="AR224" s="2233"/>
      <c r="AS224" s="2233"/>
      <c r="AT224" s="2233"/>
      <c r="AU224" s="2233"/>
      <c r="AV224" s="2233"/>
      <c r="AW224" s="2233"/>
      <c r="AX224" s="2233"/>
      <c r="AY224" s="2233"/>
      <c r="AZ224" s="2233"/>
      <c r="BA224" s="2233"/>
      <c r="BB224" s="2233"/>
      <c r="BC224" s="2233"/>
      <c r="BD224" s="2234"/>
      <c r="BE224" s="903"/>
    </row>
    <row r="225" spans="1:57" ht="15.75" customHeight="1">
      <c r="A225" s="900"/>
      <c r="B225" s="899"/>
      <c r="C225" s="900"/>
      <c r="D225" s="900"/>
      <c r="E225" s="900"/>
      <c r="F225" s="900"/>
      <c r="G225" s="900"/>
      <c r="H225" s="900"/>
      <c r="I225" s="900"/>
      <c r="J225" s="900"/>
      <c r="K225" s="900"/>
      <c r="L225" s="900"/>
      <c r="M225" s="900"/>
      <c r="N225" s="900"/>
      <c r="O225" s="900"/>
      <c r="P225" s="900"/>
      <c r="Q225" s="900"/>
      <c r="R225" s="900"/>
      <c r="S225" s="900"/>
      <c r="T225" s="900"/>
      <c r="U225" s="900"/>
      <c r="V225" s="900"/>
      <c r="W225" s="900"/>
      <c r="X225" s="900"/>
      <c r="Y225" s="900"/>
      <c r="Z225" s="900"/>
      <c r="AA225" s="900"/>
      <c r="AB225" s="900"/>
      <c r="AC225" s="900"/>
      <c r="AD225" s="900"/>
      <c r="AE225" s="900"/>
      <c r="AF225" s="900"/>
      <c r="AG225" s="900"/>
      <c r="AH225" s="900"/>
      <c r="AI225" s="900"/>
      <c r="AJ225" s="900"/>
      <c r="AK225" s="900"/>
      <c r="AL225" s="900"/>
      <c r="AM225" s="900"/>
      <c r="AN225" s="900"/>
      <c r="AO225" s="900"/>
      <c r="AP225" s="900"/>
      <c r="AQ225" s="900"/>
      <c r="AR225" s="900"/>
      <c r="AS225" s="900"/>
      <c r="AT225" s="900"/>
      <c r="AU225" s="900"/>
      <c r="AV225" s="900"/>
      <c r="AW225" s="900"/>
      <c r="AX225" s="900"/>
      <c r="AY225" s="900"/>
      <c r="AZ225" s="900"/>
      <c r="BA225" s="900"/>
      <c r="BB225" s="900"/>
      <c r="BC225" s="900"/>
      <c r="BD225" s="903"/>
      <c r="BE225" s="903"/>
    </row>
    <row r="226" spans="1:57" ht="15.75" customHeight="1">
      <c r="A226" s="900"/>
      <c r="B226" s="2235" t="s">
        <v>2077</v>
      </c>
      <c r="C226" s="2125"/>
      <c r="D226" s="2125"/>
      <c r="E226" s="2125"/>
      <c r="F226" s="2125"/>
      <c r="G226" s="2125"/>
      <c r="H226" s="2125"/>
      <c r="I226" s="2125"/>
      <c r="J226" s="2125"/>
      <c r="K226" s="2125"/>
      <c r="L226" s="2125"/>
      <c r="M226" s="2125"/>
      <c r="N226" s="2125"/>
      <c r="O226" s="2125"/>
      <c r="P226" s="2125"/>
      <c r="Q226" s="2125"/>
      <c r="R226" s="2125"/>
      <c r="S226" s="2125"/>
      <c r="T226" s="2125"/>
      <c r="U226" s="2125"/>
      <c r="V226" s="2125"/>
      <c r="W226" s="2125"/>
      <c r="X226" s="2125"/>
      <c r="Y226" s="2125"/>
      <c r="Z226" s="2125"/>
      <c r="AA226" s="2125"/>
      <c r="AB226" s="2125"/>
      <c r="AC226" s="2125"/>
      <c r="AD226" s="2125"/>
      <c r="AE226" s="2125"/>
      <c r="AF226" s="2125"/>
      <c r="AG226" s="2125"/>
      <c r="AH226" s="2125"/>
      <c r="AI226" s="2125"/>
      <c r="AJ226" s="2125"/>
      <c r="AK226" s="2125"/>
      <c r="AL226" s="2125"/>
      <c r="AM226" s="2125"/>
      <c r="AN226" s="2125"/>
      <c r="AO226" s="2125"/>
      <c r="AP226" s="2125"/>
      <c r="AQ226" s="2125"/>
      <c r="AR226" s="2125"/>
      <c r="AS226" s="2125"/>
      <c r="AT226" s="2125"/>
      <c r="AU226" s="2125"/>
      <c r="AV226" s="2125"/>
      <c r="AW226" s="2125"/>
      <c r="AX226" s="2125"/>
      <c r="AY226" s="2125"/>
      <c r="AZ226" s="2125"/>
      <c r="BA226" s="2125"/>
      <c r="BB226" s="2125"/>
      <c r="BC226" s="2125"/>
      <c r="BD226" s="2236"/>
      <c r="BE226" s="903"/>
    </row>
    <row r="227" spans="1:57" ht="15.75" customHeight="1">
      <c r="A227" s="900"/>
      <c r="B227" s="939"/>
      <c r="C227" s="900"/>
      <c r="D227" s="900"/>
      <c r="E227" s="900"/>
      <c r="F227" s="900"/>
      <c r="G227" s="900"/>
      <c r="H227" s="900"/>
      <c r="I227" s="900"/>
      <c r="J227" s="900"/>
      <c r="K227" s="900"/>
      <c r="L227" s="900"/>
      <c r="M227" s="900"/>
      <c r="N227" s="900"/>
      <c r="O227" s="900"/>
      <c r="P227" s="900"/>
      <c r="Q227" s="900"/>
      <c r="R227" s="900"/>
      <c r="S227" s="900"/>
      <c r="T227" s="900"/>
      <c r="U227" s="900"/>
      <c r="V227" s="900"/>
      <c r="W227" s="900"/>
      <c r="X227" s="900"/>
      <c r="Y227" s="900"/>
      <c r="Z227" s="900"/>
      <c r="AA227" s="900"/>
      <c r="AB227" s="900"/>
      <c r="AC227" s="900"/>
      <c r="AD227" s="900"/>
      <c r="AE227" s="900"/>
      <c r="AF227" s="900"/>
      <c r="AG227" s="900"/>
      <c r="AH227" s="900"/>
      <c r="AI227" s="900"/>
      <c r="AJ227" s="900"/>
      <c r="AK227" s="900"/>
      <c r="AL227" s="900"/>
      <c r="AM227" s="900"/>
      <c r="AN227" s="900"/>
      <c r="AO227" s="900"/>
      <c r="AP227" s="900"/>
      <c r="AQ227" s="900"/>
      <c r="AR227" s="900"/>
      <c r="AS227" s="900"/>
      <c r="AT227" s="900"/>
      <c r="AU227" s="900"/>
      <c r="AV227" s="900"/>
      <c r="AW227" s="900"/>
      <c r="AX227" s="900"/>
      <c r="AY227" s="900"/>
      <c r="AZ227" s="900"/>
      <c r="BA227" s="900"/>
      <c r="BB227" s="900"/>
      <c r="BC227" s="900"/>
      <c r="BD227" s="903"/>
      <c r="BE227" s="903"/>
    </row>
    <row r="228" spans="1:57" ht="15.75" customHeight="1">
      <c r="A228" s="900"/>
      <c r="B228" s="940"/>
      <c r="C228" s="900"/>
      <c r="D228" s="900"/>
      <c r="E228" s="900"/>
      <c r="F228" s="900"/>
      <c r="G228" s="900"/>
      <c r="H228" s="901" t="s">
        <v>2078</v>
      </c>
      <c r="I228" s="900"/>
      <c r="J228" s="900"/>
      <c r="K228" s="900"/>
      <c r="L228" s="900"/>
      <c r="M228" s="900"/>
      <c r="N228" s="900"/>
      <c r="O228" s="900"/>
      <c r="P228" s="900"/>
      <c r="Q228" s="900"/>
      <c r="R228" s="900"/>
      <c r="S228" s="900"/>
      <c r="T228" s="900"/>
      <c r="U228" s="900"/>
      <c r="V228" s="900"/>
      <c r="W228" s="900"/>
      <c r="X228" s="900"/>
      <c r="Y228" s="900"/>
      <c r="Z228" s="900"/>
      <c r="AA228" s="900"/>
      <c r="AB228" s="900"/>
      <c r="AC228" s="900"/>
      <c r="AD228" s="900"/>
      <c r="AE228" s="900"/>
      <c r="AF228" s="900"/>
      <c r="AG228" s="900"/>
      <c r="AH228" s="900"/>
      <c r="AI228" s="900"/>
      <c r="AJ228" s="900"/>
      <c r="AK228" s="900"/>
      <c r="AL228" s="900"/>
      <c r="AM228" s="900"/>
      <c r="AN228" s="900"/>
      <c r="AO228" s="900"/>
      <c r="AP228" s="900"/>
      <c r="AQ228" s="900"/>
      <c r="AR228" s="900"/>
      <c r="AS228" s="900"/>
      <c r="AT228" s="900"/>
      <c r="AU228" s="900"/>
      <c r="AV228" s="900"/>
      <c r="AW228" s="900"/>
      <c r="AX228" s="900"/>
      <c r="AY228" s="900"/>
      <c r="AZ228" s="900"/>
      <c r="BA228" s="900"/>
      <c r="BB228" s="900"/>
      <c r="BC228" s="900"/>
      <c r="BD228" s="903"/>
      <c r="BE228" s="903"/>
    </row>
    <row r="229" spans="1:57" ht="15.75" customHeight="1">
      <c r="A229" s="900"/>
      <c r="B229" s="940"/>
      <c r="C229" s="900"/>
      <c r="D229" s="900"/>
      <c r="E229" s="900"/>
      <c r="F229" s="900"/>
      <c r="G229" s="900"/>
      <c r="H229" s="900"/>
      <c r="I229" s="900"/>
      <c r="J229" s="900"/>
      <c r="K229" s="900"/>
      <c r="L229" s="900"/>
      <c r="M229" s="900"/>
      <c r="N229" s="900"/>
      <c r="O229" s="900"/>
      <c r="P229" s="900"/>
      <c r="Q229" s="900"/>
      <c r="R229" s="900"/>
      <c r="S229" s="900"/>
      <c r="T229" s="900"/>
      <c r="U229" s="900"/>
      <c r="V229" s="900"/>
      <c r="W229" s="900"/>
      <c r="X229" s="900"/>
      <c r="Y229" s="900"/>
      <c r="Z229" s="900"/>
      <c r="AA229" s="900"/>
      <c r="AB229" s="900"/>
      <c r="AC229" s="900"/>
      <c r="AD229" s="900"/>
      <c r="AE229" s="900"/>
      <c r="AF229" s="900"/>
      <c r="AG229" s="900"/>
      <c r="AH229" s="900"/>
      <c r="AI229" s="900"/>
      <c r="AJ229" s="900"/>
      <c r="AK229" s="900"/>
      <c r="AL229" s="900"/>
      <c r="AM229" s="900"/>
      <c r="AN229" s="900"/>
      <c r="AO229" s="900"/>
      <c r="AP229" s="900"/>
      <c r="AQ229" s="900"/>
      <c r="AR229" s="900"/>
      <c r="AS229" s="900"/>
      <c r="AT229" s="900"/>
      <c r="AU229" s="900"/>
      <c r="AV229" s="900"/>
      <c r="AW229" s="900"/>
      <c r="AX229" s="900"/>
      <c r="AY229" s="900"/>
      <c r="AZ229" s="900"/>
      <c r="BA229" s="900"/>
      <c r="BB229" s="900"/>
      <c r="BC229" s="900"/>
      <c r="BD229" s="903"/>
      <c r="BE229" s="903"/>
    </row>
    <row r="230" spans="1:57" ht="15.75" customHeight="1">
      <c r="A230" s="900"/>
      <c r="B230" s="940"/>
      <c r="C230" s="900"/>
      <c r="D230" s="900"/>
      <c r="E230" s="900"/>
      <c r="F230" s="900"/>
      <c r="G230" s="900"/>
      <c r="H230" s="2237" t="s">
        <v>2079</v>
      </c>
      <c r="I230" s="2237"/>
      <c r="J230" s="2237"/>
      <c r="K230" s="2237"/>
      <c r="L230" s="2237"/>
      <c r="M230" s="2237"/>
      <c r="N230" s="2237"/>
      <c r="O230" s="2237"/>
      <c r="P230" s="2237"/>
      <c r="Q230" s="2237"/>
      <c r="R230" s="2237"/>
      <c r="S230" s="2237"/>
      <c r="T230" s="2237"/>
      <c r="U230" s="2237"/>
      <c r="V230" s="2237"/>
      <c r="W230" s="2237"/>
      <c r="X230" s="2237"/>
      <c r="Y230" s="2237"/>
      <c r="Z230" s="2237"/>
      <c r="AA230" s="2237"/>
      <c r="AB230" s="2237"/>
      <c r="AC230" s="2237"/>
      <c r="AD230" s="2237"/>
      <c r="AE230" s="2237"/>
      <c r="AF230" s="2237"/>
      <c r="AG230" s="2237"/>
      <c r="AH230" s="2237"/>
      <c r="AI230" s="2237"/>
      <c r="AJ230" s="2237"/>
      <c r="AK230" s="2237"/>
      <c r="AL230" s="2237"/>
      <c r="AM230" s="2237"/>
      <c r="AN230" s="2237"/>
      <c r="AO230" s="2237"/>
      <c r="AP230" s="2237"/>
      <c r="AQ230" s="2237"/>
      <c r="AR230" s="2237"/>
      <c r="AS230" s="2237"/>
      <c r="AT230" s="2237"/>
      <c r="AU230" s="2237"/>
      <c r="AV230" s="2237"/>
      <c r="AW230" s="2237"/>
      <c r="AX230" s="2237"/>
      <c r="AY230" s="2237"/>
      <c r="AZ230" s="900"/>
      <c r="BA230" s="900"/>
      <c r="BB230" s="900"/>
      <c r="BC230" s="900"/>
      <c r="BD230" s="903"/>
      <c r="BE230" s="903"/>
    </row>
    <row r="231" spans="1:57" ht="15.75" customHeight="1">
      <c r="A231" s="900"/>
      <c r="B231" s="940"/>
      <c r="C231" s="900"/>
      <c r="D231" s="900"/>
      <c r="E231" s="900"/>
      <c r="F231" s="900"/>
      <c r="G231" s="900"/>
      <c r="H231" s="900"/>
      <c r="I231" s="900"/>
      <c r="J231" s="900"/>
      <c r="K231" s="900"/>
      <c r="L231" s="900"/>
      <c r="M231" s="900"/>
      <c r="N231" s="900"/>
      <c r="O231" s="900"/>
      <c r="P231" s="900"/>
      <c r="Q231" s="900"/>
      <c r="R231" s="900"/>
      <c r="S231" s="900"/>
      <c r="T231" s="900"/>
      <c r="U231" s="900"/>
      <c r="V231" s="900"/>
      <c r="W231" s="900"/>
      <c r="X231" s="900"/>
      <c r="Y231" s="900"/>
      <c r="Z231" s="900"/>
      <c r="AA231" s="900"/>
      <c r="AB231" s="900"/>
      <c r="AC231" s="900"/>
      <c r="AD231" s="900"/>
      <c r="AE231" s="900"/>
      <c r="AF231" s="900"/>
      <c r="AG231" s="900"/>
      <c r="AH231" s="900"/>
      <c r="AI231" s="900"/>
      <c r="AJ231" s="900"/>
      <c r="AK231" s="900"/>
      <c r="AL231" s="900"/>
      <c r="AM231" s="900"/>
      <c r="AN231" s="900"/>
      <c r="AO231" s="900"/>
      <c r="AP231" s="900"/>
      <c r="AQ231" s="900"/>
      <c r="AR231" s="900"/>
      <c r="AS231" s="900"/>
      <c r="AT231" s="900"/>
      <c r="AU231" s="900"/>
      <c r="AV231" s="900"/>
      <c r="AW231" s="900"/>
      <c r="AX231" s="900"/>
      <c r="AY231" s="900"/>
      <c r="AZ231" s="900"/>
      <c r="BA231" s="900"/>
      <c r="BB231" s="900"/>
      <c r="BC231" s="900"/>
      <c r="BD231" s="903"/>
      <c r="BE231" s="903"/>
    </row>
    <row r="232" spans="1:57" ht="15.75" customHeight="1">
      <c r="A232" s="900"/>
      <c r="B232" s="940"/>
      <c r="C232" s="900"/>
      <c r="D232" s="900"/>
      <c r="E232" s="900"/>
      <c r="F232" s="900"/>
      <c r="G232" s="900"/>
      <c r="H232" s="2255" t="s">
        <v>2080</v>
      </c>
      <c r="I232" s="2255"/>
      <c r="J232" s="2255"/>
      <c r="K232" s="2255"/>
      <c r="L232" s="2255"/>
      <c r="M232" s="2255"/>
      <c r="N232" s="2255"/>
      <c r="O232" s="2255"/>
      <c r="P232" s="2255"/>
      <c r="Q232" s="2255"/>
      <c r="R232" s="2255"/>
      <c r="S232" s="2255"/>
      <c r="T232" s="2255"/>
      <c r="U232" s="2255"/>
      <c r="V232" s="2255"/>
      <c r="W232" s="2255"/>
      <c r="X232" s="2255"/>
      <c r="Y232" s="2255"/>
      <c r="Z232" s="2255"/>
      <c r="AA232" s="2255"/>
      <c r="AB232" s="2255"/>
      <c r="AC232" s="2255"/>
      <c r="AD232" s="2255"/>
      <c r="AE232" s="2255"/>
      <c r="AF232" s="2255"/>
      <c r="AG232" s="2255"/>
      <c r="AH232" s="2255"/>
      <c r="AI232" s="2255"/>
      <c r="AJ232" s="2255"/>
      <c r="AK232" s="2255"/>
      <c r="AL232" s="2255"/>
      <c r="AM232" s="2255"/>
      <c r="AN232" s="2255"/>
      <c r="AO232" s="2255"/>
      <c r="AP232" s="2255"/>
      <c r="AQ232" s="2255"/>
      <c r="AR232" s="2255"/>
      <c r="AS232" s="2255"/>
      <c r="AT232" s="2255"/>
      <c r="AU232" s="2255"/>
      <c r="AV232" s="2255"/>
      <c r="AW232" s="2255"/>
      <c r="AX232" s="2255"/>
      <c r="AY232" s="2255"/>
      <c r="AZ232" s="2255"/>
      <c r="BA232" s="900"/>
      <c r="BB232" s="900"/>
      <c r="BC232" s="900"/>
      <c r="BD232" s="903"/>
      <c r="BE232" s="903"/>
    </row>
    <row r="233" spans="1:57" ht="15.75" customHeight="1">
      <c r="A233" s="900"/>
      <c r="B233" s="899"/>
      <c r="C233" s="900"/>
      <c r="D233" s="900"/>
      <c r="E233" s="900"/>
      <c r="F233" s="900"/>
      <c r="G233" s="900"/>
      <c r="H233" s="2255"/>
      <c r="I233" s="2255"/>
      <c r="J233" s="2255"/>
      <c r="K233" s="2255"/>
      <c r="L233" s="2255"/>
      <c r="M233" s="2255"/>
      <c r="N233" s="2255"/>
      <c r="O233" s="2255"/>
      <c r="P233" s="2255"/>
      <c r="Q233" s="2255"/>
      <c r="R233" s="2255"/>
      <c r="S233" s="2255"/>
      <c r="T233" s="2255"/>
      <c r="U233" s="2255"/>
      <c r="V233" s="2255"/>
      <c r="W233" s="2255"/>
      <c r="X233" s="2255"/>
      <c r="Y233" s="2255"/>
      <c r="Z233" s="2255"/>
      <c r="AA233" s="2255"/>
      <c r="AB233" s="2255"/>
      <c r="AC233" s="2255"/>
      <c r="AD233" s="2255"/>
      <c r="AE233" s="2255"/>
      <c r="AF233" s="2255"/>
      <c r="AG233" s="2255"/>
      <c r="AH233" s="2255"/>
      <c r="AI233" s="2255"/>
      <c r="AJ233" s="2255"/>
      <c r="AK233" s="2255"/>
      <c r="AL233" s="2255"/>
      <c r="AM233" s="2255"/>
      <c r="AN233" s="2255"/>
      <c r="AO233" s="2255"/>
      <c r="AP233" s="2255"/>
      <c r="AQ233" s="2255"/>
      <c r="AR233" s="2255"/>
      <c r="AS233" s="2255"/>
      <c r="AT233" s="2255"/>
      <c r="AU233" s="2255"/>
      <c r="AV233" s="2255"/>
      <c r="AW233" s="2255"/>
      <c r="AX233" s="2255"/>
      <c r="AY233" s="2255"/>
      <c r="AZ233" s="2255"/>
      <c r="BA233" s="900"/>
      <c r="BB233" s="900"/>
      <c r="BC233" s="900"/>
      <c r="BD233" s="903"/>
      <c r="BE233" s="903"/>
    </row>
    <row r="234" spans="1:57" ht="15.75" customHeight="1">
      <c r="A234" s="900"/>
      <c r="B234" s="899"/>
      <c r="C234" s="900"/>
      <c r="D234" s="900"/>
      <c r="E234" s="900"/>
      <c r="F234" s="900"/>
      <c r="G234" s="900"/>
      <c r="H234" s="2255"/>
      <c r="I234" s="2255"/>
      <c r="J234" s="2255"/>
      <c r="K234" s="2255"/>
      <c r="L234" s="2255"/>
      <c r="M234" s="2255"/>
      <c r="N234" s="2255"/>
      <c r="O234" s="2255"/>
      <c r="P234" s="2255"/>
      <c r="Q234" s="2255"/>
      <c r="R234" s="2255"/>
      <c r="S234" s="2255"/>
      <c r="T234" s="2255"/>
      <c r="U234" s="2255"/>
      <c r="V234" s="2255"/>
      <c r="W234" s="2255"/>
      <c r="X234" s="2255"/>
      <c r="Y234" s="2255"/>
      <c r="Z234" s="2255"/>
      <c r="AA234" s="2255"/>
      <c r="AB234" s="2255"/>
      <c r="AC234" s="2255"/>
      <c r="AD234" s="2255"/>
      <c r="AE234" s="2255"/>
      <c r="AF234" s="2255"/>
      <c r="AG234" s="2255"/>
      <c r="AH234" s="2255"/>
      <c r="AI234" s="2255"/>
      <c r="AJ234" s="2255"/>
      <c r="AK234" s="2255"/>
      <c r="AL234" s="2255"/>
      <c r="AM234" s="2255"/>
      <c r="AN234" s="2255"/>
      <c r="AO234" s="2255"/>
      <c r="AP234" s="2255"/>
      <c r="AQ234" s="2255"/>
      <c r="AR234" s="2255"/>
      <c r="AS234" s="2255"/>
      <c r="AT234" s="2255"/>
      <c r="AU234" s="2255"/>
      <c r="AV234" s="2255"/>
      <c r="AW234" s="2255"/>
      <c r="AX234" s="2255"/>
      <c r="AY234" s="2255"/>
      <c r="AZ234" s="2255"/>
      <c r="BA234" s="900"/>
      <c r="BB234" s="900"/>
      <c r="BC234" s="900"/>
      <c r="BD234" s="903"/>
      <c r="BE234" s="903"/>
    </row>
    <row r="235" spans="1:57" ht="15.75" customHeight="1">
      <c r="A235" s="900"/>
      <c r="B235" s="899"/>
      <c r="C235" s="900"/>
      <c r="D235" s="900"/>
      <c r="E235" s="900"/>
      <c r="F235" s="900"/>
      <c r="G235" s="900"/>
      <c r="H235" s="2255"/>
      <c r="I235" s="2255"/>
      <c r="J235" s="2255"/>
      <c r="K235" s="2255"/>
      <c r="L235" s="2255"/>
      <c r="M235" s="2255"/>
      <c r="N235" s="2255"/>
      <c r="O235" s="2255"/>
      <c r="P235" s="2255"/>
      <c r="Q235" s="2255"/>
      <c r="R235" s="2255"/>
      <c r="S235" s="2255"/>
      <c r="T235" s="2255"/>
      <c r="U235" s="2255"/>
      <c r="V235" s="2255"/>
      <c r="W235" s="2255"/>
      <c r="X235" s="2255"/>
      <c r="Y235" s="2255"/>
      <c r="Z235" s="2255"/>
      <c r="AA235" s="2255"/>
      <c r="AB235" s="2255"/>
      <c r="AC235" s="2255"/>
      <c r="AD235" s="2255"/>
      <c r="AE235" s="2255"/>
      <c r="AF235" s="2255"/>
      <c r="AG235" s="2255"/>
      <c r="AH235" s="2255"/>
      <c r="AI235" s="2255"/>
      <c r="AJ235" s="2255"/>
      <c r="AK235" s="2255"/>
      <c r="AL235" s="2255"/>
      <c r="AM235" s="2255"/>
      <c r="AN235" s="2255"/>
      <c r="AO235" s="2255"/>
      <c r="AP235" s="2255"/>
      <c r="AQ235" s="2255"/>
      <c r="AR235" s="2255"/>
      <c r="AS235" s="2255"/>
      <c r="AT235" s="2255"/>
      <c r="AU235" s="2255"/>
      <c r="AV235" s="2255"/>
      <c r="AW235" s="2255"/>
      <c r="AX235" s="2255"/>
      <c r="AY235" s="2255"/>
      <c r="AZ235" s="2255"/>
      <c r="BA235" s="900"/>
      <c r="BB235" s="900"/>
      <c r="BC235" s="900"/>
      <c r="BD235" s="903"/>
      <c r="BE235" s="903"/>
    </row>
    <row r="236" spans="1:57" ht="15.75" customHeight="1">
      <c r="A236" s="900"/>
      <c r="B236" s="899"/>
      <c r="C236" s="900"/>
      <c r="D236" s="900"/>
      <c r="E236" s="900"/>
      <c r="F236" s="900"/>
      <c r="G236" s="900"/>
      <c r="H236" s="900"/>
      <c r="I236" s="900"/>
      <c r="J236" s="900"/>
      <c r="K236" s="900"/>
      <c r="L236" s="900"/>
      <c r="M236" s="900"/>
      <c r="N236" s="900"/>
      <c r="O236" s="900"/>
      <c r="P236" s="900"/>
      <c r="Q236" s="900"/>
      <c r="R236" s="900"/>
      <c r="S236" s="900"/>
      <c r="T236" s="900"/>
      <c r="U236" s="900"/>
      <c r="V236" s="900"/>
      <c r="W236" s="900"/>
      <c r="X236" s="900"/>
      <c r="Y236" s="900"/>
      <c r="Z236" s="900"/>
      <c r="AA236" s="900"/>
      <c r="AB236" s="900"/>
      <c r="AC236" s="900"/>
      <c r="AD236" s="900"/>
      <c r="AE236" s="900"/>
      <c r="AF236" s="900"/>
      <c r="AG236" s="900"/>
      <c r="AH236" s="900"/>
      <c r="AI236" s="900"/>
      <c r="AJ236" s="900"/>
      <c r="AK236" s="900"/>
      <c r="AL236" s="900"/>
      <c r="AM236" s="900"/>
      <c r="AN236" s="900"/>
      <c r="AO236" s="900"/>
      <c r="AP236" s="900"/>
      <c r="AQ236" s="900"/>
      <c r="AR236" s="900"/>
      <c r="AS236" s="900"/>
      <c r="AT236" s="900"/>
      <c r="AU236" s="900"/>
      <c r="AV236" s="900"/>
      <c r="AW236" s="900"/>
      <c r="AX236" s="900"/>
      <c r="AY236" s="900"/>
      <c r="AZ236" s="900"/>
      <c r="BA236" s="900"/>
      <c r="BB236" s="900"/>
      <c r="BC236" s="900"/>
      <c r="BD236" s="903"/>
      <c r="BE236" s="903"/>
    </row>
    <row r="237" spans="1:57" ht="15.75" customHeight="1" thickBot="1">
      <c r="A237" s="900"/>
      <c r="B237" s="941"/>
      <c r="C237" s="942"/>
      <c r="D237" s="942"/>
      <c r="E237" s="942"/>
      <c r="F237" s="942"/>
      <c r="G237" s="942"/>
      <c r="H237" s="2256" t="s">
        <v>2081</v>
      </c>
      <c r="I237" s="2256"/>
      <c r="J237" s="2256"/>
      <c r="K237" s="2256"/>
      <c r="L237" s="2256"/>
      <c r="M237" s="2256"/>
      <c r="N237" s="2256"/>
      <c r="O237" s="2256"/>
      <c r="P237" s="2256"/>
      <c r="Q237" s="2256"/>
      <c r="R237" s="2256"/>
      <c r="S237" s="2256"/>
      <c r="T237" s="2256"/>
      <c r="U237" s="2256"/>
      <c r="V237" s="2256"/>
      <c r="W237" s="2256"/>
      <c r="X237" s="2256"/>
      <c r="Y237" s="2256"/>
      <c r="Z237" s="2256"/>
      <c r="AA237" s="2256"/>
      <c r="AB237" s="2256"/>
      <c r="AC237" s="2256"/>
      <c r="AD237" s="2256"/>
      <c r="AE237" s="2256"/>
      <c r="AF237" s="2256"/>
      <c r="AG237" s="2256"/>
      <c r="AH237" s="2256"/>
      <c r="AI237" s="2256"/>
      <c r="AJ237" s="2256"/>
      <c r="AK237" s="2256"/>
      <c r="AL237" s="2256"/>
      <c r="AM237" s="2256"/>
      <c r="AN237" s="2256"/>
      <c r="AO237" s="2256"/>
      <c r="AP237" s="2256"/>
      <c r="AQ237" s="2256"/>
      <c r="AR237" s="2256"/>
      <c r="AS237" s="2256"/>
      <c r="AT237" s="2256"/>
      <c r="AU237" s="2256"/>
      <c r="AV237" s="2256"/>
      <c r="AW237" s="942"/>
      <c r="AX237" s="942"/>
      <c r="AY237" s="942"/>
      <c r="AZ237" s="942"/>
      <c r="BA237" s="942"/>
      <c r="BB237" s="942"/>
      <c r="BC237" s="942"/>
      <c r="BD237" s="943"/>
      <c r="BE237" s="903"/>
    </row>
    <row r="238" spans="1:57" ht="15.75" customHeight="1" thickBot="1">
      <c r="A238" s="900"/>
      <c r="B238" s="944"/>
      <c r="C238" s="945"/>
      <c r="D238" s="945"/>
      <c r="E238" s="945"/>
      <c r="F238" s="945"/>
      <c r="G238" s="945"/>
      <c r="H238" s="945"/>
      <c r="I238" s="945"/>
      <c r="J238" s="945"/>
      <c r="K238" s="945"/>
      <c r="L238" s="945"/>
      <c r="M238" s="945"/>
      <c r="N238" s="945"/>
      <c r="O238" s="945"/>
      <c r="P238" s="945"/>
      <c r="Q238" s="945"/>
      <c r="R238" s="945"/>
      <c r="S238" s="945"/>
      <c r="T238" s="945"/>
      <c r="U238" s="945"/>
      <c r="V238" s="945"/>
      <c r="W238" s="945"/>
      <c r="X238" s="945"/>
      <c r="Y238" s="945"/>
      <c r="Z238" s="945"/>
      <c r="AA238" s="945"/>
      <c r="AB238" s="945"/>
      <c r="AC238" s="945"/>
      <c r="AD238" s="945"/>
      <c r="AE238" s="945"/>
      <c r="AF238" s="945"/>
      <c r="AG238" s="945"/>
      <c r="AH238" s="945"/>
      <c r="AI238" s="945"/>
      <c r="AJ238" s="945"/>
      <c r="AK238" s="945"/>
      <c r="AL238" s="945"/>
      <c r="AM238" s="945"/>
      <c r="AN238" s="945"/>
      <c r="AO238" s="945"/>
      <c r="AP238" s="945"/>
      <c r="AQ238" s="945"/>
      <c r="AR238" s="945"/>
      <c r="AS238" s="945"/>
      <c r="AT238" s="945"/>
      <c r="AU238" s="945"/>
      <c r="AV238" s="945"/>
      <c r="AW238" s="945"/>
      <c r="AX238" s="945"/>
      <c r="AY238" s="945"/>
      <c r="AZ238" s="945"/>
      <c r="BA238" s="945"/>
      <c r="BB238" s="945"/>
      <c r="BC238" s="945"/>
      <c r="BD238" s="946"/>
      <c r="BE238" s="903"/>
    </row>
    <row r="239" spans="1:57" ht="30" customHeight="1" thickBot="1">
      <c r="A239" s="900"/>
      <c r="B239" s="944"/>
      <c r="C239" s="945"/>
      <c r="D239" s="945"/>
      <c r="E239" s="945"/>
      <c r="F239" s="945"/>
      <c r="G239" s="945"/>
      <c r="H239" s="2246" t="s">
        <v>2082</v>
      </c>
      <c r="I239" s="2246"/>
      <c r="J239" s="2246"/>
      <c r="K239" s="2246"/>
      <c r="L239" s="945"/>
      <c r="M239" s="945"/>
      <c r="N239" s="945"/>
      <c r="O239" s="945"/>
      <c r="P239" s="945"/>
      <c r="Q239" s="945"/>
      <c r="R239" s="945"/>
      <c r="S239" s="2257"/>
      <c r="T239" s="2258"/>
      <c r="U239" s="2258"/>
      <c r="V239" s="2258"/>
      <c r="W239" s="2258"/>
      <c r="X239" s="2258"/>
      <c r="Y239" s="2258"/>
      <c r="Z239" s="2258"/>
      <c r="AA239" s="2258"/>
      <c r="AB239" s="2258"/>
      <c r="AC239" s="2258"/>
      <c r="AD239" s="2258"/>
      <c r="AE239" s="2258"/>
      <c r="AF239" s="2258"/>
      <c r="AG239" s="2258"/>
      <c r="AH239" s="2258"/>
      <c r="AI239" s="2258"/>
      <c r="AJ239" s="2259"/>
      <c r="AK239" s="945"/>
      <c r="AL239" s="945"/>
      <c r="AM239" s="945"/>
      <c r="AN239" s="945"/>
      <c r="AO239" s="945"/>
      <c r="AP239" s="945"/>
      <c r="AQ239" s="945"/>
      <c r="AR239" s="945"/>
      <c r="AS239" s="945"/>
      <c r="AT239" s="945"/>
      <c r="AU239" s="945"/>
      <c r="AV239" s="945"/>
      <c r="AW239" s="945"/>
      <c r="AX239" s="945"/>
      <c r="AY239" s="945"/>
      <c r="AZ239" s="945"/>
      <c r="BA239" s="945"/>
      <c r="BB239" s="945"/>
      <c r="BC239" s="945"/>
      <c r="BD239" s="946"/>
      <c r="BE239" s="903"/>
    </row>
    <row r="240" spans="1:57" ht="15.75" customHeight="1" thickBot="1">
      <c r="A240" s="900"/>
      <c r="B240" s="944"/>
      <c r="C240" s="945"/>
      <c r="D240" s="945"/>
      <c r="E240" s="945"/>
      <c r="F240" s="945"/>
      <c r="G240" s="945"/>
      <c r="H240" s="947"/>
      <c r="I240" s="947"/>
      <c r="J240" s="947"/>
      <c r="K240" s="947"/>
      <c r="L240" s="945"/>
      <c r="M240" s="945"/>
      <c r="N240" s="945"/>
      <c r="O240" s="945"/>
      <c r="P240" s="945"/>
      <c r="Q240" s="945"/>
      <c r="R240" s="945"/>
      <c r="S240" s="945"/>
      <c r="T240" s="945"/>
      <c r="U240" s="945"/>
      <c r="V240" s="945"/>
      <c r="W240" s="945"/>
      <c r="X240" s="945"/>
      <c r="Y240" s="945"/>
      <c r="Z240" s="945"/>
      <c r="AA240" s="945"/>
      <c r="AB240" s="945"/>
      <c r="AC240" s="945"/>
      <c r="AD240" s="945"/>
      <c r="AE240" s="945"/>
      <c r="AF240" s="945"/>
      <c r="AG240" s="945"/>
      <c r="AH240" s="945"/>
      <c r="AI240" s="945"/>
      <c r="AJ240" s="945"/>
      <c r="AK240" s="945"/>
      <c r="AL240" s="945"/>
      <c r="AM240" s="945"/>
      <c r="AN240" s="945"/>
      <c r="AO240" s="945"/>
      <c r="AP240" s="945"/>
      <c r="AQ240" s="945"/>
      <c r="AR240" s="945"/>
      <c r="AS240" s="945"/>
      <c r="AT240" s="945"/>
      <c r="AU240" s="945"/>
      <c r="AV240" s="945"/>
      <c r="AW240" s="945"/>
      <c r="AX240" s="945"/>
      <c r="AY240" s="945"/>
      <c r="AZ240" s="945"/>
      <c r="BA240" s="945"/>
      <c r="BB240" s="945"/>
      <c r="BC240" s="945"/>
      <c r="BD240" s="946"/>
      <c r="BE240" s="903"/>
    </row>
    <row r="241" spans="1:57" ht="15.75" customHeight="1" thickBot="1">
      <c r="A241" s="900"/>
      <c r="B241" s="944"/>
      <c r="C241" s="945"/>
      <c r="D241" s="945"/>
      <c r="E241" s="945"/>
      <c r="F241" s="945"/>
      <c r="G241" s="945"/>
      <c r="H241" s="2246" t="s">
        <v>1981</v>
      </c>
      <c r="I241" s="2246"/>
      <c r="J241" s="2246"/>
      <c r="K241" s="947"/>
      <c r="L241" s="945"/>
      <c r="M241" s="945"/>
      <c r="N241" s="945"/>
      <c r="O241" s="945"/>
      <c r="P241" s="945"/>
      <c r="Q241" s="945"/>
      <c r="R241" s="945"/>
      <c r="S241" s="2247"/>
      <c r="T241" s="2248"/>
      <c r="U241" s="2248"/>
      <c r="V241" s="2248"/>
      <c r="W241" s="2248"/>
      <c r="X241" s="2248"/>
      <c r="Y241" s="2248"/>
      <c r="Z241" s="2248"/>
      <c r="AA241" s="2248"/>
      <c r="AB241" s="2248"/>
      <c r="AC241" s="2248"/>
      <c r="AD241" s="2248"/>
      <c r="AE241" s="2248"/>
      <c r="AF241" s="2248"/>
      <c r="AG241" s="2248"/>
      <c r="AH241" s="2248"/>
      <c r="AI241" s="2248"/>
      <c r="AJ241" s="2249"/>
      <c r="AK241" s="945"/>
      <c r="AL241" s="945"/>
      <c r="AM241" s="945"/>
      <c r="AN241" s="945"/>
      <c r="AO241" s="945"/>
      <c r="AP241" s="945"/>
      <c r="AQ241" s="945"/>
      <c r="AR241" s="945"/>
      <c r="AS241" s="945"/>
      <c r="AT241" s="945"/>
      <c r="AU241" s="945"/>
      <c r="AV241" s="945"/>
      <c r="AW241" s="945"/>
      <c r="AX241" s="945"/>
      <c r="AY241" s="945"/>
      <c r="AZ241" s="945"/>
      <c r="BA241" s="945"/>
      <c r="BB241" s="945"/>
      <c r="BC241" s="945"/>
      <c r="BD241" s="946"/>
      <c r="BE241" s="903"/>
    </row>
    <row r="242" spans="1:57" ht="15.75" customHeight="1" thickBot="1">
      <c r="A242" s="900"/>
      <c r="B242" s="944"/>
      <c r="C242" s="945"/>
      <c r="D242" s="945"/>
      <c r="E242" s="945"/>
      <c r="F242" s="945"/>
      <c r="G242" s="945"/>
      <c r="H242" s="947"/>
      <c r="I242" s="947"/>
      <c r="J242" s="947"/>
      <c r="K242" s="947"/>
      <c r="L242" s="945"/>
      <c r="M242" s="945"/>
      <c r="N242" s="945"/>
      <c r="O242" s="945"/>
      <c r="P242" s="945"/>
      <c r="Q242" s="945"/>
      <c r="R242" s="945"/>
      <c r="S242" s="945"/>
      <c r="T242" s="945"/>
      <c r="U242" s="945"/>
      <c r="V242" s="945"/>
      <c r="W242" s="945"/>
      <c r="X242" s="945"/>
      <c r="Y242" s="945"/>
      <c r="Z242" s="945"/>
      <c r="AA242" s="945"/>
      <c r="AB242" s="945"/>
      <c r="AC242" s="945"/>
      <c r="AD242" s="945"/>
      <c r="AE242" s="945"/>
      <c r="AF242" s="945"/>
      <c r="AG242" s="945"/>
      <c r="AH242" s="945"/>
      <c r="AI242" s="945"/>
      <c r="AJ242" s="945"/>
      <c r="AK242" s="945"/>
      <c r="AL242" s="945"/>
      <c r="AM242" s="945"/>
      <c r="AN242" s="945"/>
      <c r="AO242" s="945"/>
      <c r="AP242" s="945"/>
      <c r="AQ242" s="945"/>
      <c r="AR242" s="945"/>
      <c r="AS242" s="945"/>
      <c r="AT242" s="945"/>
      <c r="AU242" s="945"/>
      <c r="AV242" s="945"/>
      <c r="AW242" s="945"/>
      <c r="AX242" s="945"/>
      <c r="AY242" s="945"/>
      <c r="AZ242" s="945"/>
      <c r="BA242" s="945"/>
      <c r="BB242" s="945"/>
      <c r="BC242" s="945"/>
      <c r="BD242" s="946"/>
      <c r="BE242" s="903"/>
    </row>
    <row r="243" spans="1:57" ht="15.75" customHeight="1" thickBot="1">
      <c r="A243" s="900"/>
      <c r="B243" s="944"/>
      <c r="C243" s="945"/>
      <c r="D243" s="945"/>
      <c r="E243" s="945"/>
      <c r="F243" s="945"/>
      <c r="G243" s="945"/>
      <c r="H243" s="2246" t="s">
        <v>807</v>
      </c>
      <c r="I243" s="2246"/>
      <c r="J243" s="947"/>
      <c r="K243" s="947"/>
      <c r="L243" s="945"/>
      <c r="M243" s="945"/>
      <c r="N243" s="945"/>
      <c r="O243" s="945"/>
      <c r="P243" s="945"/>
      <c r="Q243" s="945"/>
      <c r="R243" s="945"/>
      <c r="S243" s="2247"/>
      <c r="T243" s="2248"/>
      <c r="U243" s="2248"/>
      <c r="V243" s="2248"/>
      <c r="W243" s="2248"/>
      <c r="X243" s="2248"/>
      <c r="Y243" s="2248"/>
      <c r="Z243" s="2248"/>
      <c r="AA243" s="2248"/>
      <c r="AB243" s="2248"/>
      <c r="AC243" s="2248"/>
      <c r="AD243" s="2248"/>
      <c r="AE243" s="2248"/>
      <c r="AF243" s="2248"/>
      <c r="AG243" s="2248"/>
      <c r="AH243" s="2248"/>
      <c r="AI243" s="2248"/>
      <c r="AJ243" s="2249"/>
      <c r="AK243" s="945"/>
      <c r="AL243" s="945"/>
      <c r="AM243" s="945"/>
      <c r="AN243" s="945"/>
      <c r="AO243" s="945"/>
      <c r="AP243" s="945"/>
      <c r="AQ243" s="945"/>
      <c r="AR243" s="945"/>
      <c r="AS243" s="945"/>
      <c r="AT243" s="945"/>
      <c r="AU243" s="945"/>
      <c r="AV243" s="945"/>
      <c r="AW243" s="945"/>
      <c r="AX243" s="945"/>
      <c r="AY243" s="945"/>
      <c r="AZ243" s="945"/>
      <c r="BA243" s="945"/>
      <c r="BB243" s="945"/>
      <c r="BC243" s="945"/>
      <c r="BD243" s="946"/>
      <c r="BE243" s="903"/>
    </row>
    <row r="244" spans="1:57" ht="15.75" customHeight="1" thickBot="1">
      <c r="A244" s="900"/>
      <c r="B244" s="944"/>
      <c r="C244" s="945"/>
      <c r="D244" s="945"/>
      <c r="E244" s="945"/>
      <c r="F244" s="945"/>
      <c r="G244" s="945"/>
      <c r="H244" s="945"/>
      <c r="I244" s="945"/>
      <c r="J244" s="945"/>
      <c r="K244" s="945"/>
      <c r="L244" s="945"/>
      <c r="M244" s="945"/>
      <c r="N244" s="945"/>
      <c r="O244" s="945"/>
      <c r="P244" s="945"/>
      <c r="Q244" s="945"/>
      <c r="R244" s="945"/>
      <c r="S244" s="945"/>
      <c r="T244" s="945"/>
      <c r="U244" s="945"/>
      <c r="V244" s="945"/>
      <c r="W244" s="945"/>
      <c r="X244" s="945"/>
      <c r="Y244" s="945"/>
      <c r="Z244" s="945"/>
      <c r="AA244" s="945"/>
      <c r="AB244" s="945"/>
      <c r="AC244" s="945"/>
      <c r="AD244" s="945"/>
      <c r="AE244" s="945"/>
      <c r="AF244" s="945"/>
      <c r="AG244" s="945"/>
      <c r="AH244" s="945"/>
      <c r="AI244" s="945"/>
      <c r="AJ244" s="945"/>
      <c r="AK244" s="945"/>
      <c r="AL244" s="945"/>
      <c r="AM244" s="945"/>
      <c r="AN244" s="945"/>
      <c r="AO244" s="945"/>
      <c r="AP244" s="945"/>
      <c r="AQ244" s="945"/>
      <c r="AR244" s="945"/>
      <c r="AS244" s="945"/>
      <c r="AT244" s="945"/>
      <c r="AU244" s="945"/>
      <c r="AV244" s="945"/>
      <c r="AW244" s="945"/>
      <c r="AX244" s="945"/>
      <c r="AY244" s="945"/>
      <c r="AZ244" s="945"/>
      <c r="BA244" s="945"/>
      <c r="BB244" s="945"/>
      <c r="BC244" s="945"/>
      <c r="BD244" s="946"/>
      <c r="BE244" s="903"/>
    </row>
    <row r="245" spans="1:57" ht="15.75" customHeight="1" thickBot="1">
      <c r="A245" s="900"/>
      <c r="B245" s="944"/>
      <c r="C245" s="945"/>
      <c r="D245" s="945"/>
      <c r="E245" s="945"/>
      <c r="F245" s="945"/>
      <c r="G245" s="945"/>
      <c r="H245" s="2250" t="s">
        <v>2083</v>
      </c>
      <c r="I245" s="2250"/>
      <c r="J245" s="2250"/>
      <c r="K245" s="2250"/>
      <c r="L245" s="2250"/>
      <c r="M245" s="2250"/>
      <c r="N245" s="2250"/>
      <c r="O245" s="2250"/>
      <c r="P245" s="945"/>
      <c r="Q245" s="945"/>
      <c r="R245" s="945"/>
      <c r="S245" s="2247"/>
      <c r="T245" s="2248"/>
      <c r="U245" s="2248"/>
      <c r="V245" s="2248"/>
      <c r="W245" s="2248"/>
      <c r="X245" s="2248"/>
      <c r="Y245" s="2248"/>
      <c r="Z245" s="2248"/>
      <c r="AA245" s="2248"/>
      <c r="AB245" s="2248"/>
      <c r="AC245" s="2248"/>
      <c r="AD245" s="2248"/>
      <c r="AE245" s="2248"/>
      <c r="AF245" s="2248"/>
      <c r="AG245" s="2248"/>
      <c r="AH245" s="2248"/>
      <c r="AI245" s="2248"/>
      <c r="AJ245" s="2249"/>
      <c r="AK245" s="945"/>
      <c r="AL245" s="945"/>
      <c r="AM245" s="945"/>
      <c r="AN245" s="945"/>
      <c r="AO245" s="945"/>
      <c r="AP245" s="945"/>
      <c r="AQ245" s="945"/>
      <c r="AR245" s="945"/>
      <c r="AS245" s="945"/>
      <c r="AT245" s="945"/>
      <c r="AU245" s="945"/>
      <c r="AV245" s="945"/>
      <c r="AW245" s="945"/>
      <c r="AX245" s="945"/>
      <c r="AY245" s="945"/>
      <c r="AZ245" s="945"/>
      <c r="BA245" s="945"/>
      <c r="BB245" s="945"/>
      <c r="BC245" s="945"/>
      <c r="BD245" s="946"/>
      <c r="BE245" s="903"/>
    </row>
    <row r="246" spans="1:57" ht="15.75" customHeight="1" thickBot="1">
      <c r="A246" s="900"/>
      <c r="B246" s="944"/>
      <c r="C246" s="945"/>
      <c r="D246" s="945"/>
      <c r="E246" s="945"/>
      <c r="F246" s="945"/>
      <c r="G246" s="945"/>
      <c r="H246" s="945"/>
      <c r="I246" s="945"/>
      <c r="J246" s="945"/>
      <c r="K246" s="945"/>
      <c r="L246" s="945"/>
      <c r="M246" s="945"/>
      <c r="N246" s="945"/>
      <c r="O246" s="945"/>
      <c r="P246" s="945"/>
      <c r="Q246" s="945"/>
      <c r="R246" s="945"/>
      <c r="S246" s="945"/>
      <c r="T246" s="945"/>
      <c r="U246" s="945"/>
      <c r="V246" s="945"/>
      <c r="W246" s="945"/>
      <c r="X246" s="945"/>
      <c r="Y246" s="945"/>
      <c r="Z246" s="945"/>
      <c r="AA246" s="945"/>
      <c r="AB246" s="945"/>
      <c r="AC246" s="945"/>
      <c r="AD246" s="945"/>
      <c r="AE246" s="945"/>
      <c r="AF246" s="945"/>
      <c r="AG246" s="945"/>
      <c r="AH246" s="945"/>
      <c r="AI246" s="945"/>
      <c r="AJ246" s="945"/>
      <c r="AK246" s="945"/>
      <c r="AL246" s="945"/>
      <c r="AM246" s="945"/>
      <c r="AN246" s="945"/>
      <c r="AO246" s="945"/>
      <c r="AP246" s="945"/>
      <c r="AQ246" s="945"/>
      <c r="AR246" s="945"/>
      <c r="AS246" s="945"/>
      <c r="AT246" s="945"/>
      <c r="AU246" s="945"/>
      <c r="AV246" s="945"/>
      <c r="AW246" s="945"/>
      <c r="AX246" s="945"/>
      <c r="AY246" s="945"/>
      <c r="AZ246" s="945"/>
      <c r="BA246" s="945"/>
      <c r="BB246" s="945"/>
      <c r="BC246" s="945"/>
      <c r="BD246" s="946"/>
      <c r="BE246" s="903"/>
    </row>
    <row r="247" spans="1:57" ht="15.75" customHeight="1" thickBot="1">
      <c r="A247" s="900"/>
      <c r="B247" s="944"/>
      <c r="C247" s="945"/>
      <c r="D247" s="945"/>
      <c r="E247" s="945"/>
      <c r="F247" s="945"/>
      <c r="G247" s="945"/>
      <c r="H247" s="2251" t="s">
        <v>2084</v>
      </c>
      <c r="I247" s="2251"/>
      <c r="J247" s="945"/>
      <c r="K247" s="945"/>
      <c r="L247" s="945"/>
      <c r="M247" s="945"/>
      <c r="N247" s="945"/>
      <c r="O247" s="945"/>
      <c r="P247" s="945"/>
      <c r="Q247" s="945"/>
      <c r="R247" s="945"/>
      <c r="S247" s="2252"/>
      <c r="T247" s="2253"/>
      <c r="U247" s="2253"/>
      <c r="V247" s="2253"/>
      <c r="W247" s="2253"/>
      <c r="X247" s="2253"/>
      <c r="Y247" s="2253"/>
      <c r="Z247" s="2253"/>
      <c r="AA247" s="2253"/>
      <c r="AB247" s="2253"/>
      <c r="AC247" s="2253"/>
      <c r="AD247" s="2253"/>
      <c r="AE247" s="2253"/>
      <c r="AF247" s="2253"/>
      <c r="AG247" s="2253"/>
      <c r="AH247" s="2253"/>
      <c r="AI247" s="2253"/>
      <c r="AJ247" s="2254"/>
      <c r="AK247" s="945"/>
      <c r="AL247" s="945"/>
      <c r="AM247" s="945"/>
      <c r="AN247" s="945"/>
      <c r="AO247" s="945"/>
      <c r="AP247" s="945"/>
      <c r="AQ247" s="945"/>
      <c r="AR247" s="945"/>
      <c r="AS247" s="945"/>
      <c r="AT247" s="945"/>
      <c r="AU247" s="945"/>
      <c r="AV247" s="945"/>
      <c r="AW247" s="945"/>
      <c r="AX247" s="945"/>
      <c r="AY247" s="945"/>
      <c r="AZ247" s="945"/>
      <c r="BA247" s="945"/>
      <c r="BB247" s="945"/>
      <c r="BC247" s="945"/>
      <c r="BD247" s="946"/>
      <c r="BE247" s="903"/>
    </row>
    <row r="248" spans="1:57" ht="15.75" customHeight="1" thickBot="1">
      <c r="A248" s="900"/>
      <c r="B248" s="948"/>
      <c r="C248" s="949"/>
      <c r="D248" s="949"/>
      <c r="E248" s="949"/>
      <c r="F248" s="949"/>
      <c r="G248" s="949"/>
      <c r="H248" s="949"/>
      <c r="I248" s="949"/>
      <c r="J248" s="949"/>
      <c r="K248" s="949"/>
      <c r="L248" s="949"/>
      <c r="M248" s="949"/>
      <c r="N248" s="949"/>
      <c r="O248" s="949"/>
      <c r="P248" s="949"/>
      <c r="Q248" s="949"/>
      <c r="R248" s="949"/>
      <c r="S248" s="949"/>
      <c r="T248" s="949"/>
      <c r="U248" s="949"/>
      <c r="V248" s="949"/>
      <c r="W248" s="949"/>
      <c r="X248" s="949"/>
      <c r="Y248" s="949"/>
      <c r="Z248" s="949"/>
      <c r="AA248" s="949"/>
      <c r="AB248" s="949"/>
      <c r="AC248" s="949"/>
      <c r="AD248" s="949"/>
      <c r="AE248" s="949"/>
      <c r="AF248" s="949"/>
      <c r="AG248" s="949"/>
      <c r="AH248" s="949"/>
      <c r="AI248" s="949"/>
      <c r="AJ248" s="949"/>
      <c r="AK248" s="949"/>
      <c r="AL248" s="949"/>
      <c r="AM248" s="949"/>
      <c r="AN248" s="949"/>
      <c r="AO248" s="949"/>
      <c r="AP248" s="949"/>
      <c r="AQ248" s="949"/>
      <c r="AR248" s="949"/>
      <c r="AS248" s="949"/>
      <c r="AT248" s="949"/>
      <c r="AU248" s="949"/>
      <c r="AV248" s="949"/>
      <c r="AW248" s="949"/>
      <c r="AX248" s="949"/>
      <c r="AY248" s="949"/>
      <c r="AZ248" s="949"/>
      <c r="BA248" s="949"/>
      <c r="BB248" s="949"/>
      <c r="BC248" s="949"/>
      <c r="BD248" s="950"/>
      <c r="BE248" s="903"/>
    </row>
    <row r="249" spans="1:57" ht="15.75" customHeight="1" thickBot="1">
      <c r="A249" s="942"/>
      <c r="B249" s="942"/>
      <c r="C249" s="942"/>
      <c r="D249" s="942"/>
      <c r="E249" s="942"/>
      <c r="F249" s="942"/>
      <c r="G249" s="942"/>
      <c r="H249" s="942"/>
      <c r="I249" s="942"/>
      <c r="J249" s="942"/>
      <c r="K249" s="942"/>
      <c r="L249" s="942"/>
      <c r="M249" s="942"/>
      <c r="N249" s="942"/>
      <c r="O249" s="942"/>
      <c r="P249" s="942"/>
      <c r="Q249" s="942"/>
      <c r="R249" s="942"/>
      <c r="S249" s="942"/>
      <c r="T249" s="942"/>
      <c r="U249" s="942"/>
      <c r="V249" s="942"/>
      <c r="W249" s="942"/>
      <c r="X249" s="942"/>
      <c r="Y249" s="942"/>
      <c r="Z249" s="942"/>
      <c r="AA249" s="942"/>
      <c r="AB249" s="942"/>
      <c r="AC249" s="942"/>
      <c r="AD249" s="942"/>
      <c r="AE249" s="942"/>
      <c r="AF249" s="942"/>
      <c r="AG249" s="942"/>
      <c r="AH249" s="942"/>
      <c r="AI249" s="942"/>
      <c r="AJ249" s="942"/>
      <c r="AK249" s="942"/>
      <c r="AL249" s="942"/>
      <c r="AM249" s="942"/>
      <c r="AN249" s="942"/>
      <c r="AO249" s="942"/>
      <c r="AP249" s="942"/>
      <c r="AQ249" s="942"/>
      <c r="AR249" s="942"/>
      <c r="AS249" s="942"/>
      <c r="AT249" s="942"/>
      <c r="AU249" s="942"/>
      <c r="AV249" s="942"/>
      <c r="AW249" s="942"/>
      <c r="AX249" s="942"/>
      <c r="AY249" s="942"/>
      <c r="AZ249" s="942"/>
      <c r="BA249" s="942"/>
      <c r="BB249" s="942"/>
      <c r="BC249" s="942"/>
      <c r="BD249" s="942"/>
      <c r="BE249" s="943"/>
    </row>
    <row r="252" spans="1:57" ht="15.75" customHeight="1">
      <c r="D252" s="898"/>
    </row>
    <row r="253" spans="1:57" ht="15.75" customHeight="1">
      <c r="D253" s="951"/>
    </row>
    <row r="254" spans="1:57" ht="15.75" customHeight="1">
      <c r="D254" s="898"/>
    </row>
    <row r="255" spans="1:57" ht="15.75" customHeight="1">
      <c r="D255" s="898"/>
    </row>
    <row r="256" spans="1:57" ht="15.75" customHeight="1">
      <c r="R256" s="897"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zoomScale="85" zoomScaleNormal="85" workbookViewId="0">
      <selection activeCell="AB56" sqref="AB56:AF56"/>
    </sheetView>
  </sheetViews>
  <sheetFormatPr defaultColWidth="0" defaultRowHeight="12.9" customHeight="1"/>
  <cols>
    <col min="1" max="1" width="1.44140625" style="230" customWidth="1"/>
    <col min="2" max="2" width="0.88671875" style="230" customWidth="1"/>
    <col min="3" max="18" width="2.44140625" style="230" customWidth="1"/>
    <col min="19" max="19" width="6.33203125" style="230" customWidth="1"/>
    <col min="20" max="39" width="2.6640625" style="230" customWidth="1"/>
    <col min="40" max="40" width="1.44140625" style="230" customWidth="1"/>
    <col min="41" max="256" width="2.44140625" style="230" hidden="1"/>
    <col min="257" max="257" width="1.44140625" style="230" hidden="1" customWidth="1"/>
    <col min="258" max="258" width="0.88671875" style="230" hidden="1" customWidth="1"/>
    <col min="259" max="274" width="2.44140625" style="230" hidden="1" customWidth="1"/>
    <col min="275" max="275" width="4" style="230" hidden="1" customWidth="1"/>
    <col min="276" max="295" width="2.44140625" style="230" hidden="1" customWidth="1"/>
    <col min="296" max="296" width="1.44140625" style="230" hidden="1" customWidth="1"/>
    <col min="297" max="512" width="2.44140625" style="230" hidden="1"/>
    <col min="513" max="513" width="1.44140625" style="230" hidden="1" customWidth="1"/>
    <col min="514" max="514" width="0.88671875" style="230" hidden="1" customWidth="1"/>
    <col min="515" max="530" width="2.44140625" style="230" hidden="1" customWidth="1"/>
    <col min="531" max="531" width="4" style="230" hidden="1" customWidth="1"/>
    <col min="532" max="551" width="2.44140625" style="230" hidden="1" customWidth="1"/>
    <col min="552" max="552" width="1.44140625" style="230" hidden="1" customWidth="1"/>
    <col min="553" max="768" width="2.44140625" style="230" hidden="1"/>
    <col min="769" max="769" width="1.44140625" style="230" hidden="1" customWidth="1"/>
    <col min="770" max="770" width="0.88671875" style="230" hidden="1" customWidth="1"/>
    <col min="771" max="786" width="2.44140625" style="230" hidden="1" customWidth="1"/>
    <col min="787" max="787" width="4" style="230" hidden="1" customWidth="1"/>
    <col min="788" max="807" width="2.44140625" style="230" hidden="1" customWidth="1"/>
    <col min="808" max="808" width="1.44140625" style="230" hidden="1" customWidth="1"/>
    <col min="809" max="1024" width="2.44140625" style="230" hidden="1"/>
    <col min="1025" max="1025" width="1.44140625" style="230" hidden="1" customWidth="1"/>
    <col min="1026" max="1026" width="0.88671875" style="230" hidden="1" customWidth="1"/>
    <col min="1027" max="1042" width="2.44140625" style="230" hidden="1" customWidth="1"/>
    <col min="1043" max="1043" width="4" style="230" hidden="1" customWidth="1"/>
    <col min="1044" max="1063" width="2.44140625" style="230" hidden="1" customWidth="1"/>
    <col min="1064" max="1064" width="1.44140625" style="230" hidden="1" customWidth="1"/>
    <col min="1065" max="1280" width="2.44140625" style="230" hidden="1"/>
    <col min="1281" max="1281" width="1.44140625" style="230" hidden="1" customWidth="1"/>
    <col min="1282" max="1282" width="0.88671875" style="230" hidden="1" customWidth="1"/>
    <col min="1283" max="1298" width="2.44140625" style="230" hidden="1" customWidth="1"/>
    <col min="1299" max="1299" width="4" style="230" hidden="1" customWidth="1"/>
    <col min="1300" max="1319" width="2.44140625" style="230" hidden="1" customWidth="1"/>
    <col min="1320" max="1320" width="1.44140625" style="230" hidden="1" customWidth="1"/>
    <col min="1321" max="1536" width="2.44140625" style="230" hidden="1"/>
    <col min="1537" max="1537" width="1.44140625" style="230" hidden="1" customWidth="1"/>
    <col min="1538" max="1538" width="0.88671875" style="230" hidden="1" customWidth="1"/>
    <col min="1539" max="1554" width="2.44140625" style="230" hidden="1" customWidth="1"/>
    <col min="1555" max="1555" width="4" style="230" hidden="1" customWidth="1"/>
    <col min="1556" max="1575" width="2.44140625" style="230" hidden="1" customWidth="1"/>
    <col min="1576" max="1576" width="1.44140625" style="230" hidden="1" customWidth="1"/>
    <col min="1577" max="1792" width="2.44140625" style="230" hidden="1"/>
    <col min="1793" max="1793" width="1.44140625" style="230" hidden="1" customWidth="1"/>
    <col min="1794" max="1794" width="0.88671875" style="230" hidden="1" customWidth="1"/>
    <col min="1795" max="1810" width="2.44140625" style="230" hidden="1" customWidth="1"/>
    <col min="1811" max="1811" width="4" style="230" hidden="1" customWidth="1"/>
    <col min="1812" max="1831" width="2.44140625" style="230" hidden="1" customWidth="1"/>
    <col min="1832" max="1832" width="1.44140625" style="230" hidden="1" customWidth="1"/>
    <col min="1833" max="2048" width="2.44140625" style="230" hidden="1"/>
    <col min="2049" max="2049" width="1.44140625" style="230" hidden="1" customWidth="1"/>
    <col min="2050" max="2050" width="0.88671875" style="230" hidden="1" customWidth="1"/>
    <col min="2051" max="2066" width="2.44140625" style="230" hidden="1" customWidth="1"/>
    <col min="2067" max="2067" width="4" style="230" hidden="1" customWidth="1"/>
    <col min="2068" max="2087" width="2.44140625" style="230" hidden="1" customWidth="1"/>
    <col min="2088" max="2088" width="1.44140625" style="230" hidden="1" customWidth="1"/>
    <col min="2089" max="2304" width="2.44140625" style="230" hidden="1"/>
    <col min="2305" max="2305" width="1.44140625" style="230" hidden="1" customWidth="1"/>
    <col min="2306" max="2306" width="0.88671875" style="230" hidden="1" customWidth="1"/>
    <col min="2307" max="2322" width="2.44140625" style="230" hidden="1" customWidth="1"/>
    <col min="2323" max="2323" width="4" style="230" hidden="1" customWidth="1"/>
    <col min="2324" max="2343" width="2.44140625" style="230" hidden="1" customWidth="1"/>
    <col min="2344" max="2344" width="1.44140625" style="230" hidden="1" customWidth="1"/>
    <col min="2345" max="2560" width="2.44140625" style="230" hidden="1"/>
    <col min="2561" max="2561" width="1.44140625" style="230" hidden="1" customWidth="1"/>
    <col min="2562" max="2562" width="0.88671875" style="230" hidden="1" customWidth="1"/>
    <col min="2563" max="2578" width="2.44140625" style="230" hidden="1" customWidth="1"/>
    <col min="2579" max="2579" width="4" style="230" hidden="1" customWidth="1"/>
    <col min="2580" max="2599" width="2.44140625" style="230" hidden="1" customWidth="1"/>
    <col min="2600" max="2600" width="1.44140625" style="230" hidden="1" customWidth="1"/>
    <col min="2601" max="2816" width="2.44140625" style="230" hidden="1"/>
    <col min="2817" max="2817" width="1.44140625" style="230" hidden="1" customWidth="1"/>
    <col min="2818" max="2818" width="0.88671875" style="230" hidden="1" customWidth="1"/>
    <col min="2819" max="2834" width="2.44140625" style="230" hidden="1" customWidth="1"/>
    <col min="2835" max="2835" width="4" style="230" hidden="1" customWidth="1"/>
    <col min="2836" max="2855" width="2.44140625" style="230" hidden="1" customWidth="1"/>
    <col min="2856" max="2856" width="1.44140625" style="230" hidden="1" customWidth="1"/>
    <col min="2857" max="3072" width="2.44140625" style="230" hidden="1"/>
    <col min="3073" max="3073" width="1.44140625" style="230" hidden="1" customWidth="1"/>
    <col min="3074" max="3074" width="0.88671875" style="230" hidden="1" customWidth="1"/>
    <col min="3075" max="3090" width="2.44140625" style="230" hidden="1" customWidth="1"/>
    <col min="3091" max="3091" width="4" style="230" hidden="1" customWidth="1"/>
    <col min="3092" max="3111" width="2.44140625" style="230" hidden="1" customWidth="1"/>
    <col min="3112" max="3112" width="1.44140625" style="230" hidden="1" customWidth="1"/>
    <col min="3113" max="3328" width="2.44140625" style="230" hidden="1"/>
    <col min="3329" max="3329" width="1.44140625" style="230" hidden="1" customWidth="1"/>
    <col min="3330" max="3330" width="0.88671875" style="230" hidden="1" customWidth="1"/>
    <col min="3331" max="3346" width="2.44140625" style="230" hidden="1" customWidth="1"/>
    <col min="3347" max="3347" width="4" style="230" hidden="1" customWidth="1"/>
    <col min="3348" max="3367" width="2.44140625" style="230" hidden="1" customWidth="1"/>
    <col min="3368" max="3368" width="1.44140625" style="230" hidden="1" customWidth="1"/>
    <col min="3369" max="3584" width="2.44140625" style="230" hidden="1"/>
    <col min="3585" max="3585" width="1.44140625" style="230" hidden="1" customWidth="1"/>
    <col min="3586" max="3586" width="0.88671875" style="230" hidden="1" customWidth="1"/>
    <col min="3587" max="3602" width="2.44140625" style="230" hidden="1" customWidth="1"/>
    <col min="3603" max="3603" width="4" style="230" hidden="1" customWidth="1"/>
    <col min="3604" max="3623" width="2.44140625" style="230" hidden="1" customWidth="1"/>
    <col min="3624" max="3624" width="1.44140625" style="230" hidden="1" customWidth="1"/>
    <col min="3625" max="3840" width="2.44140625" style="230" hidden="1"/>
    <col min="3841" max="3841" width="1.44140625" style="230" hidden="1" customWidth="1"/>
    <col min="3842" max="3842" width="0.88671875" style="230" hidden="1" customWidth="1"/>
    <col min="3843" max="3858" width="2.44140625" style="230" hidden="1" customWidth="1"/>
    <col min="3859" max="3859" width="4" style="230" hidden="1" customWidth="1"/>
    <col min="3860" max="3879" width="2.44140625" style="230" hidden="1" customWidth="1"/>
    <col min="3880" max="3880" width="1.44140625" style="230" hidden="1" customWidth="1"/>
    <col min="3881" max="4096" width="2.44140625" style="230" hidden="1"/>
    <col min="4097" max="4097" width="1.44140625" style="230" hidden="1" customWidth="1"/>
    <col min="4098" max="4098" width="0.88671875" style="230" hidden="1" customWidth="1"/>
    <col min="4099" max="4114" width="2.44140625" style="230" hidden="1" customWidth="1"/>
    <col min="4115" max="4115" width="4" style="230" hidden="1" customWidth="1"/>
    <col min="4116" max="4135" width="2.44140625" style="230" hidden="1" customWidth="1"/>
    <col min="4136" max="4136" width="1.44140625" style="230" hidden="1" customWidth="1"/>
    <col min="4137" max="4352" width="2.44140625" style="230" hidden="1"/>
    <col min="4353" max="4353" width="1.44140625" style="230" hidden="1" customWidth="1"/>
    <col min="4354" max="4354" width="0.88671875" style="230" hidden="1" customWidth="1"/>
    <col min="4355" max="4370" width="2.44140625" style="230" hidden="1" customWidth="1"/>
    <col min="4371" max="4371" width="4" style="230" hidden="1" customWidth="1"/>
    <col min="4372" max="4391" width="2.44140625" style="230" hidden="1" customWidth="1"/>
    <col min="4392" max="4392" width="1.44140625" style="230" hidden="1" customWidth="1"/>
    <col min="4393" max="4608" width="2.44140625" style="230" hidden="1"/>
    <col min="4609" max="4609" width="1.44140625" style="230" hidden="1" customWidth="1"/>
    <col min="4610" max="4610" width="0.88671875" style="230" hidden="1" customWidth="1"/>
    <col min="4611" max="4626" width="2.44140625" style="230" hidden="1" customWidth="1"/>
    <col min="4627" max="4627" width="4" style="230" hidden="1" customWidth="1"/>
    <col min="4628" max="4647" width="2.44140625" style="230" hidden="1" customWidth="1"/>
    <col min="4648" max="4648" width="1.44140625" style="230" hidden="1" customWidth="1"/>
    <col min="4649" max="4864" width="2.44140625" style="230" hidden="1"/>
    <col min="4865" max="4865" width="1.44140625" style="230" hidden="1" customWidth="1"/>
    <col min="4866" max="4866" width="0.88671875" style="230" hidden="1" customWidth="1"/>
    <col min="4867" max="4882" width="2.44140625" style="230" hidden="1" customWidth="1"/>
    <col min="4883" max="4883" width="4" style="230" hidden="1" customWidth="1"/>
    <col min="4884" max="4903" width="2.44140625" style="230" hidden="1" customWidth="1"/>
    <col min="4904" max="4904" width="1.44140625" style="230" hidden="1" customWidth="1"/>
    <col min="4905" max="5120" width="2.44140625" style="230" hidden="1"/>
    <col min="5121" max="5121" width="1.44140625" style="230" hidden="1" customWidth="1"/>
    <col min="5122" max="5122" width="0.88671875" style="230" hidden="1" customWidth="1"/>
    <col min="5123" max="5138" width="2.44140625" style="230" hidden="1" customWidth="1"/>
    <col min="5139" max="5139" width="4" style="230" hidden="1" customWidth="1"/>
    <col min="5140" max="5159" width="2.44140625" style="230" hidden="1" customWidth="1"/>
    <col min="5160" max="5160" width="1.44140625" style="230" hidden="1" customWidth="1"/>
    <col min="5161" max="5376" width="2.44140625" style="230" hidden="1"/>
    <col min="5377" max="5377" width="1.44140625" style="230" hidden="1" customWidth="1"/>
    <col min="5378" max="5378" width="0.88671875" style="230" hidden="1" customWidth="1"/>
    <col min="5379" max="5394" width="2.44140625" style="230" hidden="1" customWidth="1"/>
    <col min="5395" max="5395" width="4" style="230" hidden="1" customWidth="1"/>
    <col min="5396" max="5415" width="2.44140625" style="230" hidden="1" customWidth="1"/>
    <col min="5416" max="5416" width="1.44140625" style="230" hidden="1" customWidth="1"/>
    <col min="5417" max="5632" width="2.44140625" style="230" hidden="1"/>
    <col min="5633" max="5633" width="1.44140625" style="230" hidden="1" customWidth="1"/>
    <col min="5634" max="5634" width="0.88671875" style="230" hidden="1" customWidth="1"/>
    <col min="5635" max="5650" width="2.44140625" style="230" hidden="1" customWidth="1"/>
    <col min="5651" max="5651" width="4" style="230" hidden="1" customWidth="1"/>
    <col min="5652" max="5671" width="2.44140625" style="230" hidden="1" customWidth="1"/>
    <col min="5672" max="5672" width="1.44140625" style="230" hidden="1" customWidth="1"/>
    <col min="5673" max="5888" width="2.44140625" style="230" hidden="1"/>
    <col min="5889" max="5889" width="1.44140625" style="230" hidden="1" customWidth="1"/>
    <col min="5890" max="5890" width="0.88671875" style="230" hidden="1" customWidth="1"/>
    <col min="5891" max="5906" width="2.44140625" style="230" hidden="1" customWidth="1"/>
    <col min="5907" max="5907" width="4" style="230" hidden="1" customWidth="1"/>
    <col min="5908" max="5927" width="2.44140625" style="230" hidden="1" customWidth="1"/>
    <col min="5928" max="5928" width="1.44140625" style="230" hidden="1" customWidth="1"/>
    <col min="5929" max="6144" width="2.44140625" style="230" hidden="1"/>
    <col min="6145" max="6145" width="1.44140625" style="230" hidden="1" customWidth="1"/>
    <col min="6146" max="6146" width="0.88671875" style="230" hidden="1" customWidth="1"/>
    <col min="6147" max="6162" width="2.44140625" style="230" hidden="1" customWidth="1"/>
    <col min="6163" max="6163" width="4" style="230" hidden="1" customWidth="1"/>
    <col min="6164" max="6183" width="2.44140625" style="230" hidden="1" customWidth="1"/>
    <col min="6184" max="6184" width="1.44140625" style="230" hidden="1" customWidth="1"/>
    <col min="6185" max="6400" width="2.44140625" style="230" hidden="1"/>
    <col min="6401" max="6401" width="1.44140625" style="230" hidden="1" customWidth="1"/>
    <col min="6402" max="6402" width="0.88671875" style="230" hidden="1" customWidth="1"/>
    <col min="6403" max="6418" width="2.44140625" style="230" hidden="1" customWidth="1"/>
    <col min="6419" max="6419" width="4" style="230" hidden="1" customWidth="1"/>
    <col min="6420" max="6439" width="2.44140625" style="230" hidden="1" customWidth="1"/>
    <col min="6440" max="6440" width="1.44140625" style="230" hidden="1" customWidth="1"/>
    <col min="6441" max="6656" width="2.44140625" style="230" hidden="1"/>
    <col min="6657" max="6657" width="1.44140625" style="230" hidden="1" customWidth="1"/>
    <col min="6658" max="6658" width="0.88671875" style="230" hidden="1" customWidth="1"/>
    <col min="6659" max="6674" width="2.44140625" style="230" hidden="1" customWidth="1"/>
    <col min="6675" max="6675" width="4" style="230" hidden="1" customWidth="1"/>
    <col min="6676" max="6695" width="2.44140625" style="230" hidden="1" customWidth="1"/>
    <col min="6696" max="6696" width="1.44140625" style="230" hidden="1" customWidth="1"/>
    <col min="6697" max="6912" width="2.44140625" style="230" hidden="1"/>
    <col min="6913" max="6913" width="1.44140625" style="230" hidden="1" customWidth="1"/>
    <col min="6914" max="6914" width="0.88671875" style="230" hidden="1" customWidth="1"/>
    <col min="6915" max="6930" width="2.44140625" style="230" hidden="1" customWidth="1"/>
    <col min="6931" max="6931" width="4" style="230" hidden="1" customWidth="1"/>
    <col min="6932" max="6951" width="2.44140625" style="230" hidden="1" customWidth="1"/>
    <col min="6952" max="6952" width="1.44140625" style="230" hidden="1" customWidth="1"/>
    <col min="6953" max="7168" width="2.44140625" style="230" hidden="1"/>
    <col min="7169" max="7169" width="1.44140625" style="230" hidden="1" customWidth="1"/>
    <col min="7170" max="7170" width="0.88671875" style="230" hidden="1" customWidth="1"/>
    <col min="7171" max="7186" width="2.44140625" style="230" hidden="1" customWidth="1"/>
    <col min="7187" max="7187" width="4" style="230" hidden="1" customWidth="1"/>
    <col min="7188" max="7207" width="2.44140625" style="230" hidden="1" customWidth="1"/>
    <col min="7208" max="7208" width="1.44140625" style="230" hidden="1" customWidth="1"/>
    <col min="7209" max="7424" width="2.44140625" style="230" hidden="1"/>
    <col min="7425" max="7425" width="1.44140625" style="230" hidden="1" customWidth="1"/>
    <col min="7426" max="7426" width="0.88671875" style="230" hidden="1" customWidth="1"/>
    <col min="7427" max="7442" width="2.44140625" style="230" hidden="1" customWidth="1"/>
    <col min="7443" max="7443" width="4" style="230" hidden="1" customWidth="1"/>
    <col min="7444" max="7463" width="2.44140625" style="230" hidden="1" customWidth="1"/>
    <col min="7464" max="7464" width="1.44140625" style="230" hidden="1" customWidth="1"/>
    <col min="7465" max="7680" width="2.44140625" style="230" hidden="1"/>
    <col min="7681" max="7681" width="1.44140625" style="230" hidden="1" customWidth="1"/>
    <col min="7682" max="7682" width="0.88671875" style="230" hidden="1" customWidth="1"/>
    <col min="7683" max="7698" width="2.44140625" style="230" hidden="1" customWidth="1"/>
    <col min="7699" max="7699" width="4" style="230" hidden="1" customWidth="1"/>
    <col min="7700" max="7719" width="2.44140625" style="230" hidden="1" customWidth="1"/>
    <col min="7720" max="7720" width="1.44140625" style="230" hidden="1" customWidth="1"/>
    <col min="7721" max="7936" width="2.44140625" style="230" hidden="1"/>
    <col min="7937" max="7937" width="1.44140625" style="230" hidden="1" customWidth="1"/>
    <col min="7938" max="7938" width="0.88671875" style="230" hidden="1" customWidth="1"/>
    <col min="7939" max="7954" width="2.44140625" style="230" hidden="1" customWidth="1"/>
    <col min="7955" max="7955" width="4" style="230" hidden="1" customWidth="1"/>
    <col min="7956" max="7975" width="2.44140625" style="230" hidden="1" customWidth="1"/>
    <col min="7976" max="7976" width="1.44140625" style="230" hidden="1" customWidth="1"/>
    <col min="7977" max="8192" width="2.44140625" style="230" hidden="1"/>
    <col min="8193" max="8193" width="1.44140625" style="230" hidden="1" customWidth="1"/>
    <col min="8194" max="8194" width="0.88671875" style="230" hidden="1" customWidth="1"/>
    <col min="8195" max="8210" width="2.44140625" style="230" hidden="1" customWidth="1"/>
    <col min="8211" max="8211" width="4" style="230" hidden="1" customWidth="1"/>
    <col min="8212" max="8231" width="2.44140625" style="230" hidden="1" customWidth="1"/>
    <col min="8232" max="8232" width="1.44140625" style="230" hidden="1" customWidth="1"/>
    <col min="8233" max="8448" width="2.44140625" style="230" hidden="1"/>
    <col min="8449" max="8449" width="1.44140625" style="230" hidden="1" customWidth="1"/>
    <col min="8450" max="8450" width="0.88671875" style="230" hidden="1" customWidth="1"/>
    <col min="8451" max="8466" width="2.44140625" style="230" hidden="1" customWidth="1"/>
    <col min="8467" max="8467" width="4" style="230" hidden="1" customWidth="1"/>
    <col min="8468" max="8487" width="2.44140625" style="230" hidden="1" customWidth="1"/>
    <col min="8488" max="8488" width="1.44140625" style="230" hidden="1" customWidth="1"/>
    <col min="8489" max="8704" width="2.44140625" style="230" hidden="1"/>
    <col min="8705" max="8705" width="1.44140625" style="230" hidden="1" customWidth="1"/>
    <col min="8706" max="8706" width="0.88671875" style="230" hidden="1" customWidth="1"/>
    <col min="8707" max="8722" width="2.44140625" style="230" hidden="1" customWidth="1"/>
    <col min="8723" max="8723" width="4" style="230" hidden="1" customWidth="1"/>
    <col min="8724" max="8743" width="2.44140625" style="230" hidden="1" customWidth="1"/>
    <col min="8744" max="8744" width="1.44140625" style="230" hidden="1" customWidth="1"/>
    <col min="8745" max="8960" width="2.44140625" style="230" hidden="1"/>
    <col min="8961" max="8961" width="1.44140625" style="230" hidden="1" customWidth="1"/>
    <col min="8962" max="8962" width="0.88671875" style="230" hidden="1" customWidth="1"/>
    <col min="8963" max="8978" width="2.44140625" style="230" hidden="1" customWidth="1"/>
    <col min="8979" max="8979" width="4" style="230" hidden="1" customWidth="1"/>
    <col min="8980" max="8999" width="2.44140625" style="230" hidden="1" customWidth="1"/>
    <col min="9000" max="9000" width="1.44140625" style="230" hidden="1" customWidth="1"/>
    <col min="9001" max="9216" width="2.44140625" style="230" hidden="1"/>
    <col min="9217" max="9217" width="1.44140625" style="230" hidden="1" customWidth="1"/>
    <col min="9218" max="9218" width="0.88671875" style="230" hidden="1" customWidth="1"/>
    <col min="9219" max="9234" width="2.44140625" style="230" hidden="1" customWidth="1"/>
    <col min="9235" max="9235" width="4" style="230" hidden="1" customWidth="1"/>
    <col min="9236" max="9255" width="2.44140625" style="230" hidden="1" customWidth="1"/>
    <col min="9256" max="9256" width="1.44140625" style="230" hidden="1" customWidth="1"/>
    <col min="9257" max="9472" width="2.44140625" style="230" hidden="1"/>
    <col min="9473" max="9473" width="1.44140625" style="230" hidden="1" customWidth="1"/>
    <col min="9474" max="9474" width="0.88671875" style="230" hidden="1" customWidth="1"/>
    <col min="9475" max="9490" width="2.44140625" style="230" hidden="1" customWidth="1"/>
    <col min="9491" max="9491" width="4" style="230" hidden="1" customWidth="1"/>
    <col min="9492" max="9511" width="2.44140625" style="230" hidden="1" customWidth="1"/>
    <col min="9512" max="9512" width="1.44140625" style="230" hidden="1" customWidth="1"/>
    <col min="9513" max="9728" width="2.44140625" style="230" hidden="1"/>
    <col min="9729" max="9729" width="1.44140625" style="230" hidden="1" customWidth="1"/>
    <col min="9730" max="9730" width="0.88671875" style="230" hidden="1" customWidth="1"/>
    <col min="9731" max="9746" width="2.44140625" style="230" hidden="1" customWidth="1"/>
    <col min="9747" max="9747" width="4" style="230" hidden="1" customWidth="1"/>
    <col min="9748" max="9767" width="2.44140625" style="230" hidden="1" customWidth="1"/>
    <col min="9768" max="9768" width="1.44140625" style="230" hidden="1" customWidth="1"/>
    <col min="9769" max="9984" width="2.44140625" style="230" hidden="1"/>
    <col min="9985" max="9985" width="1.44140625" style="230" hidden="1" customWidth="1"/>
    <col min="9986" max="9986" width="0.88671875" style="230" hidden="1" customWidth="1"/>
    <col min="9987" max="10002" width="2.44140625" style="230" hidden="1" customWidth="1"/>
    <col min="10003" max="10003" width="4" style="230" hidden="1" customWidth="1"/>
    <col min="10004" max="10023" width="2.44140625" style="230" hidden="1" customWidth="1"/>
    <col min="10024" max="10024" width="1.44140625" style="230" hidden="1" customWidth="1"/>
    <col min="10025" max="10240" width="2.44140625" style="230" hidden="1"/>
    <col min="10241" max="10241" width="1.44140625" style="230" hidden="1" customWidth="1"/>
    <col min="10242" max="10242" width="0.88671875" style="230" hidden="1" customWidth="1"/>
    <col min="10243" max="10258" width="2.44140625" style="230" hidden="1" customWidth="1"/>
    <col min="10259" max="10259" width="4" style="230" hidden="1" customWidth="1"/>
    <col min="10260" max="10279" width="2.44140625" style="230" hidden="1" customWidth="1"/>
    <col min="10280" max="10280" width="1.44140625" style="230" hidden="1" customWidth="1"/>
    <col min="10281" max="10496" width="2.44140625" style="230" hidden="1"/>
    <col min="10497" max="10497" width="1.44140625" style="230" hidden="1" customWidth="1"/>
    <col min="10498" max="10498" width="0.88671875" style="230" hidden="1" customWidth="1"/>
    <col min="10499" max="10514" width="2.44140625" style="230" hidden="1" customWidth="1"/>
    <col min="10515" max="10515" width="4" style="230" hidden="1" customWidth="1"/>
    <col min="10516" max="10535" width="2.44140625" style="230" hidden="1" customWidth="1"/>
    <col min="10536" max="10536" width="1.44140625" style="230" hidden="1" customWidth="1"/>
    <col min="10537" max="10752" width="2.44140625" style="230" hidden="1"/>
    <col min="10753" max="10753" width="1.44140625" style="230" hidden="1" customWidth="1"/>
    <col min="10754" max="10754" width="0.88671875" style="230" hidden="1" customWidth="1"/>
    <col min="10755" max="10770" width="2.44140625" style="230" hidden="1" customWidth="1"/>
    <col min="10771" max="10771" width="4" style="230" hidden="1" customWidth="1"/>
    <col min="10772" max="10791" width="2.44140625" style="230" hidden="1" customWidth="1"/>
    <col min="10792" max="10792" width="1.44140625" style="230" hidden="1" customWidth="1"/>
    <col min="10793" max="11008" width="2.44140625" style="230" hidden="1"/>
    <col min="11009" max="11009" width="1.44140625" style="230" hidden="1" customWidth="1"/>
    <col min="11010" max="11010" width="0.88671875" style="230" hidden="1" customWidth="1"/>
    <col min="11011" max="11026" width="2.44140625" style="230" hidden="1" customWidth="1"/>
    <col min="11027" max="11027" width="4" style="230" hidden="1" customWidth="1"/>
    <col min="11028" max="11047" width="2.44140625" style="230" hidden="1" customWidth="1"/>
    <col min="11048" max="11048" width="1.44140625" style="230" hidden="1" customWidth="1"/>
    <col min="11049" max="11264" width="2.44140625" style="230" hidden="1"/>
    <col min="11265" max="11265" width="1.44140625" style="230" hidden="1" customWidth="1"/>
    <col min="11266" max="11266" width="0.88671875" style="230" hidden="1" customWidth="1"/>
    <col min="11267" max="11282" width="2.44140625" style="230" hidden="1" customWidth="1"/>
    <col min="11283" max="11283" width="4" style="230" hidden="1" customWidth="1"/>
    <col min="11284" max="11303" width="2.44140625" style="230" hidden="1" customWidth="1"/>
    <col min="11304" max="11304" width="1.44140625" style="230" hidden="1" customWidth="1"/>
    <col min="11305" max="11520" width="2.44140625" style="230" hidden="1"/>
    <col min="11521" max="11521" width="1.44140625" style="230" hidden="1" customWidth="1"/>
    <col min="11522" max="11522" width="0.88671875" style="230" hidden="1" customWidth="1"/>
    <col min="11523" max="11538" width="2.44140625" style="230" hidden="1" customWidth="1"/>
    <col min="11539" max="11539" width="4" style="230" hidden="1" customWidth="1"/>
    <col min="11540" max="11559" width="2.44140625" style="230" hidden="1" customWidth="1"/>
    <col min="11560" max="11560" width="1.44140625" style="230" hidden="1" customWidth="1"/>
    <col min="11561" max="11776" width="2.44140625" style="230" hidden="1"/>
    <col min="11777" max="11777" width="1.44140625" style="230" hidden="1" customWidth="1"/>
    <col min="11778" max="11778" width="0.88671875" style="230" hidden="1" customWidth="1"/>
    <col min="11779" max="11794" width="2.44140625" style="230" hidden="1" customWidth="1"/>
    <col min="11795" max="11795" width="4" style="230" hidden="1" customWidth="1"/>
    <col min="11796" max="11815" width="2.44140625" style="230" hidden="1" customWidth="1"/>
    <col min="11816" max="11816" width="1.44140625" style="230" hidden="1" customWidth="1"/>
    <col min="11817" max="12032" width="2.44140625" style="230" hidden="1"/>
    <col min="12033" max="12033" width="1.44140625" style="230" hidden="1" customWidth="1"/>
    <col min="12034" max="12034" width="0.88671875" style="230" hidden="1" customWidth="1"/>
    <col min="12035" max="12050" width="2.44140625" style="230" hidden="1" customWidth="1"/>
    <col min="12051" max="12051" width="4" style="230" hidden="1" customWidth="1"/>
    <col min="12052" max="12071" width="2.44140625" style="230" hidden="1" customWidth="1"/>
    <col min="12072" max="12072" width="1.44140625" style="230" hidden="1" customWidth="1"/>
    <col min="12073" max="12288" width="2.44140625" style="230" hidden="1"/>
    <col min="12289" max="12289" width="1.44140625" style="230" hidden="1" customWidth="1"/>
    <col min="12290" max="12290" width="0.88671875" style="230" hidden="1" customWidth="1"/>
    <col min="12291" max="12306" width="2.44140625" style="230" hidden="1" customWidth="1"/>
    <col min="12307" max="12307" width="4" style="230" hidden="1" customWidth="1"/>
    <col min="12308" max="12327" width="2.44140625" style="230" hidden="1" customWidth="1"/>
    <col min="12328" max="12328" width="1.44140625" style="230" hidden="1" customWidth="1"/>
    <col min="12329" max="12544" width="2.44140625" style="230" hidden="1"/>
    <col min="12545" max="12545" width="1.44140625" style="230" hidden="1" customWidth="1"/>
    <col min="12546" max="12546" width="0.88671875" style="230" hidden="1" customWidth="1"/>
    <col min="12547" max="12562" width="2.44140625" style="230" hidden="1" customWidth="1"/>
    <col min="12563" max="12563" width="4" style="230" hidden="1" customWidth="1"/>
    <col min="12564" max="12583" width="2.44140625" style="230" hidden="1" customWidth="1"/>
    <col min="12584" max="12584" width="1.44140625" style="230" hidden="1" customWidth="1"/>
    <col min="12585" max="12800" width="2.44140625" style="230" hidden="1"/>
    <col min="12801" max="12801" width="1.44140625" style="230" hidden="1" customWidth="1"/>
    <col min="12802" max="12802" width="0.88671875" style="230" hidden="1" customWidth="1"/>
    <col min="12803" max="12818" width="2.44140625" style="230" hidden="1" customWidth="1"/>
    <col min="12819" max="12819" width="4" style="230" hidden="1" customWidth="1"/>
    <col min="12820" max="12839" width="2.44140625" style="230" hidden="1" customWidth="1"/>
    <col min="12840" max="12840" width="1.44140625" style="230" hidden="1" customWidth="1"/>
    <col min="12841" max="13056" width="2.44140625" style="230" hidden="1"/>
    <col min="13057" max="13057" width="1.44140625" style="230" hidden="1" customWidth="1"/>
    <col min="13058" max="13058" width="0.88671875" style="230" hidden="1" customWidth="1"/>
    <col min="13059" max="13074" width="2.44140625" style="230" hidden="1" customWidth="1"/>
    <col min="13075" max="13075" width="4" style="230" hidden="1" customWidth="1"/>
    <col min="13076" max="13095" width="2.44140625" style="230" hidden="1" customWidth="1"/>
    <col min="13096" max="13096" width="1.44140625" style="230" hidden="1" customWidth="1"/>
    <col min="13097" max="13312" width="2.44140625" style="230" hidden="1"/>
    <col min="13313" max="13313" width="1.44140625" style="230" hidden="1" customWidth="1"/>
    <col min="13314" max="13314" width="0.88671875" style="230" hidden="1" customWidth="1"/>
    <col min="13315" max="13330" width="2.44140625" style="230" hidden="1" customWidth="1"/>
    <col min="13331" max="13331" width="4" style="230" hidden="1" customWidth="1"/>
    <col min="13332" max="13351" width="2.44140625" style="230" hidden="1" customWidth="1"/>
    <col min="13352" max="13352" width="1.44140625" style="230" hidden="1" customWidth="1"/>
    <col min="13353" max="13568" width="2.44140625" style="230" hidden="1"/>
    <col min="13569" max="13569" width="1.44140625" style="230" hidden="1" customWidth="1"/>
    <col min="13570" max="13570" width="0.88671875" style="230" hidden="1" customWidth="1"/>
    <col min="13571" max="13586" width="2.44140625" style="230" hidden="1" customWidth="1"/>
    <col min="13587" max="13587" width="4" style="230" hidden="1" customWidth="1"/>
    <col min="13588" max="13607" width="2.44140625" style="230" hidden="1" customWidth="1"/>
    <col min="13608" max="13608" width="1.44140625" style="230" hidden="1" customWidth="1"/>
    <col min="13609" max="13824" width="2.44140625" style="230" hidden="1"/>
    <col min="13825" max="13825" width="1.44140625" style="230" hidden="1" customWidth="1"/>
    <col min="13826" max="13826" width="0.88671875" style="230" hidden="1" customWidth="1"/>
    <col min="13827" max="13842" width="2.44140625" style="230" hidden="1" customWidth="1"/>
    <col min="13843" max="13843" width="4" style="230" hidden="1" customWidth="1"/>
    <col min="13844" max="13863" width="2.44140625" style="230" hidden="1" customWidth="1"/>
    <col min="13864" max="13864" width="1.44140625" style="230" hidden="1" customWidth="1"/>
    <col min="13865" max="14080" width="2.44140625" style="230" hidden="1"/>
    <col min="14081" max="14081" width="1.44140625" style="230" hidden="1" customWidth="1"/>
    <col min="14082" max="14082" width="0.88671875" style="230" hidden="1" customWidth="1"/>
    <col min="14083" max="14098" width="2.44140625" style="230" hidden="1" customWidth="1"/>
    <col min="14099" max="14099" width="4" style="230" hidden="1" customWidth="1"/>
    <col min="14100" max="14119" width="2.44140625" style="230" hidden="1" customWidth="1"/>
    <col min="14120" max="14120" width="1.44140625" style="230" hidden="1" customWidth="1"/>
    <col min="14121" max="14336" width="2.44140625" style="230" hidden="1"/>
    <col min="14337" max="14337" width="1.44140625" style="230" hidden="1" customWidth="1"/>
    <col min="14338" max="14338" width="0.88671875" style="230" hidden="1" customWidth="1"/>
    <col min="14339" max="14354" width="2.44140625" style="230" hidden="1" customWidth="1"/>
    <col min="14355" max="14355" width="4" style="230" hidden="1" customWidth="1"/>
    <col min="14356" max="14375" width="2.44140625" style="230" hidden="1" customWidth="1"/>
    <col min="14376" max="14376" width="1.44140625" style="230" hidden="1" customWidth="1"/>
    <col min="14377" max="14592" width="2.44140625" style="230" hidden="1"/>
    <col min="14593" max="14593" width="1.44140625" style="230" hidden="1" customWidth="1"/>
    <col min="14594" max="14594" width="0.88671875" style="230" hidden="1" customWidth="1"/>
    <col min="14595" max="14610" width="2.44140625" style="230" hidden="1" customWidth="1"/>
    <col min="14611" max="14611" width="4" style="230" hidden="1" customWidth="1"/>
    <col min="14612" max="14631" width="2.44140625" style="230" hidden="1" customWidth="1"/>
    <col min="14632" max="14632" width="1.44140625" style="230" hidden="1" customWidth="1"/>
    <col min="14633" max="14848" width="2.44140625" style="230" hidden="1"/>
    <col min="14849" max="14849" width="1.44140625" style="230" hidden="1" customWidth="1"/>
    <col min="14850" max="14850" width="0.88671875" style="230" hidden="1" customWidth="1"/>
    <col min="14851" max="14866" width="2.44140625" style="230" hidden="1" customWidth="1"/>
    <col min="14867" max="14867" width="4" style="230" hidden="1" customWidth="1"/>
    <col min="14868" max="14887" width="2.44140625" style="230" hidden="1" customWidth="1"/>
    <col min="14888" max="14888" width="1.44140625" style="230" hidden="1" customWidth="1"/>
    <col min="14889" max="15104" width="2.44140625" style="230" hidden="1"/>
    <col min="15105" max="15105" width="1.44140625" style="230" hidden="1" customWidth="1"/>
    <col min="15106" max="15106" width="0.88671875" style="230" hidden="1" customWidth="1"/>
    <col min="15107" max="15122" width="2.44140625" style="230" hidden="1" customWidth="1"/>
    <col min="15123" max="15123" width="4" style="230" hidden="1" customWidth="1"/>
    <col min="15124" max="15143" width="2.44140625" style="230" hidden="1" customWidth="1"/>
    <col min="15144" max="15144" width="1.44140625" style="230" hidden="1" customWidth="1"/>
    <col min="15145" max="15360" width="2.44140625" style="230" hidden="1"/>
    <col min="15361" max="15361" width="1.44140625" style="230" hidden="1" customWidth="1"/>
    <col min="15362" max="15362" width="0.88671875" style="230" hidden="1" customWidth="1"/>
    <col min="15363" max="15378" width="2.44140625" style="230" hidden="1" customWidth="1"/>
    <col min="15379" max="15379" width="4" style="230" hidden="1" customWidth="1"/>
    <col min="15380" max="15399" width="2.44140625" style="230" hidden="1" customWidth="1"/>
    <col min="15400" max="15400" width="1.44140625" style="230" hidden="1" customWidth="1"/>
    <col min="15401" max="15616" width="2.44140625" style="230" hidden="1"/>
    <col min="15617" max="15617" width="1.44140625" style="230" hidden="1" customWidth="1"/>
    <col min="15618" max="15618" width="0.88671875" style="230" hidden="1" customWidth="1"/>
    <col min="15619" max="15634" width="2.44140625" style="230" hidden="1" customWidth="1"/>
    <col min="15635" max="15635" width="4" style="230" hidden="1" customWidth="1"/>
    <col min="15636" max="15655" width="2.44140625" style="230" hidden="1" customWidth="1"/>
    <col min="15656" max="15656" width="1.44140625" style="230" hidden="1" customWidth="1"/>
    <col min="15657" max="15872" width="2.44140625" style="230" hidden="1"/>
    <col min="15873" max="15873" width="1.44140625" style="230" hidden="1" customWidth="1"/>
    <col min="15874" max="15874" width="0.88671875" style="230" hidden="1" customWidth="1"/>
    <col min="15875" max="15890" width="2.44140625" style="230" hidden="1" customWidth="1"/>
    <col min="15891" max="15891" width="4" style="230" hidden="1" customWidth="1"/>
    <col min="15892" max="15911" width="2.44140625" style="230" hidden="1" customWidth="1"/>
    <col min="15912" max="15912" width="1.44140625" style="230" hidden="1" customWidth="1"/>
    <col min="15913" max="16128" width="2.44140625" style="230" hidden="1"/>
    <col min="16129" max="16129" width="1.44140625" style="230" hidden="1" customWidth="1"/>
    <col min="16130" max="16130" width="0.88671875" style="230" hidden="1" customWidth="1"/>
    <col min="16131" max="16146" width="2.44140625" style="230" hidden="1" customWidth="1"/>
    <col min="16147" max="16147" width="4" style="230" hidden="1" customWidth="1"/>
    <col min="16148" max="16167" width="2.44140625" style="230" hidden="1" customWidth="1"/>
    <col min="16168" max="16168" width="1.44140625" style="230" hidden="1" customWidth="1"/>
    <col min="16169" max="16384" width="2.44140625" style="230" hidden="1"/>
  </cols>
  <sheetData>
    <row r="1" spans="1:40" ht="12.9" customHeight="1">
      <c r="A1" s="2291" t="s">
        <v>2085</v>
      </c>
      <c r="B1" s="2291"/>
      <c r="C1" s="2291"/>
      <c r="D1" s="2291"/>
      <c r="E1" s="2291"/>
      <c r="F1" s="2291"/>
      <c r="G1" s="2291"/>
      <c r="H1" s="2291"/>
      <c r="I1" s="2291"/>
      <c r="J1" s="2291"/>
      <c r="K1" s="2291"/>
      <c r="L1" s="2291"/>
      <c r="M1" s="2291"/>
      <c r="N1" s="2291"/>
      <c r="O1" s="2291"/>
      <c r="P1" s="2291"/>
      <c r="Q1" s="2291"/>
      <c r="R1" s="2291"/>
      <c r="S1" s="2291"/>
      <c r="T1" s="2291"/>
      <c r="U1" s="2291"/>
      <c r="V1" s="2291"/>
      <c r="W1" s="2291"/>
      <c r="X1" s="2291"/>
      <c r="Y1" s="2291"/>
      <c r="Z1" s="2291"/>
      <c r="AA1" s="2291"/>
      <c r="AB1" s="2291"/>
      <c r="AC1" s="2291"/>
      <c r="AD1" s="2291"/>
      <c r="AE1" s="2291"/>
      <c r="AF1" s="2291"/>
      <c r="AG1" s="2291"/>
      <c r="AH1" s="2291"/>
      <c r="AI1" s="2291"/>
      <c r="AJ1" s="2291"/>
      <c r="AK1" s="2291"/>
      <c r="AL1" s="2291"/>
      <c r="AM1" s="2291"/>
      <c r="AN1" s="2291"/>
    </row>
    <row r="2" spans="1:40" ht="12.9" customHeight="1" thickBot="1">
      <c r="A2" s="2292"/>
      <c r="B2" s="2292"/>
      <c r="C2" s="2292"/>
      <c r="D2" s="2292"/>
      <c r="E2" s="2292"/>
      <c r="F2" s="2292"/>
      <c r="G2" s="2292"/>
      <c r="H2" s="2292"/>
      <c r="I2" s="2292"/>
      <c r="J2" s="2292"/>
      <c r="K2" s="2292"/>
      <c r="L2" s="2292"/>
      <c r="M2" s="2292"/>
      <c r="N2" s="2292"/>
      <c r="O2" s="2292"/>
      <c r="P2" s="2292"/>
      <c r="Q2" s="2292"/>
      <c r="R2" s="2292"/>
      <c r="S2" s="2292"/>
      <c r="T2" s="2292"/>
      <c r="U2" s="2292"/>
      <c r="V2" s="2292"/>
      <c r="W2" s="2292"/>
      <c r="X2" s="2292"/>
      <c r="Y2" s="2292"/>
      <c r="Z2" s="2292"/>
      <c r="AA2" s="2292"/>
      <c r="AB2" s="2292"/>
      <c r="AC2" s="2292"/>
      <c r="AD2" s="2292"/>
      <c r="AE2" s="2292"/>
      <c r="AF2" s="2292"/>
      <c r="AG2" s="2292"/>
      <c r="AH2" s="2292"/>
      <c r="AI2" s="2292"/>
      <c r="AJ2" s="2292"/>
      <c r="AK2" s="2292"/>
      <c r="AL2" s="2292"/>
      <c r="AM2" s="2292"/>
      <c r="AN2" s="2292"/>
    </row>
    <row r="3" spans="1:40" ht="12.9" customHeight="1" thickTop="1">
      <c r="A3" s="230" t="str">
        <f>+A1</f>
        <v>V. BASIS AND CREDITS : 4% FEDERAL AND STATE CREDIT</v>
      </c>
      <c r="C3" s="60"/>
      <c r="D3" s="60"/>
      <c r="E3" s="60"/>
      <c r="F3" s="60"/>
      <c r="G3" s="60"/>
      <c r="H3" s="60"/>
      <c r="I3" s="60"/>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row>
    <row r="4" spans="1:40" ht="12.9" customHeight="1">
      <c r="A4" s="232"/>
    </row>
    <row r="5" spans="1:40" ht="12.9" customHeight="1">
      <c r="A5" s="232" t="s">
        <v>870</v>
      </c>
      <c r="C5" s="232" t="s">
        <v>270</v>
      </c>
      <c r="F5" s="232"/>
    </row>
    <row r="6" spans="1:40" ht="12.9" customHeight="1">
      <c r="A6" s="232"/>
      <c r="C6" s="230" t="s">
        <v>2086</v>
      </c>
    </row>
    <row r="7" spans="1:40" ht="12.9" customHeight="1">
      <c r="B7" s="233"/>
      <c r="C7" s="234"/>
      <c r="D7" s="234"/>
      <c r="E7" s="234"/>
      <c r="F7" s="234"/>
      <c r="G7" s="234"/>
      <c r="H7" s="234"/>
      <c r="I7" s="234"/>
      <c r="J7" s="234"/>
      <c r="K7" s="234"/>
      <c r="L7" s="234"/>
      <c r="M7" s="234"/>
      <c r="N7" s="234"/>
      <c r="O7" s="234"/>
      <c r="P7" s="234"/>
      <c r="Q7" s="234"/>
      <c r="R7" s="234"/>
      <c r="S7" s="234"/>
      <c r="T7" s="2293" t="str">
        <f xml:space="preserve"> IF(T25=100%,'Sources and Basis Breakdown'!G2,'Sources and Basis Breakdown'!F2)</f>
        <v>30% PVC for New Const/
Rehabilitation
DDA/QCT
Building(s)</v>
      </c>
      <c r="U7" s="2293"/>
      <c r="V7" s="2293"/>
      <c r="W7" s="2293"/>
      <c r="X7" s="2293"/>
      <c r="Y7" s="2293" t="str">
        <f>IF(T25=100%,"",'Sources and Basis Breakdown'!G2)</f>
        <v>30% PVC for New Const/
Rehabilitation
NON-DDA/
NON-QCT Building(s)</v>
      </c>
      <c r="Z7" s="2293"/>
      <c r="AA7" s="2293"/>
      <c r="AB7" s="2293"/>
      <c r="AC7" s="2293"/>
      <c r="AD7" s="2293" t="str">
        <f xml:space="preserve"> IF(T25=100%, 'Sources and Basis Breakdown'!J2,'Sources and Basis Breakdown'!I2)</f>
        <v>30% PVC for Acquisition
DDA/QCT Building(s)</v>
      </c>
      <c r="AE7" s="2293"/>
      <c r="AF7" s="2293"/>
      <c r="AG7" s="2293"/>
      <c r="AH7" s="2293"/>
      <c r="AI7" s="2293" t="str">
        <f>IF(T25=100%,"",'Sources and Basis Breakdown'!J2)</f>
        <v>30% PVC for Acquisition
NON-DDA/
NON-QCT Building(s)</v>
      </c>
      <c r="AJ7" s="2293"/>
      <c r="AK7" s="2293"/>
      <c r="AL7" s="2293"/>
      <c r="AM7" s="2293"/>
    </row>
    <row r="8" spans="1:40" ht="12.9" customHeight="1">
      <c r="B8" s="235"/>
      <c r="T8" s="2293"/>
      <c r="U8" s="2293"/>
      <c r="V8" s="2293"/>
      <c r="W8" s="2293"/>
      <c r="X8" s="2293"/>
      <c r="Y8" s="2293"/>
      <c r="Z8" s="2293"/>
      <c r="AA8" s="2293"/>
      <c r="AB8" s="2293"/>
      <c r="AC8" s="2293"/>
      <c r="AD8" s="2293"/>
      <c r="AE8" s="2293"/>
      <c r="AF8" s="2293"/>
      <c r="AG8" s="2293"/>
      <c r="AH8" s="2293"/>
      <c r="AI8" s="2293"/>
      <c r="AJ8" s="2293"/>
      <c r="AK8" s="2293"/>
      <c r="AL8" s="2293"/>
      <c r="AM8" s="2293"/>
    </row>
    <row r="9" spans="1:40" ht="12.9" customHeight="1">
      <c r="B9" s="235"/>
      <c r="T9" s="2293"/>
      <c r="U9" s="2293"/>
      <c r="V9" s="2293"/>
      <c r="W9" s="2293"/>
      <c r="X9" s="2293"/>
      <c r="Y9" s="2293"/>
      <c r="Z9" s="2293"/>
      <c r="AA9" s="2293"/>
      <c r="AB9" s="2293"/>
      <c r="AC9" s="2293"/>
      <c r="AD9" s="2293"/>
      <c r="AE9" s="2293"/>
      <c r="AF9" s="2293"/>
      <c r="AG9" s="2293"/>
      <c r="AH9" s="2293"/>
      <c r="AI9" s="2293"/>
      <c r="AJ9" s="2293"/>
      <c r="AK9" s="2293"/>
      <c r="AL9" s="2293"/>
      <c r="AM9" s="2293"/>
    </row>
    <row r="10" spans="1:40" ht="12.9" customHeight="1">
      <c r="B10" s="236"/>
      <c r="C10" s="237"/>
      <c r="D10" s="237"/>
      <c r="E10" s="237"/>
      <c r="F10" s="237"/>
      <c r="G10" s="237"/>
      <c r="H10" s="237"/>
      <c r="I10" s="237"/>
      <c r="J10" s="237"/>
      <c r="K10" s="237"/>
      <c r="L10" s="237"/>
      <c r="M10" s="237"/>
      <c r="N10" s="237"/>
      <c r="O10" s="237"/>
      <c r="P10" s="237"/>
      <c r="Q10" s="237"/>
      <c r="R10" s="237"/>
      <c r="S10" s="237"/>
      <c r="T10" s="2293"/>
      <c r="U10" s="2293"/>
      <c r="V10" s="2293"/>
      <c r="W10" s="2293"/>
      <c r="X10" s="2293"/>
      <c r="Y10" s="2293"/>
      <c r="Z10" s="2293"/>
      <c r="AA10" s="2293"/>
      <c r="AB10" s="2293"/>
      <c r="AC10" s="2293"/>
      <c r="AD10" s="2293"/>
      <c r="AE10" s="2293"/>
      <c r="AF10" s="2293"/>
      <c r="AG10" s="2293"/>
      <c r="AH10" s="2293"/>
      <c r="AI10" s="2293"/>
      <c r="AJ10" s="2293"/>
      <c r="AK10" s="2293"/>
      <c r="AL10" s="2293"/>
      <c r="AM10" s="2293"/>
    </row>
    <row r="11" spans="1:40" ht="12.9" customHeight="1">
      <c r="B11" s="2272" t="s">
        <v>1903</v>
      </c>
      <c r="C11" s="2273"/>
      <c r="D11" s="2273"/>
      <c r="E11" s="2273"/>
      <c r="F11" s="2273"/>
      <c r="G11" s="2273"/>
      <c r="H11" s="2273"/>
      <c r="I11" s="2273"/>
      <c r="J11" s="2273"/>
      <c r="K11" s="2273"/>
      <c r="L11" s="2273"/>
      <c r="M11" s="2273"/>
      <c r="N11" s="2273"/>
      <c r="O11" s="2273"/>
      <c r="P11" s="2273"/>
      <c r="Q11" s="2273"/>
      <c r="R11" s="2273"/>
      <c r="S11" s="2274"/>
      <c r="T11" s="2294">
        <f>IF('Sources and Basis Breakdown'!F107=0,'Sources and Basis Breakdown'!E107,'Sources and Basis Breakdown'!F107)</f>
        <v>85341143</v>
      </c>
      <c r="U11" s="2295"/>
      <c r="V11" s="2295"/>
      <c r="W11" s="2295"/>
      <c r="X11" s="2295"/>
      <c r="Y11" s="2294">
        <f>IF(Y7="",0,IF('Sources and Basis Breakdown'!G107+'Sources and Basis Breakdown'!F107='Sources and Basis Breakdown'!E107,'Sources and Basis Breakdown'!G107,0))</f>
        <v>0</v>
      </c>
      <c r="Z11" s="2295"/>
      <c r="AA11" s="2295"/>
      <c r="AB11" s="2295"/>
      <c r="AC11" s="2295"/>
      <c r="AD11" s="2295">
        <f>IF('Sources and Basis Breakdown'!I107=0,'Sources and Basis Breakdown'!H107,'Sources and Basis Breakdown'!I107)</f>
        <v>0</v>
      </c>
      <c r="AE11" s="2295"/>
      <c r="AF11" s="2295"/>
      <c r="AG11" s="2295"/>
      <c r="AH11" s="2295"/>
      <c r="AI11" s="2295">
        <f>IF(Y7="",0,IF('Sources and Basis Breakdown'!I107+'Sources and Basis Breakdown'!J107='Sources and Basis Breakdown'!H107,'Sources and Basis Breakdown'!J107,0))</f>
        <v>0</v>
      </c>
      <c r="AJ11" s="2295"/>
      <c r="AK11" s="2295"/>
      <c r="AL11" s="2295"/>
      <c r="AM11" s="2295"/>
    </row>
    <row r="12" spans="1:40" ht="12.9" customHeight="1">
      <c r="B12" s="2287" t="s">
        <v>2087</v>
      </c>
      <c r="C12" s="1249"/>
      <c r="D12" s="1249"/>
      <c r="E12" s="1249"/>
      <c r="F12" s="1249"/>
      <c r="G12" s="1249"/>
      <c r="H12" s="1249"/>
      <c r="I12" s="1249"/>
      <c r="J12" s="1249"/>
      <c r="K12" s="1249"/>
      <c r="L12" s="1249"/>
      <c r="M12" s="1249"/>
      <c r="N12" s="1249"/>
      <c r="O12" s="1249"/>
      <c r="P12" s="1249"/>
      <c r="Q12" s="1249"/>
      <c r="R12" s="1249"/>
      <c r="S12" s="2288"/>
      <c r="T12" s="2260"/>
      <c r="U12" s="2261"/>
      <c r="V12" s="2261"/>
      <c r="W12" s="2261"/>
      <c r="X12" s="2262"/>
      <c r="Y12" s="2260"/>
      <c r="Z12" s="2261"/>
      <c r="AA12" s="2261"/>
      <c r="AB12" s="2261"/>
      <c r="AC12" s="2262"/>
      <c r="AD12" s="2260"/>
      <c r="AE12" s="2261"/>
      <c r="AF12" s="2261"/>
      <c r="AG12" s="2261"/>
      <c r="AH12" s="2262"/>
      <c r="AI12" s="2260"/>
      <c r="AJ12" s="2261"/>
      <c r="AK12" s="2261"/>
      <c r="AL12" s="2261"/>
      <c r="AM12" s="2262"/>
    </row>
    <row r="13" spans="1:40" ht="12.9" customHeight="1">
      <c r="B13" s="258"/>
      <c r="C13" s="2289" t="s">
        <v>2088</v>
      </c>
      <c r="D13" s="2289"/>
      <c r="E13" s="2289"/>
      <c r="F13" s="2289"/>
      <c r="G13" s="2289"/>
      <c r="H13" s="2289"/>
      <c r="I13" s="2289"/>
      <c r="J13" s="2289"/>
      <c r="K13" s="2289"/>
      <c r="L13" s="2289"/>
      <c r="M13" s="2289"/>
      <c r="N13" s="2289"/>
      <c r="O13" s="2289"/>
      <c r="P13" s="2289"/>
      <c r="Q13" s="2289"/>
      <c r="R13" s="2289"/>
      <c r="S13" s="2290"/>
      <c r="T13" s="2296"/>
      <c r="U13" s="2297"/>
      <c r="V13" s="2297"/>
      <c r="W13" s="2297"/>
      <c r="X13" s="2297"/>
      <c r="Y13" s="2296"/>
      <c r="Z13" s="2297"/>
      <c r="AA13" s="2297"/>
      <c r="AB13" s="2297"/>
      <c r="AC13" s="2297"/>
      <c r="AD13" s="2297"/>
      <c r="AE13" s="2297"/>
      <c r="AF13" s="2297"/>
      <c r="AG13" s="2297"/>
      <c r="AH13" s="2297"/>
      <c r="AI13" s="2297"/>
      <c r="AJ13" s="2297"/>
      <c r="AK13" s="2297"/>
      <c r="AL13" s="2297"/>
      <c r="AM13" s="2297"/>
    </row>
    <row r="14" spans="1:40" ht="12.9" customHeight="1">
      <c r="B14" s="258"/>
      <c r="C14" s="2289" t="s">
        <v>2089</v>
      </c>
      <c r="D14" s="2289"/>
      <c r="E14" s="2289"/>
      <c r="F14" s="2289"/>
      <c r="G14" s="2289"/>
      <c r="H14" s="2289"/>
      <c r="I14" s="2289"/>
      <c r="J14" s="2289"/>
      <c r="K14" s="2289"/>
      <c r="L14" s="2289"/>
      <c r="M14" s="2289"/>
      <c r="N14" s="2289"/>
      <c r="O14" s="2289"/>
      <c r="P14" s="2289"/>
      <c r="Q14" s="2289"/>
      <c r="R14" s="2289"/>
      <c r="S14" s="2290"/>
      <c r="T14" s="2263"/>
      <c r="U14" s="2264"/>
      <c r="V14" s="2264"/>
      <c r="W14" s="2264"/>
      <c r="X14" s="2264"/>
      <c r="Y14" s="2263"/>
      <c r="Z14" s="2264"/>
      <c r="AA14" s="2264"/>
      <c r="AB14" s="2264"/>
      <c r="AC14" s="2264"/>
      <c r="AD14" s="2264"/>
      <c r="AE14" s="2264"/>
      <c r="AF14" s="2264"/>
      <c r="AG14" s="2264"/>
      <c r="AH14" s="2264"/>
      <c r="AI14" s="2264"/>
      <c r="AJ14" s="2264"/>
      <c r="AK14" s="2264"/>
      <c r="AL14" s="2264"/>
      <c r="AM14" s="2264"/>
    </row>
    <row r="15" spans="1:40" ht="12.9" customHeight="1">
      <c r="B15" s="258"/>
      <c r="C15" s="2289" t="s">
        <v>2090</v>
      </c>
      <c r="D15" s="2289"/>
      <c r="E15" s="2289"/>
      <c r="F15" s="2289"/>
      <c r="G15" s="2289"/>
      <c r="H15" s="2289"/>
      <c r="I15" s="2289"/>
      <c r="J15" s="2289"/>
      <c r="K15" s="2289"/>
      <c r="L15" s="2289"/>
      <c r="M15" s="2289"/>
      <c r="N15" s="2289"/>
      <c r="O15" s="2289"/>
      <c r="P15" s="2289"/>
      <c r="Q15" s="2289"/>
      <c r="R15" s="2289"/>
      <c r="S15" s="2290"/>
      <c r="T15" s="2263"/>
      <c r="U15" s="2264"/>
      <c r="V15" s="2264"/>
      <c r="W15" s="2264"/>
      <c r="X15" s="2264"/>
      <c r="Y15" s="2263"/>
      <c r="Z15" s="2264"/>
      <c r="AA15" s="2264"/>
      <c r="AB15" s="2264"/>
      <c r="AC15" s="2264"/>
      <c r="AD15" s="2264"/>
      <c r="AE15" s="2264"/>
      <c r="AF15" s="2264"/>
      <c r="AG15" s="2264"/>
      <c r="AH15" s="2264"/>
      <c r="AI15" s="2264"/>
      <c r="AJ15" s="2264"/>
      <c r="AK15" s="2264"/>
      <c r="AL15" s="2264"/>
      <c r="AM15" s="2264"/>
    </row>
    <row r="16" spans="1:40" ht="12.9" customHeight="1">
      <c r="B16" s="258"/>
      <c r="C16" s="2289" t="s">
        <v>2091</v>
      </c>
      <c r="D16" s="2289"/>
      <c r="E16" s="2289"/>
      <c r="F16" s="2289"/>
      <c r="G16" s="2289"/>
      <c r="H16" s="2289"/>
      <c r="I16" s="2289"/>
      <c r="J16" s="2289"/>
      <c r="K16" s="2289"/>
      <c r="L16" s="2289"/>
      <c r="M16" s="2289"/>
      <c r="N16" s="2289"/>
      <c r="O16" s="2289"/>
      <c r="P16" s="2289"/>
      <c r="Q16" s="2289"/>
      <c r="R16" s="2289"/>
      <c r="S16" s="2290"/>
      <c r="T16" s="2263"/>
      <c r="U16" s="2264"/>
      <c r="V16" s="2264"/>
      <c r="W16" s="2264"/>
      <c r="X16" s="2264"/>
      <c r="Y16" s="2263"/>
      <c r="Z16" s="2264"/>
      <c r="AA16" s="2264"/>
      <c r="AB16" s="2264"/>
      <c r="AC16" s="2264"/>
      <c r="AD16" s="2264"/>
      <c r="AE16" s="2264"/>
      <c r="AF16" s="2264"/>
      <c r="AG16" s="2264"/>
      <c r="AH16" s="2264"/>
      <c r="AI16" s="2264"/>
      <c r="AJ16" s="2264"/>
      <c r="AK16" s="2264"/>
      <c r="AL16" s="2264"/>
      <c r="AM16" s="2264"/>
    </row>
    <row r="17" spans="1:40" ht="12.9" customHeight="1">
      <c r="B17" s="258"/>
      <c r="C17" s="2289" t="s">
        <v>2092</v>
      </c>
      <c r="D17" s="2289"/>
      <c r="E17" s="2289"/>
      <c r="F17" s="2289"/>
      <c r="G17" s="2289"/>
      <c r="H17" s="2289"/>
      <c r="I17" s="2289"/>
      <c r="J17" s="2289"/>
      <c r="K17" s="2289"/>
      <c r="L17" s="2289"/>
      <c r="M17" s="2289"/>
      <c r="N17" s="2289"/>
      <c r="O17" s="2289"/>
      <c r="P17" s="2289"/>
      <c r="Q17" s="2289"/>
      <c r="R17" s="2289"/>
      <c r="S17" s="2290"/>
      <c r="T17" s="2263"/>
      <c r="U17" s="2264"/>
      <c r="V17" s="2264"/>
      <c r="W17" s="2264"/>
      <c r="X17" s="2264"/>
      <c r="Y17" s="2263"/>
      <c r="Z17" s="2264"/>
      <c r="AA17" s="2264"/>
      <c r="AB17" s="2264"/>
      <c r="AC17" s="2264"/>
      <c r="AD17" s="2264"/>
      <c r="AE17" s="2264"/>
      <c r="AF17" s="2264"/>
      <c r="AG17" s="2264"/>
      <c r="AH17" s="2264"/>
      <c r="AI17" s="2264"/>
      <c r="AJ17" s="2264"/>
      <c r="AK17" s="2264"/>
      <c r="AL17" s="2264"/>
      <c r="AM17" s="2264"/>
    </row>
    <row r="18" spans="1:40" ht="12.9" customHeight="1">
      <c r="A18"/>
      <c r="B18" s="866"/>
      <c r="C18" s="1748" t="s">
        <v>2093</v>
      </c>
      <c r="D18" s="1748"/>
      <c r="E18" s="1748"/>
      <c r="F18" s="1748"/>
      <c r="G18" s="1748"/>
      <c r="H18" s="1748"/>
      <c r="I18" s="1748"/>
      <c r="J18" s="1748"/>
      <c r="K18" s="1748"/>
      <c r="L18" s="1748"/>
      <c r="M18" s="1748"/>
      <c r="N18" s="1748"/>
      <c r="O18" s="1748"/>
      <c r="P18" s="1748"/>
      <c r="Q18" s="1748"/>
      <c r="R18" s="1748"/>
      <c r="S18" s="1749"/>
      <c r="T18" s="2263"/>
      <c r="U18" s="2264"/>
      <c r="V18" s="2264"/>
      <c r="W18" s="2264"/>
      <c r="X18" s="2264"/>
      <c r="Y18" s="2263"/>
      <c r="Z18" s="2264"/>
      <c r="AA18" s="2264"/>
      <c r="AB18" s="2264"/>
      <c r="AC18" s="2264"/>
      <c r="AD18" s="2264"/>
      <c r="AE18" s="2264"/>
      <c r="AF18" s="2264"/>
      <c r="AG18" s="2264"/>
      <c r="AH18" s="2264"/>
      <c r="AI18" s="2264"/>
      <c r="AJ18" s="2264"/>
      <c r="AK18" s="2264"/>
      <c r="AL18" s="2264"/>
      <c r="AM18" s="2264"/>
    </row>
    <row r="19" spans="1:40" ht="12.9" customHeight="1">
      <c r="B19" s="866"/>
      <c r="C19" s="1748" t="s">
        <v>2093</v>
      </c>
      <c r="D19" s="1748"/>
      <c r="E19" s="1748"/>
      <c r="F19" s="1748"/>
      <c r="G19" s="1748"/>
      <c r="H19" s="1748"/>
      <c r="I19" s="1748"/>
      <c r="J19" s="1748"/>
      <c r="K19" s="1748"/>
      <c r="L19" s="1748"/>
      <c r="M19" s="1748"/>
      <c r="N19" s="1748"/>
      <c r="O19" s="1748"/>
      <c r="P19" s="1748"/>
      <c r="Q19" s="1748"/>
      <c r="R19" s="1748"/>
      <c r="S19" s="1749"/>
      <c r="T19" s="2263"/>
      <c r="U19" s="2264"/>
      <c r="V19" s="2264"/>
      <c r="W19" s="2264"/>
      <c r="X19" s="2264"/>
      <c r="Y19" s="2263"/>
      <c r="Z19" s="2264"/>
      <c r="AA19" s="2264"/>
      <c r="AB19" s="2264"/>
      <c r="AC19" s="2264"/>
      <c r="AD19" s="2264"/>
      <c r="AE19" s="2264"/>
      <c r="AF19" s="2264"/>
      <c r="AG19" s="2264"/>
      <c r="AH19" s="2264"/>
      <c r="AI19" s="2264"/>
      <c r="AJ19" s="2264"/>
      <c r="AK19" s="2264"/>
      <c r="AL19" s="2264"/>
      <c r="AM19" s="2264"/>
    </row>
    <row r="20" spans="1:40" ht="12.9" customHeight="1">
      <c r="B20" s="2272" t="s">
        <v>2094</v>
      </c>
      <c r="C20" s="2273"/>
      <c r="D20" s="2273"/>
      <c r="E20" s="2273"/>
      <c r="F20" s="2273"/>
      <c r="G20" s="2273"/>
      <c r="H20" s="2273"/>
      <c r="I20" s="2273"/>
      <c r="J20" s="2273"/>
      <c r="K20" s="2273"/>
      <c r="L20" s="2273"/>
      <c r="M20" s="2273"/>
      <c r="N20" s="2273"/>
      <c r="O20" s="2273"/>
      <c r="P20" s="2273"/>
      <c r="Q20" s="2273"/>
      <c r="R20" s="2273"/>
      <c r="S20" s="2274"/>
      <c r="T20" s="2265">
        <f>SUM(T13:X19)</f>
        <v>0</v>
      </c>
      <c r="U20" s="2266"/>
      <c r="V20" s="2266"/>
      <c r="W20" s="2266"/>
      <c r="X20" s="2266"/>
      <c r="Y20" s="2265">
        <f>SUM(Y13:AC19)</f>
        <v>0</v>
      </c>
      <c r="Z20" s="2266"/>
      <c r="AA20" s="2266"/>
      <c r="AB20" s="2266"/>
      <c r="AC20" s="2266"/>
      <c r="AD20" s="2267">
        <f>SUM(AD13:AH19)</f>
        <v>0</v>
      </c>
      <c r="AE20" s="2268"/>
      <c r="AF20" s="2268"/>
      <c r="AG20" s="2268"/>
      <c r="AH20" s="2265"/>
      <c r="AI20" s="2267">
        <f>SUM(AI13:AM19)</f>
        <v>0</v>
      </c>
      <c r="AJ20" s="2268"/>
      <c r="AK20" s="2268"/>
      <c r="AL20" s="2268"/>
      <c r="AM20" s="2265"/>
    </row>
    <row r="21" spans="1:40" ht="12.9" customHeight="1">
      <c r="B21" s="2272" t="s">
        <v>2095</v>
      </c>
      <c r="C21" s="2273"/>
      <c r="D21" s="2273"/>
      <c r="E21" s="2273"/>
      <c r="F21" s="2273"/>
      <c r="G21" s="2273"/>
      <c r="H21" s="2273"/>
      <c r="I21" s="2273"/>
      <c r="J21" s="2273"/>
      <c r="K21" s="2273"/>
      <c r="L21" s="2273"/>
      <c r="M21" s="2273"/>
      <c r="N21" s="2273"/>
      <c r="O21" s="2273"/>
      <c r="P21" s="2273"/>
      <c r="Q21" s="2273"/>
      <c r="R21" s="2273"/>
      <c r="S21" s="2274"/>
      <c r="T21" s="2263"/>
      <c r="U21" s="2264"/>
      <c r="V21" s="2264"/>
      <c r="W21" s="2264"/>
      <c r="X21" s="2264"/>
      <c r="Y21" s="2263"/>
      <c r="Z21" s="2264"/>
      <c r="AA21" s="2264"/>
      <c r="AB21" s="2264"/>
      <c r="AC21" s="2264"/>
      <c r="AD21" s="2260"/>
      <c r="AE21" s="2261"/>
      <c r="AF21" s="2261"/>
      <c r="AG21" s="2261"/>
      <c r="AH21" s="2262"/>
      <c r="AI21" s="2260"/>
      <c r="AJ21" s="2261"/>
      <c r="AK21" s="2261"/>
      <c r="AL21" s="2261"/>
      <c r="AM21" s="2262"/>
    </row>
    <row r="22" spans="1:40" ht="12.9" customHeight="1">
      <c r="B22" s="2272" t="s">
        <v>2096</v>
      </c>
      <c r="C22" s="2273"/>
      <c r="D22" s="2273"/>
      <c r="E22" s="2273"/>
      <c r="F22" s="2273"/>
      <c r="G22" s="2273"/>
      <c r="H22" s="2273"/>
      <c r="I22" s="2273"/>
      <c r="J22" s="2273"/>
      <c r="K22" s="2273"/>
      <c r="L22" s="2273"/>
      <c r="M22" s="2273"/>
      <c r="N22" s="2273"/>
      <c r="O22" s="2273"/>
      <c r="P22" s="2273"/>
      <c r="Q22" s="2273"/>
      <c r="R22" s="2273"/>
      <c r="S22" s="2274"/>
      <c r="T22" s="2298">
        <f>(ABS(T20)+ABS(T21))*-1</f>
        <v>0</v>
      </c>
      <c r="U22" s="2299"/>
      <c r="V22" s="2299"/>
      <c r="W22" s="2299"/>
      <c r="X22" s="2299"/>
      <c r="Y22" s="2298">
        <f>(Y20+Y21)*-1</f>
        <v>0</v>
      </c>
      <c r="Z22" s="2299"/>
      <c r="AA22" s="2299"/>
      <c r="AB22" s="2299"/>
      <c r="AC22" s="2299"/>
      <c r="AD22" s="2300">
        <f>(AD20)*-1</f>
        <v>0</v>
      </c>
      <c r="AE22" s="2301"/>
      <c r="AF22" s="2301"/>
      <c r="AG22" s="2301"/>
      <c r="AH22" s="2298"/>
      <c r="AI22" s="2300">
        <f>(AI20)*-1</f>
        <v>0</v>
      </c>
      <c r="AJ22" s="2301"/>
      <c r="AK22" s="2301"/>
      <c r="AL22" s="2301"/>
      <c r="AM22" s="2298"/>
    </row>
    <row r="23" spans="1:40" ht="12.9" customHeight="1">
      <c r="B23" s="2272" t="s">
        <v>2097</v>
      </c>
      <c r="C23" s="2273"/>
      <c r="D23" s="2273"/>
      <c r="E23" s="2273"/>
      <c r="F23" s="2273"/>
      <c r="G23" s="2273"/>
      <c r="H23" s="2273"/>
      <c r="I23" s="2273"/>
      <c r="J23" s="2273"/>
      <c r="K23" s="2273"/>
      <c r="L23" s="2273"/>
      <c r="M23" s="2273"/>
      <c r="N23" s="2273"/>
      <c r="O23" s="2273"/>
      <c r="P23" s="2273"/>
      <c r="Q23" s="2273"/>
      <c r="R23" s="2273"/>
      <c r="S23" s="2274"/>
      <c r="T23" s="2265">
        <f>T11+T22</f>
        <v>85341143</v>
      </c>
      <c r="U23" s="2266"/>
      <c r="V23" s="2266"/>
      <c r="W23" s="2266"/>
      <c r="X23" s="2266"/>
      <c r="Y23" s="2265">
        <f>Y11+Y22</f>
        <v>0</v>
      </c>
      <c r="Z23" s="2266"/>
      <c r="AA23" s="2266"/>
      <c r="AB23" s="2266"/>
      <c r="AC23" s="2266"/>
      <c r="AD23" s="2265">
        <f>AD11+AD22</f>
        <v>0</v>
      </c>
      <c r="AE23" s="2266"/>
      <c r="AF23" s="2266"/>
      <c r="AG23" s="2266"/>
      <c r="AH23" s="2266"/>
      <c r="AI23" s="2265">
        <f>AI11+AI22</f>
        <v>0</v>
      </c>
      <c r="AJ23" s="2266"/>
      <c r="AK23" s="2266"/>
      <c r="AL23" s="2266"/>
      <c r="AM23" s="2266"/>
    </row>
    <row r="24" spans="1:40" ht="12.9" customHeight="1">
      <c r="B24" s="2272" t="s">
        <v>2098</v>
      </c>
      <c r="C24" s="2273"/>
      <c r="D24" s="2273"/>
      <c r="E24" s="2273"/>
      <c r="F24" s="2273"/>
      <c r="G24" s="2273"/>
      <c r="H24" s="2273"/>
      <c r="I24" s="2273"/>
      <c r="J24" s="2273"/>
      <c r="K24" s="2273"/>
      <c r="L24" s="2273"/>
      <c r="M24" s="2273"/>
      <c r="N24" s="2273"/>
      <c r="O24" s="2273"/>
      <c r="P24" s="2273"/>
      <c r="Q24" s="2273"/>
      <c r="R24" s="2273"/>
      <c r="S24" s="2274"/>
      <c r="T24" s="2267">
        <f>Application!AJ1053</f>
        <v>137083376.27000001</v>
      </c>
      <c r="U24" s="2268"/>
      <c r="V24" s="2268"/>
      <c r="W24" s="2268"/>
      <c r="X24" s="2268"/>
      <c r="Y24" s="2268"/>
      <c r="Z24" s="2268"/>
      <c r="AA24" s="2268"/>
      <c r="AB24" s="2268"/>
      <c r="AC24" s="2268"/>
      <c r="AD24" s="2268"/>
      <c r="AE24" s="2268"/>
      <c r="AF24" s="2268"/>
      <c r="AG24" s="2268"/>
      <c r="AH24" s="2268"/>
      <c r="AI24" s="2268"/>
      <c r="AJ24" s="2268"/>
      <c r="AK24" s="2268"/>
      <c r="AL24" s="2268"/>
      <c r="AM24" s="2265"/>
    </row>
    <row r="25" spans="1:40" ht="12.9" customHeight="1">
      <c r="B25" s="2276" t="s">
        <v>2099</v>
      </c>
      <c r="C25" s="2277"/>
      <c r="D25" s="2277"/>
      <c r="E25" s="2277"/>
      <c r="F25" s="2277"/>
      <c r="G25" s="2277"/>
      <c r="H25" s="2277"/>
      <c r="I25" s="2277"/>
      <c r="J25" s="2277"/>
      <c r="K25" s="2277"/>
      <c r="L25" s="2277"/>
      <c r="M25" s="2277"/>
      <c r="N25" s="2277"/>
      <c r="O25" s="2277"/>
      <c r="P25" s="2277"/>
      <c r="Q25" s="2277"/>
      <c r="R25" s="2277"/>
      <c r="S25" s="2278"/>
      <c r="T25" s="2302">
        <f>IF(OR(Application!T196="yes",Application!T195="yes"),1.3,1)</f>
        <v>1.3</v>
      </c>
      <c r="U25" s="2303"/>
      <c r="V25" s="2303"/>
      <c r="W25" s="2303"/>
      <c r="X25" s="2303"/>
      <c r="Y25" s="2302">
        <v>1</v>
      </c>
      <c r="Z25" s="2303"/>
      <c r="AA25" s="2303"/>
      <c r="AB25" s="2303"/>
      <c r="AC25" s="2303"/>
      <c r="AD25" s="2302">
        <v>1</v>
      </c>
      <c r="AE25" s="2303"/>
      <c r="AF25" s="2303"/>
      <c r="AG25" s="2303"/>
      <c r="AH25" s="2304"/>
      <c r="AI25" s="2302">
        <v>1</v>
      </c>
      <c r="AJ25" s="2303"/>
      <c r="AK25" s="2303"/>
      <c r="AL25" s="2303"/>
      <c r="AM25" s="2304"/>
    </row>
    <row r="26" spans="1:40" ht="12.9" customHeight="1">
      <c r="B26" s="2272" t="s">
        <v>2100</v>
      </c>
      <c r="C26" s="2273"/>
      <c r="D26" s="2273"/>
      <c r="E26" s="2273"/>
      <c r="F26" s="2273"/>
      <c r="G26" s="2273"/>
      <c r="H26" s="2273"/>
      <c r="I26" s="2273"/>
      <c r="J26" s="2273"/>
      <c r="K26" s="2273"/>
      <c r="L26" s="2273"/>
      <c r="M26" s="2273"/>
      <c r="N26" s="2273"/>
      <c r="O26" s="2273"/>
      <c r="P26" s="2273"/>
      <c r="Q26" s="2273"/>
      <c r="R26" s="2273"/>
      <c r="S26" s="2274"/>
      <c r="T26" s="2265">
        <f>T23*T25</f>
        <v>110943485.90000001</v>
      </c>
      <c r="U26" s="2266"/>
      <c r="V26" s="2266"/>
      <c r="W26" s="2266"/>
      <c r="X26" s="2266"/>
      <c r="Y26" s="2265">
        <f>Y23*Y25</f>
        <v>0</v>
      </c>
      <c r="Z26" s="2266"/>
      <c r="AA26" s="2266"/>
      <c r="AB26" s="2266"/>
      <c r="AC26" s="2266"/>
      <c r="AD26" s="2265">
        <f>AD23*AD25</f>
        <v>0</v>
      </c>
      <c r="AE26" s="2266"/>
      <c r="AF26" s="2266"/>
      <c r="AG26" s="2266"/>
      <c r="AH26" s="2266"/>
      <c r="AI26" s="2265">
        <f>AI23*AI25</f>
        <v>0</v>
      </c>
      <c r="AJ26" s="2266"/>
      <c r="AK26" s="2266"/>
      <c r="AL26" s="2266"/>
      <c r="AM26" s="2266"/>
    </row>
    <row r="27" spans="1:40" ht="12.9" customHeight="1">
      <c r="A27" s="238"/>
      <c r="B27" s="2279" t="s">
        <v>2101</v>
      </c>
      <c r="C27" s="2280"/>
      <c r="D27" s="2280"/>
      <c r="E27" s="2280"/>
      <c r="F27" s="2280"/>
      <c r="G27" s="2280"/>
      <c r="H27" s="2280"/>
      <c r="I27" s="2280"/>
      <c r="J27" s="2280"/>
      <c r="K27" s="2280"/>
      <c r="L27" s="2280"/>
      <c r="M27" s="2280"/>
      <c r="N27" s="2280"/>
      <c r="O27" s="2280"/>
      <c r="P27" s="2280"/>
      <c r="Q27" s="2280"/>
      <c r="R27" s="2280"/>
      <c r="S27" s="2281"/>
      <c r="T27" s="2285">
        <f>Application!$AG$445</f>
        <v>1</v>
      </c>
      <c r="U27" s="2286"/>
      <c r="V27" s="2286"/>
      <c r="W27" s="2286"/>
      <c r="X27" s="2286"/>
      <c r="Y27" s="2285">
        <f>Application!$AG$445</f>
        <v>1</v>
      </c>
      <c r="Z27" s="2286"/>
      <c r="AA27" s="2286"/>
      <c r="AB27" s="2286"/>
      <c r="AC27" s="2286"/>
      <c r="AD27" s="2285">
        <f>Application!$AG$445</f>
        <v>1</v>
      </c>
      <c r="AE27" s="2286"/>
      <c r="AF27" s="2286"/>
      <c r="AG27" s="2286"/>
      <c r="AH27" s="2286"/>
      <c r="AI27" s="2285">
        <f>Application!$AG$445</f>
        <v>1</v>
      </c>
      <c r="AJ27" s="2286"/>
      <c r="AK27" s="2286"/>
      <c r="AL27" s="2286"/>
      <c r="AM27" s="2286"/>
    </row>
    <row r="28" spans="1:40" ht="12.9" customHeight="1">
      <c r="A28" s="232"/>
      <c r="B28" s="2272" t="s">
        <v>2102</v>
      </c>
      <c r="C28" s="2273"/>
      <c r="D28" s="2273"/>
      <c r="E28" s="2273"/>
      <c r="F28" s="2273"/>
      <c r="G28" s="2273"/>
      <c r="H28" s="2273"/>
      <c r="I28" s="2273"/>
      <c r="J28" s="2273"/>
      <c r="K28" s="2273"/>
      <c r="L28" s="2273"/>
      <c r="M28" s="2273"/>
      <c r="N28" s="2273"/>
      <c r="O28" s="2273"/>
      <c r="P28" s="2273"/>
      <c r="Q28" s="2273"/>
      <c r="R28" s="2273"/>
      <c r="S28" s="2274"/>
      <c r="T28" s="2265">
        <f>IF(ISERROR((T26*T27)),0,(T26*T27))</f>
        <v>110943485.90000001</v>
      </c>
      <c r="U28" s="2266"/>
      <c r="V28" s="2266"/>
      <c r="W28" s="2266"/>
      <c r="X28" s="2266"/>
      <c r="Y28" s="2265">
        <f>IF(ISERROR((Y26*Y27)),0,(Y26*Y27))</f>
        <v>0</v>
      </c>
      <c r="Z28" s="2266"/>
      <c r="AA28" s="2266"/>
      <c r="AB28" s="2266"/>
      <c r="AC28" s="2266"/>
      <c r="AD28" s="2265">
        <f>IF(ISERROR((AD26*AD27)),0,(AD26*AD27))</f>
        <v>0</v>
      </c>
      <c r="AE28" s="2266"/>
      <c r="AF28" s="2266"/>
      <c r="AG28" s="2266"/>
      <c r="AH28" s="2266"/>
      <c r="AI28" s="2265">
        <f>IF(ISERROR((AI26*AI27)),0,(AI26*AI27))</f>
        <v>0</v>
      </c>
      <c r="AJ28" s="2266"/>
      <c r="AK28" s="2266"/>
      <c r="AL28" s="2266"/>
      <c r="AM28" s="2266"/>
    </row>
    <row r="29" spans="1:40" ht="12.9" customHeight="1">
      <c r="B29" s="2272" t="s">
        <v>2103</v>
      </c>
      <c r="C29" s="2273"/>
      <c r="D29" s="2273"/>
      <c r="E29" s="2273"/>
      <c r="F29" s="2273"/>
      <c r="G29" s="2273"/>
      <c r="H29" s="2273"/>
      <c r="I29" s="2273"/>
      <c r="J29" s="2273"/>
      <c r="K29" s="2273"/>
      <c r="L29" s="2273"/>
      <c r="M29" s="2273"/>
      <c r="N29" s="2273"/>
      <c r="O29" s="2273"/>
      <c r="P29" s="2273"/>
      <c r="Q29" s="2273"/>
      <c r="R29" s="2273"/>
      <c r="S29" s="2274"/>
      <c r="T29" s="2267">
        <f>T28+Y28+AD28+AI28</f>
        <v>110943485.90000001</v>
      </c>
      <c r="U29" s="2268"/>
      <c r="V29" s="2268"/>
      <c r="W29" s="2268"/>
      <c r="X29" s="2268"/>
      <c r="Y29" s="2268"/>
      <c r="Z29" s="2268"/>
      <c r="AA29" s="2268"/>
      <c r="AB29" s="2268"/>
      <c r="AC29" s="2268"/>
      <c r="AD29" s="2268"/>
      <c r="AE29" s="2268"/>
      <c r="AF29" s="2268"/>
      <c r="AG29" s="2268"/>
      <c r="AH29" s="2268"/>
      <c r="AI29" s="2268"/>
      <c r="AJ29" s="2268"/>
      <c r="AK29" s="2268"/>
      <c r="AL29" s="2268"/>
      <c r="AM29" s="2265"/>
    </row>
    <row r="30" spans="1:40" ht="12.9" customHeight="1">
      <c r="B30" s="2275" t="s">
        <v>2104</v>
      </c>
      <c r="C30" s="2275"/>
      <c r="D30" s="2275"/>
      <c r="E30" s="2275"/>
      <c r="F30" s="2275"/>
      <c r="G30" s="2275"/>
      <c r="H30" s="2275"/>
      <c r="I30" s="2275"/>
      <c r="J30" s="2275"/>
      <c r="K30" s="2275"/>
      <c r="L30" s="2275"/>
      <c r="M30" s="2275"/>
      <c r="N30" s="2275"/>
      <c r="O30" s="2275"/>
      <c r="P30" s="2275"/>
      <c r="Q30" s="2275"/>
      <c r="R30" s="2275"/>
      <c r="S30" s="2275"/>
      <c r="T30" s="2275"/>
      <c r="U30" s="2275"/>
      <c r="V30" s="2275"/>
      <c r="W30" s="2275"/>
      <c r="X30" s="2275"/>
      <c r="Y30" s="2275"/>
      <c r="Z30" s="2275"/>
      <c r="AA30" s="2275"/>
      <c r="AB30" s="2275"/>
      <c r="AC30" s="2275"/>
      <c r="AD30" s="2275"/>
      <c r="AE30" s="2275"/>
      <c r="AF30" s="2275"/>
      <c r="AG30" s="2275"/>
      <c r="AH30" s="2275"/>
      <c r="AI30" s="2275"/>
      <c r="AJ30" s="2275"/>
      <c r="AK30" s="2275"/>
      <c r="AL30" s="2275"/>
      <c r="AM30" s="2275"/>
    </row>
    <row r="31" spans="1:40" ht="12.9" customHeight="1">
      <c r="B31" s="2275" t="s">
        <v>2105</v>
      </c>
      <c r="C31" s="2275"/>
      <c r="D31" s="2275"/>
      <c r="E31" s="2275"/>
      <c r="F31" s="2275"/>
      <c r="G31" s="2275"/>
      <c r="H31" s="2275"/>
      <c r="I31" s="2275"/>
      <c r="J31" s="2275"/>
      <c r="K31" s="2275"/>
      <c r="L31" s="2275"/>
      <c r="M31" s="2275"/>
      <c r="N31" s="2275"/>
      <c r="O31" s="2275"/>
      <c r="P31" s="2275"/>
      <c r="Q31" s="2275"/>
      <c r="R31" s="2275"/>
      <c r="S31" s="2275"/>
      <c r="T31" s="2275"/>
      <c r="U31" s="2275"/>
      <c r="V31" s="2275"/>
      <c r="W31" s="2275"/>
      <c r="X31" s="2275"/>
      <c r="Y31" s="2275"/>
      <c r="Z31" s="2275"/>
      <c r="AA31" s="2275"/>
      <c r="AB31" s="2275"/>
      <c r="AC31" s="2275"/>
      <c r="AD31" s="2275"/>
      <c r="AE31" s="2275"/>
      <c r="AF31" s="2275"/>
      <c r="AG31" s="2275"/>
      <c r="AH31" s="2275"/>
      <c r="AI31" s="2275"/>
      <c r="AJ31" s="2275"/>
      <c r="AK31" s="2275"/>
      <c r="AL31" s="2275"/>
      <c r="AM31" s="2275"/>
      <c r="AN31" s="320"/>
    </row>
    <row r="32" spans="1:40" ht="12.9" customHeight="1">
      <c r="B32" s="1187"/>
      <c r="C32" s="314" t="s">
        <v>2106</v>
      </c>
      <c r="D32" s="1187"/>
      <c r="E32" s="1187"/>
      <c r="F32" s="1187"/>
      <c r="G32" s="1187"/>
      <c r="H32" s="1187"/>
      <c r="I32" s="1187"/>
      <c r="J32" s="1187"/>
      <c r="K32" s="1187"/>
      <c r="L32" s="1187"/>
      <c r="M32" s="1187"/>
      <c r="N32" s="1187"/>
      <c r="O32" s="1187"/>
      <c r="P32" s="1187"/>
      <c r="Q32" s="1187"/>
      <c r="R32" s="1187"/>
      <c r="S32" s="1187"/>
      <c r="T32" s="1187"/>
      <c r="U32" s="1187"/>
      <c r="V32" s="1187"/>
      <c r="W32" s="1187"/>
      <c r="X32" s="1187"/>
      <c r="Y32" s="1187"/>
      <c r="Z32" s="1187"/>
      <c r="AA32" s="1187"/>
      <c r="AB32" s="1187"/>
      <c r="AC32" s="1187"/>
      <c r="AD32" s="1187"/>
      <c r="AE32" s="1187"/>
      <c r="AF32" s="1187"/>
      <c r="AG32" s="1187"/>
      <c r="AH32" s="1187"/>
      <c r="AI32" s="1187"/>
      <c r="AJ32" s="1187"/>
      <c r="AK32" s="1187"/>
      <c r="AL32" s="1187"/>
      <c r="AM32" s="1187"/>
    </row>
    <row r="34" spans="1:76" ht="12.9" customHeight="1">
      <c r="A34" s="232" t="s">
        <v>911</v>
      </c>
      <c r="C34" s="232" t="s">
        <v>279</v>
      </c>
    </row>
    <row r="35" spans="1:76" ht="12.9" customHeight="1">
      <c r="B35" s="233"/>
      <c r="C35" s="234"/>
      <c r="D35" s="234"/>
      <c r="E35" s="234"/>
      <c r="F35" s="234"/>
      <c r="G35" s="234"/>
      <c r="H35" s="234"/>
      <c r="I35" s="234"/>
      <c r="J35" s="234"/>
      <c r="K35" s="234"/>
      <c r="L35" s="234"/>
      <c r="M35" s="234"/>
      <c r="N35" s="234"/>
      <c r="O35" s="234"/>
      <c r="P35" s="234"/>
      <c r="Q35" s="234"/>
      <c r="R35" s="234"/>
      <c r="S35" s="234"/>
      <c r="T35" s="234"/>
      <c r="U35" s="234"/>
      <c r="V35" s="234"/>
      <c r="W35" s="234"/>
      <c r="X35" s="239"/>
      <c r="Y35" s="2293" t="s">
        <v>2107</v>
      </c>
      <c r="Z35" s="2293"/>
      <c r="AA35" s="2293"/>
      <c r="AB35" s="2293"/>
      <c r="AC35" s="2293"/>
      <c r="AD35" s="2313" t="s">
        <v>2108</v>
      </c>
      <c r="AE35" s="2313"/>
      <c r="AF35" s="2313"/>
      <c r="AG35" s="2313"/>
      <c r="AH35" s="2313"/>
    </row>
    <row r="36" spans="1:76" ht="12.9" customHeight="1">
      <c r="B36" s="235"/>
      <c r="X36" s="240"/>
      <c r="Y36" s="2293"/>
      <c r="Z36" s="2293"/>
      <c r="AA36" s="2293"/>
      <c r="AB36" s="2293"/>
      <c r="AC36" s="2293"/>
      <c r="AD36" s="2313"/>
      <c r="AE36" s="2313"/>
      <c r="AF36" s="2313"/>
      <c r="AG36" s="2313"/>
      <c r="AH36" s="2313"/>
    </row>
    <row r="37" spans="1:76" ht="12.9" customHeight="1">
      <c r="B37" s="236"/>
      <c r="C37" s="237"/>
      <c r="D37" s="237"/>
      <c r="E37" s="237"/>
      <c r="F37" s="237"/>
      <c r="G37" s="237"/>
      <c r="H37" s="237"/>
      <c r="I37" s="237"/>
      <c r="J37" s="237"/>
      <c r="K37" s="237"/>
      <c r="L37" s="237"/>
      <c r="M37" s="237"/>
      <c r="N37" s="237"/>
      <c r="O37" s="237"/>
      <c r="P37" s="237"/>
      <c r="Q37" s="237"/>
      <c r="R37" s="237"/>
      <c r="S37" s="237"/>
      <c r="T37" s="237"/>
      <c r="U37" s="237"/>
      <c r="V37" s="237"/>
      <c r="W37" s="237"/>
      <c r="X37" s="241"/>
      <c r="Y37" s="2293"/>
      <c r="Z37" s="2293"/>
      <c r="AA37" s="2293"/>
      <c r="AB37" s="2293"/>
      <c r="AC37" s="2293"/>
      <c r="AD37" s="2313"/>
      <c r="AE37" s="2313"/>
      <c r="AF37" s="2313"/>
      <c r="AG37" s="2313"/>
      <c r="AH37" s="2313"/>
    </row>
    <row r="38" spans="1:76" ht="12.9" customHeight="1">
      <c r="A38" s="232"/>
      <c r="B38" s="2272" t="s">
        <v>2102</v>
      </c>
      <c r="C38" s="2273"/>
      <c r="D38" s="2273"/>
      <c r="E38" s="2273"/>
      <c r="F38" s="2273"/>
      <c r="G38" s="2273"/>
      <c r="H38" s="2273"/>
      <c r="I38" s="2273"/>
      <c r="J38" s="2273"/>
      <c r="K38" s="2273"/>
      <c r="L38" s="2273"/>
      <c r="M38" s="2273"/>
      <c r="N38" s="2273"/>
      <c r="O38" s="2273"/>
      <c r="P38" s="2273"/>
      <c r="Q38" s="2273"/>
      <c r="R38" s="2273"/>
      <c r="S38" s="2273"/>
      <c r="T38" s="2273"/>
      <c r="U38" s="2273"/>
      <c r="V38" s="2273"/>
      <c r="W38" s="2273"/>
      <c r="X38" s="2274"/>
      <c r="Y38" s="2266">
        <f>IF(T24&gt;=(T23+Y23+AD23+AI23),T28+Y28,0)</f>
        <v>110943485.90000001</v>
      </c>
      <c r="Z38" s="2266"/>
      <c r="AA38" s="2266"/>
      <c r="AB38" s="2266"/>
      <c r="AC38" s="2266"/>
      <c r="AD38" s="2266">
        <f>IF(T24&gt;=(T23+Y23+AD23+AI23),AD28+AI28,0)</f>
        <v>0</v>
      </c>
      <c r="AE38" s="2266"/>
      <c r="AF38" s="2266"/>
      <c r="AG38" s="2266"/>
      <c r="AH38" s="2266"/>
    </row>
    <row r="39" spans="1:76" ht="12.9" customHeight="1">
      <c r="B39" s="2272" t="s">
        <v>2109</v>
      </c>
      <c r="C39" s="2273"/>
      <c r="D39" s="2273"/>
      <c r="E39" s="2273"/>
      <c r="F39" s="2273"/>
      <c r="G39" s="2273"/>
      <c r="H39" s="2273"/>
      <c r="I39" s="2273"/>
      <c r="J39" s="2273"/>
      <c r="K39" s="2273"/>
      <c r="L39" s="2273"/>
      <c r="M39" s="2273"/>
      <c r="N39" s="2273"/>
      <c r="O39" s="2273"/>
      <c r="P39" s="2273"/>
      <c r="Q39" s="2273"/>
      <c r="R39" s="2273"/>
      <c r="S39" s="2273"/>
      <c r="T39" s="2273"/>
      <c r="U39" s="2273"/>
      <c r="V39" s="2273"/>
      <c r="W39" s="2273"/>
      <c r="X39" s="2274"/>
      <c r="Y39" s="2314">
        <v>0.04</v>
      </c>
      <c r="Z39" s="2314"/>
      <c r="AA39" s="2314"/>
      <c r="AB39" s="2314"/>
      <c r="AC39" s="2314"/>
      <c r="AD39" s="2314">
        <v>0.04</v>
      </c>
      <c r="AE39" s="2314"/>
      <c r="AF39" s="2314"/>
      <c r="AG39" s="2314"/>
      <c r="AH39" s="2314"/>
    </row>
    <row r="40" spans="1:76" ht="12.9" customHeight="1">
      <c r="A40" s="232"/>
      <c r="B40" s="2272" t="s">
        <v>2110</v>
      </c>
      <c r="C40" s="2273"/>
      <c r="D40" s="2273"/>
      <c r="E40" s="2273"/>
      <c r="F40" s="2273"/>
      <c r="G40" s="2273"/>
      <c r="H40" s="2273"/>
      <c r="I40" s="2273"/>
      <c r="J40" s="2273"/>
      <c r="K40" s="2273"/>
      <c r="L40" s="2273"/>
      <c r="M40" s="2273"/>
      <c r="N40" s="2273"/>
      <c r="O40" s="2273"/>
      <c r="P40" s="2273"/>
      <c r="Q40" s="2273"/>
      <c r="R40" s="2273"/>
      <c r="S40" s="2273"/>
      <c r="T40" s="2273"/>
      <c r="U40" s="2273"/>
      <c r="V40" s="2273"/>
      <c r="W40" s="2273"/>
      <c r="X40" s="2274"/>
      <c r="Y40" s="2266">
        <f>ROUND(Y38*Y39,0)</f>
        <v>4437739</v>
      </c>
      <c r="Z40" s="2266"/>
      <c r="AA40" s="2266"/>
      <c r="AB40" s="2266"/>
      <c r="AC40" s="2266"/>
      <c r="AD40" s="2265">
        <f>ROUND(AD38*AD39,0)</f>
        <v>0</v>
      </c>
      <c r="AE40" s="2266"/>
      <c r="AF40" s="2266"/>
      <c r="AG40" s="2266"/>
      <c r="AH40" s="2266"/>
    </row>
    <row r="41" spans="1:76" ht="12.9" customHeight="1">
      <c r="B41" s="2272" t="s">
        <v>2111</v>
      </c>
      <c r="C41" s="2273"/>
      <c r="D41" s="2273"/>
      <c r="E41" s="2273"/>
      <c r="F41" s="2273"/>
      <c r="G41" s="2273"/>
      <c r="H41" s="2273"/>
      <c r="I41" s="2273"/>
      <c r="J41" s="2273"/>
      <c r="K41" s="2273"/>
      <c r="L41" s="2273"/>
      <c r="M41" s="2273"/>
      <c r="N41" s="2273"/>
      <c r="O41" s="2273"/>
      <c r="P41" s="2273"/>
      <c r="Q41" s="2273"/>
      <c r="R41" s="2273"/>
      <c r="S41" s="2273"/>
      <c r="T41" s="2273"/>
      <c r="U41" s="2273"/>
      <c r="V41" s="2273"/>
      <c r="W41" s="2273"/>
      <c r="X41" s="2274"/>
      <c r="Y41" s="2267">
        <f>Y40+AD40</f>
        <v>4437739</v>
      </c>
      <c r="Z41" s="2268"/>
      <c r="AA41" s="2268"/>
      <c r="AB41" s="2268"/>
      <c r="AC41" s="2268"/>
      <c r="AD41" s="2268"/>
      <c r="AE41" s="2268"/>
      <c r="AF41" s="2268"/>
      <c r="AG41" s="2268"/>
      <c r="AH41" s="2265"/>
    </row>
    <row r="42" spans="1:76" ht="12.9" customHeight="1">
      <c r="A42" s="232"/>
      <c r="B42" s="682"/>
      <c r="C42" s="682"/>
      <c r="D42" s="682"/>
      <c r="E42" s="682"/>
      <c r="F42" s="682"/>
      <c r="G42" s="682"/>
      <c r="H42" s="682"/>
      <c r="I42" s="682"/>
      <c r="J42" s="682"/>
      <c r="K42" s="682"/>
      <c r="L42" s="682"/>
      <c r="M42" s="682"/>
      <c r="N42" s="682"/>
      <c r="O42" s="682"/>
      <c r="P42" s="682"/>
      <c r="Q42" s="682"/>
      <c r="R42" s="682"/>
      <c r="S42" s="682"/>
      <c r="T42" s="682"/>
      <c r="U42" s="682"/>
      <c r="V42" s="682"/>
      <c r="W42" s="682"/>
      <c r="X42" s="682"/>
      <c r="Y42" s="682"/>
      <c r="Z42" s="682"/>
      <c r="AA42" s="682"/>
      <c r="AB42" s="682"/>
      <c r="AC42" s="682"/>
      <c r="AD42" s="682"/>
      <c r="AE42" s="682"/>
      <c r="AF42" s="682"/>
      <c r="AG42" s="682"/>
      <c r="AH42" s="682"/>
    </row>
    <row r="43" spans="1:76" ht="12.9" customHeight="1">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row>
    <row r="44" spans="1:76" s="107" customFormat="1" ht="12.9" customHeight="1" thickBot="1">
      <c r="A44" s="2270" t="s">
        <v>2112</v>
      </c>
      <c r="B44" s="2270"/>
      <c r="C44" s="2270"/>
      <c r="D44" s="2270"/>
      <c r="E44" s="2270"/>
      <c r="F44" s="2270"/>
      <c r="G44" s="2270"/>
      <c r="H44" s="2270"/>
      <c r="I44" s="2270"/>
      <c r="J44" s="2270"/>
      <c r="K44" s="2270"/>
      <c r="L44" s="2270"/>
      <c r="M44" s="2270"/>
      <c r="N44" s="2270"/>
      <c r="O44" s="2270"/>
      <c r="P44" s="2270"/>
      <c r="Q44" s="2270"/>
      <c r="R44" s="2270"/>
      <c r="S44" s="2270"/>
      <c r="T44" s="2270"/>
      <c r="U44" s="2270"/>
      <c r="V44" s="2270"/>
      <c r="W44" s="2270"/>
      <c r="X44" s="2270"/>
      <c r="Y44" s="2270"/>
      <c r="Z44" s="2270"/>
      <c r="AA44" s="2270"/>
      <c r="AB44" s="2270"/>
      <c r="AC44" s="2270"/>
      <c r="AD44" s="2270"/>
      <c r="AE44" s="2270"/>
      <c r="AF44" s="2270"/>
      <c r="AG44" s="2270"/>
      <c r="AH44" s="2270"/>
      <c r="AI44" s="2270"/>
      <c r="AJ44" s="2270"/>
      <c r="AK44" s="2270"/>
      <c r="AL44" s="2270"/>
      <c r="AM44" s="2270"/>
      <c r="AN44" s="2270"/>
      <c r="AO44" s="2270"/>
      <c r="AP44" s="2270"/>
      <c r="AQ44" s="2270"/>
      <c r="AR44" s="2270"/>
      <c r="AS44" s="2270"/>
      <c r="AT44" s="2270"/>
      <c r="AU44" s="2270"/>
      <c r="AV44" s="2270"/>
      <c r="AW44" s="2270"/>
      <c r="AX44" s="2270"/>
      <c r="AY44" s="2270"/>
      <c r="AZ44" s="2270"/>
      <c r="BA44" s="2270"/>
      <c r="BB44" s="2270"/>
      <c r="BC44" s="2270"/>
      <c r="BD44" s="2270"/>
      <c r="BE44" s="2270"/>
      <c r="BF44" s="2270"/>
      <c r="BG44" s="2270"/>
      <c r="BH44" s="2270"/>
      <c r="BI44" s="2270"/>
      <c r="BJ44" s="2270"/>
      <c r="BK44" s="2270"/>
      <c r="BL44" s="2270"/>
      <c r="BM44" s="2270"/>
      <c r="BN44" s="2270"/>
      <c r="BO44" s="2270"/>
      <c r="BP44" s="2270"/>
      <c r="BQ44" s="2270"/>
      <c r="BR44" s="2270"/>
      <c r="BS44" s="2270"/>
      <c r="BT44" s="2270"/>
      <c r="BU44" s="2270"/>
      <c r="BV44" s="2270"/>
      <c r="BW44" s="2270"/>
      <c r="BX44" s="2270"/>
    </row>
    <row r="45" spans="1:76" s="107" customFormat="1" ht="12.9" customHeight="1" thickTop="1"/>
    <row r="46" spans="1:76" ht="12.9" customHeight="1">
      <c r="A46" s="232" t="s">
        <v>989</v>
      </c>
      <c r="C46" s="232" t="s">
        <v>282</v>
      </c>
    </row>
    <row r="47" spans="1:76" ht="12.9" customHeight="1">
      <c r="D47" s="232" t="s">
        <v>677</v>
      </c>
      <c r="AB47" s="2282">
        <f>'Sources and Uses Budget'!B105-MAX(IF('Sources and Uses Budget'!B15="",0,'Sources and Uses Budget'!B15),IF(Application!AG394="",0,Application!AG394))</f>
        <v>88469408</v>
      </c>
      <c r="AC47" s="2283"/>
      <c r="AD47" s="2283"/>
      <c r="AE47" s="2283"/>
      <c r="AF47" s="2284"/>
    </row>
    <row r="48" spans="1:76" ht="12.9" customHeight="1">
      <c r="D48" s="232" t="s">
        <v>175</v>
      </c>
      <c r="AB48" s="2282">
        <f>Application!AO639-MAX(IF('Sources and Uses Budget'!B15="",0,'Sources and Uses Budget'!B15),IF(Application!AG394="",0,Application!AG394))</f>
        <v>26824936</v>
      </c>
      <c r="AC48" s="2283"/>
      <c r="AD48" s="2283"/>
      <c r="AE48" s="2283"/>
      <c r="AF48" s="2284"/>
    </row>
    <row r="49" spans="1:76" ht="12.9" customHeight="1">
      <c r="D49" s="232" t="s">
        <v>2113</v>
      </c>
      <c r="AB49" s="2282">
        <f>AB47-AB48</f>
        <v>61644472</v>
      </c>
      <c r="AC49" s="2283"/>
      <c r="AD49" s="2283"/>
      <c r="AE49" s="2283"/>
      <c r="AF49" s="2284"/>
    </row>
    <row r="50" spans="1:76" ht="12.9" customHeight="1">
      <c r="D50" s="232" t="s">
        <v>2114</v>
      </c>
      <c r="AA50" s="243"/>
      <c r="AB50" s="2309">
        <v>0.86991306999999995</v>
      </c>
      <c r="AC50" s="2310"/>
      <c r="AD50" s="2310"/>
      <c r="AE50" s="2310"/>
      <c r="AF50" s="2311"/>
    </row>
    <row r="51" spans="1:76" s="244" customFormat="1" ht="12.9" customHeight="1">
      <c r="A51" s="230"/>
      <c r="B51" s="230"/>
      <c r="C51" s="230"/>
      <c r="D51" s="230"/>
      <c r="E51" s="2312" t="s">
        <v>2115</v>
      </c>
      <c r="F51" s="2312"/>
      <c r="G51" s="2312"/>
      <c r="H51" s="2312"/>
      <c r="I51" s="2312"/>
      <c r="J51" s="2312"/>
      <c r="K51" s="2312"/>
      <c r="L51" s="2312"/>
      <c r="M51" s="2312"/>
      <c r="N51" s="2312"/>
      <c r="O51" s="2312"/>
      <c r="P51" s="2312"/>
      <c r="Q51" s="2312"/>
      <c r="R51" s="2312"/>
      <c r="S51" s="2312"/>
      <c r="T51" s="2312"/>
      <c r="U51" s="2312"/>
      <c r="V51" s="2312"/>
      <c r="W51" s="2312"/>
      <c r="X51" s="2312"/>
      <c r="Y51" s="2312"/>
      <c r="Z51" s="2312"/>
      <c r="AA51" s="1120"/>
      <c r="AB51" s="1120"/>
      <c r="AC51" s="1120"/>
      <c r="AD51" s="1120"/>
      <c r="AE51" s="1120"/>
      <c r="AF51" s="1120"/>
      <c r="AG51" s="230"/>
      <c r="AH51" s="230"/>
      <c r="AI51" s="230"/>
      <c r="AJ51" s="230"/>
      <c r="AK51" s="230"/>
      <c r="AL51" s="230"/>
      <c r="AM51" s="230"/>
      <c r="AN51" s="230"/>
    </row>
    <row r="52" spans="1:76" s="244" customFormat="1" ht="12.9" customHeight="1">
      <c r="A52" s="230"/>
      <c r="B52" s="230"/>
      <c r="C52" s="230"/>
      <c r="D52" s="230"/>
      <c r="E52" s="2312"/>
      <c r="F52" s="2312"/>
      <c r="G52" s="2312"/>
      <c r="H52" s="2312"/>
      <c r="I52" s="2312"/>
      <c r="J52" s="2312"/>
      <c r="K52" s="2312"/>
      <c r="L52" s="2312"/>
      <c r="M52" s="2312"/>
      <c r="N52" s="2312"/>
      <c r="O52" s="2312"/>
      <c r="P52" s="2312"/>
      <c r="Q52" s="2312"/>
      <c r="R52" s="2312"/>
      <c r="S52" s="2312"/>
      <c r="T52" s="2312"/>
      <c r="U52" s="2312"/>
      <c r="V52" s="2312"/>
      <c r="W52" s="2312"/>
      <c r="X52" s="2312"/>
      <c r="Y52" s="2312"/>
      <c r="Z52" s="2312"/>
      <c r="AA52" s="245"/>
      <c r="AB52" s="245"/>
      <c r="AC52" s="245"/>
      <c r="AD52" s="245"/>
      <c r="AE52" s="245"/>
      <c r="AF52" s="245"/>
      <c r="AG52" s="246"/>
      <c r="AH52" s="230"/>
      <c r="AI52" s="230"/>
      <c r="AJ52" s="230"/>
      <c r="AK52" s="230"/>
      <c r="AL52" s="230"/>
      <c r="AM52" s="230"/>
      <c r="AN52" s="230"/>
    </row>
    <row r="53" spans="1:76" ht="12.9" customHeight="1">
      <c r="E53" s="1120"/>
      <c r="F53" s="1120"/>
      <c r="G53" s="1120"/>
      <c r="H53" s="1120"/>
      <c r="I53" s="1120"/>
      <c r="J53" s="1120"/>
      <c r="K53" s="1120"/>
      <c r="L53" s="1120"/>
      <c r="M53" s="1120"/>
      <c r="N53" s="1120"/>
      <c r="O53" s="1120"/>
      <c r="P53" s="1120"/>
      <c r="Q53" s="1120"/>
      <c r="R53" s="1120"/>
      <c r="S53" s="1120"/>
      <c r="T53" s="1120"/>
      <c r="U53" s="1120"/>
      <c r="V53" s="1120"/>
      <c r="W53" s="1120"/>
      <c r="X53" s="1120"/>
      <c r="Y53" s="1120"/>
      <c r="Z53" s="1120"/>
    </row>
    <row r="54" spans="1:76" ht="12.9" customHeight="1">
      <c r="D54" s="232" t="s">
        <v>2116</v>
      </c>
      <c r="AB54" s="2282">
        <f>ROUND(IF(ISERROR((AB49/AB50)),0,(AB49/AB50)),0)</f>
        <v>70862796</v>
      </c>
      <c r="AC54" s="2283"/>
      <c r="AD54" s="2283"/>
      <c r="AE54" s="2283"/>
      <c r="AF54" s="2284"/>
    </row>
    <row r="55" spans="1:76" ht="12.9" customHeight="1">
      <c r="D55" s="232" t="s">
        <v>2117</v>
      </c>
      <c r="AB55" s="2282">
        <f>(AB54/10)</f>
        <v>7086279.5999999996</v>
      </c>
      <c r="AC55" s="2283"/>
      <c r="AD55" s="2283"/>
      <c r="AE55" s="2283"/>
      <c r="AF55" s="2284"/>
    </row>
    <row r="56" spans="1:76" ht="12.9" customHeight="1">
      <c r="D56" s="232" t="s">
        <v>2118</v>
      </c>
      <c r="AB56" s="2282">
        <f>ROUND((IF((Y41&lt;AB55),Y41,AB55)),0)</f>
        <v>4437739</v>
      </c>
      <c r="AC56" s="2283"/>
      <c r="AD56" s="2283"/>
      <c r="AE56" s="2283"/>
      <c r="AF56" s="2284"/>
    </row>
    <row r="57" spans="1:76" ht="12.9" customHeight="1">
      <c r="D57" s="232" t="s">
        <v>2119</v>
      </c>
      <c r="AB57" s="2282">
        <f>ROUND((10*AB56*AB50),0)</f>
        <v>38604472</v>
      </c>
      <c r="AC57" s="2283"/>
      <c r="AD57" s="2283"/>
      <c r="AE57" s="2283"/>
      <c r="AF57" s="2284"/>
    </row>
    <row r="58" spans="1:76" ht="12.9" customHeight="1">
      <c r="D58" s="232"/>
      <c r="AB58" s="250"/>
      <c r="AC58" s="250"/>
      <c r="AD58" s="250"/>
      <c r="AE58" s="250"/>
      <c r="AF58" s="250"/>
    </row>
    <row r="59" spans="1:76" ht="12.9" customHeight="1">
      <c r="D59" s="232" t="s">
        <v>2120</v>
      </c>
      <c r="AB59" s="2305">
        <f>AB49-AB57</f>
        <v>23040000</v>
      </c>
      <c r="AC59" s="2305"/>
      <c r="AD59" s="2305"/>
      <c r="AE59" s="2305"/>
      <c r="AF59" s="2305"/>
    </row>
    <row r="60" spans="1:76" ht="12.9" customHeight="1">
      <c r="D60" s="232"/>
      <c r="AB60" s="250"/>
      <c r="AC60" s="250"/>
      <c r="AD60" s="250"/>
      <c r="AE60" s="250"/>
      <c r="AF60" s="250"/>
    </row>
    <row r="61" spans="1:76" s="107" customFormat="1" ht="12.9" customHeight="1" thickBot="1">
      <c r="A61" s="2270" t="str">
        <f>IF(Application!AP205="yes","Farmworker State Credit", "State Credit" )</f>
        <v>State Credit</v>
      </c>
      <c r="B61" s="2270"/>
      <c r="C61" s="2270"/>
      <c r="D61" s="2270"/>
      <c r="E61" s="2270"/>
      <c r="F61" s="2270"/>
      <c r="G61" s="2270"/>
      <c r="H61" s="2270"/>
      <c r="I61" s="2270"/>
      <c r="J61" s="2270"/>
      <c r="K61" s="2270"/>
      <c r="L61" s="2270"/>
      <c r="M61" s="2270"/>
      <c r="N61" s="2270"/>
      <c r="O61" s="2270"/>
      <c r="P61" s="2270"/>
      <c r="Q61" s="2270"/>
      <c r="R61" s="2270"/>
      <c r="S61" s="2270"/>
      <c r="T61" s="2270"/>
      <c r="U61" s="2270"/>
      <c r="V61" s="2270"/>
      <c r="W61" s="2270"/>
      <c r="X61" s="2270"/>
      <c r="Y61" s="2270"/>
      <c r="Z61" s="2270"/>
      <c r="AA61" s="2270"/>
      <c r="AB61" s="2270"/>
      <c r="AC61" s="2270"/>
      <c r="AD61" s="2270"/>
      <c r="AE61" s="2270"/>
      <c r="AF61" s="2270"/>
      <c r="AG61" s="2270"/>
      <c r="AH61" s="2270"/>
      <c r="AI61" s="2270"/>
      <c r="AJ61" s="2270"/>
      <c r="AK61" s="2270"/>
      <c r="AL61" s="2270"/>
      <c r="AM61" s="2270"/>
      <c r="AN61" s="2270"/>
      <c r="AO61" s="2270"/>
      <c r="AP61" s="2270"/>
      <c r="AQ61" s="2270"/>
      <c r="AR61" s="2270"/>
      <c r="AS61" s="2270"/>
      <c r="AT61" s="2270"/>
      <c r="AU61" s="2270"/>
      <c r="AV61" s="2270"/>
      <c r="AW61" s="2270"/>
      <c r="AX61" s="2270"/>
      <c r="AY61" s="2270"/>
      <c r="AZ61" s="2270"/>
      <c r="BA61" s="2270"/>
      <c r="BB61" s="2270"/>
      <c r="BC61" s="2270"/>
      <c r="BD61" s="2270"/>
      <c r="BE61" s="2270"/>
      <c r="BF61" s="2270"/>
      <c r="BG61" s="2270"/>
      <c r="BH61" s="2270"/>
      <c r="BI61" s="2270"/>
      <c r="BJ61" s="2270"/>
      <c r="BK61" s="2270"/>
      <c r="BL61" s="2270"/>
      <c r="BM61" s="2270"/>
      <c r="BN61" s="2270"/>
      <c r="BO61" s="2270"/>
      <c r="BP61" s="2270"/>
      <c r="BQ61" s="2270"/>
      <c r="BR61" s="2270"/>
      <c r="BS61" s="2270"/>
      <c r="BT61" s="2270"/>
      <c r="BU61" s="2270"/>
      <c r="BV61" s="2270"/>
      <c r="BW61" s="2270"/>
      <c r="BX61" s="2270"/>
    </row>
    <row r="62" spans="1:76" s="107" customFormat="1" ht="12.9" customHeight="1" thickTop="1"/>
    <row r="63" spans="1:76" ht="12.9" customHeight="1">
      <c r="A63" s="232" t="s">
        <v>1007</v>
      </c>
      <c r="C63" s="108" t="s">
        <v>2121</v>
      </c>
      <c r="Y63" s="2306" t="s">
        <v>2122</v>
      </c>
      <c r="Z63" s="2306"/>
      <c r="AA63" s="2306"/>
      <c r="AB63" s="2306"/>
      <c r="AC63" s="2306"/>
      <c r="AD63" s="2306" t="s">
        <v>2108</v>
      </c>
      <c r="AE63" s="2306"/>
      <c r="AF63" s="2306"/>
      <c r="AG63" s="2306"/>
      <c r="AH63" s="2306"/>
    </row>
    <row r="64" spans="1:76" ht="12.9" customHeight="1">
      <c r="C64" s="232"/>
      <c r="D64" s="208" t="s">
        <v>2123</v>
      </c>
      <c r="E64" s="247"/>
      <c r="F64" s="247"/>
      <c r="G64" s="247"/>
      <c r="H64" s="247"/>
      <c r="I64" s="247"/>
      <c r="J64" s="247"/>
      <c r="K64" s="247"/>
      <c r="L64" s="247"/>
      <c r="M64" s="247"/>
      <c r="N64" s="247"/>
      <c r="O64" s="247"/>
      <c r="P64" s="247"/>
      <c r="Q64" s="247"/>
      <c r="R64" s="247"/>
      <c r="S64" s="247"/>
      <c r="T64" s="247"/>
      <c r="U64" s="247"/>
      <c r="V64" s="247"/>
      <c r="W64" s="247"/>
      <c r="X64" s="247"/>
      <c r="Y64" s="2267">
        <f>IF(Application!$Z$205="(select)",0,((T23*T27)+Y28))</f>
        <v>85341143</v>
      </c>
      <c r="Z64" s="2307"/>
      <c r="AA64" s="2307"/>
      <c r="AB64" s="2307"/>
      <c r="AC64" s="2308"/>
      <c r="AD64" s="2267">
        <f>IF(AND(OR(Application!D211="At-Risk",Application!D211="At-Risk and Special Needs"),Application!M358="yes"),AD28+AI28,0)</f>
        <v>0</v>
      </c>
      <c r="AE64" s="2307"/>
      <c r="AF64" s="2307"/>
      <c r="AG64" s="2307"/>
      <c r="AH64" s="2308"/>
    </row>
    <row r="65" spans="1:36" ht="12.9" customHeight="1">
      <c r="C65" s="232"/>
      <c r="E65" s="752" t="s">
        <v>2124</v>
      </c>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row>
    <row r="66" spans="1:36" ht="22.5" customHeight="1">
      <c r="C66" s="232"/>
      <c r="E66" s="752" t="s">
        <v>2125</v>
      </c>
      <c r="F66" s="262"/>
      <c r="G66" s="262"/>
      <c r="H66" s="262"/>
      <c r="I66" s="262"/>
      <c r="J66" s="262"/>
      <c r="K66" s="262"/>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262"/>
    </row>
    <row r="67" spans="1:36" ht="12.9" customHeight="1">
      <c r="C67" s="232"/>
      <c r="D67" s="232" t="s">
        <v>2126</v>
      </c>
      <c r="E67" s="248"/>
      <c r="F67" s="248"/>
      <c r="G67" s="248"/>
      <c r="H67" s="248"/>
      <c r="I67" s="248"/>
      <c r="J67" s="248"/>
      <c r="K67" s="248"/>
      <c r="L67" s="248"/>
      <c r="M67" s="248"/>
      <c r="N67" s="248"/>
      <c r="O67" s="248"/>
      <c r="P67" s="248"/>
      <c r="Q67" s="248"/>
      <c r="R67" s="248"/>
      <c r="S67" s="248"/>
      <c r="T67" s="248"/>
      <c r="U67" s="248"/>
      <c r="V67" s="248"/>
      <c r="W67" s="248"/>
      <c r="X67" s="248"/>
      <c r="Y67" s="2320" cm="1">
        <f t="array" ref="Y67">_xlfn.IFS(OR(Application!Z205="State Farmworker Credit",Application!Z205="$500M (Farmworker Housing)"),0.75,Application!Z205="15% set-aside",0.13,Application!Z205="15% set-aside with qualifying low value rehab",0.95,Application!Z205="$500M",0.3,TRUE,0)</f>
        <v>0.3</v>
      </c>
      <c r="Z67" s="2320"/>
      <c r="AA67" s="2320"/>
      <c r="AB67" s="2320"/>
      <c r="AC67" s="2320"/>
      <c r="AD67" s="2320" cm="1">
        <f t="array" ref="AD67">_xlfn.IFS(Application!Z205="15% set-aside with qualifying low value rehab", 0.95,OR(Application!D211="At-Risk",'Points System'!B13="Yes"),0.13,TRUE,0)</f>
        <v>0</v>
      </c>
      <c r="AE67" s="2320"/>
      <c r="AF67" s="2320"/>
      <c r="AG67" s="2320"/>
      <c r="AH67" s="2320"/>
    </row>
    <row r="68" spans="1:36" ht="12.9" customHeight="1">
      <c r="C68" s="232"/>
      <c r="D68" s="108" t="s">
        <v>2127</v>
      </c>
      <c r="Y68" s="2266">
        <f>ROUND(Y64*Y67,0)</f>
        <v>25602343</v>
      </c>
      <c r="Z68" s="2321"/>
      <c r="AA68" s="2321"/>
      <c r="AB68" s="2321"/>
      <c r="AC68" s="2321"/>
      <c r="AD68" s="2266">
        <f>ROUND(AD64*AD67,0)</f>
        <v>0</v>
      </c>
      <c r="AE68" s="2321"/>
      <c r="AF68" s="2321"/>
      <c r="AG68" s="2321"/>
      <c r="AH68" s="2321"/>
    </row>
    <row r="69" spans="1:36" ht="12.9" customHeight="1">
      <c r="C69" s="232"/>
      <c r="D69" s="108" t="s">
        <v>2128</v>
      </c>
      <c r="Y69" s="2266">
        <f>IF(OR(Application!Z205="State Farmworker Credit",Application!Z205="$500M (Farmworker Housing)"),Y68+AD68,MIN(Y68+AD68,200000*(Application!G753+Application!O777)))</f>
        <v>25600000</v>
      </c>
      <c r="Z69" s="2266"/>
      <c r="AA69" s="2266"/>
      <c r="AB69" s="2266"/>
      <c r="AC69" s="2266"/>
      <c r="AD69" s="2266"/>
      <c r="AE69" s="2266"/>
      <c r="AF69" s="2266"/>
      <c r="AG69" s="2266"/>
      <c r="AH69" s="2266"/>
    </row>
    <row r="70" spans="1:36" ht="12.9" customHeight="1">
      <c r="C70" s="232"/>
      <c r="E70" s="232"/>
      <c r="AB70" s="249"/>
      <c r="AC70" s="249"/>
      <c r="AD70" s="249"/>
      <c r="AE70" s="249"/>
      <c r="AF70" s="249"/>
    </row>
    <row r="71" spans="1:36" ht="12.9" customHeight="1">
      <c r="A71" s="232" t="s">
        <v>1019</v>
      </c>
      <c r="C71" s="108" t="s">
        <v>288</v>
      </c>
    </row>
    <row r="72" spans="1:36" ht="12.9" customHeight="1">
      <c r="A72" s="232"/>
      <c r="C72" s="232"/>
      <c r="D72" s="108" t="s">
        <v>731</v>
      </c>
      <c r="AB72" s="2309">
        <v>0.9</v>
      </c>
      <c r="AC72" s="2310"/>
      <c r="AD72" s="2310"/>
      <c r="AE72" s="2310"/>
      <c r="AF72" s="2311"/>
    </row>
    <row r="73" spans="1:36" ht="12.9" customHeight="1">
      <c r="A73" s="232"/>
      <c r="C73" s="232"/>
      <c r="D73" s="232"/>
      <c r="E73" s="2322" t="s">
        <v>2129</v>
      </c>
      <c r="F73" s="2322"/>
      <c r="G73" s="2322"/>
      <c r="H73" s="2322"/>
      <c r="I73" s="2322"/>
      <c r="J73" s="2322"/>
      <c r="K73" s="2322"/>
      <c r="L73" s="2322"/>
      <c r="M73" s="2322"/>
      <c r="N73" s="2322"/>
      <c r="O73" s="2322"/>
      <c r="P73" s="2322"/>
      <c r="Q73" s="2322"/>
      <c r="R73" s="2322"/>
      <c r="S73" s="2322"/>
      <c r="T73" s="2322"/>
      <c r="U73" s="2322"/>
      <c r="V73" s="2322"/>
      <c r="W73" s="2322"/>
      <c r="X73" s="2322"/>
      <c r="Y73" s="2322"/>
      <c r="Z73" s="2322"/>
      <c r="AA73" s="2322"/>
      <c r="AB73" s="261"/>
      <c r="AC73" s="261"/>
    </row>
    <row r="74" spans="1:36" ht="12.9" customHeight="1">
      <c r="A74" s="232"/>
      <c r="C74" s="232"/>
      <c r="D74" s="232"/>
      <c r="E74" s="2322"/>
      <c r="F74" s="2322"/>
      <c r="G74" s="2322"/>
      <c r="H74" s="2322"/>
      <c r="I74" s="2322"/>
      <c r="J74" s="2322"/>
      <c r="K74" s="2322"/>
      <c r="L74" s="2322"/>
      <c r="M74" s="2322"/>
      <c r="N74" s="2322"/>
      <c r="O74" s="2322"/>
      <c r="P74" s="2322"/>
      <c r="Q74" s="2322"/>
      <c r="R74" s="2322"/>
      <c r="S74" s="2322"/>
      <c r="T74" s="2322"/>
      <c r="U74" s="2322"/>
      <c r="V74" s="2322"/>
      <c r="W74" s="2322"/>
      <c r="X74" s="2322"/>
      <c r="Y74" s="2322"/>
      <c r="Z74" s="2322"/>
      <c r="AA74" s="2322"/>
      <c r="AB74" s="261"/>
      <c r="AC74" s="261"/>
    </row>
    <row r="75" spans="1:36" ht="12.9" customHeight="1">
      <c r="A75" s="232"/>
      <c r="C75" s="232"/>
      <c r="D75" s="232"/>
      <c r="E75" s="2322"/>
      <c r="F75" s="2322"/>
      <c r="G75" s="2322"/>
      <c r="H75" s="2322"/>
      <c r="I75" s="2322"/>
      <c r="J75" s="2322"/>
      <c r="K75" s="2322"/>
      <c r="L75" s="2322"/>
      <c r="M75" s="2322"/>
      <c r="N75" s="2322"/>
      <c r="O75" s="2322"/>
      <c r="P75" s="2322"/>
      <c r="Q75" s="2322"/>
      <c r="R75" s="2322"/>
      <c r="S75" s="2322"/>
      <c r="T75" s="2322"/>
      <c r="U75" s="2322"/>
      <c r="V75" s="2322"/>
      <c r="W75" s="2322"/>
      <c r="X75" s="2322"/>
      <c r="Y75" s="2322"/>
      <c r="Z75" s="2322"/>
      <c r="AA75" s="2322"/>
      <c r="AB75" s="261"/>
      <c r="AC75" s="261"/>
    </row>
    <row r="76" spans="1:36" ht="12.9" customHeight="1">
      <c r="A76" s="232"/>
      <c r="C76" s="232"/>
      <c r="D76" s="232"/>
      <c r="E76" s="251"/>
      <c r="F76" s="251"/>
      <c r="G76" s="251"/>
      <c r="H76" s="251"/>
      <c r="I76" s="251"/>
      <c r="J76" s="251"/>
      <c r="K76" s="251"/>
      <c r="L76" s="251"/>
      <c r="M76" s="251"/>
      <c r="N76" s="251"/>
      <c r="O76" s="251"/>
      <c r="P76" s="251"/>
      <c r="Q76" s="251"/>
      <c r="R76" s="251"/>
      <c r="S76" s="251"/>
      <c r="T76" s="251"/>
      <c r="U76" s="251"/>
      <c r="V76" s="251"/>
      <c r="W76" s="251"/>
      <c r="X76" s="251"/>
      <c r="Y76" s="251"/>
      <c r="Z76" s="251"/>
      <c r="AA76" s="199"/>
      <c r="AB76" s="199"/>
      <c r="AC76" s="199"/>
    </row>
    <row r="77" spans="1:36" ht="12.9" customHeight="1">
      <c r="C77" s="232"/>
      <c r="D77" s="108" t="s">
        <v>2130</v>
      </c>
      <c r="AB77" s="2315">
        <f>ROUND(IF(ISERROR((AB59/AB72)),0,(AB59/AB72)),0)</f>
        <v>25600000</v>
      </c>
      <c r="AC77" s="2315"/>
      <c r="AD77" s="2315"/>
      <c r="AE77" s="2315"/>
      <c r="AF77" s="2315"/>
    </row>
    <row r="78" spans="1:36" ht="12.9" customHeight="1">
      <c r="C78" s="232"/>
      <c r="D78" s="108" t="s">
        <v>2131</v>
      </c>
      <c r="AB78" s="2316">
        <f>ROUNDUP(MIN(Y69,AB77),0)</f>
        <v>25600000</v>
      </c>
      <c r="AC78" s="2317"/>
      <c r="AD78" s="2317"/>
      <c r="AE78" s="2317"/>
      <c r="AF78" s="2318"/>
    </row>
    <row r="79" spans="1:36" ht="12.9" customHeight="1">
      <c r="C79" s="232"/>
      <c r="D79" s="108" t="s">
        <v>2132</v>
      </c>
      <c r="AB79" s="2319">
        <f>AB78*AB72</f>
        <v>23040000</v>
      </c>
      <c r="AC79" s="2319"/>
      <c r="AD79" s="2319"/>
      <c r="AE79" s="2319"/>
      <c r="AF79" s="2319"/>
    </row>
    <row r="80" spans="1:36" ht="12.9" customHeight="1">
      <c r="C80" s="232"/>
      <c r="D80" s="232"/>
      <c r="AB80" s="252"/>
      <c r="AC80" s="252"/>
      <c r="AD80" s="252"/>
      <c r="AE80" s="252"/>
      <c r="AF80" s="252"/>
    </row>
    <row r="81" spans="1:78" ht="12.9" customHeight="1">
      <c r="D81" s="232" t="s">
        <v>2120</v>
      </c>
      <c r="AB81" s="2305">
        <f>AB49-(AB57+AB79)</f>
        <v>0</v>
      </c>
      <c r="AC81" s="2305"/>
      <c r="AD81" s="2305"/>
      <c r="AE81" s="2305"/>
      <c r="AF81" s="2305"/>
    </row>
    <row r="82" spans="1:78" ht="12.9" customHeight="1">
      <c r="F82" s="323"/>
      <c r="J82" s="323" t="str">
        <f>IF(AB81&gt;0,"FUNDING GAP MUST NOT EXCEED ZERO","")</f>
        <v/>
      </c>
    </row>
    <row r="83" spans="1:78" ht="12.9" customHeight="1">
      <c r="D83" s="324"/>
    </row>
    <row r="84" spans="1:78" ht="12.9" customHeight="1" thickBot="1">
      <c r="A84" s="2270"/>
      <c r="B84" s="2270"/>
      <c r="C84" s="2270"/>
      <c r="D84" s="2270"/>
      <c r="E84" s="2270"/>
      <c r="F84" s="2270"/>
      <c r="G84" s="2270"/>
      <c r="H84" s="2270"/>
      <c r="I84" s="2270"/>
      <c r="J84" s="2270"/>
      <c r="K84" s="2270"/>
      <c r="L84" s="2270"/>
      <c r="M84" s="2270"/>
      <c r="N84" s="2270"/>
      <c r="O84" s="2270"/>
      <c r="P84" s="2270"/>
      <c r="Q84" s="2270"/>
      <c r="R84" s="2270"/>
      <c r="S84" s="2270"/>
      <c r="T84" s="2270"/>
      <c r="U84" s="2270"/>
      <c r="V84" s="2270"/>
      <c r="W84" s="2270"/>
      <c r="X84" s="2270"/>
      <c r="Y84" s="2270"/>
      <c r="Z84" s="2270"/>
      <c r="AA84" s="2270"/>
      <c r="AB84" s="2270"/>
      <c r="AC84" s="2270"/>
      <c r="AD84" s="2270"/>
      <c r="AE84" s="2270"/>
      <c r="AF84" s="2270"/>
      <c r="AG84" s="2270"/>
      <c r="AH84" s="2270"/>
      <c r="AI84" s="2270"/>
      <c r="AJ84" s="2270"/>
      <c r="AK84" s="2270"/>
      <c r="AL84" s="2270"/>
      <c r="AM84" s="2270"/>
      <c r="AN84" s="2270"/>
      <c r="AO84" s="2270"/>
      <c r="AP84" s="2270"/>
      <c r="AQ84" s="2270"/>
      <c r="AR84" s="2270"/>
      <c r="AS84" s="2270"/>
      <c r="AT84" s="2270"/>
      <c r="AU84" s="2270"/>
      <c r="AV84" s="2270"/>
      <c r="AW84" s="2270"/>
      <c r="AX84" s="2270"/>
      <c r="AY84" s="2270"/>
      <c r="AZ84" s="2270"/>
      <c r="BA84" s="2270"/>
      <c r="BB84" s="2270"/>
      <c r="BC84" s="2270"/>
      <c r="BD84" s="2270"/>
      <c r="BE84" s="2270"/>
      <c r="BF84" s="2270"/>
      <c r="BG84" s="2270"/>
      <c r="BH84" s="2270"/>
      <c r="BI84" s="2270"/>
      <c r="BJ84" s="2270"/>
      <c r="BK84" s="2270"/>
      <c r="BL84" s="2270"/>
      <c r="BM84" s="2270"/>
      <c r="BN84" s="2270"/>
      <c r="BO84" s="2270"/>
      <c r="BP84" s="2270"/>
      <c r="BQ84" s="2270"/>
      <c r="BR84" s="2270"/>
      <c r="BS84" s="2270"/>
      <c r="BT84" s="2270"/>
      <c r="BU84" s="2270"/>
      <c r="BV84" s="2270"/>
      <c r="BW84" s="2270"/>
      <c r="BX84" s="2270"/>
    </row>
    <row r="85" spans="1:78" ht="12.9" customHeight="1" thickTop="1"/>
    <row r="86" spans="1:78" ht="12.9" customHeight="1">
      <c r="A86" s="232"/>
      <c r="C86" s="108"/>
    </row>
    <row r="87" spans="1:78" ht="12.9" customHeight="1">
      <c r="D87" s="108"/>
      <c r="AB87" s="2271"/>
      <c r="AC87" s="2271"/>
      <c r="AD87" s="2271"/>
      <c r="AE87" s="2271"/>
      <c r="AF87" s="2271"/>
    </row>
    <row r="88" spans="1:78" ht="12.9" customHeight="1" thickBot="1">
      <c r="D88" s="108"/>
      <c r="AB88" s="2269"/>
      <c r="AC88" s="2269"/>
      <c r="AD88" s="2269"/>
      <c r="AE88" s="2269"/>
      <c r="AF88" s="2269"/>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c r="BR88" s="322"/>
      <c r="BS88" s="322"/>
      <c r="BT88" s="322"/>
      <c r="BU88" s="322"/>
      <c r="BV88" s="322"/>
      <c r="BW88" s="322"/>
      <c r="BX88" s="322"/>
      <c r="BY88" s="322"/>
      <c r="BZ88" s="322"/>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15" zoomScale="85" zoomScaleNormal="85" workbookViewId="0">
      <selection activeCell="J128" sqref="J128"/>
    </sheetView>
  </sheetViews>
  <sheetFormatPr defaultColWidth="0" defaultRowHeight="13.2" zeroHeight="1"/>
  <cols>
    <col min="1" max="1" width="2.6640625" style="11" customWidth="1"/>
    <col min="2" max="3" width="2.44140625" style="11" customWidth="1"/>
    <col min="4" max="4" width="3.109375" style="11" customWidth="1"/>
    <col min="5" max="5" width="3.44140625" style="11" customWidth="1"/>
    <col min="6" max="6" width="2.88671875" style="11" customWidth="1"/>
    <col min="7" max="14" width="2.44140625" style="11" customWidth="1"/>
    <col min="15" max="15" width="2.88671875" style="11" customWidth="1"/>
    <col min="16" max="16" width="2.44140625" style="11" customWidth="1"/>
    <col min="17" max="17" width="3.88671875" style="11" customWidth="1"/>
    <col min="18" max="18" width="4.44140625" style="11" customWidth="1"/>
    <col min="19" max="19" width="3.33203125" style="11" customWidth="1"/>
    <col min="20" max="32" width="2.44140625" style="11" customWidth="1"/>
    <col min="33" max="33" width="3.44140625" style="11" customWidth="1"/>
    <col min="34" max="36" width="2.44140625" style="11" customWidth="1"/>
    <col min="37" max="37" width="5.44140625" style="11" customWidth="1"/>
    <col min="38" max="38" width="2.44140625" style="11" customWidth="1"/>
    <col min="39" max="39" width="3.44140625" style="11" customWidth="1"/>
    <col min="40" max="40" width="5.44140625" style="334" customWidth="1"/>
    <col min="41" max="41" width="5.44140625" style="23" hidden="1" customWidth="1"/>
    <col min="42" max="45" width="5.44140625" style="11" hidden="1" customWidth="1"/>
    <col min="46" max="46" width="10.88671875" style="11" hidden="1" customWidth="1"/>
    <col min="47" max="48" width="5.44140625" style="11" hidden="1" customWidth="1"/>
    <col min="49" max="49" width="8.6640625" style="11" hidden="1" customWidth="1"/>
    <col min="50" max="50" width="7.44140625" style="11" hidden="1" customWidth="1"/>
    <col min="51" max="55" width="5.44140625" style="11" hidden="1" customWidth="1"/>
    <col min="56" max="60" width="5.44140625" style="25" hidden="1" customWidth="1"/>
    <col min="61" max="81" width="5.44140625" style="11" hidden="1" customWidth="1"/>
    <col min="82" max="16384" width="9.109375" style="11" hidden="1"/>
  </cols>
  <sheetData>
    <row r="1" spans="1:42" ht="15.75" customHeight="1">
      <c r="A1" s="2553" t="s">
        <v>2133</v>
      </c>
      <c r="B1" s="2553"/>
      <c r="C1" s="2553"/>
      <c r="D1" s="2553"/>
      <c r="E1" s="2553"/>
      <c r="F1" s="2553"/>
      <c r="G1" s="2553"/>
      <c r="H1" s="2553"/>
      <c r="I1" s="2553"/>
      <c r="J1" s="2553"/>
      <c r="K1" s="2553"/>
      <c r="L1" s="2553"/>
      <c r="M1" s="2553"/>
      <c r="N1" s="2553"/>
      <c r="O1" s="2553"/>
      <c r="P1" s="2553"/>
      <c r="Q1" s="2553"/>
      <c r="R1" s="2553"/>
      <c r="S1" s="2553"/>
      <c r="T1" s="2553"/>
      <c r="U1" s="2553"/>
      <c r="V1" s="2553"/>
      <c r="W1" s="2553"/>
      <c r="X1" s="2553"/>
      <c r="Y1" s="2553"/>
      <c r="Z1" s="2553"/>
      <c r="AA1" s="2553"/>
      <c r="AB1" s="2553"/>
      <c r="AC1" s="2553"/>
      <c r="AD1" s="2553"/>
      <c r="AE1" s="2553"/>
      <c r="AF1" s="2553"/>
      <c r="AG1" s="2553"/>
      <c r="AH1" s="2553"/>
      <c r="AI1" s="2553"/>
      <c r="AJ1" s="2553"/>
      <c r="AK1" s="2553"/>
      <c r="AL1" s="2553"/>
      <c r="AM1" s="2553"/>
    </row>
    <row r="2" spans="1:42" s="336" customFormat="1" ht="12.75" customHeight="1" thickBot="1">
      <c r="A2" s="2554"/>
      <c r="B2" s="2554"/>
      <c r="C2" s="2554"/>
      <c r="D2" s="2554"/>
      <c r="E2" s="2554"/>
      <c r="F2" s="2554"/>
      <c r="G2" s="2554"/>
      <c r="H2" s="2554"/>
      <c r="I2" s="2554"/>
      <c r="J2" s="2554"/>
      <c r="K2" s="2554"/>
      <c r="L2" s="2554"/>
      <c r="M2" s="2554"/>
      <c r="N2" s="2554"/>
      <c r="O2" s="2554"/>
      <c r="P2" s="2554"/>
      <c r="Q2" s="2554"/>
      <c r="R2" s="2554"/>
      <c r="S2" s="2554"/>
      <c r="T2" s="2554"/>
      <c r="U2" s="2554"/>
      <c r="V2" s="2554"/>
      <c r="W2" s="2554"/>
      <c r="X2" s="2554"/>
      <c r="Y2" s="2554"/>
      <c r="Z2" s="2554"/>
      <c r="AA2" s="2554"/>
      <c r="AB2" s="2554"/>
      <c r="AC2" s="2554"/>
      <c r="AD2" s="2554"/>
      <c r="AE2" s="2554"/>
      <c r="AF2" s="2554"/>
      <c r="AG2" s="2554"/>
      <c r="AH2" s="2554"/>
      <c r="AI2" s="2554"/>
      <c r="AJ2" s="2554"/>
      <c r="AK2" s="2554"/>
      <c r="AL2" s="2554"/>
      <c r="AM2" s="2554"/>
      <c r="AN2" s="335"/>
    </row>
    <row r="3" spans="1:42" s="336" customFormat="1" ht="12.75" customHeight="1" thickTop="1">
      <c r="A3" s="337"/>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5"/>
    </row>
    <row r="4" spans="1:42" s="336" customFormat="1" ht="12.75" customHeight="1">
      <c r="A4" s="338" t="s">
        <v>2134</v>
      </c>
      <c r="B4" s="339" t="s">
        <v>2135</v>
      </c>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35"/>
    </row>
    <row r="5" spans="1:42" s="336" customFormat="1" ht="12.75" customHeight="1" thickBot="1">
      <c r="A5" s="338"/>
      <c r="B5" s="339"/>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35"/>
    </row>
    <row r="6" spans="1:42" s="336" customFormat="1" ht="12.75" customHeight="1" thickTop="1">
      <c r="A6" s="341"/>
      <c r="B6" s="341"/>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c r="AJ6" s="341"/>
      <c r="AK6" s="341"/>
      <c r="AL6" s="341"/>
      <c r="AM6" s="342"/>
      <c r="AN6" s="335"/>
    </row>
    <row r="7" spans="1:42" s="336" customFormat="1" ht="12.75" customHeight="1">
      <c r="A7" s="338" t="s">
        <v>2136</v>
      </c>
      <c r="B7" s="339" t="s">
        <v>2137</v>
      </c>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39"/>
      <c r="AE7" s="2394" t="s">
        <v>2138</v>
      </c>
      <c r="AF7" s="2394"/>
      <c r="AG7" s="2394"/>
      <c r="AH7" s="2394"/>
      <c r="AI7" s="2394"/>
      <c r="AJ7" s="2394"/>
      <c r="AK7" s="2394"/>
      <c r="AL7" s="340"/>
      <c r="AM7" s="340"/>
      <c r="AN7" s="335"/>
    </row>
    <row r="8" spans="1:42" s="336" customFormat="1" ht="12.75" customHeight="1">
      <c r="A8" s="338"/>
      <c r="B8" s="339" t="s">
        <v>2139</v>
      </c>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1189"/>
      <c r="AF8" s="1189"/>
      <c r="AG8" s="1189"/>
      <c r="AH8" s="1189"/>
      <c r="AI8" s="1189"/>
      <c r="AJ8" s="1189"/>
      <c r="AK8" s="1189"/>
      <c r="AL8" s="340"/>
      <c r="AM8" s="340"/>
      <c r="AN8" s="335"/>
    </row>
    <row r="9" spans="1:42" s="336" customFormat="1" ht="12.75" customHeight="1">
      <c r="A9" s="338"/>
      <c r="B9" s="339"/>
      <c r="C9" s="339"/>
      <c r="D9" s="339"/>
      <c r="E9" s="339"/>
      <c r="F9" s="339"/>
      <c r="G9" s="339"/>
      <c r="H9" s="339"/>
      <c r="I9" s="339"/>
      <c r="J9" s="339"/>
      <c r="K9" s="339"/>
      <c r="L9" s="339"/>
      <c r="M9" s="339"/>
      <c r="N9" s="339"/>
      <c r="O9" s="339"/>
      <c r="P9" s="339"/>
      <c r="Q9" s="339"/>
      <c r="R9" s="339"/>
      <c r="S9" s="339"/>
      <c r="T9" s="339"/>
      <c r="U9" s="339"/>
      <c r="V9" s="339"/>
      <c r="W9" s="339"/>
      <c r="X9" s="339"/>
      <c r="Y9" s="339"/>
      <c r="Z9" s="339"/>
      <c r="AA9" s="339"/>
      <c r="AB9" s="339"/>
      <c r="AC9" s="339"/>
      <c r="AD9" s="339"/>
      <c r="AE9" s="1189"/>
      <c r="AF9" s="1189"/>
      <c r="AG9" s="1189"/>
      <c r="AH9" s="1189"/>
      <c r="AI9" s="1189"/>
      <c r="AJ9" s="1189"/>
      <c r="AK9" s="1189"/>
      <c r="AL9" s="340"/>
      <c r="AM9" s="340"/>
      <c r="AN9" s="335"/>
    </row>
    <row r="10" spans="1:42" s="336" customFormat="1" ht="12.75" customHeight="1">
      <c r="A10" s="338"/>
      <c r="B10" s="339" t="s">
        <v>2140</v>
      </c>
      <c r="C10" s="339"/>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1189"/>
      <c r="AF10" s="1189"/>
      <c r="AG10" s="1189"/>
      <c r="AH10" s="1189"/>
      <c r="AI10" s="1189"/>
      <c r="AJ10" s="1189"/>
      <c r="AK10" s="1189"/>
      <c r="AL10" s="340"/>
      <c r="AM10" s="340"/>
      <c r="AN10" s="335"/>
    </row>
    <row r="11" spans="1:42" s="336" customFormat="1" ht="12.75" customHeight="1">
      <c r="A11" s="340"/>
      <c r="C11" s="859" t="s">
        <v>2141</v>
      </c>
      <c r="D11" s="859"/>
      <c r="E11" s="859"/>
      <c r="F11" s="859"/>
      <c r="G11" s="859"/>
      <c r="H11" s="859"/>
      <c r="I11" s="859"/>
      <c r="J11" s="859"/>
      <c r="K11" s="859"/>
      <c r="L11" s="859"/>
      <c r="M11" s="859"/>
      <c r="N11" s="859"/>
      <c r="O11" s="859"/>
      <c r="P11" s="859"/>
      <c r="Q11" s="859"/>
      <c r="R11" s="859"/>
      <c r="S11" s="859"/>
      <c r="T11" s="859"/>
      <c r="U11" s="859"/>
      <c r="V11" s="859"/>
      <c r="W11" s="859"/>
      <c r="X11" s="859"/>
      <c r="Y11" s="859"/>
      <c r="Z11" s="859"/>
      <c r="AA11" s="859"/>
      <c r="AB11" s="859"/>
      <c r="AC11" s="859"/>
      <c r="AD11" s="859"/>
      <c r="AE11" s="859"/>
      <c r="AF11" s="859"/>
      <c r="AG11" s="859"/>
      <c r="AH11" s="859"/>
      <c r="AI11" s="859"/>
      <c r="AJ11" s="859"/>
      <c r="AK11" s="340"/>
      <c r="AL11" s="340"/>
      <c r="AM11" s="340"/>
      <c r="AN11" s="335"/>
      <c r="AO11" s="1140"/>
      <c r="AP11" s="344"/>
    </row>
    <row r="12" spans="1:42" s="336" customFormat="1" ht="12.75" customHeight="1">
      <c r="A12" s="340"/>
      <c r="B12" s="345"/>
      <c r="C12" s="340"/>
      <c r="D12" s="340"/>
      <c r="E12" s="340"/>
      <c r="F12" s="340"/>
      <c r="G12" s="340"/>
      <c r="H12" s="340"/>
      <c r="I12" s="340"/>
      <c r="J12" s="340"/>
      <c r="K12" s="340"/>
      <c r="L12" s="340"/>
      <c r="M12" s="340"/>
      <c r="N12" s="340"/>
      <c r="O12" s="340"/>
      <c r="P12" s="340"/>
      <c r="Q12" s="340"/>
      <c r="R12" s="340"/>
      <c r="S12" s="340"/>
      <c r="T12" s="340"/>
      <c r="U12" s="340"/>
      <c r="V12" s="340"/>
      <c r="W12" s="340"/>
      <c r="X12" s="340"/>
      <c r="Y12" s="340"/>
      <c r="Z12" s="340"/>
      <c r="AA12" s="340"/>
      <c r="AB12" s="340"/>
      <c r="AC12" s="340"/>
      <c r="AD12" s="340"/>
      <c r="AE12" s="340"/>
      <c r="AF12" s="340"/>
      <c r="AG12" s="340"/>
      <c r="AH12" s="340"/>
      <c r="AI12" s="340"/>
      <c r="AJ12" s="340"/>
      <c r="AK12" s="340"/>
      <c r="AL12" s="340"/>
      <c r="AM12" s="340"/>
      <c r="AN12" s="335"/>
      <c r="AP12" s="11"/>
    </row>
    <row r="13" spans="1:42" s="336" customFormat="1" ht="12.75" customHeight="1">
      <c r="A13" s="340"/>
      <c r="B13" s="2547" t="s">
        <v>809</v>
      </c>
      <c r="C13" s="2547"/>
      <c r="D13" s="346"/>
      <c r="E13" s="347" t="s">
        <v>2142</v>
      </c>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2555"/>
      <c r="AH13" s="2555"/>
      <c r="AI13" s="2555"/>
      <c r="AJ13" s="2556"/>
      <c r="AK13" s="340"/>
      <c r="AL13" s="340"/>
      <c r="AM13" s="340"/>
      <c r="AN13" s="335"/>
      <c r="AO13" s="349">
        <f>IF($B13="yes",20,0)</f>
        <v>0</v>
      </c>
      <c r="AP13" s="11"/>
    </row>
    <row r="14" spans="1:42" s="336" customFormat="1" ht="12.75" customHeight="1">
      <c r="A14" s="340"/>
      <c r="B14" s="340"/>
      <c r="C14" s="340"/>
      <c r="D14" s="11"/>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35"/>
      <c r="AO14" s="349">
        <f>IF(AND($B16="yes",E20&gt;0),20,0)</f>
        <v>0</v>
      </c>
      <c r="AP14" s="11"/>
    </row>
    <row r="15" spans="1:42" s="336" customFormat="1" ht="12.75" customHeight="1">
      <c r="A15" s="340"/>
      <c r="B15" s="340"/>
      <c r="C15" s="340"/>
      <c r="D15" s="349"/>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35"/>
      <c r="AO15" s="349">
        <f>IF($B22="yes",20,0)</f>
        <v>0</v>
      </c>
      <c r="AP15" s="11"/>
    </row>
    <row r="16" spans="1:42" s="336" customFormat="1" ht="12.75" customHeight="1">
      <c r="A16" s="340"/>
      <c r="B16" s="2547" t="s">
        <v>809</v>
      </c>
      <c r="C16" s="2547"/>
      <c r="D16" s="346"/>
      <c r="E16" s="2539" t="s">
        <v>2143</v>
      </c>
      <c r="F16" s="2540"/>
      <c r="G16" s="2540"/>
      <c r="H16" s="2540"/>
      <c r="I16" s="2540"/>
      <c r="J16" s="2540"/>
      <c r="K16" s="2540"/>
      <c r="L16" s="2540"/>
      <c r="M16" s="2540"/>
      <c r="N16" s="2540"/>
      <c r="O16" s="2540"/>
      <c r="P16" s="2540"/>
      <c r="Q16" s="2540"/>
      <c r="R16" s="2540"/>
      <c r="S16" s="2540"/>
      <c r="T16" s="2540"/>
      <c r="U16" s="2540"/>
      <c r="V16" s="2540"/>
      <c r="W16" s="2540"/>
      <c r="X16" s="2540"/>
      <c r="Y16" s="2540"/>
      <c r="Z16" s="2540"/>
      <c r="AA16" s="2540"/>
      <c r="AB16" s="2540"/>
      <c r="AC16" s="2540"/>
      <c r="AD16" s="2540"/>
      <c r="AE16" s="2540"/>
      <c r="AF16" s="2540"/>
      <c r="AG16" s="2540"/>
      <c r="AH16" s="2540"/>
      <c r="AI16" s="2540"/>
      <c r="AJ16" s="2541"/>
      <c r="AK16" s="340"/>
      <c r="AL16" s="340"/>
      <c r="AM16" s="340"/>
      <c r="AN16" s="335"/>
      <c r="AO16" s="349">
        <f>IF($B25="yes",20,0)</f>
        <v>0</v>
      </c>
      <c r="AP16" s="11"/>
    </row>
    <row r="17" spans="1:42" s="336" customFormat="1" ht="12.75" customHeight="1">
      <c r="A17" s="340"/>
      <c r="B17" s="340"/>
      <c r="C17" s="340"/>
      <c r="D17" s="350"/>
      <c r="E17" s="2542"/>
      <c r="F17" s="2543"/>
      <c r="G17" s="2543"/>
      <c r="H17" s="2543"/>
      <c r="I17" s="2543"/>
      <c r="J17" s="2543"/>
      <c r="K17" s="2543"/>
      <c r="L17" s="2543"/>
      <c r="M17" s="2543"/>
      <c r="N17" s="2543"/>
      <c r="O17" s="2543"/>
      <c r="P17" s="2543"/>
      <c r="Q17" s="2543"/>
      <c r="R17" s="2543"/>
      <c r="S17" s="2543"/>
      <c r="T17" s="2543"/>
      <c r="U17" s="2543"/>
      <c r="V17" s="2543"/>
      <c r="W17" s="2543"/>
      <c r="X17" s="2543"/>
      <c r="Y17" s="2543"/>
      <c r="Z17" s="2543"/>
      <c r="AA17" s="2543"/>
      <c r="AB17" s="2543"/>
      <c r="AC17" s="2543"/>
      <c r="AD17" s="2543"/>
      <c r="AE17" s="2543"/>
      <c r="AF17" s="2543"/>
      <c r="AG17" s="2543"/>
      <c r="AH17" s="2543"/>
      <c r="AI17" s="2543"/>
      <c r="AJ17" s="2544"/>
      <c r="AK17" s="340"/>
      <c r="AL17" s="340"/>
      <c r="AM17" s="340"/>
      <c r="AN17" s="335"/>
      <c r="AO17" s="349">
        <f>IF($B28="yes",20,0)</f>
        <v>0</v>
      </c>
    </row>
    <row r="18" spans="1:42" s="336" customFormat="1" ht="12.75" customHeight="1">
      <c r="A18" s="340"/>
      <c r="B18" s="340"/>
      <c r="C18" s="340"/>
      <c r="D18" s="350"/>
      <c r="E18" s="2542"/>
      <c r="F18" s="2543"/>
      <c r="G18" s="2543"/>
      <c r="H18" s="2543"/>
      <c r="I18" s="2543"/>
      <c r="J18" s="2543"/>
      <c r="K18" s="2543"/>
      <c r="L18" s="2543"/>
      <c r="M18" s="2543"/>
      <c r="N18" s="2543"/>
      <c r="O18" s="2543"/>
      <c r="P18" s="2543"/>
      <c r="Q18" s="2543"/>
      <c r="R18" s="2543"/>
      <c r="S18" s="2543"/>
      <c r="T18" s="2543"/>
      <c r="U18" s="2543"/>
      <c r="V18" s="2543"/>
      <c r="W18" s="2543"/>
      <c r="X18" s="2543"/>
      <c r="Y18" s="2543"/>
      <c r="Z18" s="2543"/>
      <c r="AA18" s="2543"/>
      <c r="AB18" s="2543"/>
      <c r="AC18" s="2543"/>
      <c r="AD18" s="2543"/>
      <c r="AE18" s="2543"/>
      <c r="AF18" s="2543"/>
      <c r="AG18" s="2543"/>
      <c r="AH18" s="2543"/>
      <c r="AI18" s="2543"/>
      <c r="AJ18" s="2544"/>
      <c r="AK18" s="340"/>
      <c r="AL18" s="340"/>
      <c r="AM18" s="340"/>
      <c r="AN18" s="335"/>
      <c r="AO18" s="336">
        <f>IF(SUM(AO13:AO16)&gt;20,20,(SUM(AO13:AO16)))</f>
        <v>0</v>
      </c>
      <c r="AP18" s="336" t="s">
        <v>2144</v>
      </c>
    </row>
    <row r="19" spans="1:42" s="336" customFormat="1" ht="12.75" customHeight="1">
      <c r="A19" s="340"/>
      <c r="B19" s="340"/>
      <c r="C19" s="340"/>
      <c r="D19" s="350"/>
      <c r="E19" s="351" t="s">
        <v>2145</v>
      </c>
      <c r="F19" s="1191"/>
      <c r="G19" s="1191"/>
      <c r="H19" s="1191"/>
      <c r="I19" s="1191"/>
      <c r="J19" s="1191"/>
      <c r="K19" s="1191"/>
      <c r="L19" s="1191"/>
      <c r="M19" s="1191"/>
      <c r="N19" s="1191"/>
      <c r="O19" s="1191"/>
      <c r="P19" s="1191"/>
      <c r="Q19" s="1191"/>
      <c r="R19" s="1191"/>
      <c r="S19" s="1191"/>
      <c r="T19" s="1191"/>
      <c r="U19" s="1191"/>
      <c r="V19" s="1191"/>
      <c r="W19" s="1191"/>
      <c r="X19" s="1191"/>
      <c r="Y19" s="1191"/>
      <c r="Z19" s="1191"/>
      <c r="AA19" s="1191"/>
      <c r="AB19" s="1191"/>
      <c r="AC19" s="1191"/>
      <c r="AD19" s="1191"/>
      <c r="AE19" s="1191"/>
      <c r="AF19" s="1191"/>
      <c r="AG19" s="1191"/>
      <c r="AH19" s="1191"/>
      <c r="AI19" s="1191"/>
      <c r="AJ19" s="1192"/>
      <c r="AK19" s="340"/>
      <c r="AL19" s="340"/>
      <c r="AM19" s="340"/>
      <c r="AN19" s="335"/>
    </row>
    <row r="20" spans="1:42" s="336" customFormat="1" ht="12.75" customHeight="1">
      <c r="A20" s="340"/>
      <c r="B20" s="340"/>
      <c r="C20" s="340"/>
      <c r="D20" s="350"/>
      <c r="E20" s="2563"/>
      <c r="F20" s="2564"/>
      <c r="G20" s="2564"/>
      <c r="H20" s="2564"/>
      <c r="I20" s="2564"/>
      <c r="J20" s="2564"/>
      <c r="K20" s="2564"/>
      <c r="L20" s="2564"/>
      <c r="M20" s="2564"/>
      <c r="N20" s="2564"/>
      <c r="O20" s="2564"/>
      <c r="P20" s="2564"/>
      <c r="Q20" s="2564"/>
      <c r="R20" s="2564"/>
      <c r="S20" s="2564"/>
      <c r="T20" s="2564"/>
      <c r="U20" s="2564"/>
      <c r="V20" s="2564"/>
      <c r="W20" s="2564"/>
      <c r="X20" s="2564"/>
      <c r="Y20" s="2564"/>
      <c r="Z20" s="2564"/>
      <c r="AA20" s="2564"/>
      <c r="AB20" s="2564"/>
      <c r="AC20" s="2564"/>
      <c r="AD20" s="2564"/>
      <c r="AE20" s="2564"/>
      <c r="AF20" s="2564"/>
      <c r="AG20" s="2564"/>
      <c r="AH20" s="2564"/>
      <c r="AI20" s="2564"/>
      <c r="AJ20" s="2565"/>
      <c r="AK20" s="340"/>
      <c r="AL20" s="340"/>
      <c r="AM20" s="340"/>
      <c r="AN20" s="335"/>
      <c r="AO20" s="349">
        <f>IF($B33="yes",14,0)</f>
        <v>0</v>
      </c>
    </row>
    <row r="21" spans="1:42" s="336" customFormat="1" ht="12.75" customHeight="1">
      <c r="A21" s="340"/>
      <c r="B21" s="340"/>
      <c r="C21" s="340"/>
      <c r="E21" s="340"/>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c r="AF21" s="340"/>
      <c r="AG21" s="340"/>
      <c r="AH21" s="340"/>
      <c r="AI21" s="340"/>
      <c r="AJ21" s="340"/>
      <c r="AK21" s="340"/>
      <c r="AL21" s="340"/>
      <c r="AM21" s="340"/>
      <c r="AN21" s="335"/>
      <c r="AO21" s="349">
        <f>IF($B36="yes",14,0)</f>
        <v>0</v>
      </c>
      <c r="AP21" s="11"/>
    </row>
    <row r="22" spans="1:42" s="336" customFormat="1" ht="12.75" customHeight="1">
      <c r="A22" s="340"/>
      <c r="B22" s="2547" t="s">
        <v>809</v>
      </c>
      <c r="C22" s="2547"/>
      <c r="D22" s="346"/>
      <c r="E22" s="2557" t="s">
        <v>2146</v>
      </c>
      <c r="F22" s="2558"/>
      <c r="G22" s="2558"/>
      <c r="H22" s="2558"/>
      <c r="I22" s="2558"/>
      <c r="J22" s="2558"/>
      <c r="K22" s="2558"/>
      <c r="L22" s="2558"/>
      <c r="M22" s="2558"/>
      <c r="N22" s="2558"/>
      <c r="O22" s="2558"/>
      <c r="P22" s="2558"/>
      <c r="Q22" s="2558"/>
      <c r="R22" s="2558"/>
      <c r="S22" s="2558"/>
      <c r="T22" s="2558"/>
      <c r="U22" s="2558"/>
      <c r="V22" s="2558"/>
      <c r="W22" s="2558"/>
      <c r="X22" s="2558"/>
      <c r="Y22" s="2558"/>
      <c r="Z22" s="2558"/>
      <c r="AA22" s="2558"/>
      <c r="AB22" s="2558"/>
      <c r="AC22" s="2558"/>
      <c r="AD22" s="2558"/>
      <c r="AE22" s="2558"/>
      <c r="AF22" s="2558"/>
      <c r="AG22" s="2558"/>
      <c r="AH22" s="2558"/>
      <c r="AI22" s="2558"/>
      <c r="AJ22" s="2559"/>
      <c r="AK22" s="340"/>
      <c r="AL22" s="340"/>
      <c r="AM22" s="340"/>
      <c r="AN22" s="335"/>
      <c r="AO22" s="349">
        <f>IF($B40="yes",14,0)</f>
        <v>0</v>
      </c>
    </row>
    <row r="23" spans="1:42" s="336" customFormat="1" ht="12.75" customHeight="1">
      <c r="A23" s="340"/>
      <c r="B23" s="340"/>
      <c r="C23" s="340"/>
      <c r="D23" s="349"/>
      <c r="E23" s="2560"/>
      <c r="F23" s="2561"/>
      <c r="G23" s="2561"/>
      <c r="H23" s="2561"/>
      <c r="I23" s="2561"/>
      <c r="J23" s="2561"/>
      <c r="K23" s="2561"/>
      <c r="L23" s="2561"/>
      <c r="M23" s="2561"/>
      <c r="N23" s="2561"/>
      <c r="O23" s="2561"/>
      <c r="P23" s="2561"/>
      <c r="Q23" s="2561"/>
      <c r="R23" s="2561"/>
      <c r="S23" s="2561"/>
      <c r="T23" s="2561"/>
      <c r="U23" s="2561"/>
      <c r="V23" s="2561"/>
      <c r="W23" s="2561"/>
      <c r="X23" s="2561"/>
      <c r="Y23" s="2561"/>
      <c r="Z23" s="2561"/>
      <c r="AA23" s="2561"/>
      <c r="AB23" s="2561"/>
      <c r="AC23" s="2561"/>
      <c r="AD23" s="2561"/>
      <c r="AE23" s="2561"/>
      <c r="AF23" s="2561"/>
      <c r="AG23" s="2561"/>
      <c r="AH23" s="2561"/>
      <c r="AI23" s="2561"/>
      <c r="AJ23" s="2562"/>
      <c r="AK23" s="340"/>
      <c r="AL23" s="340"/>
      <c r="AM23" s="340"/>
      <c r="AN23" s="335"/>
      <c r="AO23" s="336">
        <f>IF(SUM(AO20:AO21)&gt;14,14,SUM(AO20:AO21))</f>
        <v>0</v>
      </c>
      <c r="AP23" s="336" t="s">
        <v>2144</v>
      </c>
    </row>
    <row r="24" spans="1:42" s="336" customFormat="1" ht="12.75" customHeight="1">
      <c r="A24" s="340"/>
      <c r="B24" s="340"/>
      <c r="C24" s="340"/>
      <c r="D24" s="350"/>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340"/>
      <c r="AI24" s="340"/>
      <c r="AJ24" s="340"/>
      <c r="AK24" s="340"/>
      <c r="AL24" s="340"/>
      <c r="AM24" s="340"/>
      <c r="AN24" s="335"/>
    </row>
    <row r="25" spans="1:42" s="336" customFormat="1" ht="12.75" customHeight="1">
      <c r="A25" s="340"/>
      <c r="B25" s="2547" t="s">
        <v>809</v>
      </c>
      <c r="C25" s="2547"/>
      <c r="D25" s="346"/>
      <c r="E25" s="2474" t="s">
        <v>2147</v>
      </c>
      <c r="F25" s="2475"/>
      <c r="G25" s="2475"/>
      <c r="H25" s="2475"/>
      <c r="I25" s="2475"/>
      <c r="J25" s="2475"/>
      <c r="K25" s="2475"/>
      <c r="L25" s="2475"/>
      <c r="M25" s="2475"/>
      <c r="N25" s="2475"/>
      <c r="O25" s="2475"/>
      <c r="P25" s="2475"/>
      <c r="Q25" s="2475"/>
      <c r="R25" s="2475"/>
      <c r="S25" s="2475"/>
      <c r="T25" s="2475"/>
      <c r="U25" s="2475"/>
      <c r="V25" s="2475"/>
      <c r="W25" s="2475"/>
      <c r="X25" s="2475"/>
      <c r="Y25" s="2475"/>
      <c r="Z25" s="2475"/>
      <c r="AA25" s="2475"/>
      <c r="AB25" s="2475"/>
      <c r="AC25" s="2475"/>
      <c r="AD25" s="2475"/>
      <c r="AE25" s="2475"/>
      <c r="AF25" s="2475"/>
      <c r="AG25" s="2475"/>
      <c r="AH25" s="2475"/>
      <c r="AI25" s="2475"/>
      <c r="AJ25" s="2476"/>
      <c r="AK25" s="340"/>
      <c r="AL25" s="340"/>
      <c r="AM25" s="340"/>
      <c r="AN25" s="335"/>
      <c r="AO25" s="349">
        <f>IF($B45="yes",6,0)</f>
        <v>0</v>
      </c>
    </row>
    <row r="26" spans="1:42" s="336" customFormat="1" ht="12.75" customHeight="1">
      <c r="A26" s="340"/>
      <c r="B26" s="340"/>
      <c r="C26" s="340"/>
      <c r="D26" s="349"/>
      <c r="E26" s="2499"/>
      <c r="F26" s="2500"/>
      <c r="G26" s="2500"/>
      <c r="H26" s="2500"/>
      <c r="I26" s="2500"/>
      <c r="J26" s="2500"/>
      <c r="K26" s="2500"/>
      <c r="L26" s="2500"/>
      <c r="M26" s="2500"/>
      <c r="N26" s="2500"/>
      <c r="O26" s="2500"/>
      <c r="P26" s="2500"/>
      <c r="Q26" s="2500"/>
      <c r="R26" s="2500"/>
      <c r="S26" s="2500"/>
      <c r="T26" s="2500"/>
      <c r="U26" s="2500"/>
      <c r="V26" s="2500"/>
      <c r="W26" s="2500"/>
      <c r="X26" s="2500"/>
      <c r="Y26" s="2500"/>
      <c r="Z26" s="2500"/>
      <c r="AA26" s="2500"/>
      <c r="AB26" s="2500"/>
      <c r="AC26" s="2500"/>
      <c r="AD26" s="2500"/>
      <c r="AE26" s="2500"/>
      <c r="AF26" s="2500"/>
      <c r="AG26" s="2500"/>
      <c r="AH26" s="2500"/>
      <c r="AI26" s="2500"/>
      <c r="AJ26" s="2501"/>
      <c r="AK26" s="340"/>
      <c r="AL26" s="340"/>
      <c r="AM26" s="340"/>
      <c r="AN26" s="335"/>
      <c r="AO26" s="336">
        <f>IF(AO25&gt;6,6,AO25)</f>
        <v>0</v>
      </c>
      <c r="AP26" s="336" t="s">
        <v>2144</v>
      </c>
    </row>
    <row r="27" spans="1:42" s="336" customFormat="1" ht="12.75" customHeight="1">
      <c r="A27" s="340"/>
      <c r="B27" s="340"/>
      <c r="C27" s="340"/>
      <c r="D27" s="349"/>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0"/>
      <c r="AC27" s="340"/>
      <c r="AD27" s="340"/>
      <c r="AE27" s="340"/>
      <c r="AF27" s="340"/>
      <c r="AG27" s="340"/>
      <c r="AH27" s="340"/>
      <c r="AI27" s="340"/>
      <c r="AJ27" s="340"/>
      <c r="AK27" s="340"/>
      <c r="AL27" s="340"/>
      <c r="AM27" s="340"/>
      <c r="AN27" s="335"/>
      <c r="AO27" s="349"/>
    </row>
    <row r="28" spans="1:42" s="336" customFormat="1" ht="12.75" customHeight="1">
      <c r="A28" s="340"/>
      <c r="B28" s="2547" t="s">
        <v>809</v>
      </c>
      <c r="C28" s="2547"/>
      <c r="D28" s="346"/>
      <c r="E28" s="2576" t="s">
        <v>2148</v>
      </c>
      <c r="F28" s="2577"/>
      <c r="G28" s="2577"/>
      <c r="H28" s="2577"/>
      <c r="I28" s="2577"/>
      <c r="J28" s="2577"/>
      <c r="K28" s="2577"/>
      <c r="L28" s="2577"/>
      <c r="M28" s="2577"/>
      <c r="N28" s="2577"/>
      <c r="O28" s="2577"/>
      <c r="P28" s="2577"/>
      <c r="Q28" s="2577"/>
      <c r="R28" s="2577"/>
      <c r="S28" s="2577"/>
      <c r="T28" s="2577"/>
      <c r="U28" s="2577"/>
      <c r="V28" s="2577"/>
      <c r="W28" s="2577"/>
      <c r="X28" s="2577"/>
      <c r="Y28" s="2577"/>
      <c r="Z28" s="2577"/>
      <c r="AA28" s="2577"/>
      <c r="AB28" s="2577"/>
      <c r="AC28" s="2577"/>
      <c r="AD28" s="2577"/>
      <c r="AE28" s="2577"/>
      <c r="AF28" s="2577"/>
      <c r="AG28" s="2577"/>
      <c r="AH28" s="2577"/>
      <c r="AI28" s="2577"/>
      <c r="AJ28" s="2578"/>
      <c r="AK28" s="340"/>
      <c r="AL28" s="340"/>
      <c r="AM28" s="340"/>
      <c r="AN28" s="335"/>
      <c r="AO28" s="349"/>
    </row>
    <row r="29" spans="1:42" s="336" customFormat="1" ht="12.75" customHeight="1">
      <c r="A29" s="340"/>
      <c r="B29" s="340"/>
      <c r="C29" s="340"/>
      <c r="D29" s="349"/>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0"/>
      <c r="AM29" s="340"/>
      <c r="AN29" s="335"/>
      <c r="AO29" s="349"/>
    </row>
    <row r="30" spans="1:42" s="336" customFormat="1" ht="12.75" customHeight="1">
      <c r="A30" s="340"/>
      <c r="B30" s="340"/>
      <c r="C30" s="340"/>
      <c r="D30" s="349"/>
      <c r="E30" s="340"/>
      <c r="F30" s="340"/>
      <c r="G30" s="340"/>
      <c r="H30" s="340"/>
      <c r="I30" s="340"/>
      <c r="J30" s="340"/>
      <c r="K30" s="340"/>
      <c r="L30" s="340"/>
      <c r="M30" s="340"/>
      <c r="N30" s="340"/>
      <c r="O30" s="340"/>
      <c r="P30" s="340"/>
      <c r="Q30" s="340"/>
      <c r="R30" s="340"/>
      <c r="S30" s="340"/>
      <c r="T30" s="340"/>
      <c r="U30" s="340"/>
      <c r="V30" s="340"/>
      <c r="W30" s="340"/>
      <c r="X30" s="340"/>
      <c r="Y30" s="340"/>
      <c r="Z30" s="340"/>
      <c r="AA30" s="340"/>
      <c r="AB30" s="340"/>
      <c r="AC30" s="340"/>
      <c r="AD30" s="340"/>
      <c r="AE30" s="340"/>
      <c r="AF30" s="340"/>
      <c r="AG30" s="340"/>
      <c r="AH30" s="340"/>
      <c r="AI30" s="340"/>
      <c r="AJ30" s="340"/>
      <c r="AK30" s="340"/>
      <c r="AL30" s="340"/>
      <c r="AM30" s="340"/>
      <c r="AN30" s="335"/>
      <c r="AO30" s="349"/>
    </row>
    <row r="31" spans="1:42" s="336" customFormat="1" ht="12.75" customHeight="1">
      <c r="A31" s="340"/>
      <c r="C31" s="343" t="s">
        <v>2149</v>
      </c>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340"/>
      <c r="AJ31" s="340"/>
      <c r="AK31" s="340"/>
      <c r="AL31" s="340"/>
      <c r="AM31" s="340"/>
      <c r="AN31" s="335"/>
      <c r="AO31" s="349">
        <f>IF(AND(B52="Yes",B56="Yes",B58="Yes"),20,0)</f>
        <v>0</v>
      </c>
    </row>
    <row r="32" spans="1:42" s="336" customFormat="1" ht="12.75" customHeight="1">
      <c r="A32" s="340"/>
      <c r="B32" s="340"/>
      <c r="C32" s="340"/>
      <c r="E32" s="340"/>
      <c r="F32" s="340"/>
      <c r="G32" s="340"/>
      <c r="H32" s="340"/>
      <c r="I32" s="340"/>
      <c r="J32" s="340"/>
      <c r="K32" s="340"/>
      <c r="L32" s="340"/>
      <c r="M32" s="340"/>
      <c r="N32" s="340"/>
      <c r="O32" s="340"/>
      <c r="P32" s="340"/>
      <c r="Q32" s="340"/>
      <c r="R32" s="340"/>
      <c r="S32" s="340"/>
      <c r="T32" s="340"/>
      <c r="U32" s="340"/>
      <c r="V32" s="340"/>
      <c r="W32" s="340"/>
      <c r="X32" s="340"/>
      <c r="Y32" s="340"/>
      <c r="Z32" s="340"/>
      <c r="AA32" s="340"/>
      <c r="AB32" s="340"/>
      <c r="AC32" s="340"/>
      <c r="AD32" s="340"/>
      <c r="AE32" s="340"/>
      <c r="AF32" s="340"/>
      <c r="AG32" s="340"/>
      <c r="AH32" s="340"/>
      <c r="AI32" s="340"/>
      <c r="AJ32" s="340"/>
      <c r="AK32" s="340"/>
      <c r="AL32" s="340"/>
      <c r="AM32" s="340"/>
      <c r="AN32" s="335"/>
      <c r="AO32" s="336">
        <f>IF(AO31&gt;20,20,AO31)</f>
        <v>0</v>
      </c>
      <c r="AP32" s="336" t="s">
        <v>2144</v>
      </c>
    </row>
    <row r="33" spans="1:41" s="336" customFormat="1" ht="12.75" customHeight="1">
      <c r="A33" s="340"/>
      <c r="B33" s="2547" t="s">
        <v>809</v>
      </c>
      <c r="C33" s="2547"/>
      <c r="D33" s="346"/>
      <c r="E33" s="2557" t="s">
        <v>2150</v>
      </c>
      <c r="F33" s="2558"/>
      <c r="G33" s="2558"/>
      <c r="H33" s="2558"/>
      <c r="I33" s="2558"/>
      <c r="J33" s="2558"/>
      <c r="K33" s="2558"/>
      <c r="L33" s="2558"/>
      <c r="M33" s="2558"/>
      <c r="N33" s="2558"/>
      <c r="O33" s="2558"/>
      <c r="P33" s="2558"/>
      <c r="Q33" s="2558"/>
      <c r="R33" s="2558"/>
      <c r="S33" s="2558"/>
      <c r="T33" s="2558"/>
      <c r="U33" s="2558"/>
      <c r="V33" s="2558"/>
      <c r="W33" s="2558"/>
      <c r="X33" s="2558"/>
      <c r="Y33" s="2558"/>
      <c r="Z33" s="2558"/>
      <c r="AA33" s="2558"/>
      <c r="AB33" s="2558"/>
      <c r="AC33" s="2558"/>
      <c r="AD33" s="2558"/>
      <c r="AE33" s="2558"/>
      <c r="AF33" s="2558"/>
      <c r="AG33" s="2558"/>
      <c r="AH33" s="2558"/>
      <c r="AI33" s="2558"/>
      <c r="AJ33" s="2559"/>
      <c r="AK33" s="340"/>
      <c r="AL33" s="340"/>
      <c r="AM33" s="340"/>
      <c r="AN33" s="335"/>
      <c r="AO33" s="349"/>
    </row>
    <row r="34" spans="1:41" s="336" customFormat="1" ht="12.75" customHeight="1">
      <c r="A34" s="340"/>
      <c r="B34" s="340"/>
      <c r="C34" s="340"/>
      <c r="E34" s="2560"/>
      <c r="F34" s="2561"/>
      <c r="G34" s="2561"/>
      <c r="H34" s="2561"/>
      <c r="I34" s="2561"/>
      <c r="J34" s="2561"/>
      <c r="K34" s="2561"/>
      <c r="L34" s="2561"/>
      <c r="M34" s="2561"/>
      <c r="N34" s="2561"/>
      <c r="O34" s="2561"/>
      <c r="P34" s="2561"/>
      <c r="Q34" s="2561"/>
      <c r="R34" s="2561"/>
      <c r="S34" s="2561"/>
      <c r="T34" s="2561"/>
      <c r="U34" s="2561"/>
      <c r="V34" s="2561"/>
      <c r="W34" s="2561"/>
      <c r="X34" s="2561"/>
      <c r="Y34" s="2561"/>
      <c r="Z34" s="2561"/>
      <c r="AA34" s="2561"/>
      <c r="AB34" s="2561"/>
      <c r="AC34" s="2561"/>
      <c r="AD34" s="2561"/>
      <c r="AE34" s="2561"/>
      <c r="AF34" s="2561"/>
      <c r="AG34" s="2561"/>
      <c r="AH34" s="2561"/>
      <c r="AI34" s="2561"/>
      <c r="AJ34" s="2562"/>
      <c r="AK34" s="340"/>
      <c r="AL34" s="340"/>
      <c r="AM34" s="340"/>
      <c r="AN34" s="335"/>
    </row>
    <row r="35" spans="1:41" s="336" customFormat="1" ht="12.75" customHeight="1">
      <c r="A35" s="340"/>
      <c r="B35" s="340"/>
      <c r="C35" s="340"/>
      <c r="F35" s="1193"/>
      <c r="G35" s="1193"/>
      <c r="H35" s="1193"/>
      <c r="I35" s="1193"/>
      <c r="J35" s="1193"/>
      <c r="K35" s="1193"/>
      <c r="L35" s="1193"/>
      <c r="M35" s="1193"/>
      <c r="N35" s="1193"/>
      <c r="O35" s="1193"/>
      <c r="P35" s="1193"/>
      <c r="Q35" s="1193"/>
      <c r="R35" s="1193"/>
      <c r="S35" s="1193"/>
      <c r="T35" s="1193"/>
      <c r="U35" s="1193"/>
      <c r="V35" s="1193"/>
      <c r="W35" s="1193"/>
      <c r="X35" s="1193"/>
      <c r="Y35" s="1193"/>
      <c r="Z35" s="1193"/>
      <c r="AA35" s="1193"/>
      <c r="AB35" s="1193"/>
      <c r="AC35" s="1193"/>
      <c r="AD35" s="1193"/>
      <c r="AE35" s="1193"/>
      <c r="AF35" s="1193"/>
      <c r="AG35" s="1193"/>
      <c r="AH35" s="1193"/>
      <c r="AI35" s="1193"/>
      <c r="AJ35" s="1193"/>
      <c r="AK35" s="340"/>
      <c r="AL35" s="340"/>
      <c r="AM35" s="340"/>
      <c r="AN35" s="335"/>
    </row>
    <row r="36" spans="1:41" s="336" customFormat="1" ht="12.75" customHeight="1">
      <c r="A36" s="340"/>
      <c r="B36" s="2547" t="s">
        <v>809</v>
      </c>
      <c r="C36" s="2547"/>
      <c r="D36" s="346"/>
      <c r="E36" s="2474" t="s">
        <v>2151</v>
      </c>
      <c r="F36" s="2475"/>
      <c r="G36" s="2475"/>
      <c r="H36" s="2475"/>
      <c r="I36" s="2475"/>
      <c r="J36" s="2475"/>
      <c r="K36" s="2475"/>
      <c r="L36" s="2475"/>
      <c r="M36" s="2475"/>
      <c r="N36" s="2475"/>
      <c r="O36" s="2475"/>
      <c r="P36" s="2475"/>
      <c r="Q36" s="2475"/>
      <c r="R36" s="2475"/>
      <c r="S36" s="2475"/>
      <c r="T36" s="2475"/>
      <c r="U36" s="2475"/>
      <c r="V36" s="2475"/>
      <c r="W36" s="2475"/>
      <c r="X36" s="2475"/>
      <c r="Y36" s="2475"/>
      <c r="Z36" s="2475"/>
      <c r="AA36" s="2475"/>
      <c r="AB36" s="2475"/>
      <c r="AC36" s="2475"/>
      <c r="AD36" s="2475"/>
      <c r="AE36" s="2475"/>
      <c r="AF36" s="2475"/>
      <c r="AG36" s="2475"/>
      <c r="AH36" s="2475"/>
      <c r="AI36" s="2475"/>
      <c r="AJ36" s="2476"/>
      <c r="AK36" s="340"/>
      <c r="AL36" s="340"/>
      <c r="AM36" s="340"/>
      <c r="AN36" s="335"/>
    </row>
    <row r="37" spans="1:41" s="336" customFormat="1" ht="12.75" customHeight="1">
      <c r="A37" s="340"/>
      <c r="B37" s="340"/>
      <c r="C37" s="340"/>
      <c r="E37" s="2477"/>
      <c r="F37" s="2478"/>
      <c r="G37" s="2478"/>
      <c r="H37" s="2478"/>
      <c r="I37" s="2478"/>
      <c r="J37" s="2478"/>
      <c r="K37" s="2478"/>
      <c r="L37" s="2478"/>
      <c r="M37" s="2478"/>
      <c r="N37" s="2478"/>
      <c r="O37" s="2478"/>
      <c r="P37" s="2478"/>
      <c r="Q37" s="2478"/>
      <c r="R37" s="2478"/>
      <c r="S37" s="2478"/>
      <c r="T37" s="2478"/>
      <c r="U37" s="2478"/>
      <c r="V37" s="2478"/>
      <c r="W37" s="2478"/>
      <c r="X37" s="2478"/>
      <c r="Y37" s="2478"/>
      <c r="Z37" s="2478"/>
      <c r="AA37" s="2478"/>
      <c r="AB37" s="2478"/>
      <c r="AC37" s="2478"/>
      <c r="AD37" s="2478"/>
      <c r="AE37" s="2478"/>
      <c r="AF37" s="2478"/>
      <c r="AG37" s="2478"/>
      <c r="AH37" s="2478"/>
      <c r="AI37" s="2478"/>
      <c r="AJ37" s="2479"/>
      <c r="AK37" s="340"/>
      <c r="AL37" s="340"/>
      <c r="AM37" s="340"/>
      <c r="AN37" s="335"/>
    </row>
    <row r="38" spans="1:41" s="336" customFormat="1" ht="12.75" customHeight="1">
      <c r="A38" s="340"/>
      <c r="B38" s="340"/>
      <c r="C38" s="340"/>
      <c r="E38" s="2499"/>
      <c r="F38" s="2500"/>
      <c r="G38" s="2500"/>
      <c r="H38" s="2500"/>
      <c r="I38" s="2500"/>
      <c r="J38" s="2500"/>
      <c r="K38" s="2500"/>
      <c r="L38" s="2500"/>
      <c r="M38" s="2500"/>
      <c r="N38" s="2500"/>
      <c r="O38" s="2500"/>
      <c r="P38" s="2500"/>
      <c r="Q38" s="2500"/>
      <c r="R38" s="2500"/>
      <c r="S38" s="2500"/>
      <c r="T38" s="2500"/>
      <c r="U38" s="2500"/>
      <c r="V38" s="2500"/>
      <c r="W38" s="2500"/>
      <c r="X38" s="2500"/>
      <c r="Y38" s="2500"/>
      <c r="Z38" s="2500"/>
      <c r="AA38" s="2500"/>
      <c r="AB38" s="2500"/>
      <c r="AC38" s="2500"/>
      <c r="AD38" s="2500"/>
      <c r="AE38" s="2500"/>
      <c r="AF38" s="2500"/>
      <c r="AG38" s="2500"/>
      <c r="AH38" s="2500"/>
      <c r="AI38" s="2500"/>
      <c r="AJ38" s="2501"/>
      <c r="AK38" s="340"/>
      <c r="AL38" s="340"/>
      <c r="AM38" s="340"/>
      <c r="AN38" s="335"/>
    </row>
    <row r="39" spans="1:41" s="336" customFormat="1" ht="12.75" customHeight="1">
      <c r="A39" s="340"/>
      <c r="B39" s="340"/>
      <c r="C39" s="340"/>
      <c r="E39" s="340"/>
      <c r="F39" s="340"/>
      <c r="G39" s="340"/>
      <c r="H39" s="340"/>
      <c r="I39" s="340"/>
      <c r="J39" s="340"/>
      <c r="K39" s="340"/>
      <c r="L39" s="340"/>
      <c r="M39" s="340"/>
      <c r="N39" s="340"/>
      <c r="O39" s="340"/>
      <c r="P39" s="340"/>
      <c r="Q39" s="340"/>
      <c r="R39" s="340"/>
      <c r="S39" s="340"/>
      <c r="T39" s="340"/>
      <c r="U39" s="340"/>
      <c r="V39" s="340"/>
      <c r="W39" s="340"/>
      <c r="X39" s="340"/>
      <c r="Y39" s="340"/>
      <c r="Z39" s="340"/>
      <c r="AA39" s="340"/>
      <c r="AB39" s="340"/>
      <c r="AC39" s="340"/>
      <c r="AD39" s="340"/>
      <c r="AE39" s="340"/>
      <c r="AF39" s="340"/>
      <c r="AG39" s="340"/>
      <c r="AH39" s="340"/>
      <c r="AI39" s="340"/>
      <c r="AJ39" s="340"/>
      <c r="AK39" s="340"/>
      <c r="AL39" s="340"/>
      <c r="AM39" s="340"/>
      <c r="AN39" s="335"/>
      <c r="AO39" s="336">
        <f>MAX(AO18,AO23,AO26,AO32)</f>
        <v>0</v>
      </c>
    </row>
    <row r="40" spans="1:41" s="336" customFormat="1" ht="12.75" customHeight="1">
      <c r="A40" s="340"/>
      <c r="B40" s="2547" t="s">
        <v>809</v>
      </c>
      <c r="C40" s="2547"/>
      <c r="D40" s="346"/>
      <c r="E40" s="2474" t="s">
        <v>2152</v>
      </c>
      <c r="F40" s="2475"/>
      <c r="G40" s="2475"/>
      <c r="H40" s="2475"/>
      <c r="I40" s="2475"/>
      <c r="J40" s="2475"/>
      <c r="K40" s="2475"/>
      <c r="L40" s="2475"/>
      <c r="M40" s="2475"/>
      <c r="N40" s="2475"/>
      <c r="O40" s="2475"/>
      <c r="P40" s="2475"/>
      <c r="Q40" s="2475"/>
      <c r="R40" s="2475"/>
      <c r="S40" s="2475"/>
      <c r="T40" s="2475"/>
      <c r="U40" s="2475"/>
      <c r="V40" s="2475"/>
      <c r="W40" s="2475"/>
      <c r="X40" s="2475"/>
      <c r="Y40" s="2475"/>
      <c r="Z40" s="2475"/>
      <c r="AA40" s="2475"/>
      <c r="AB40" s="2475"/>
      <c r="AC40" s="2475"/>
      <c r="AD40" s="2475"/>
      <c r="AE40" s="2475"/>
      <c r="AF40" s="2475"/>
      <c r="AG40" s="2475"/>
      <c r="AH40" s="2475"/>
      <c r="AI40" s="2475"/>
      <c r="AJ40" s="2476"/>
      <c r="AK40" s="340"/>
      <c r="AL40" s="340"/>
      <c r="AM40" s="340"/>
      <c r="AN40" s="335"/>
    </row>
    <row r="41" spans="1:41" s="336" customFormat="1" ht="12.75" customHeight="1">
      <c r="A41" s="340"/>
      <c r="B41" s="340"/>
      <c r="C41" s="340"/>
      <c r="E41" s="2499"/>
      <c r="F41" s="2500"/>
      <c r="G41" s="2500"/>
      <c r="H41" s="2500"/>
      <c r="I41" s="2500"/>
      <c r="J41" s="2500"/>
      <c r="K41" s="2500"/>
      <c r="L41" s="2500"/>
      <c r="M41" s="2500"/>
      <c r="N41" s="2500"/>
      <c r="O41" s="2500"/>
      <c r="P41" s="2500"/>
      <c r="Q41" s="2500"/>
      <c r="R41" s="2500"/>
      <c r="S41" s="2500"/>
      <c r="T41" s="2500"/>
      <c r="U41" s="2500"/>
      <c r="V41" s="2500"/>
      <c r="W41" s="2500"/>
      <c r="X41" s="2500"/>
      <c r="Y41" s="2500"/>
      <c r="Z41" s="2500"/>
      <c r="AA41" s="2500"/>
      <c r="AB41" s="2500"/>
      <c r="AC41" s="2500"/>
      <c r="AD41" s="2500"/>
      <c r="AE41" s="2500"/>
      <c r="AF41" s="2500"/>
      <c r="AG41" s="2500"/>
      <c r="AH41" s="2500"/>
      <c r="AI41" s="2500"/>
      <c r="AJ41" s="2501"/>
      <c r="AK41" s="340"/>
      <c r="AL41" s="340"/>
      <c r="AM41" s="340"/>
      <c r="AN41" s="335"/>
    </row>
    <row r="42" spans="1:41" s="336" customFormat="1" ht="12.75" customHeight="1">
      <c r="A42" s="340"/>
      <c r="B42" s="340"/>
      <c r="C42" s="340"/>
      <c r="E42" s="340"/>
      <c r="F42" s="340"/>
      <c r="G42" s="340"/>
      <c r="H42" s="340"/>
      <c r="I42" s="340"/>
      <c r="J42" s="340"/>
      <c r="K42" s="340"/>
      <c r="L42" s="340"/>
      <c r="M42" s="340"/>
      <c r="N42" s="340"/>
      <c r="O42" s="340"/>
      <c r="P42" s="340"/>
      <c r="Q42" s="340"/>
      <c r="R42" s="340"/>
      <c r="S42" s="340"/>
      <c r="T42" s="340"/>
      <c r="U42" s="340"/>
      <c r="V42" s="340"/>
      <c r="W42" s="340"/>
      <c r="X42" s="340"/>
      <c r="Y42" s="340"/>
      <c r="Z42" s="340"/>
      <c r="AA42" s="340"/>
      <c r="AB42" s="340"/>
      <c r="AC42" s="340"/>
      <c r="AD42" s="340"/>
      <c r="AE42" s="340"/>
      <c r="AF42" s="340"/>
      <c r="AG42" s="340"/>
      <c r="AH42" s="340"/>
      <c r="AI42" s="340"/>
      <c r="AJ42" s="340"/>
      <c r="AK42" s="340"/>
      <c r="AL42" s="340"/>
      <c r="AM42" s="340"/>
      <c r="AN42" s="335"/>
      <c r="AO42" s="336">
        <f>MAX(AO18,AO23,AO26,AO32)</f>
        <v>0</v>
      </c>
    </row>
    <row r="43" spans="1:41" s="336" customFormat="1" ht="12.75" customHeight="1">
      <c r="A43" s="340"/>
      <c r="C43" s="343" t="s">
        <v>2153</v>
      </c>
      <c r="E43" s="340"/>
      <c r="F43" s="340"/>
      <c r="G43" s="340"/>
      <c r="H43" s="340"/>
      <c r="I43" s="340"/>
      <c r="J43" s="340"/>
      <c r="K43" s="340"/>
      <c r="L43" s="340"/>
      <c r="M43" s="340"/>
      <c r="N43" s="340"/>
      <c r="O43" s="340"/>
      <c r="P43" s="340"/>
      <c r="Q43" s="340"/>
      <c r="R43" s="340"/>
      <c r="S43" s="340"/>
      <c r="T43" s="340"/>
      <c r="U43" s="340"/>
      <c r="V43" s="340"/>
      <c r="W43" s="340"/>
      <c r="X43" s="340"/>
      <c r="Y43" s="340"/>
      <c r="Z43" s="340"/>
      <c r="AA43" s="340"/>
      <c r="AB43" s="340"/>
      <c r="AC43" s="340"/>
      <c r="AD43" s="340"/>
      <c r="AE43" s="340"/>
      <c r="AF43" s="340"/>
      <c r="AG43" s="340"/>
      <c r="AH43" s="340"/>
      <c r="AI43" s="340"/>
      <c r="AJ43" s="340"/>
      <c r="AK43" s="340"/>
      <c r="AL43" s="340"/>
      <c r="AM43" s="340"/>
      <c r="AN43" s="335"/>
    </row>
    <row r="44" spans="1:41" s="336" customFormat="1" ht="12.75" customHeight="1">
      <c r="A44" s="340"/>
      <c r="C44" s="860"/>
      <c r="D44" s="860"/>
      <c r="E44" s="860"/>
      <c r="F44" s="860"/>
      <c r="G44" s="860"/>
      <c r="H44" s="860"/>
      <c r="I44" s="860"/>
      <c r="J44" s="860"/>
      <c r="K44" s="860"/>
      <c r="L44" s="860"/>
      <c r="M44" s="860"/>
      <c r="N44" s="860"/>
      <c r="O44" s="860"/>
      <c r="P44" s="860"/>
      <c r="Q44" s="860"/>
      <c r="R44" s="860"/>
      <c r="S44" s="860"/>
      <c r="T44" s="860"/>
      <c r="U44" s="860"/>
      <c r="V44" s="860"/>
      <c r="W44" s="860"/>
      <c r="X44" s="860"/>
      <c r="Y44" s="860"/>
      <c r="Z44" s="860"/>
      <c r="AA44" s="860"/>
      <c r="AB44" s="860"/>
      <c r="AC44" s="860"/>
      <c r="AD44" s="860"/>
      <c r="AE44" s="860"/>
      <c r="AF44" s="860"/>
      <c r="AG44" s="860"/>
      <c r="AH44" s="860"/>
      <c r="AI44" s="860"/>
      <c r="AJ44" s="860"/>
      <c r="AK44" s="860"/>
      <c r="AL44" s="340"/>
      <c r="AM44" s="340"/>
      <c r="AN44" s="335"/>
    </row>
    <row r="45" spans="1:41" s="336" customFormat="1" ht="12.75" customHeight="1">
      <c r="A45" s="340"/>
      <c r="B45" s="2547" t="s">
        <v>809</v>
      </c>
      <c r="C45" s="2547"/>
      <c r="D45" s="860"/>
      <c r="E45" s="2474" t="s">
        <v>2154</v>
      </c>
      <c r="F45" s="2475"/>
      <c r="G45" s="2475"/>
      <c r="H45" s="2475"/>
      <c r="I45" s="2475"/>
      <c r="J45" s="2475"/>
      <c r="K45" s="2475"/>
      <c r="L45" s="2475"/>
      <c r="M45" s="2475"/>
      <c r="N45" s="2475"/>
      <c r="O45" s="2475"/>
      <c r="P45" s="2475"/>
      <c r="Q45" s="2475"/>
      <c r="R45" s="2475"/>
      <c r="S45" s="2475"/>
      <c r="T45" s="2475"/>
      <c r="U45" s="2475"/>
      <c r="V45" s="2475"/>
      <c r="W45" s="2475"/>
      <c r="X45" s="2475"/>
      <c r="Y45" s="2475"/>
      <c r="Z45" s="2475"/>
      <c r="AA45" s="2475"/>
      <c r="AB45" s="2475"/>
      <c r="AC45" s="2475"/>
      <c r="AD45" s="2475"/>
      <c r="AE45" s="2475"/>
      <c r="AF45" s="2475"/>
      <c r="AG45" s="2475"/>
      <c r="AH45" s="2475"/>
      <c r="AI45" s="2475"/>
      <c r="AJ45" s="2476"/>
      <c r="AK45" s="860"/>
      <c r="AL45" s="340"/>
      <c r="AM45" s="340"/>
      <c r="AN45" s="335"/>
    </row>
    <row r="46" spans="1:41" s="336" customFormat="1" ht="12.75" customHeight="1">
      <c r="A46" s="340"/>
      <c r="B46" s="340"/>
      <c r="C46" s="340"/>
      <c r="E46" s="2477"/>
      <c r="F46" s="2478"/>
      <c r="G46" s="2478"/>
      <c r="H46" s="2478"/>
      <c r="I46" s="2478"/>
      <c r="J46" s="2478"/>
      <c r="K46" s="2478"/>
      <c r="L46" s="2478"/>
      <c r="M46" s="2478"/>
      <c r="N46" s="2478"/>
      <c r="O46" s="2478"/>
      <c r="P46" s="2478"/>
      <c r="Q46" s="2478"/>
      <c r="R46" s="2478"/>
      <c r="S46" s="2478"/>
      <c r="T46" s="2478"/>
      <c r="U46" s="2478"/>
      <c r="V46" s="2478"/>
      <c r="W46" s="2478"/>
      <c r="X46" s="2478"/>
      <c r="Y46" s="2478"/>
      <c r="Z46" s="2478"/>
      <c r="AA46" s="2478"/>
      <c r="AB46" s="2478"/>
      <c r="AC46" s="2478"/>
      <c r="AD46" s="2478"/>
      <c r="AE46" s="2478"/>
      <c r="AF46" s="2478"/>
      <c r="AG46" s="2478"/>
      <c r="AH46" s="2478"/>
      <c r="AI46" s="2478"/>
      <c r="AJ46" s="2479"/>
      <c r="AK46" s="340"/>
      <c r="AL46" s="340"/>
      <c r="AM46" s="340"/>
      <c r="AN46" s="335"/>
    </row>
    <row r="47" spans="1:41" s="336" customFormat="1" ht="12.75" customHeight="1">
      <c r="A47" s="340"/>
      <c r="D47" s="346"/>
      <c r="E47" s="2499"/>
      <c r="F47" s="2500"/>
      <c r="G47" s="2500"/>
      <c r="H47" s="2500"/>
      <c r="I47" s="2500"/>
      <c r="J47" s="2500"/>
      <c r="K47" s="2500"/>
      <c r="L47" s="2500"/>
      <c r="M47" s="2500"/>
      <c r="N47" s="2500"/>
      <c r="O47" s="2500"/>
      <c r="P47" s="2500"/>
      <c r="Q47" s="2500"/>
      <c r="R47" s="2500"/>
      <c r="S47" s="2500"/>
      <c r="T47" s="2500"/>
      <c r="U47" s="2500"/>
      <c r="V47" s="2500"/>
      <c r="W47" s="2500"/>
      <c r="X47" s="2500"/>
      <c r="Y47" s="2500"/>
      <c r="Z47" s="2500"/>
      <c r="AA47" s="2500"/>
      <c r="AB47" s="2500"/>
      <c r="AC47" s="2500"/>
      <c r="AD47" s="2500"/>
      <c r="AE47" s="2500"/>
      <c r="AF47" s="2500"/>
      <c r="AG47" s="2500"/>
      <c r="AH47" s="2500"/>
      <c r="AI47" s="2500"/>
      <c r="AJ47" s="2501"/>
      <c r="AK47" s="340"/>
      <c r="AL47" s="340"/>
      <c r="AM47" s="340"/>
      <c r="AN47" s="335"/>
      <c r="AO47" s="353"/>
    </row>
    <row r="48" spans="1:41" s="336" customFormat="1" ht="12.75" customHeight="1">
      <c r="A48" s="340"/>
      <c r="B48" s="340"/>
      <c r="C48" s="340"/>
      <c r="E48" s="340"/>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40"/>
      <c r="AL48" s="340"/>
      <c r="AM48" s="340"/>
      <c r="AN48" s="335"/>
      <c r="AO48" s="353"/>
    </row>
    <row r="49" spans="1:50" s="336" customFormat="1" ht="12.75" customHeight="1">
      <c r="A49" s="339"/>
      <c r="B49" s="339" t="s">
        <v>2155</v>
      </c>
      <c r="C49" s="346"/>
      <c r="D49" s="346"/>
      <c r="E49" s="354"/>
      <c r="F49" s="340"/>
      <c r="G49" s="340"/>
      <c r="H49" s="340"/>
      <c r="I49" s="340"/>
      <c r="J49" s="340"/>
      <c r="K49" s="340"/>
      <c r="L49" s="340"/>
      <c r="M49" s="340"/>
      <c r="N49" s="340"/>
      <c r="O49" s="340"/>
      <c r="P49" s="340"/>
      <c r="Q49" s="340"/>
      <c r="R49" s="340"/>
      <c r="S49" s="340"/>
      <c r="T49" s="340"/>
      <c r="U49" s="340"/>
      <c r="V49" s="340"/>
      <c r="W49" s="340"/>
      <c r="X49" s="340"/>
      <c r="Y49" s="340"/>
      <c r="Z49" s="340"/>
      <c r="AA49" s="340"/>
      <c r="AB49" s="340"/>
      <c r="AC49" s="340"/>
      <c r="AD49" s="340"/>
      <c r="AE49" s="340"/>
      <c r="AF49" s="340"/>
      <c r="AG49" s="340"/>
      <c r="AH49" s="340"/>
      <c r="AI49" s="340"/>
      <c r="AJ49" s="340"/>
      <c r="AK49" s="340"/>
      <c r="AL49" s="340"/>
      <c r="AM49" s="340"/>
      <c r="AN49" s="335"/>
      <c r="AO49" s="353"/>
    </row>
    <row r="50" spans="1:50" s="336" customFormat="1" ht="12.75" customHeight="1">
      <c r="A50" s="340"/>
      <c r="B50" s="340"/>
      <c r="C50" s="859" t="s">
        <v>2156</v>
      </c>
      <c r="D50" s="340"/>
      <c r="E50" s="340"/>
      <c r="F50" s="340"/>
      <c r="G50" s="340"/>
      <c r="H50" s="340"/>
      <c r="I50" s="340"/>
      <c r="J50" s="340"/>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35"/>
      <c r="AO50" s="353"/>
    </row>
    <row r="51" spans="1:50" s="336" customFormat="1" ht="12.75" customHeight="1">
      <c r="A51" s="346"/>
      <c r="B51" s="346"/>
      <c r="C51" s="346"/>
      <c r="D51" s="346"/>
      <c r="E51" s="355"/>
      <c r="F51" s="340"/>
      <c r="G51" s="340"/>
      <c r="H51" s="340"/>
      <c r="I51" s="340"/>
      <c r="J51" s="340"/>
      <c r="K51" s="340"/>
      <c r="L51" s="340"/>
      <c r="M51" s="340"/>
      <c r="N51" s="340"/>
      <c r="O51" s="340"/>
      <c r="P51" s="340"/>
      <c r="Q51" s="340"/>
      <c r="R51" s="340"/>
      <c r="S51" s="340"/>
      <c r="T51" s="340"/>
      <c r="U51" s="340"/>
      <c r="V51" s="340"/>
      <c r="W51" s="340"/>
      <c r="X51" s="340"/>
      <c r="Y51" s="340"/>
      <c r="Z51" s="340"/>
      <c r="AA51" s="340"/>
      <c r="AB51" s="340"/>
      <c r="AC51" s="340"/>
      <c r="AD51" s="340"/>
      <c r="AE51" s="340"/>
      <c r="AF51" s="340"/>
      <c r="AG51" s="340"/>
      <c r="AH51" s="340"/>
      <c r="AI51" s="340"/>
      <c r="AJ51" s="340"/>
      <c r="AK51" s="340"/>
      <c r="AL51" s="340"/>
      <c r="AM51" s="340"/>
      <c r="AN51" s="335"/>
      <c r="AO51" s="353"/>
    </row>
    <row r="52" spans="1:50" s="336" customFormat="1" ht="12.75" customHeight="1">
      <c r="A52" s="340"/>
      <c r="B52" s="2547" t="s">
        <v>809</v>
      </c>
      <c r="C52" s="2547"/>
      <c r="D52" s="340"/>
      <c r="E52" s="2474" t="s">
        <v>2157</v>
      </c>
      <c r="F52" s="2475"/>
      <c r="G52" s="2475"/>
      <c r="H52" s="2475"/>
      <c r="I52" s="2475"/>
      <c r="J52" s="2475"/>
      <c r="K52" s="2475"/>
      <c r="L52" s="2475"/>
      <c r="M52" s="2475"/>
      <c r="N52" s="2475"/>
      <c r="O52" s="2475"/>
      <c r="P52" s="2475"/>
      <c r="Q52" s="2475"/>
      <c r="R52" s="2475"/>
      <c r="S52" s="2475"/>
      <c r="T52" s="2475"/>
      <c r="U52" s="2475"/>
      <c r="V52" s="2475"/>
      <c r="W52" s="2475"/>
      <c r="X52" s="2475"/>
      <c r="Y52" s="2475"/>
      <c r="Z52" s="2475"/>
      <c r="AA52" s="2475"/>
      <c r="AB52" s="2475"/>
      <c r="AC52" s="2475"/>
      <c r="AD52" s="2475"/>
      <c r="AE52" s="2475"/>
      <c r="AF52" s="2475"/>
      <c r="AG52" s="2475"/>
      <c r="AH52" s="2475"/>
      <c r="AI52" s="2475"/>
      <c r="AJ52" s="2476"/>
      <c r="AK52" s="340"/>
      <c r="AL52" s="340"/>
      <c r="AM52" s="340"/>
      <c r="AN52" s="335"/>
      <c r="AO52" s="356"/>
    </row>
    <row r="53" spans="1:50" s="336" customFormat="1" ht="12.75" customHeight="1">
      <c r="A53" s="340"/>
      <c r="D53" s="346"/>
      <c r="E53" s="2477"/>
      <c r="F53" s="2478"/>
      <c r="G53" s="2478"/>
      <c r="H53" s="2478"/>
      <c r="I53" s="2478"/>
      <c r="J53" s="2478"/>
      <c r="K53" s="2478"/>
      <c r="L53" s="2478"/>
      <c r="M53" s="2478"/>
      <c r="N53" s="2478"/>
      <c r="O53" s="2478"/>
      <c r="P53" s="2478"/>
      <c r="Q53" s="2478"/>
      <c r="R53" s="2478"/>
      <c r="S53" s="2478"/>
      <c r="T53" s="2478"/>
      <c r="U53" s="2478"/>
      <c r="V53" s="2478"/>
      <c r="W53" s="2478"/>
      <c r="X53" s="2478"/>
      <c r="Y53" s="2478"/>
      <c r="Z53" s="2478"/>
      <c r="AA53" s="2478"/>
      <c r="AB53" s="2478"/>
      <c r="AC53" s="2478"/>
      <c r="AD53" s="2478"/>
      <c r="AE53" s="2478"/>
      <c r="AF53" s="2478"/>
      <c r="AG53" s="2478"/>
      <c r="AH53" s="2478"/>
      <c r="AI53" s="2478"/>
      <c r="AJ53" s="2479"/>
      <c r="AK53" s="340"/>
      <c r="AL53" s="340"/>
      <c r="AM53" s="340"/>
      <c r="AN53" s="335"/>
      <c r="AO53" s="356"/>
    </row>
    <row r="54" spans="1:50" s="336" customFormat="1" ht="12.75" customHeight="1">
      <c r="A54" s="340"/>
      <c r="D54" s="340"/>
      <c r="E54" s="2499"/>
      <c r="F54" s="2500"/>
      <c r="G54" s="2500"/>
      <c r="H54" s="2500"/>
      <c r="I54" s="2500"/>
      <c r="J54" s="2500"/>
      <c r="K54" s="2500"/>
      <c r="L54" s="2500"/>
      <c r="M54" s="2500"/>
      <c r="N54" s="2500"/>
      <c r="O54" s="2500"/>
      <c r="P54" s="2500"/>
      <c r="Q54" s="2500"/>
      <c r="R54" s="2500"/>
      <c r="S54" s="2500"/>
      <c r="T54" s="2500"/>
      <c r="U54" s="2500"/>
      <c r="V54" s="2500"/>
      <c r="W54" s="2500"/>
      <c r="X54" s="2500"/>
      <c r="Y54" s="2500"/>
      <c r="Z54" s="2500"/>
      <c r="AA54" s="2500"/>
      <c r="AB54" s="2500"/>
      <c r="AC54" s="2500"/>
      <c r="AD54" s="2500"/>
      <c r="AE54" s="2500"/>
      <c r="AF54" s="2500"/>
      <c r="AG54" s="2500"/>
      <c r="AH54" s="2500"/>
      <c r="AI54" s="2500"/>
      <c r="AJ54" s="2501"/>
      <c r="AK54" s="340"/>
      <c r="AL54" s="340"/>
      <c r="AM54" s="340"/>
      <c r="AN54" s="335"/>
    </row>
    <row r="55" spans="1:50" s="336" customFormat="1" ht="12.75" customHeight="1">
      <c r="A55" s="340"/>
      <c r="B55" s="340"/>
      <c r="C55" s="340"/>
      <c r="D55" s="346"/>
      <c r="E55" s="355"/>
      <c r="F55" s="353"/>
      <c r="G55" s="353"/>
      <c r="H55" s="340"/>
      <c r="I55" s="340"/>
      <c r="J55" s="340"/>
      <c r="K55" s="340"/>
      <c r="L55" s="340"/>
      <c r="M55" s="340"/>
      <c r="N55" s="340"/>
      <c r="O55" s="340"/>
      <c r="P55" s="340"/>
      <c r="Q55" s="340"/>
      <c r="R55" s="340"/>
      <c r="S55" s="340"/>
      <c r="T55" s="340"/>
      <c r="U55" s="340"/>
      <c r="V55" s="340"/>
      <c r="W55" s="340"/>
      <c r="X55" s="340"/>
      <c r="Y55" s="340"/>
      <c r="Z55" s="340"/>
      <c r="AA55" s="340"/>
      <c r="AB55" s="340"/>
      <c r="AC55" s="340"/>
      <c r="AD55" s="340"/>
      <c r="AE55" s="340"/>
      <c r="AF55" s="340"/>
      <c r="AG55" s="340"/>
      <c r="AH55" s="340"/>
      <c r="AI55" s="340"/>
      <c r="AJ55" s="340"/>
      <c r="AK55" s="340"/>
      <c r="AL55" s="340"/>
      <c r="AM55" s="340"/>
      <c r="AN55" s="335"/>
    </row>
    <row r="56" spans="1:50" s="336" customFormat="1" ht="12.75" customHeight="1">
      <c r="A56" s="340"/>
      <c r="B56" s="2547" t="s">
        <v>809</v>
      </c>
      <c r="C56" s="2547"/>
      <c r="D56" s="340"/>
      <c r="E56" s="2573" t="s">
        <v>2158</v>
      </c>
      <c r="F56" s="2574"/>
      <c r="G56" s="2574"/>
      <c r="H56" s="2574"/>
      <c r="I56" s="2574"/>
      <c r="J56" s="2574"/>
      <c r="K56" s="2574"/>
      <c r="L56" s="2574"/>
      <c r="M56" s="2574"/>
      <c r="N56" s="2574"/>
      <c r="O56" s="2574"/>
      <c r="P56" s="2574"/>
      <c r="Q56" s="2574"/>
      <c r="R56" s="2574"/>
      <c r="S56" s="2574"/>
      <c r="T56" s="2574"/>
      <c r="U56" s="2574"/>
      <c r="V56" s="2574"/>
      <c r="W56" s="2574"/>
      <c r="X56" s="2574"/>
      <c r="Y56" s="2574"/>
      <c r="Z56" s="2574"/>
      <c r="AA56" s="2574"/>
      <c r="AB56" s="2574"/>
      <c r="AC56" s="2574"/>
      <c r="AD56" s="2574"/>
      <c r="AE56" s="2574"/>
      <c r="AF56" s="2574"/>
      <c r="AG56" s="2574"/>
      <c r="AH56" s="2574"/>
      <c r="AI56" s="2574"/>
      <c r="AJ56" s="2575"/>
      <c r="AK56" s="340"/>
      <c r="AL56" s="340"/>
      <c r="AM56" s="340"/>
      <c r="AN56" s="335"/>
    </row>
    <row r="57" spans="1:50" s="336" customFormat="1" ht="12.75" customHeight="1">
      <c r="A57" s="340"/>
      <c r="B57" s="340"/>
      <c r="C57" s="340"/>
      <c r="D57" s="346"/>
      <c r="E57" s="357"/>
      <c r="F57" s="353"/>
      <c r="G57" s="353"/>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K57" s="340"/>
      <c r="AL57" s="340"/>
      <c r="AM57" s="340"/>
      <c r="AN57" s="335"/>
    </row>
    <row r="58" spans="1:50" s="336" customFormat="1" ht="12.75" customHeight="1">
      <c r="A58" s="340"/>
      <c r="B58" s="2547" t="s">
        <v>809</v>
      </c>
      <c r="C58" s="2547"/>
      <c r="D58" s="340"/>
      <c r="E58" s="2474" t="s">
        <v>2159</v>
      </c>
      <c r="F58" s="2475"/>
      <c r="G58" s="2475"/>
      <c r="H58" s="2475"/>
      <c r="I58" s="2475"/>
      <c r="J58" s="2475"/>
      <c r="K58" s="2475"/>
      <c r="L58" s="2475"/>
      <c r="M58" s="2475"/>
      <c r="N58" s="2475"/>
      <c r="O58" s="2475"/>
      <c r="P58" s="2475"/>
      <c r="Q58" s="2475"/>
      <c r="R58" s="2475"/>
      <c r="S58" s="2475"/>
      <c r="T58" s="2475"/>
      <c r="U58" s="2475"/>
      <c r="V58" s="2475"/>
      <c r="W58" s="2475"/>
      <c r="X58" s="2475"/>
      <c r="Y58" s="2475"/>
      <c r="Z58" s="2475"/>
      <c r="AA58" s="2475"/>
      <c r="AB58" s="2475"/>
      <c r="AC58" s="2475"/>
      <c r="AD58" s="2475"/>
      <c r="AE58" s="2475"/>
      <c r="AF58" s="2475"/>
      <c r="AG58" s="2475"/>
      <c r="AH58" s="2475"/>
      <c r="AI58" s="2475"/>
      <c r="AJ58" s="2476"/>
      <c r="AK58" s="340"/>
      <c r="AL58" s="340"/>
      <c r="AM58" s="340"/>
      <c r="AN58" s="335"/>
    </row>
    <row r="59" spans="1:50" s="336" customFormat="1" ht="12.75" customHeight="1">
      <c r="A59" s="340"/>
      <c r="B59" s="346"/>
      <c r="C59" s="346"/>
      <c r="D59" s="346"/>
      <c r="E59" s="2499"/>
      <c r="F59" s="2500"/>
      <c r="G59" s="2500"/>
      <c r="H59" s="2500"/>
      <c r="I59" s="2500"/>
      <c r="J59" s="2500"/>
      <c r="K59" s="2500"/>
      <c r="L59" s="2500"/>
      <c r="M59" s="2500"/>
      <c r="N59" s="2500"/>
      <c r="O59" s="2500"/>
      <c r="P59" s="2500"/>
      <c r="Q59" s="2500"/>
      <c r="R59" s="2500"/>
      <c r="S59" s="2500"/>
      <c r="T59" s="2500"/>
      <c r="U59" s="2500"/>
      <c r="V59" s="2500"/>
      <c r="W59" s="2500"/>
      <c r="X59" s="2500"/>
      <c r="Y59" s="2500"/>
      <c r="Z59" s="2500"/>
      <c r="AA59" s="2500"/>
      <c r="AB59" s="2500"/>
      <c r="AC59" s="2500"/>
      <c r="AD59" s="2500"/>
      <c r="AE59" s="2500"/>
      <c r="AF59" s="2500"/>
      <c r="AG59" s="2500"/>
      <c r="AH59" s="2500"/>
      <c r="AI59" s="2500"/>
      <c r="AJ59" s="2501"/>
      <c r="AK59" s="340"/>
      <c r="AL59" s="340"/>
      <c r="AM59" s="340"/>
      <c r="AN59" s="335"/>
      <c r="AX59" s="339"/>
    </row>
    <row r="60" spans="1:50" s="336" customFormat="1" ht="12.75" customHeight="1">
      <c r="A60" s="340"/>
      <c r="B60" s="346"/>
      <c r="C60" s="346"/>
      <c r="D60" s="346"/>
      <c r="E60" s="357"/>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c r="AF60" s="340"/>
      <c r="AG60" s="340"/>
      <c r="AH60" s="340"/>
      <c r="AI60" s="340"/>
      <c r="AJ60" s="340"/>
      <c r="AK60" s="340"/>
      <c r="AL60" s="340"/>
      <c r="AM60" s="340"/>
      <c r="AN60" s="335"/>
      <c r="AX60" s="339"/>
    </row>
    <row r="61" spans="1:50" s="336" customFormat="1" ht="12.75" customHeight="1">
      <c r="A61" s="340"/>
      <c r="B61" s="340"/>
      <c r="C61" s="340"/>
      <c r="D61" s="340"/>
      <c r="E61" s="340"/>
      <c r="F61" s="340"/>
      <c r="G61" s="340"/>
      <c r="H61" s="340"/>
      <c r="I61" s="340"/>
      <c r="J61" s="340"/>
      <c r="K61" s="340"/>
      <c r="L61" s="340"/>
      <c r="M61" s="340"/>
      <c r="N61" s="340"/>
      <c r="O61" s="340"/>
      <c r="P61" s="340"/>
      <c r="Q61" s="340"/>
      <c r="R61" s="340"/>
      <c r="S61" s="340"/>
      <c r="T61" s="340"/>
      <c r="U61" s="340"/>
      <c r="V61" s="340"/>
      <c r="W61" s="340"/>
      <c r="X61" s="340"/>
      <c r="Y61" s="340"/>
      <c r="Z61" s="340"/>
      <c r="AA61" s="340"/>
      <c r="AB61" s="340"/>
      <c r="AC61" s="340"/>
      <c r="AD61" s="340"/>
      <c r="AE61" s="340"/>
      <c r="AF61" s="340"/>
      <c r="AG61" s="340"/>
      <c r="AH61" s="340"/>
      <c r="AI61" s="340"/>
      <c r="AJ61" s="340"/>
      <c r="AK61" s="340"/>
      <c r="AL61" s="340"/>
      <c r="AM61" s="340"/>
      <c r="AN61" s="335"/>
    </row>
    <row r="62" spans="1:50" s="336" customFormat="1" ht="12.75" customHeight="1">
      <c r="A62" s="358"/>
      <c r="B62" s="359"/>
      <c r="C62" s="359"/>
      <c r="D62" s="359"/>
      <c r="E62" s="359"/>
      <c r="F62" s="359"/>
      <c r="G62" s="360"/>
      <c r="H62" s="361"/>
      <c r="I62" s="361"/>
      <c r="J62" s="361"/>
      <c r="K62" s="361"/>
      <c r="L62" s="361"/>
      <c r="M62" s="361"/>
      <c r="N62" s="361"/>
      <c r="O62" s="361"/>
      <c r="P62" s="361"/>
      <c r="Q62" s="361"/>
      <c r="R62" s="361"/>
      <c r="S62" s="361"/>
      <c r="T62" s="361"/>
      <c r="U62" s="361"/>
      <c r="V62" s="361"/>
      <c r="W62" s="361"/>
      <c r="X62" s="361"/>
      <c r="Y62" s="361"/>
      <c r="Z62" s="361"/>
      <c r="AA62" s="361"/>
      <c r="AB62" s="361"/>
      <c r="AC62" s="361"/>
      <c r="AD62" s="361"/>
      <c r="AE62" s="361"/>
      <c r="AF62" s="361"/>
      <c r="AG62" s="361"/>
      <c r="AH62" s="361"/>
      <c r="AI62" s="362"/>
      <c r="AJ62" s="362" t="s">
        <v>2160</v>
      </c>
      <c r="AK62" s="2520">
        <f>AO39</f>
        <v>0</v>
      </c>
      <c r="AL62" s="2521"/>
      <c r="AM62" s="2522"/>
      <c r="AN62" s="335"/>
    </row>
    <row r="63" spans="1:50" s="336" customFormat="1" ht="12.75" customHeight="1" thickBot="1">
      <c r="A63" s="363"/>
      <c r="B63" s="364"/>
      <c r="C63" s="365"/>
      <c r="D63" s="365"/>
      <c r="E63" s="365"/>
      <c r="F63" s="365"/>
      <c r="G63" s="365"/>
      <c r="H63" s="365"/>
      <c r="I63" s="365"/>
      <c r="J63" s="365"/>
      <c r="K63" s="365"/>
      <c r="L63" s="365"/>
      <c r="M63" s="365"/>
      <c r="N63" s="365"/>
      <c r="O63" s="365"/>
      <c r="P63" s="365"/>
      <c r="Q63" s="365"/>
      <c r="R63" s="365"/>
      <c r="S63" s="365"/>
      <c r="T63" s="365"/>
      <c r="U63" s="365"/>
      <c r="V63" s="365"/>
      <c r="W63" s="365"/>
      <c r="X63" s="365"/>
      <c r="Y63" s="365"/>
      <c r="Z63" s="365"/>
      <c r="AA63" s="365"/>
      <c r="AB63" s="365"/>
      <c r="AC63" s="365"/>
      <c r="AD63" s="365"/>
      <c r="AE63" s="365"/>
      <c r="AF63" s="365"/>
      <c r="AG63" s="365"/>
      <c r="AH63" s="365"/>
      <c r="AI63" s="365"/>
      <c r="AJ63" s="365"/>
      <c r="AK63" s="365"/>
      <c r="AL63" s="365"/>
      <c r="AM63" s="366"/>
      <c r="AN63" s="335"/>
    </row>
    <row r="64" spans="1:50" s="336" customFormat="1" ht="12.75" customHeight="1" thickTop="1">
      <c r="A64" s="367"/>
      <c r="B64" s="368"/>
      <c r="C64" s="369"/>
      <c r="D64" s="369"/>
      <c r="E64" s="369"/>
      <c r="F64" s="369"/>
      <c r="G64" s="369"/>
      <c r="H64" s="369"/>
      <c r="I64" s="1209"/>
      <c r="J64" s="1209"/>
      <c r="K64" s="1209"/>
      <c r="L64" s="1209"/>
      <c r="M64" s="1209"/>
      <c r="N64" s="1209"/>
      <c r="O64" s="1209"/>
      <c r="P64" s="1209"/>
      <c r="Q64" s="1209"/>
      <c r="R64" s="367"/>
      <c r="S64" s="339"/>
      <c r="T64" s="339"/>
      <c r="U64" s="339"/>
      <c r="V64" s="339"/>
      <c r="W64" s="339"/>
      <c r="X64" s="339"/>
      <c r="Y64" s="339"/>
      <c r="Z64" s="339"/>
      <c r="AA64" s="339"/>
      <c r="AB64" s="339"/>
      <c r="AC64" s="339"/>
      <c r="AD64" s="339"/>
      <c r="AE64" s="339"/>
      <c r="AF64" s="367"/>
      <c r="AG64" s="339"/>
      <c r="AH64" s="339"/>
      <c r="AI64" s="339"/>
      <c r="AJ64" s="339"/>
      <c r="AK64" s="349"/>
      <c r="AL64" s="349"/>
      <c r="AM64" s="349"/>
      <c r="AN64" s="335"/>
    </row>
    <row r="65" spans="1:42" s="336" customFormat="1" ht="12.75" customHeight="1">
      <c r="A65" s="338" t="s">
        <v>2161</v>
      </c>
      <c r="B65" s="339" t="s">
        <v>619</v>
      </c>
      <c r="C65" s="339"/>
      <c r="D65" s="339"/>
      <c r="E65" s="339"/>
      <c r="F65" s="339"/>
      <c r="G65" s="339"/>
      <c r="H65" s="339"/>
      <c r="I65" s="339"/>
      <c r="J65" s="339"/>
      <c r="K65" s="339"/>
      <c r="L65" s="339"/>
      <c r="M65" s="339"/>
      <c r="N65" s="339"/>
      <c r="O65" s="339"/>
      <c r="P65" s="339"/>
      <c r="Q65" s="339"/>
      <c r="R65" s="339"/>
      <c r="S65" s="339"/>
      <c r="T65" s="339"/>
      <c r="U65" s="339"/>
      <c r="V65" s="339"/>
      <c r="W65" s="339"/>
      <c r="X65" s="339"/>
      <c r="Y65" s="339"/>
      <c r="Z65" s="339"/>
      <c r="AA65" s="339"/>
      <c r="AB65" s="339"/>
      <c r="AC65" s="339"/>
      <c r="AD65" s="339"/>
      <c r="AE65" s="2394" t="s">
        <v>2162</v>
      </c>
      <c r="AF65" s="2394"/>
      <c r="AG65" s="2394"/>
      <c r="AH65" s="2394"/>
      <c r="AI65" s="2394"/>
      <c r="AJ65" s="2394"/>
      <c r="AK65" s="2394"/>
      <c r="AL65" s="340"/>
      <c r="AM65" s="340"/>
      <c r="AN65" s="335"/>
    </row>
    <row r="66" spans="1:42" s="336" customFormat="1" ht="12.75" customHeight="1">
      <c r="A66" s="338"/>
      <c r="B66" s="339" t="s">
        <v>2163</v>
      </c>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c r="AD66" s="339"/>
      <c r="AE66" s="1189"/>
      <c r="AF66" s="1189"/>
      <c r="AG66" s="1189"/>
      <c r="AH66" s="1189"/>
      <c r="AI66" s="1189"/>
      <c r="AJ66" s="1189"/>
      <c r="AK66" s="1189"/>
      <c r="AL66" s="340"/>
      <c r="AM66" s="340"/>
      <c r="AN66" s="335"/>
    </row>
    <row r="67" spans="1:42" s="336" customFormat="1" ht="12.75" customHeight="1">
      <c r="A67" s="338"/>
      <c r="B67" s="339"/>
      <c r="C67" s="339"/>
      <c r="D67" s="339"/>
      <c r="E67" s="339"/>
      <c r="F67" s="339"/>
      <c r="G67" s="339"/>
      <c r="H67" s="339"/>
      <c r="I67" s="339"/>
      <c r="J67" s="339"/>
      <c r="K67" s="339"/>
      <c r="L67" s="339"/>
      <c r="M67" s="339"/>
      <c r="N67" s="339"/>
      <c r="O67" s="339"/>
      <c r="P67" s="339"/>
      <c r="Q67" s="339"/>
      <c r="R67" s="339"/>
      <c r="S67" s="339"/>
      <c r="T67" s="339"/>
      <c r="U67" s="339"/>
      <c r="V67" s="339"/>
      <c r="W67" s="339"/>
      <c r="X67" s="339"/>
      <c r="Y67" s="339"/>
      <c r="Z67" s="339"/>
      <c r="AA67" s="339"/>
      <c r="AB67" s="339"/>
      <c r="AC67" s="339"/>
      <c r="AD67" s="339"/>
      <c r="AE67" s="1189"/>
      <c r="AF67" s="1189"/>
      <c r="AG67" s="1189"/>
      <c r="AH67" s="1189"/>
      <c r="AI67" s="1189"/>
      <c r="AJ67" s="1189"/>
      <c r="AK67" s="1189"/>
      <c r="AL67" s="340"/>
      <c r="AM67" s="340"/>
      <c r="AN67" s="335"/>
    </row>
    <row r="68" spans="1:42" s="336" customFormat="1" ht="12.75" customHeight="1">
      <c r="A68" s="338"/>
      <c r="B68" s="2547" t="s">
        <v>694</v>
      </c>
      <c r="C68" s="2547"/>
      <c r="D68" s="346" t="s">
        <v>2164</v>
      </c>
      <c r="E68" s="2539" t="s">
        <v>2165</v>
      </c>
      <c r="F68" s="2540"/>
      <c r="G68" s="2540"/>
      <c r="H68" s="2540"/>
      <c r="I68" s="2540"/>
      <c r="J68" s="2540"/>
      <c r="K68" s="2540"/>
      <c r="L68" s="2540"/>
      <c r="M68" s="2540"/>
      <c r="N68" s="2540"/>
      <c r="O68" s="2540"/>
      <c r="P68" s="2540"/>
      <c r="Q68" s="2540"/>
      <c r="R68" s="2540"/>
      <c r="S68" s="2540"/>
      <c r="T68" s="2540"/>
      <c r="U68" s="2540"/>
      <c r="V68" s="2540"/>
      <c r="W68" s="2540"/>
      <c r="X68" s="2540"/>
      <c r="Y68" s="2540"/>
      <c r="Z68" s="2540"/>
      <c r="AA68" s="2540"/>
      <c r="AB68" s="2540"/>
      <c r="AC68" s="2540"/>
      <c r="AD68" s="2540"/>
      <c r="AE68" s="2540"/>
      <c r="AF68" s="2540"/>
      <c r="AG68" s="2540"/>
      <c r="AH68" s="2540"/>
      <c r="AI68" s="2540"/>
      <c r="AJ68" s="2541"/>
      <c r="AK68" s="1189"/>
      <c r="AL68" s="340"/>
      <c r="AM68" s="340"/>
      <c r="AN68" s="335"/>
      <c r="AO68" s="349">
        <f>IF($B68="yes",10,0)</f>
        <v>10</v>
      </c>
    </row>
    <row r="69" spans="1:42" s="336" customFormat="1" ht="12.75" customHeight="1">
      <c r="A69" s="338"/>
      <c r="B69" s="340"/>
      <c r="C69" s="340"/>
      <c r="D69" s="350"/>
      <c r="E69" s="2542"/>
      <c r="F69" s="2543"/>
      <c r="G69" s="2543"/>
      <c r="H69" s="2543"/>
      <c r="I69" s="2543"/>
      <c r="J69" s="2543"/>
      <c r="K69" s="2543"/>
      <c r="L69" s="2543"/>
      <c r="M69" s="2543"/>
      <c r="N69" s="2543"/>
      <c r="O69" s="2543"/>
      <c r="P69" s="2543"/>
      <c r="Q69" s="2543"/>
      <c r="R69" s="2543"/>
      <c r="S69" s="2543"/>
      <c r="T69" s="2543"/>
      <c r="U69" s="2543"/>
      <c r="V69" s="2543"/>
      <c r="W69" s="2543"/>
      <c r="X69" s="2543"/>
      <c r="Y69" s="2543"/>
      <c r="Z69" s="2543"/>
      <c r="AA69" s="2543"/>
      <c r="AB69" s="2543"/>
      <c r="AC69" s="2543"/>
      <c r="AD69" s="2543"/>
      <c r="AE69" s="2543"/>
      <c r="AF69" s="2543"/>
      <c r="AG69" s="2543"/>
      <c r="AH69" s="2543"/>
      <c r="AI69" s="2543"/>
      <c r="AJ69" s="2544"/>
      <c r="AK69" s="1189"/>
      <c r="AL69" s="340"/>
      <c r="AM69" s="340"/>
      <c r="AN69" s="335"/>
      <c r="AO69" s="349">
        <f>IF($B74="yes",10,0)</f>
        <v>0</v>
      </c>
    </row>
    <row r="70" spans="1:42" s="336" customFormat="1" ht="12.75" customHeight="1">
      <c r="A70" s="338"/>
      <c r="B70" s="340"/>
      <c r="C70" s="340"/>
      <c r="D70" s="350"/>
      <c r="E70" s="2542"/>
      <c r="F70" s="2543"/>
      <c r="G70" s="2543"/>
      <c r="H70" s="2543"/>
      <c r="I70" s="2543"/>
      <c r="J70" s="2543"/>
      <c r="K70" s="2543"/>
      <c r="L70" s="2543"/>
      <c r="M70" s="2543"/>
      <c r="N70" s="2543"/>
      <c r="O70" s="2543"/>
      <c r="P70" s="2543"/>
      <c r="Q70" s="2543"/>
      <c r="R70" s="2543"/>
      <c r="S70" s="2543"/>
      <c r="T70" s="2543"/>
      <c r="U70" s="2543"/>
      <c r="V70" s="2543"/>
      <c r="W70" s="2543"/>
      <c r="X70" s="2543"/>
      <c r="Y70" s="2543"/>
      <c r="Z70" s="2543"/>
      <c r="AA70" s="2543"/>
      <c r="AB70" s="2543"/>
      <c r="AC70" s="2543"/>
      <c r="AD70" s="2543"/>
      <c r="AE70" s="2543"/>
      <c r="AF70" s="2543"/>
      <c r="AG70" s="2543"/>
      <c r="AH70" s="2543"/>
      <c r="AI70" s="2543"/>
      <c r="AJ70" s="2544"/>
      <c r="AK70" s="1189"/>
      <c r="AL70" s="340"/>
      <c r="AM70" s="340"/>
      <c r="AN70" s="335"/>
      <c r="AO70" s="349">
        <f>IF($B81="yes",10,0)</f>
        <v>0</v>
      </c>
    </row>
    <row r="71" spans="1:42" s="336" customFormat="1" ht="12.75" customHeight="1">
      <c r="A71" s="338"/>
      <c r="B71" s="340"/>
      <c r="C71" s="340"/>
      <c r="D71" s="350"/>
      <c r="E71" s="2542"/>
      <c r="F71" s="2543"/>
      <c r="G71" s="2543"/>
      <c r="H71" s="2543"/>
      <c r="I71" s="2543"/>
      <c r="J71" s="2543"/>
      <c r="K71" s="2543"/>
      <c r="L71" s="2543"/>
      <c r="M71" s="2543"/>
      <c r="N71" s="2543"/>
      <c r="O71" s="2543"/>
      <c r="P71" s="2543"/>
      <c r="Q71" s="2543"/>
      <c r="R71" s="2543"/>
      <c r="S71" s="2543"/>
      <c r="T71" s="2543"/>
      <c r="U71" s="2543"/>
      <c r="V71" s="2543"/>
      <c r="W71" s="2543"/>
      <c r="X71" s="2543"/>
      <c r="Y71" s="2543"/>
      <c r="Z71" s="2543"/>
      <c r="AA71" s="2543"/>
      <c r="AB71" s="2543"/>
      <c r="AC71" s="2543"/>
      <c r="AD71" s="2543"/>
      <c r="AE71" s="2543"/>
      <c r="AF71" s="2543"/>
      <c r="AG71" s="2543"/>
      <c r="AH71" s="2543"/>
      <c r="AI71" s="2543"/>
      <c r="AJ71" s="2544"/>
      <c r="AK71" s="1189"/>
      <c r="AL71" s="340"/>
      <c r="AM71" s="340"/>
      <c r="AN71" s="335"/>
      <c r="AO71" s="336">
        <f>IF(SUM(AO68:AO70)&gt;10,10,(SUM(AO68:AO70)))</f>
        <v>10</v>
      </c>
      <c r="AP71" s="370" t="s">
        <v>2166</v>
      </c>
    </row>
    <row r="72" spans="1:42" s="336" customFormat="1" ht="12.75" customHeight="1">
      <c r="A72" s="338"/>
      <c r="B72" s="340"/>
      <c r="C72" s="340"/>
      <c r="D72" s="350"/>
      <c r="E72" s="2569"/>
      <c r="F72" s="2570"/>
      <c r="G72" s="2570"/>
      <c r="H72" s="2570"/>
      <c r="I72" s="2570"/>
      <c r="J72" s="2570"/>
      <c r="K72" s="2570"/>
      <c r="L72" s="2570"/>
      <c r="M72" s="2570"/>
      <c r="N72" s="2570"/>
      <c r="O72" s="2570"/>
      <c r="P72" s="2570"/>
      <c r="Q72" s="2570"/>
      <c r="R72" s="2570"/>
      <c r="S72" s="2570"/>
      <c r="T72" s="2570"/>
      <c r="U72" s="2570"/>
      <c r="V72" s="2570"/>
      <c r="W72" s="2570"/>
      <c r="X72" s="2570"/>
      <c r="Y72" s="2570"/>
      <c r="Z72" s="2570"/>
      <c r="AA72" s="2570"/>
      <c r="AB72" s="2570"/>
      <c r="AC72" s="2570"/>
      <c r="AD72" s="2570"/>
      <c r="AE72" s="2570"/>
      <c r="AF72" s="2570"/>
      <c r="AG72" s="2570"/>
      <c r="AH72" s="2570"/>
      <c r="AI72" s="2570"/>
      <c r="AJ72" s="2571"/>
      <c r="AK72" s="1189"/>
      <c r="AL72" s="340"/>
      <c r="AM72" s="340"/>
      <c r="AN72" s="335"/>
    </row>
    <row r="73" spans="1:42" s="336" customFormat="1" ht="12.75" customHeight="1">
      <c r="A73" s="338"/>
      <c r="B73" s="340"/>
      <c r="C73" s="340"/>
      <c r="E73" s="340"/>
      <c r="F73" s="340"/>
      <c r="G73" s="340"/>
      <c r="H73" s="340"/>
      <c r="I73" s="340"/>
      <c r="J73" s="340"/>
      <c r="K73" s="340"/>
      <c r="L73" s="340"/>
      <c r="M73" s="340"/>
      <c r="N73" s="340"/>
      <c r="O73" s="340"/>
      <c r="P73" s="340"/>
      <c r="Q73" s="340"/>
      <c r="R73" s="340"/>
      <c r="S73" s="340"/>
      <c r="T73" s="340"/>
      <c r="U73" s="340"/>
      <c r="V73" s="340"/>
      <c r="W73" s="340"/>
      <c r="X73" s="340"/>
      <c r="Y73" s="340"/>
      <c r="Z73" s="340"/>
      <c r="AA73" s="340"/>
      <c r="AB73" s="340"/>
      <c r="AC73" s="340"/>
      <c r="AD73" s="340"/>
      <c r="AE73" s="340"/>
      <c r="AF73" s="340"/>
      <c r="AG73" s="340"/>
      <c r="AH73" s="340"/>
      <c r="AI73" s="340"/>
      <c r="AJ73" s="340"/>
      <c r="AK73" s="1189"/>
      <c r="AL73" s="340"/>
      <c r="AM73" s="340"/>
      <c r="AN73" s="335"/>
    </row>
    <row r="74" spans="1:42" s="336" customFormat="1" ht="12.75" customHeight="1">
      <c r="A74" s="338"/>
      <c r="B74" s="2547" t="s">
        <v>809</v>
      </c>
      <c r="C74" s="2547"/>
      <c r="D74" s="346" t="s">
        <v>2167</v>
      </c>
      <c r="E74" s="719" t="s">
        <v>2168</v>
      </c>
      <c r="F74" s="720"/>
      <c r="G74" s="720"/>
      <c r="H74" s="720"/>
      <c r="I74" s="720"/>
      <c r="J74" s="720"/>
      <c r="K74" s="720"/>
      <c r="L74" s="720"/>
      <c r="M74" s="720"/>
      <c r="N74" s="720"/>
      <c r="O74" s="720"/>
      <c r="P74" s="720"/>
      <c r="Q74" s="720"/>
      <c r="R74" s="720"/>
      <c r="S74" s="720"/>
      <c r="T74" s="720"/>
      <c r="U74" s="720"/>
      <c r="V74" s="720"/>
      <c r="W74" s="720"/>
      <c r="X74" s="720"/>
      <c r="Y74" s="720"/>
      <c r="Z74" s="720"/>
      <c r="AA74" s="720"/>
      <c r="AB74" s="720"/>
      <c r="AC74" s="720"/>
      <c r="AD74" s="720"/>
      <c r="AE74" s="720"/>
      <c r="AF74" s="720"/>
      <c r="AG74" s="720"/>
      <c r="AH74" s="720"/>
      <c r="AI74" s="720"/>
      <c r="AJ74" s="721"/>
      <c r="AK74" s="1189"/>
      <c r="AL74" s="340"/>
      <c r="AM74" s="340"/>
      <c r="AN74" s="335"/>
    </row>
    <row r="75" spans="1:42" s="336" customFormat="1" ht="12.75" customHeight="1">
      <c r="A75" s="338"/>
      <c r="B75" s="340"/>
      <c r="C75" s="340"/>
      <c r="D75" s="349"/>
      <c r="E75" s="2572" t="s">
        <v>809</v>
      </c>
      <c r="F75" s="2547"/>
      <c r="G75" s="371"/>
      <c r="H75" s="355" t="s">
        <v>2169</v>
      </c>
      <c r="I75" s="1188"/>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722"/>
      <c r="AK75" s="1189"/>
      <c r="AL75" s="340"/>
      <c r="AM75" s="340"/>
      <c r="AN75" s="335"/>
    </row>
    <row r="76" spans="1:42" s="336" customFormat="1" ht="12.75" customHeight="1">
      <c r="A76" s="338"/>
      <c r="B76" s="340"/>
      <c r="C76" s="340"/>
      <c r="D76" s="349"/>
      <c r="E76" s="2567" t="s">
        <v>809</v>
      </c>
      <c r="F76" s="2568"/>
      <c r="G76" s="371"/>
      <c r="H76" s="355" t="s">
        <v>2170</v>
      </c>
      <c r="I76" s="371"/>
      <c r="J76" s="371"/>
      <c r="K76" s="371"/>
      <c r="L76" s="371"/>
      <c r="M76" s="371"/>
      <c r="N76" s="371"/>
      <c r="O76" s="371"/>
      <c r="P76" s="371"/>
      <c r="Q76" s="371"/>
      <c r="R76" s="371"/>
      <c r="S76" s="371"/>
      <c r="T76" s="371"/>
      <c r="U76" s="371"/>
      <c r="V76" s="371"/>
      <c r="W76" s="371"/>
      <c r="X76" s="371"/>
      <c r="Y76" s="371"/>
      <c r="Z76" s="371"/>
      <c r="AA76" s="371"/>
      <c r="AB76" s="371"/>
      <c r="AC76" s="371"/>
      <c r="AD76" s="371"/>
      <c r="AE76" s="371"/>
      <c r="AF76" s="371"/>
      <c r="AG76" s="371"/>
      <c r="AH76" s="371"/>
      <c r="AI76" s="371"/>
      <c r="AJ76" s="722"/>
      <c r="AK76" s="1189"/>
      <c r="AL76" s="340"/>
      <c r="AM76" s="340"/>
      <c r="AN76" s="335"/>
    </row>
    <row r="77" spans="1:42" s="336" customFormat="1" ht="12.75" customHeight="1">
      <c r="A77" s="338"/>
      <c r="B77" s="340"/>
      <c r="C77" s="340"/>
      <c r="D77" s="349"/>
      <c r="E77" s="2567" t="s">
        <v>809</v>
      </c>
      <c r="F77" s="2568"/>
      <c r="G77" s="371"/>
      <c r="H77" s="355" t="s">
        <v>2171</v>
      </c>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c r="AJ77" s="722"/>
      <c r="AK77" s="1189"/>
      <c r="AL77" s="340"/>
      <c r="AM77" s="340"/>
      <c r="AN77" s="335"/>
    </row>
    <row r="78" spans="1:42" s="336" customFormat="1" ht="12.75" customHeight="1">
      <c r="A78" s="338"/>
      <c r="B78" s="340"/>
      <c r="C78" s="340"/>
      <c r="D78" s="349"/>
      <c r="E78" s="444"/>
      <c r="F78" s="371"/>
      <c r="G78" s="371"/>
      <c r="H78" s="371"/>
      <c r="I78" s="371"/>
      <c r="J78" s="371"/>
      <c r="K78" s="371"/>
      <c r="L78" s="371"/>
      <c r="M78" s="371"/>
      <c r="N78" s="371"/>
      <c r="O78" s="371"/>
      <c r="P78" s="371"/>
      <c r="Q78" s="371"/>
      <c r="R78" s="371"/>
      <c r="S78" s="371"/>
      <c r="T78" s="371"/>
      <c r="U78" s="371"/>
      <c r="V78" s="371"/>
      <c r="W78" s="371"/>
      <c r="X78" s="371"/>
      <c r="Y78" s="371"/>
      <c r="Z78" s="371"/>
      <c r="AA78" s="371"/>
      <c r="AB78" s="371"/>
      <c r="AC78" s="371"/>
      <c r="AD78" s="371"/>
      <c r="AE78" s="371"/>
      <c r="AF78" s="371"/>
      <c r="AG78" s="371"/>
      <c r="AH78" s="371"/>
      <c r="AI78" s="371"/>
      <c r="AJ78" s="722"/>
      <c r="AK78" s="1189"/>
      <c r="AL78" s="340"/>
      <c r="AM78" s="340"/>
      <c r="AN78" s="335"/>
    </row>
    <row r="79" spans="1:42" s="336" customFormat="1" ht="12.75" customHeight="1">
      <c r="A79" s="338"/>
      <c r="B79" s="340"/>
      <c r="C79" s="340"/>
      <c r="D79" s="349"/>
      <c r="E79" s="2572" t="s">
        <v>809</v>
      </c>
      <c r="F79" s="2547"/>
      <c r="G79" s="1193"/>
      <c r="H79" s="724" t="s">
        <v>2172</v>
      </c>
      <c r="I79" s="1193"/>
      <c r="J79" s="1193"/>
      <c r="K79" s="1193"/>
      <c r="L79" s="1193"/>
      <c r="M79" s="1193"/>
      <c r="N79" s="1193"/>
      <c r="O79" s="1193"/>
      <c r="P79" s="1193"/>
      <c r="Q79" s="1193"/>
      <c r="R79" s="1193"/>
      <c r="S79" s="1193"/>
      <c r="T79" s="1193"/>
      <c r="U79" s="1193"/>
      <c r="V79" s="1193"/>
      <c r="W79" s="1193"/>
      <c r="X79" s="1193"/>
      <c r="Y79" s="1193"/>
      <c r="Z79" s="1193"/>
      <c r="AA79" s="1193"/>
      <c r="AB79" s="1193"/>
      <c r="AC79" s="1193"/>
      <c r="AD79" s="1193"/>
      <c r="AE79" s="1193"/>
      <c r="AF79" s="1193"/>
      <c r="AG79" s="1193"/>
      <c r="AH79" s="1193"/>
      <c r="AI79" s="1193"/>
      <c r="AJ79" s="1194"/>
      <c r="AK79" s="1189"/>
      <c r="AL79" s="340"/>
      <c r="AM79" s="340"/>
      <c r="AN79" s="335"/>
    </row>
    <row r="80" spans="1:42" s="336" customFormat="1" ht="12.75" customHeight="1">
      <c r="A80" s="338"/>
      <c r="B80" s="340"/>
      <c r="C80" s="340"/>
      <c r="D80" s="350"/>
      <c r="E80" s="340"/>
      <c r="F80" s="340"/>
      <c r="G80" s="340"/>
      <c r="H80" s="340"/>
      <c r="I80" s="340"/>
      <c r="J80" s="340"/>
      <c r="K80" s="340"/>
      <c r="L80" s="340"/>
      <c r="M80" s="340"/>
      <c r="N80" s="340"/>
      <c r="O80" s="340"/>
      <c r="P80" s="340"/>
      <c r="Q80" s="340"/>
      <c r="R80" s="340"/>
      <c r="S80" s="340"/>
      <c r="T80" s="340"/>
      <c r="U80" s="340"/>
      <c r="V80" s="340"/>
      <c r="W80" s="340"/>
      <c r="X80" s="340"/>
      <c r="Y80" s="340"/>
      <c r="Z80" s="340"/>
      <c r="AA80" s="340"/>
      <c r="AB80" s="340"/>
      <c r="AC80" s="340"/>
      <c r="AD80" s="340"/>
      <c r="AE80" s="340"/>
      <c r="AF80" s="340"/>
      <c r="AG80" s="340"/>
      <c r="AH80" s="340"/>
      <c r="AI80" s="340"/>
      <c r="AJ80" s="340"/>
      <c r="AK80" s="1189"/>
      <c r="AL80" s="340"/>
      <c r="AM80" s="340"/>
      <c r="AN80" s="335"/>
    </row>
    <row r="81" spans="1:43" s="336" customFormat="1" ht="12.75" customHeight="1">
      <c r="A81" s="338"/>
      <c r="B81" s="2547" t="s">
        <v>809</v>
      </c>
      <c r="C81" s="2547"/>
      <c r="D81" s="346" t="s">
        <v>2173</v>
      </c>
      <c r="E81" s="2474" t="s">
        <v>2174</v>
      </c>
      <c r="F81" s="2475"/>
      <c r="G81" s="2475"/>
      <c r="H81" s="2475"/>
      <c r="I81" s="2475"/>
      <c r="J81" s="2475"/>
      <c r="K81" s="2475"/>
      <c r="L81" s="2475"/>
      <c r="M81" s="2475"/>
      <c r="N81" s="2475"/>
      <c r="O81" s="2475"/>
      <c r="P81" s="2475"/>
      <c r="Q81" s="2475"/>
      <c r="R81" s="2475"/>
      <c r="S81" s="2475"/>
      <c r="T81" s="2475"/>
      <c r="U81" s="2475"/>
      <c r="V81" s="2475"/>
      <c r="W81" s="2475"/>
      <c r="X81" s="2475"/>
      <c r="Y81" s="2475"/>
      <c r="Z81" s="2475"/>
      <c r="AA81" s="2475"/>
      <c r="AB81" s="2475"/>
      <c r="AC81" s="2475"/>
      <c r="AD81" s="2475"/>
      <c r="AE81" s="2475"/>
      <c r="AF81" s="2475"/>
      <c r="AG81" s="2475"/>
      <c r="AH81" s="2475"/>
      <c r="AI81" s="2475"/>
      <c r="AJ81" s="2476"/>
      <c r="AK81" s="1189"/>
      <c r="AL81" s="340"/>
      <c r="AM81" s="340"/>
      <c r="AN81" s="335"/>
    </row>
    <row r="82" spans="1:43" s="336" customFormat="1" ht="12.75" customHeight="1">
      <c r="A82" s="338"/>
      <c r="B82" s="340"/>
      <c r="C82" s="340"/>
      <c r="D82" s="349"/>
      <c r="E82" s="2499"/>
      <c r="F82" s="2500"/>
      <c r="G82" s="2500"/>
      <c r="H82" s="2500"/>
      <c r="I82" s="2500"/>
      <c r="J82" s="2500"/>
      <c r="K82" s="2500"/>
      <c r="L82" s="2500"/>
      <c r="M82" s="2500"/>
      <c r="N82" s="2500"/>
      <c r="O82" s="2500"/>
      <c r="P82" s="2500"/>
      <c r="Q82" s="2500"/>
      <c r="R82" s="2500"/>
      <c r="S82" s="2500"/>
      <c r="T82" s="2500"/>
      <c r="U82" s="2500"/>
      <c r="V82" s="2500"/>
      <c r="W82" s="2500"/>
      <c r="X82" s="2500"/>
      <c r="Y82" s="2500"/>
      <c r="Z82" s="2500"/>
      <c r="AA82" s="2500"/>
      <c r="AB82" s="2500"/>
      <c r="AC82" s="2500"/>
      <c r="AD82" s="2500"/>
      <c r="AE82" s="2500"/>
      <c r="AF82" s="2500"/>
      <c r="AG82" s="2500"/>
      <c r="AH82" s="2500"/>
      <c r="AI82" s="2500"/>
      <c r="AJ82" s="2501"/>
      <c r="AK82" s="1189"/>
      <c r="AL82" s="340"/>
      <c r="AM82" s="340"/>
      <c r="AN82" s="335"/>
    </row>
    <row r="83" spans="1:43" s="336" customFormat="1" ht="12.75" customHeight="1">
      <c r="A83" s="338"/>
      <c r="B83" s="340"/>
      <c r="C83" s="340"/>
      <c r="D83" s="349"/>
      <c r="E83" s="340"/>
      <c r="F83" s="340"/>
      <c r="G83" s="340"/>
      <c r="H83" s="340"/>
      <c r="I83" s="340"/>
      <c r="J83" s="340"/>
      <c r="K83" s="340"/>
      <c r="L83" s="340"/>
      <c r="M83" s="340"/>
      <c r="N83" s="340"/>
      <c r="O83" s="340"/>
      <c r="P83" s="340"/>
      <c r="Q83" s="340"/>
      <c r="R83" s="340"/>
      <c r="S83" s="340"/>
      <c r="T83" s="340"/>
      <c r="U83" s="340"/>
      <c r="V83" s="340"/>
      <c r="W83" s="340"/>
      <c r="X83" s="340"/>
      <c r="Y83" s="340"/>
      <c r="Z83" s="340"/>
      <c r="AA83" s="340"/>
      <c r="AB83" s="340"/>
      <c r="AC83" s="340"/>
      <c r="AD83" s="340"/>
      <c r="AE83" s="340"/>
      <c r="AF83" s="340"/>
      <c r="AG83" s="340"/>
      <c r="AH83" s="340"/>
      <c r="AI83" s="340"/>
      <c r="AJ83" s="340"/>
      <c r="AK83" s="1189"/>
      <c r="AL83" s="340"/>
      <c r="AM83" s="340"/>
      <c r="AN83" s="335"/>
    </row>
    <row r="84" spans="1:43" s="336" customFormat="1" ht="12.75" customHeight="1">
      <c r="A84" s="358"/>
      <c r="B84" s="359"/>
      <c r="C84" s="359"/>
      <c r="D84" s="359"/>
      <c r="E84" s="359"/>
      <c r="F84" s="359"/>
      <c r="G84" s="360"/>
      <c r="H84" s="361"/>
      <c r="I84" s="361"/>
      <c r="J84" s="361"/>
      <c r="K84" s="361"/>
      <c r="L84" s="361"/>
      <c r="M84" s="361"/>
      <c r="N84" s="361"/>
      <c r="O84" s="361"/>
      <c r="P84" s="361"/>
      <c r="Q84" s="361"/>
      <c r="R84" s="361"/>
      <c r="S84" s="361"/>
      <c r="T84" s="361"/>
      <c r="U84" s="361"/>
      <c r="V84" s="361"/>
      <c r="W84" s="361"/>
      <c r="X84" s="361"/>
      <c r="Y84" s="361"/>
      <c r="Z84" s="361"/>
      <c r="AA84" s="361"/>
      <c r="AB84" s="361"/>
      <c r="AC84" s="361"/>
      <c r="AD84" s="361"/>
      <c r="AE84" s="361"/>
      <c r="AF84" s="361"/>
      <c r="AG84" s="361"/>
      <c r="AH84" s="361"/>
      <c r="AI84" s="362"/>
      <c r="AJ84" s="362" t="s">
        <v>2175</v>
      </c>
      <c r="AK84" s="2520">
        <f>IF(AK62&gt;0,0,AO71)</f>
        <v>10</v>
      </c>
      <c r="AL84" s="2521"/>
      <c r="AM84" s="2522"/>
      <c r="AN84" s="335"/>
    </row>
    <row r="85" spans="1:43" s="336" customFormat="1" ht="12.75" customHeight="1" thickBot="1">
      <c r="A85" s="363"/>
      <c r="B85" s="364"/>
      <c r="C85" s="365"/>
      <c r="D85" s="365"/>
      <c r="E85" s="365"/>
      <c r="F85" s="365"/>
      <c r="G85" s="365"/>
      <c r="H85" s="365"/>
      <c r="I85" s="365"/>
      <c r="J85" s="365"/>
      <c r="K85" s="365"/>
      <c r="L85" s="365"/>
      <c r="M85" s="365"/>
      <c r="N85" s="365"/>
      <c r="O85" s="365"/>
      <c r="P85" s="365"/>
      <c r="Q85" s="365"/>
      <c r="R85" s="365"/>
      <c r="S85" s="365"/>
      <c r="T85" s="365"/>
      <c r="U85" s="365"/>
      <c r="V85" s="365"/>
      <c r="W85" s="365"/>
      <c r="X85" s="365"/>
      <c r="Y85" s="365"/>
      <c r="Z85" s="365"/>
      <c r="AA85" s="365"/>
      <c r="AB85" s="365"/>
      <c r="AC85" s="365"/>
      <c r="AD85" s="365"/>
      <c r="AE85" s="365"/>
      <c r="AF85" s="365"/>
      <c r="AG85" s="365"/>
      <c r="AH85" s="365"/>
      <c r="AI85" s="365"/>
      <c r="AJ85" s="365"/>
      <c r="AK85" s="365"/>
      <c r="AL85" s="365"/>
      <c r="AM85" s="366"/>
      <c r="AN85" s="335"/>
    </row>
    <row r="86" spans="1:43" s="336" customFormat="1" ht="12.75" customHeight="1" thickTop="1">
      <c r="A86" s="367"/>
      <c r="B86" s="368"/>
      <c r="C86" s="369"/>
      <c r="D86" s="369"/>
      <c r="E86" s="369"/>
      <c r="F86" s="369"/>
      <c r="G86" s="369"/>
      <c r="H86" s="369"/>
      <c r="I86" s="1209"/>
      <c r="J86" s="1209"/>
      <c r="K86" s="1209"/>
      <c r="L86" s="1209"/>
      <c r="M86" s="1209"/>
      <c r="N86" s="1209"/>
      <c r="O86" s="1209"/>
      <c r="P86" s="1209"/>
      <c r="Q86" s="1209"/>
      <c r="R86" s="367"/>
      <c r="S86" s="339"/>
      <c r="T86" s="339"/>
      <c r="U86" s="339"/>
      <c r="V86" s="339"/>
      <c r="W86" s="339"/>
      <c r="X86" s="339"/>
      <c r="Y86" s="339"/>
      <c r="Z86" s="339"/>
      <c r="AA86" s="339"/>
      <c r="AB86" s="339"/>
      <c r="AC86" s="339"/>
      <c r="AD86" s="339"/>
      <c r="AE86" s="339"/>
      <c r="AF86" s="367"/>
      <c r="AG86" s="339"/>
      <c r="AH86" s="339"/>
      <c r="AI86" s="339"/>
      <c r="AJ86" s="339"/>
      <c r="AK86" s="349"/>
      <c r="AL86" s="349"/>
      <c r="AM86" s="349"/>
      <c r="AN86" s="335"/>
    </row>
    <row r="87" spans="1:43" s="336" customFormat="1" ht="12.75" customHeight="1">
      <c r="A87" s="338" t="s">
        <v>2176</v>
      </c>
      <c r="B87" s="339" t="s">
        <v>2177</v>
      </c>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2394" t="s">
        <v>2138</v>
      </c>
      <c r="AF87" s="2394"/>
      <c r="AG87" s="2394"/>
      <c r="AH87" s="2394"/>
      <c r="AI87" s="2394"/>
      <c r="AJ87" s="2394"/>
      <c r="AK87" s="2394"/>
      <c r="AL87" s="340"/>
      <c r="AM87" s="340"/>
      <c r="AN87" s="335"/>
    </row>
    <row r="88" spans="1:43" s="336" customFormat="1" ht="12.75" customHeight="1">
      <c r="A88" s="338"/>
      <c r="B88" s="339" t="s">
        <v>2178</v>
      </c>
      <c r="C88" s="339"/>
      <c r="D88" s="339"/>
      <c r="E88" s="339"/>
      <c r="F88" s="339"/>
      <c r="G88" s="339"/>
      <c r="H88" s="339"/>
      <c r="I88" s="339"/>
      <c r="J88" s="339"/>
      <c r="K88" s="339"/>
      <c r="L88" s="339"/>
      <c r="M88" s="339"/>
      <c r="N88" s="339"/>
      <c r="O88" s="339"/>
      <c r="P88" s="339"/>
      <c r="Q88" s="339"/>
      <c r="R88" s="339"/>
      <c r="S88" s="339"/>
      <c r="T88" s="339"/>
      <c r="U88" s="339"/>
      <c r="V88" s="339"/>
      <c r="W88" s="339"/>
      <c r="X88" s="339"/>
      <c r="Y88" s="339"/>
      <c r="Z88" s="339"/>
      <c r="AA88" s="339"/>
      <c r="AB88" s="339"/>
      <c r="AC88" s="339"/>
      <c r="AD88" s="339"/>
      <c r="AE88" s="1189"/>
      <c r="AF88" s="1189"/>
      <c r="AG88" s="1189"/>
      <c r="AH88" s="1189"/>
      <c r="AI88" s="1189"/>
      <c r="AJ88" s="1189"/>
      <c r="AK88" s="1189"/>
      <c r="AL88" s="340"/>
      <c r="AM88" s="340"/>
      <c r="AN88" s="335"/>
    </row>
    <row r="89" spans="1:43" s="336" customFormat="1" ht="12.75" customHeight="1">
      <c r="A89" s="338"/>
      <c r="B89" s="339"/>
      <c r="C89" s="339"/>
      <c r="D89" s="339"/>
      <c r="E89" s="339"/>
      <c r="F89" s="339"/>
      <c r="G89" s="339"/>
      <c r="H89" s="339"/>
      <c r="I89" s="339"/>
      <c r="J89" s="339"/>
      <c r="K89" s="339"/>
      <c r="L89" s="339"/>
      <c r="M89" s="339"/>
      <c r="N89" s="339"/>
      <c r="O89" s="339"/>
      <c r="P89" s="339"/>
      <c r="Q89" s="339"/>
      <c r="R89" s="339"/>
      <c r="S89" s="339"/>
      <c r="T89" s="339"/>
      <c r="U89" s="339"/>
      <c r="V89" s="339"/>
      <c r="W89" s="339"/>
      <c r="X89" s="339"/>
      <c r="Y89" s="339"/>
      <c r="Z89" s="339"/>
      <c r="AA89" s="339"/>
      <c r="AB89" s="339"/>
      <c r="AC89" s="339"/>
      <c r="AD89" s="339"/>
      <c r="AE89" s="1189"/>
      <c r="AF89" s="1189"/>
      <c r="AG89" s="1189"/>
      <c r="AH89" s="1189"/>
      <c r="AI89" s="1189"/>
      <c r="AJ89" s="1189"/>
      <c r="AK89" s="1189"/>
      <c r="AL89" s="340"/>
      <c r="AM89" s="340"/>
      <c r="AN89" s="335"/>
    </row>
    <row r="90" spans="1:43" s="336" customFormat="1" ht="12.75" customHeight="1">
      <c r="A90" s="338"/>
      <c r="B90" s="2547" t="s">
        <v>809</v>
      </c>
      <c r="C90" s="2547"/>
      <c r="D90" s="346" t="s">
        <v>2164</v>
      </c>
      <c r="E90" s="2539" t="s">
        <v>2179</v>
      </c>
      <c r="F90" s="2540"/>
      <c r="G90" s="2540"/>
      <c r="H90" s="2540"/>
      <c r="I90" s="2540"/>
      <c r="J90" s="2540"/>
      <c r="K90" s="2540"/>
      <c r="L90" s="2540"/>
      <c r="M90" s="2540"/>
      <c r="N90" s="2540"/>
      <c r="O90" s="2540"/>
      <c r="P90" s="2540"/>
      <c r="Q90" s="2540"/>
      <c r="R90" s="2540"/>
      <c r="S90" s="2540"/>
      <c r="T90" s="2540"/>
      <c r="U90" s="2540"/>
      <c r="V90" s="2540"/>
      <c r="W90" s="2540"/>
      <c r="X90" s="2540"/>
      <c r="Y90" s="2540"/>
      <c r="Z90" s="2540"/>
      <c r="AA90" s="2540"/>
      <c r="AB90" s="2540"/>
      <c r="AC90" s="2540"/>
      <c r="AD90" s="2540"/>
      <c r="AE90" s="2540"/>
      <c r="AF90" s="2540"/>
      <c r="AG90" s="2540"/>
      <c r="AH90" s="2540"/>
      <c r="AI90" s="2540"/>
      <c r="AJ90" s="2541"/>
      <c r="AK90" s="1189"/>
      <c r="AL90" s="340"/>
      <c r="AM90" s="340"/>
      <c r="AN90" s="335"/>
    </row>
    <row r="91" spans="1:43" s="336" customFormat="1" ht="12.75" customHeight="1">
      <c r="A91" s="338"/>
      <c r="B91" s="339"/>
      <c r="C91" s="339"/>
      <c r="D91" s="339"/>
      <c r="E91" s="2542"/>
      <c r="F91" s="2543"/>
      <c r="G91" s="2543"/>
      <c r="H91" s="2543"/>
      <c r="I91" s="2543"/>
      <c r="J91" s="2543"/>
      <c r="K91" s="2543"/>
      <c r="L91" s="2543"/>
      <c r="M91" s="2543"/>
      <c r="N91" s="2543"/>
      <c r="O91" s="2543"/>
      <c r="P91" s="2543"/>
      <c r="Q91" s="2543"/>
      <c r="R91" s="2543"/>
      <c r="S91" s="2543"/>
      <c r="T91" s="2543"/>
      <c r="U91" s="2543"/>
      <c r="V91" s="2543"/>
      <c r="W91" s="2543"/>
      <c r="X91" s="2543"/>
      <c r="Y91" s="2543"/>
      <c r="Z91" s="2543"/>
      <c r="AA91" s="2543"/>
      <c r="AB91" s="2543"/>
      <c r="AC91" s="2543"/>
      <c r="AD91" s="2543"/>
      <c r="AE91" s="2543"/>
      <c r="AF91" s="2543"/>
      <c r="AG91" s="2543"/>
      <c r="AH91" s="2543"/>
      <c r="AI91" s="2543"/>
      <c r="AJ91" s="2544"/>
      <c r="AK91" s="1189"/>
      <c r="AL91" s="340"/>
      <c r="AM91" s="340"/>
      <c r="AN91" s="335"/>
    </row>
    <row r="92" spans="1:43" s="336" customFormat="1" ht="12.75" customHeight="1">
      <c r="A92" s="338"/>
      <c r="B92" s="339"/>
      <c r="C92" s="339"/>
      <c r="D92" s="339"/>
      <c r="E92" s="372"/>
      <c r="F92" s="373"/>
      <c r="G92" s="373"/>
      <c r="H92" s="373"/>
      <c r="I92" s="373"/>
      <c r="J92" s="373"/>
      <c r="K92" s="373"/>
      <c r="L92" s="373"/>
      <c r="M92" s="373"/>
      <c r="N92" s="373"/>
      <c r="O92" s="373"/>
      <c r="P92" s="373"/>
      <c r="Q92" s="373"/>
      <c r="R92" s="373"/>
      <c r="S92" s="373"/>
      <c r="T92" s="373"/>
      <c r="U92" s="373"/>
      <c r="V92" s="373"/>
      <c r="W92" s="373"/>
      <c r="X92" s="373"/>
      <c r="Y92" s="373"/>
      <c r="Z92" s="374"/>
      <c r="AA92" s="374"/>
      <c r="AB92" s="374"/>
      <c r="AC92" s="373"/>
      <c r="AD92" s="373"/>
      <c r="AE92" s="373"/>
      <c r="AF92" s="373"/>
      <c r="AG92" s="373"/>
      <c r="AH92" s="373"/>
      <c r="AI92" s="373"/>
      <c r="AJ92" s="375"/>
      <c r="AK92" s="1189"/>
      <c r="AL92" s="340"/>
      <c r="AM92" s="340"/>
      <c r="AN92" s="335"/>
    </row>
    <row r="93" spans="1:43" s="336" customFormat="1" ht="12.75" customHeight="1">
      <c r="A93" s="338"/>
      <c r="B93" s="339"/>
      <c r="C93" s="339"/>
      <c r="D93" s="339"/>
      <c r="E93" s="2535">
        <f>Application!AC753</f>
        <v>0.59842519685039375</v>
      </c>
      <c r="F93" s="2536"/>
      <c r="G93" s="2536"/>
      <c r="H93" s="2536"/>
      <c r="I93" s="373"/>
      <c r="J93" s="376" t="s">
        <v>2180</v>
      </c>
      <c r="K93" s="373"/>
      <c r="L93" s="373"/>
      <c r="M93" s="373"/>
      <c r="N93" s="373"/>
      <c r="O93" s="373"/>
      <c r="P93" s="373"/>
      <c r="Q93" s="373"/>
      <c r="R93" s="373"/>
      <c r="S93" s="373"/>
      <c r="T93" s="373"/>
      <c r="U93" s="373"/>
      <c r="V93" s="373"/>
      <c r="W93" s="373"/>
      <c r="X93" s="373"/>
      <c r="Y93" s="373"/>
      <c r="Z93" s="377"/>
      <c r="AA93" s="377"/>
      <c r="AB93" s="377"/>
      <c r="AC93" s="373"/>
      <c r="AD93" s="373"/>
      <c r="AE93" s="373"/>
      <c r="AF93" s="373"/>
      <c r="AG93" s="373"/>
      <c r="AH93" s="373"/>
      <c r="AI93" s="373"/>
      <c r="AJ93" s="375"/>
      <c r="AK93" s="1189"/>
      <c r="AL93" s="340"/>
      <c r="AM93" s="340"/>
      <c r="AN93" s="335"/>
    </row>
    <row r="94" spans="1:43" s="336" customFormat="1" ht="12.75" customHeight="1">
      <c r="A94" s="338"/>
      <c r="B94" s="339"/>
      <c r="C94" s="339"/>
      <c r="D94" s="339"/>
      <c r="E94" s="2566">
        <f>0.6-ROUNDUP(E93,2)</f>
        <v>0</v>
      </c>
      <c r="F94" s="2341"/>
      <c r="G94" s="2341"/>
      <c r="H94" s="2341"/>
      <c r="I94" s="373"/>
      <c r="J94" s="376" t="s">
        <v>2181</v>
      </c>
      <c r="K94" s="373"/>
      <c r="L94" s="373"/>
      <c r="M94" s="373"/>
      <c r="N94" s="373"/>
      <c r="O94" s="373"/>
      <c r="P94" s="373"/>
      <c r="Q94" s="373"/>
      <c r="R94" s="373"/>
      <c r="S94" s="373"/>
      <c r="T94" s="373"/>
      <c r="U94" s="373"/>
      <c r="V94" s="373"/>
      <c r="W94" s="373"/>
      <c r="X94" s="373"/>
      <c r="Y94" s="373"/>
      <c r="Z94" s="373"/>
      <c r="AA94" s="373"/>
      <c r="AB94" s="373"/>
      <c r="AC94" s="373"/>
      <c r="AD94" s="373"/>
      <c r="AE94" s="373"/>
      <c r="AF94" s="373"/>
      <c r="AG94" s="373"/>
      <c r="AH94" s="373"/>
      <c r="AI94" s="373"/>
      <c r="AJ94" s="375"/>
      <c r="AK94" s="1189"/>
      <c r="AL94" s="340"/>
      <c r="AM94" s="340"/>
      <c r="AN94" s="335"/>
    </row>
    <row r="95" spans="1:43" s="336" customFormat="1" ht="12.75" customHeight="1">
      <c r="A95" s="338"/>
      <c r="B95" s="339"/>
      <c r="C95" s="339"/>
      <c r="D95" s="339"/>
      <c r="E95" s="2551">
        <f>IF(E94*200&gt;20,20,E94*200)</f>
        <v>0</v>
      </c>
      <c r="F95" s="2552"/>
      <c r="G95" s="2552"/>
      <c r="H95" s="2552"/>
      <c r="I95" s="373"/>
      <c r="J95" s="376" t="s">
        <v>2182</v>
      </c>
      <c r="K95" s="373"/>
      <c r="L95" s="373"/>
      <c r="M95" s="373"/>
      <c r="N95" s="373"/>
      <c r="O95" s="373"/>
      <c r="P95" s="373"/>
      <c r="Q95" s="373"/>
      <c r="R95" s="373"/>
      <c r="S95" s="373"/>
      <c r="T95" s="373"/>
      <c r="U95" s="373"/>
      <c r="V95" s="373"/>
      <c r="W95" s="373"/>
      <c r="X95" s="373"/>
      <c r="Y95" s="373"/>
      <c r="Z95" s="373"/>
      <c r="AA95" s="373"/>
      <c r="AB95" s="373"/>
      <c r="AC95" s="373"/>
      <c r="AD95" s="373"/>
      <c r="AE95" s="373"/>
      <c r="AF95" s="373"/>
      <c r="AG95" s="373"/>
      <c r="AH95" s="373"/>
      <c r="AI95" s="373"/>
      <c r="AJ95" s="375"/>
      <c r="AK95" s="1189"/>
      <c r="AL95" s="340"/>
      <c r="AM95" s="340"/>
      <c r="AN95" s="335"/>
      <c r="AP95" s="336">
        <f>IF(B90="yes",E95,0)</f>
        <v>0</v>
      </c>
      <c r="AQ95" s="336" t="s">
        <v>2144</v>
      </c>
    </row>
    <row r="96" spans="1:43" s="336" customFormat="1" ht="12.75" customHeight="1">
      <c r="A96" s="338"/>
      <c r="B96" s="339"/>
      <c r="C96" s="339"/>
      <c r="D96" s="339"/>
      <c r="E96" s="378"/>
      <c r="F96" s="379"/>
      <c r="G96" s="379"/>
      <c r="H96" s="379"/>
      <c r="I96" s="379"/>
      <c r="J96" s="379"/>
      <c r="K96" s="379"/>
      <c r="L96" s="379"/>
      <c r="M96" s="379"/>
      <c r="N96" s="379"/>
      <c r="O96" s="379"/>
      <c r="P96" s="379"/>
      <c r="Q96" s="379"/>
      <c r="R96" s="379"/>
      <c r="S96" s="379"/>
      <c r="T96" s="379"/>
      <c r="U96" s="379"/>
      <c r="V96" s="379"/>
      <c r="W96" s="379"/>
      <c r="X96" s="379"/>
      <c r="Y96" s="379"/>
      <c r="Z96" s="379"/>
      <c r="AA96" s="379"/>
      <c r="AB96" s="379"/>
      <c r="AC96" s="379"/>
      <c r="AD96" s="379"/>
      <c r="AE96" s="380"/>
      <c r="AF96" s="380"/>
      <c r="AG96" s="380"/>
      <c r="AH96" s="380"/>
      <c r="AI96" s="380"/>
      <c r="AJ96" s="381"/>
      <c r="AK96" s="1189"/>
      <c r="AL96" s="340"/>
      <c r="AM96" s="340"/>
      <c r="AN96" s="335"/>
    </row>
    <row r="97" spans="1:47" s="336" customFormat="1" ht="12.75" customHeight="1">
      <c r="A97" s="338"/>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c r="Z97" s="339"/>
      <c r="AA97" s="339"/>
      <c r="AB97" s="339"/>
      <c r="AC97" s="339"/>
      <c r="AD97" s="339"/>
      <c r="AE97" s="1189"/>
      <c r="AF97" s="1189"/>
      <c r="AG97" s="1189"/>
      <c r="AH97" s="1189"/>
      <c r="AI97" s="1189"/>
      <c r="AJ97" s="1189"/>
      <c r="AK97" s="1189"/>
      <c r="AL97" s="340"/>
      <c r="AM97" s="340"/>
      <c r="AN97" s="335"/>
    </row>
    <row r="98" spans="1:47" s="336" customFormat="1" ht="12.75" customHeight="1">
      <c r="A98" s="338"/>
      <c r="B98" s="2547" t="s">
        <v>694</v>
      </c>
      <c r="C98" s="2547"/>
      <c r="D98" s="346" t="s">
        <v>2167</v>
      </c>
      <c r="E98" s="2539" t="s">
        <v>2183</v>
      </c>
      <c r="F98" s="2540"/>
      <c r="G98" s="2540"/>
      <c r="H98" s="2540"/>
      <c r="I98" s="2540"/>
      <c r="J98" s="2540"/>
      <c r="K98" s="2540"/>
      <c r="L98" s="2540"/>
      <c r="M98" s="2540"/>
      <c r="N98" s="2540"/>
      <c r="O98" s="2540"/>
      <c r="P98" s="2540"/>
      <c r="Q98" s="2540"/>
      <c r="R98" s="2540"/>
      <c r="S98" s="2540"/>
      <c r="T98" s="2540"/>
      <c r="U98" s="2540"/>
      <c r="V98" s="2540"/>
      <c r="W98" s="2540"/>
      <c r="X98" s="2540"/>
      <c r="Y98" s="2540"/>
      <c r="Z98" s="2540"/>
      <c r="AA98" s="2540"/>
      <c r="AB98" s="2540"/>
      <c r="AC98" s="2540"/>
      <c r="AD98" s="2540"/>
      <c r="AE98" s="2540"/>
      <c r="AF98" s="2540"/>
      <c r="AG98" s="2540"/>
      <c r="AH98" s="2540"/>
      <c r="AI98" s="2540"/>
      <c r="AJ98" s="2541"/>
      <c r="AK98" s="1189"/>
      <c r="AL98" s="340"/>
      <c r="AM98" s="340"/>
      <c r="AN98" s="335"/>
    </row>
    <row r="99" spans="1:47" s="336" customFormat="1" ht="12.75" customHeight="1">
      <c r="A99" s="338"/>
      <c r="B99" s="339"/>
      <c r="C99" s="339"/>
      <c r="D99" s="339"/>
      <c r="E99" s="2542"/>
      <c r="F99" s="2543"/>
      <c r="G99" s="2543"/>
      <c r="H99" s="2543"/>
      <c r="I99" s="2543"/>
      <c r="J99" s="2543"/>
      <c r="K99" s="2543"/>
      <c r="L99" s="2543"/>
      <c r="M99" s="2543"/>
      <c r="N99" s="2543"/>
      <c r="O99" s="2543"/>
      <c r="P99" s="2543"/>
      <c r="Q99" s="2543"/>
      <c r="R99" s="2543"/>
      <c r="S99" s="2543"/>
      <c r="T99" s="2543"/>
      <c r="U99" s="2543"/>
      <c r="V99" s="2543"/>
      <c r="W99" s="2543"/>
      <c r="X99" s="2543"/>
      <c r="Y99" s="2543"/>
      <c r="Z99" s="2543"/>
      <c r="AA99" s="2543"/>
      <c r="AB99" s="2543"/>
      <c r="AC99" s="2543"/>
      <c r="AD99" s="2543"/>
      <c r="AE99" s="2543"/>
      <c r="AF99" s="2543"/>
      <c r="AG99" s="2543"/>
      <c r="AH99" s="2543"/>
      <c r="AI99" s="2543"/>
      <c r="AJ99" s="2544"/>
      <c r="AK99" s="1189"/>
      <c r="AL99" s="340"/>
      <c r="AM99" s="340"/>
      <c r="AN99" s="335"/>
    </row>
    <row r="100" spans="1:47" s="336" customFormat="1" ht="12.75" customHeight="1">
      <c r="A100" s="338"/>
      <c r="B100" s="339"/>
      <c r="C100" s="339"/>
      <c r="D100" s="339"/>
      <c r="E100" s="2542"/>
      <c r="F100" s="2543"/>
      <c r="G100" s="2543"/>
      <c r="H100" s="2543"/>
      <c r="I100" s="2543"/>
      <c r="J100" s="2543"/>
      <c r="K100" s="2543"/>
      <c r="L100" s="2543"/>
      <c r="M100" s="2543"/>
      <c r="N100" s="2543"/>
      <c r="O100" s="2543"/>
      <c r="P100" s="2543"/>
      <c r="Q100" s="2543"/>
      <c r="R100" s="2543"/>
      <c r="S100" s="2543"/>
      <c r="T100" s="2543"/>
      <c r="U100" s="2543"/>
      <c r="V100" s="2543"/>
      <c r="W100" s="2543"/>
      <c r="X100" s="2543"/>
      <c r="Y100" s="2543"/>
      <c r="Z100" s="2543"/>
      <c r="AA100" s="2543"/>
      <c r="AB100" s="2543"/>
      <c r="AC100" s="2543"/>
      <c r="AD100" s="2543"/>
      <c r="AE100" s="2543"/>
      <c r="AF100" s="2543"/>
      <c r="AG100" s="2543"/>
      <c r="AH100" s="2543"/>
      <c r="AI100" s="2543"/>
      <c r="AJ100" s="2544"/>
      <c r="AK100" s="1189"/>
      <c r="AL100" s="340"/>
      <c r="AM100" s="340"/>
      <c r="AN100" s="335"/>
    </row>
    <row r="101" spans="1:47" s="336" customFormat="1" ht="12.75" customHeight="1">
      <c r="A101" s="338"/>
      <c r="B101" s="339"/>
      <c r="C101" s="339"/>
      <c r="D101" s="339"/>
      <c r="E101" s="2542"/>
      <c r="F101" s="2543"/>
      <c r="G101" s="2543"/>
      <c r="H101" s="2543"/>
      <c r="I101" s="2543"/>
      <c r="J101" s="2543"/>
      <c r="K101" s="2543"/>
      <c r="L101" s="2543"/>
      <c r="M101" s="2543"/>
      <c r="N101" s="2543"/>
      <c r="O101" s="2543"/>
      <c r="P101" s="2543"/>
      <c r="Q101" s="2543"/>
      <c r="R101" s="2543"/>
      <c r="S101" s="2543"/>
      <c r="T101" s="2543"/>
      <c r="U101" s="2543"/>
      <c r="V101" s="2543"/>
      <c r="W101" s="2543"/>
      <c r="X101" s="2543"/>
      <c r="Y101" s="2543"/>
      <c r="Z101" s="2543"/>
      <c r="AA101" s="2543"/>
      <c r="AB101" s="2543"/>
      <c r="AC101" s="2543"/>
      <c r="AD101" s="2543"/>
      <c r="AE101" s="2543"/>
      <c r="AF101" s="2543"/>
      <c r="AG101" s="2543"/>
      <c r="AH101" s="2543"/>
      <c r="AI101" s="2543"/>
      <c r="AJ101" s="2544"/>
      <c r="AK101" s="1189"/>
      <c r="AL101" s="340"/>
      <c r="AM101" s="340"/>
      <c r="AN101" s="335"/>
    </row>
    <row r="102" spans="1:47" s="336" customFormat="1" ht="12.75" customHeight="1">
      <c r="A102" s="338"/>
      <c r="B102" s="339"/>
      <c r="C102" s="339"/>
      <c r="D102" s="339"/>
      <c r="E102" s="1190"/>
      <c r="F102" s="1191"/>
      <c r="G102" s="1191"/>
      <c r="H102" s="1191"/>
      <c r="I102" s="1191"/>
      <c r="J102" s="1191"/>
      <c r="K102" s="1191"/>
      <c r="L102" s="1191"/>
      <c r="M102" s="1191"/>
      <c r="N102" s="1191"/>
      <c r="O102" s="1191"/>
      <c r="P102" s="1191"/>
      <c r="Q102" s="1191"/>
      <c r="R102" s="1191"/>
      <c r="S102" s="1191"/>
      <c r="T102" s="1191"/>
      <c r="U102" s="1191"/>
      <c r="V102" s="1191"/>
      <c r="W102" s="1191"/>
      <c r="X102" s="1191"/>
      <c r="Y102" s="1191"/>
      <c r="Z102" s="1191"/>
      <c r="AA102" s="1191"/>
      <c r="AB102" s="1191"/>
      <c r="AC102" s="1191"/>
      <c r="AD102" s="1191"/>
      <c r="AE102" s="1191"/>
      <c r="AF102" s="1191"/>
      <c r="AG102" s="1191"/>
      <c r="AH102" s="1191"/>
      <c r="AI102" s="1191"/>
      <c r="AJ102" s="1192"/>
      <c r="AK102" s="1189"/>
      <c r="AL102" s="340"/>
      <c r="AM102" s="340"/>
      <c r="AN102" s="335"/>
    </row>
    <row r="103" spans="1:47" s="336" customFormat="1" ht="12.75" customHeight="1">
      <c r="A103" s="338"/>
      <c r="B103" s="339"/>
      <c r="C103" s="339"/>
      <c r="D103" s="339"/>
      <c r="E103" s="2535">
        <f>Application!AC753</f>
        <v>0.59842519685039375</v>
      </c>
      <c r="F103" s="2536"/>
      <c r="G103" s="2536"/>
      <c r="H103" s="2536"/>
      <c r="I103" s="373"/>
      <c r="J103" s="376" t="s">
        <v>2180</v>
      </c>
      <c r="K103" s="373"/>
      <c r="L103" s="373"/>
      <c r="M103" s="373"/>
      <c r="N103" s="373"/>
      <c r="O103" s="373"/>
      <c r="P103" s="373"/>
      <c r="Q103" s="373"/>
      <c r="R103" s="1191"/>
      <c r="S103" s="1191"/>
      <c r="T103" s="1191"/>
      <c r="U103" s="1191"/>
      <c r="V103" s="1191"/>
      <c r="W103" s="1191"/>
      <c r="X103" s="1191"/>
      <c r="Y103" s="1191"/>
      <c r="Z103" s="1191"/>
      <c r="AA103" s="1191"/>
      <c r="AB103" s="1191"/>
      <c r="AC103" s="1191"/>
      <c r="AD103" s="1191"/>
      <c r="AE103" s="1191"/>
      <c r="AF103" s="1191"/>
      <c r="AG103" s="1191"/>
      <c r="AH103" s="1191"/>
      <c r="AI103" s="1191"/>
      <c r="AJ103" s="1192"/>
      <c r="AK103" s="1189"/>
      <c r="AL103" s="340"/>
      <c r="AM103" s="340"/>
      <c r="AN103" s="335"/>
    </row>
    <row r="104" spans="1:47" s="336" customFormat="1" ht="12.75" customHeight="1">
      <c r="A104" s="338"/>
      <c r="B104" s="339"/>
      <c r="C104" s="339"/>
      <c r="D104" s="339"/>
      <c r="E104" s="2535">
        <f ca="1">SUMIF(Application!AC718:AG752,0.2,Application!G718:J752)/Application!G753+SUMIF(Application!AC718:AG752,0.25,Application!G718:J752)/Application!G753+SUMIF(Application!AC718:AG752,0.3,Application!G718:J752)/Application!G753</f>
        <v>0.11023622047244094</v>
      </c>
      <c r="F104" s="2536"/>
      <c r="G104" s="2536"/>
      <c r="H104" s="2536"/>
      <c r="I104" s="373"/>
      <c r="J104" s="376" t="s">
        <v>2184</v>
      </c>
      <c r="K104" s="373"/>
      <c r="L104" s="373"/>
      <c r="M104" s="373"/>
      <c r="N104" s="373"/>
      <c r="O104" s="373"/>
      <c r="P104" s="373"/>
      <c r="Q104" s="373"/>
      <c r="R104" s="1191"/>
      <c r="S104" s="1191"/>
      <c r="T104" s="1191"/>
      <c r="U104" s="1191"/>
      <c r="V104" s="1191"/>
      <c r="W104" s="1191"/>
      <c r="X104" s="1191"/>
      <c r="Y104" s="1191"/>
      <c r="Z104" s="1191"/>
      <c r="AA104" s="1191"/>
      <c r="AB104" s="1191"/>
      <c r="AC104" s="1191"/>
      <c r="AD104" s="1191"/>
      <c r="AE104" s="1191"/>
      <c r="AF104" s="1191"/>
      <c r="AG104" s="1191"/>
      <c r="AH104" s="1191"/>
      <c r="AI104" s="1191"/>
      <c r="AJ104" s="1192"/>
      <c r="AK104" s="1189"/>
      <c r="AL104" s="340"/>
      <c r="AM104" s="340"/>
      <c r="AN104" s="335"/>
      <c r="AU104" s="634"/>
    </row>
    <row r="105" spans="1:47" s="336" customFormat="1" ht="12.75" customHeight="1">
      <c r="A105" s="338"/>
      <c r="B105" s="339"/>
      <c r="C105" s="339"/>
      <c r="D105" s="339"/>
      <c r="E105" s="2535">
        <f ca="1">SUMIF(Application!AC718:AG752,0.35,Application!G718:J752)/Application!G753+SUMIF(Application!AC718:AG752,0.4,Application!G718:J752)/Application!G753+SUMIF(Application!AC718:AG752,0.45,Application!G718:J752)/Application!G753+SUMIF(Application!AC718:AG752,0.5,Application!G718:J752)/Application!G753</f>
        <v>0.11023622047244094</v>
      </c>
      <c r="F105" s="2536"/>
      <c r="G105" s="2536"/>
      <c r="H105" s="2536"/>
      <c r="I105" s="373"/>
      <c r="J105" s="376" t="s">
        <v>2185</v>
      </c>
      <c r="K105" s="373"/>
      <c r="L105" s="373"/>
      <c r="M105" s="373"/>
      <c r="N105" s="373"/>
      <c r="O105" s="373"/>
      <c r="P105" s="373"/>
      <c r="Q105" s="373"/>
      <c r="R105" s="1191"/>
      <c r="S105" s="1191"/>
      <c r="T105" s="1191"/>
      <c r="U105" s="1191"/>
      <c r="V105" s="1191"/>
      <c r="W105" s="1191"/>
      <c r="X105" s="1191"/>
      <c r="Y105" s="1191"/>
      <c r="Z105" s="1191"/>
      <c r="AA105" s="1191"/>
      <c r="AB105" s="1191"/>
      <c r="AC105" s="1191"/>
      <c r="AD105" s="1191"/>
      <c r="AE105" s="1191"/>
      <c r="AF105" s="1191"/>
      <c r="AG105" s="1191"/>
      <c r="AH105" s="1191"/>
      <c r="AI105" s="1191"/>
      <c r="AJ105" s="1192"/>
      <c r="AK105" s="1189"/>
      <c r="AL105" s="340"/>
      <c r="AM105" s="340"/>
      <c r="AN105" s="335"/>
      <c r="AU105" s="634"/>
    </row>
    <row r="106" spans="1:47" s="336" customFormat="1" ht="12.75" customHeight="1">
      <c r="A106" s="338"/>
      <c r="B106" s="339"/>
      <c r="C106" s="339"/>
      <c r="D106" s="339"/>
      <c r="E106" s="2533">
        <f ca="1">IF(AND(E103&lt;=0.6,OR(AND(E104&gt;=0.1,E105&gt;=0.1),AND(E104&gt;0.1,(E104+E105)&gt;=0.2))),20,0)</f>
        <v>20</v>
      </c>
      <c r="F106" s="2534"/>
      <c r="G106" s="2534"/>
      <c r="H106" s="2534"/>
      <c r="I106" s="1191"/>
      <c r="J106" s="382" t="s">
        <v>2182</v>
      </c>
      <c r="K106" s="1191"/>
      <c r="L106" s="1191"/>
      <c r="M106" s="1191"/>
      <c r="N106" s="1191"/>
      <c r="O106" s="1191"/>
      <c r="P106" s="1191"/>
      <c r="Q106" s="1191"/>
      <c r="R106" s="1191"/>
      <c r="S106" s="1191"/>
      <c r="T106" s="1191"/>
      <c r="U106" s="1191"/>
      <c r="V106" s="1191"/>
      <c r="W106" s="1191"/>
      <c r="X106" s="1191"/>
      <c r="Y106" s="1191"/>
      <c r="Z106" s="1191"/>
      <c r="AA106" s="1191"/>
      <c r="AB106" s="1191"/>
      <c r="AC106" s="1191"/>
      <c r="AD106" s="1191"/>
      <c r="AE106" s="1191"/>
      <c r="AF106" s="1191"/>
      <c r="AG106" s="1191"/>
      <c r="AH106" s="1191"/>
      <c r="AI106" s="1191"/>
      <c r="AJ106" s="1192"/>
      <c r="AK106" s="1189"/>
      <c r="AL106" s="340"/>
      <c r="AM106" s="340"/>
      <c r="AN106" s="335"/>
      <c r="AP106" s="336">
        <f ca="1">IF(B98="yes",E106,0)</f>
        <v>20</v>
      </c>
      <c r="AQ106" s="336" t="s">
        <v>2144</v>
      </c>
    </row>
    <row r="107" spans="1:47" s="336" customFormat="1" ht="12.75" customHeight="1">
      <c r="A107" s="338"/>
      <c r="B107" s="339"/>
      <c r="C107" s="339"/>
      <c r="D107" s="339"/>
      <c r="E107" s="378"/>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c r="AB107" s="379"/>
      <c r="AC107" s="379"/>
      <c r="AD107" s="379"/>
      <c r="AE107" s="380"/>
      <c r="AF107" s="380"/>
      <c r="AG107" s="380"/>
      <c r="AH107" s="380"/>
      <c r="AI107" s="380"/>
      <c r="AJ107" s="381"/>
      <c r="AK107" s="1189"/>
      <c r="AL107" s="340"/>
      <c r="AM107" s="340"/>
      <c r="AN107" s="335"/>
    </row>
    <row r="108" spans="1:47" s="336" customFormat="1" ht="12.75" customHeight="1">
      <c r="A108" s="338"/>
      <c r="B108" s="339"/>
      <c r="C108" s="339"/>
      <c r="D108" s="339"/>
      <c r="E108" s="339"/>
      <c r="F108" s="339"/>
      <c r="G108" s="339"/>
      <c r="H108" s="339"/>
      <c r="I108" s="339"/>
      <c r="J108" s="339"/>
      <c r="K108" s="339"/>
      <c r="L108" s="339"/>
      <c r="M108" s="339"/>
      <c r="N108" s="339"/>
      <c r="O108" s="339"/>
      <c r="P108" s="339"/>
      <c r="Q108" s="339"/>
      <c r="R108" s="339"/>
      <c r="S108" s="339"/>
      <c r="T108" s="339"/>
      <c r="U108" s="339"/>
      <c r="V108" s="339"/>
      <c r="W108" s="339"/>
      <c r="X108" s="339"/>
      <c r="Y108" s="339"/>
      <c r="Z108" s="339"/>
      <c r="AA108" s="339"/>
      <c r="AB108" s="339"/>
      <c r="AC108" s="339"/>
      <c r="AD108" s="339"/>
      <c r="AE108" s="1189"/>
      <c r="AF108" s="1189"/>
      <c r="AG108" s="1189"/>
      <c r="AH108" s="1189"/>
      <c r="AI108" s="1189"/>
      <c r="AJ108" s="1189"/>
      <c r="AK108" s="1189"/>
      <c r="AL108" s="340"/>
      <c r="AM108" s="340"/>
      <c r="AN108" s="335"/>
    </row>
    <row r="109" spans="1:47" s="336" customFormat="1" ht="12.75" customHeight="1">
      <c r="A109" s="358"/>
      <c r="B109" s="359"/>
      <c r="C109" s="359"/>
      <c r="D109" s="359"/>
      <c r="E109" s="359"/>
      <c r="F109" s="359"/>
      <c r="G109" s="360"/>
      <c r="H109" s="361"/>
      <c r="I109" s="361"/>
      <c r="J109" s="361"/>
      <c r="K109" s="361"/>
      <c r="L109" s="361"/>
      <c r="M109" s="361"/>
      <c r="N109" s="361"/>
      <c r="O109" s="361"/>
      <c r="P109" s="361"/>
      <c r="Q109" s="361"/>
      <c r="R109" s="361"/>
      <c r="S109" s="361"/>
      <c r="T109" s="361"/>
      <c r="U109" s="361"/>
      <c r="V109" s="361"/>
      <c r="W109" s="361"/>
      <c r="X109" s="361"/>
      <c r="Y109" s="361"/>
      <c r="Z109" s="361"/>
      <c r="AA109" s="361"/>
      <c r="AB109" s="361"/>
      <c r="AC109" s="361"/>
      <c r="AD109" s="361"/>
      <c r="AE109" s="361"/>
      <c r="AF109" s="361"/>
      <c r="AG109" s="361"/>
      <c r="AH109" s="361"/>
      <c r="AI109" s="362"/>
      <c r="AJ109" s="362" t="s">
        <v>2186</v>
      </c>
      <c r="AK109" s="2520">
        <f ca="1">MAX(AP95,AP106)</f>
        <v>20</v>
      </c>
      <c r="AL109" s="2521"/>
      <c r="AM109" s="2522"/>
      <c r="AN109" s="335"/>
    </row>
    <row r="110" spans="1:47" s="336" customFormat="1" ht="12.75" customHeight="1" thickBot="1">
      <c r="A110" s="363"/>
      <c r="B110" s="364"/>
      <c r="C110" s="365"/>
      <c r="D110" s="365"/>
      <c r="E110" s="365"/>
      <c r="F110" s="365"/>
      <c r="G110" s="365"/>
      <c r="H110" s="365"/>
      <c r="I110" s="365"/>
      <c r="J110" s="365"/>
      <c r="K110" s="365"/>
      <c r="L110" s="365"/>
      <c r="M110" s="365"/>
      <c r="N110" s="365"/>
      <c r="O110" s="365"/>
      <c r="P110" s="365"/>
      <c r="Q110" s="365"/>
      <c r="R110" s="365"/>
      <c r="S110" s="365"/>
      <c r="T110" s="365"/>
      <c r="U110" s="365"/>
      <c r="V110" s="365"/>
      <c r="W110" s="365"/>
      <c r="X110" s="365"/>
      <c r="Y110" s="365"/>
      <c r="Z110" s="365"/>
      <c r="AA110" s="365"/>
      <c r="AB110" s="365"/>
      <c r="AC110" s="365"/>
      <c r="AD110" s="365"/>
      <c r="AE110" s="365"/>
      <c r="AF110" s="365"/>
      <c r="AG110" s="365"/>
      <c r="AH110" s="365"/>
      <c r="AI110" s="365"/>
      <c r="AJ110" s="365"/>
      <c r="AK110" s="365"/>
      <c r="AL110" s="365"/>
      <c r="AM110" s="366"/>
      <c r="AN110" s="335"/>
    </row>
    <row r="111" spans="1:47" s="336" customFormat="1" ht="12.75" customHeight="1" thickTop="1">
      <c r="A111" s="367"/>
      <c r="B111" s="368"/>
      <c r="C111" s="369"/>
      <c r="D111" s="369"/>
      <c r="E111" s="369"/>
      <c r="F111" s="369"/>
      <c r="G111" s="369"/>
      <c r="H111" s="369"/>
      <c r="I111" s="1209"/>
      <c r="J111" s="1209"/>
      <c r="K111" s="1209"/>
      <c r="L111" s="1209"/>
      <c r="M111" s="1209"/>
      <c r="N111" s="1209"/>
      <c r="O111" s="1209"/>
      <c r="P111" s="1209"/>
      <c r="Q111" s="1209"/>
      <c r="R111" s="367"/>
      <c r="S111" s="339"/>
      <c r="T111" s="339"/>
      <c r="U111" s="339"/>
      <c r="V111" s="339"/>
      <c r="W111" s="339"/>
      <c r="X111" s="339"/>
      <c r="Y111" s="339"/>
      <c r="Z111" s="339"/>
      <c r="AA111" s="339"/>
      <c r="AB111" s="339"/>
      <c r="AC111" s="339"/>
      <c r="AD111" s="339"/>
      <c r="AE111" s="339"/>
      <c r="AF111" s="367"/>
      <c r="AG111" s="339"/>
      <c r="AH111" s="339"/>
      <c r="AI111" s="339"/>
      <c r="AJ111" s="339"/>
      <c r="AK111" s="349"/>
      <c r="AL111" s="349"/>
      <c r="AM111" s="349"/>
      <c r="AN111" s="335"/>
    </row>
    <row r="112" spans="1:47" s="336" customFormat="1" ht="12.75" customHeight="1">
      <c r="A112" s="338" t="s">
        <v>2187</v>
      </c>
      <c r="B112" s="339" t="s">
        <v>2188</v>
      </c>
      <c r="C112" s="339"/>
      <c r="D112" s="339"/>
      <c r="E112" s="339"/>
      <c r="F112" s="339"/>
      <c r="G112" s="339"/>
      <c r="H112" s="339"/>
      <c r="I112" s="339"/>
      <c r="J112" s="339"/>
      <c r="K112" s="339"/>
      <c r="L112" s="339"/>
      <c r="M112" s="339"/>
      <c r="N112" s="339"/>
      <c r="O112" s="339"/>
      <c r="P112" s="339"/>
      <c r="Q112" s="339"/>
      <c r="R112" s="339"/>
      <c r="S112" s="339"/>
      <c r="T112" s="339"/>
      <c r="U112" s="339"/>
      <c r="V112" s="339"/>
      <c r="W112" s="339"/>
      <c r="X112" s="339"/>
      <c r="Y112" s="339"/>
      <c r="Z112" s="339"/>
      <c r="AA112" s="339"/>
      <c r="AB112" s="339"/>
      <c r="AC112" s="339"/>
      <c r="AD112" s="339"/>
      <c r="AE112" s="2394" t="s">
        <v>2162</v>
      </c>
      <c r="AF112" s="2394"/>
      <c r="AG112" s="2394"/>
      <c r="AH112" s="2394"/>
      <c r="AI112" s="2394"/>
      <c r="AJ112" s="2394"/>
      <c r="AK112" s="2394"/>
      <c r="AL112" s="340"/>
      <c r="AM112" s="340"/>
      <c r="AN112" s="335"/>
      <c r="AO112" s="336" t="str">
        <f>Application!B718</f>
        <v>1 Bedroom</v>
      </c>
      <c r="AQ112" s="336">
        <f>Application!O718</f>
        <v>1891</v>
      </c>
    </row>
    <row r="113" spans="1:52" s="336" customFormat="1" ht="12.75" customHeight="1">
      <c r="A113" s="340"/>
      <c r="B113" s="339" t="s">
        <v>2178</v>
      </c>
      <c r="C113" s="339"/>
      <c r="D113" s="339"/>
      <c r="E113" s="339"/>
      <c r="F113" s="339"/>
      <c r="G113" s="339"/>
      <c r="H113" s="339"/>
      <c r="I113" s="339"/>
      <c r="J113" s="339"/>
      <c r="K113" s="339"/>
      <c r="L113" s="339"/>
      <c r="M113" s="339"/>
      <c r="N113" s="339"/>
      <c r="O113" s="339"/>
      <c r="P113" s="339"/>
      <c r="Q113" s="339"/>
      <c r="R113" s="339"/>
      <c r="S113" s="339"/>
      <c r="T113" s="339"/>
      <c r="U113" s="339"/>
      <c r="V113" s="339"/>
      <c r="W113" s="339"/>
      <c r="X113" s="339"/>
      <c r="Y113" s="339"/>
      <c r="Z113" s="339"/>
      <c r="AA113" s="339"/>
      <c r="AB113" s="339"/>
      <c r="AC113" s="339"/>
      <c r="AD113" s="339"/>
      <c r="AE113" s="1189"/>
      <c r="AF113" s="1189"/>
      <c r="AG113" s="1189"/>
      <c r="AH113" s="1189"/>
      <c r="AI113" s="1189"/>
      <c r="AJ113" s="1189"/>
      <c r="AK113" s="340"/>
      <c r="AL113" s="340"/>
      <c r="AM113" s="340"/>
      <c r="AN113" s="335"/>
      <c r="AO113" s="336" t="str">
        <f>Application!B719</f>
        <v>1 Bedroom</v>
      </c>
      <c r="AQ113" s="336">
        <f>Application!O719</f>
        <v>1607</v>
      </c>
    </row>
    <row r="114" spans="1:52" s="336" customFormat="1" ht="12.75" customHeight="1">
      <c r="A114" s="340"/>
      <c r="B114" s="339"/>
      <c r="C114" s="339"/>
      <c r="D114" s="339"/>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40"/>
      <c r="AL114" s="340"/>
      <c r="AM114" s="340"/>
      <c r="AN114" s="335"/>
      <c r="AO114" s="336" t="str">
        <f>Application!B720</f>
        <v>1 Bedroom</v>
      </c>
      <c r="AQ114" s="336">
        <f>Application!O720</f>
        <v>1323</v>
      </c>
    </row>
    <row r="115" spans="1:52" s="336" customFormat="1" ht="12.75" customHeight="1">
      <c r="A115" s="340"/>
      <c r="B115" s="2547" t="s">
        <v>694</v>
      </c>
      <c r="C115" s="2547"/>
      <c r="D115" s="346" t="s">
        <v>2164</v>
      </c>
      <c r="E115" s="2539" t="s">
        <v>2189</v>
      </c>
      <c r="F115" s="2540"/>
      <c r="G115" s="2540"/>
      <c r="H115" s="2540"/>
      <c r="I115" s="2540"/>
      <c r="J115" s="2540"/>
      <c r="K115" s="2540"/>
      <c r="L115" s="2540"/>
      <c r="M115" s="2540"/>
      <c r="N115" s="2540"/>
      <c r="O115" s="2540"/>
      <c r="P115" s="2540"/>
      <c r="Q115" s="2540"/>
      <c r="R115" s="2540"/>
      <c r="S115" s="2540"/>
      <c r="T115" s="2540"/>
      <c r="U115" s="2540"/>
      <c r="V115" s="2540"/>
      <c r="W115" s="2540"/>
      <c r="X115" s="2540"/>
      <c r="Y115" s="2540"/>
      <c r="Z115" s="2540"/>
      <c r="AA115" s="2540"/>
      <c r="AB115" s="2540"/>
      <c r="AC115" s="2540"/>
      <c r="AD115" s="2540"/>
      <c r="AE115" s="2540"/>
      <c r="AF115" s="2540"/>
      <c r="AG115" s="2540"/>
      <c r="AH115" s="2540"/>
      <c r="AI115" s="2540"/>
      <c r="AJ115" s="2541"/>
      <c r="AK115" s="340"/>
      <c r="AL115" s="340"/>
      <c r="AM115" s="340"/>
      <c r="AN115" s="335"/>
      <c r="AO115" s="336" t="str">
        <f>Application!B721</f>
        <v>1 Bedroom</v>
      </c>
      <c r="AQ115" s="336">
        <f>Application!O721</f>
        <v>755</v>
      </c>
      <c r="AU115" s="336" t="s">
        <v>2190</v>
      </c>
      <c r="AV115" s="388" t="s">
        <v>1690</v>
      </c>
      <c r="AW115" s="336" t="s">
        <v>2191</v>
      </c>
    </row>
    <row r="116" spans="1:52" s="336" customFormat="1" ht="12.75" customHeight="1">
      <c r="A116" s="340"/>
      <c r="B116" s="339"/>
      <c r="C116" s="339"/>
      <c r="D116" s="339"/>
      <c r="E116" s="2542"/>
      <c r="F116" s="2543"/>
      <c r="G116" s="2543"/>
      <c r="H116" s="2543"/>
      <c r="I116" s="2543"/>
      <c r="J116" s="2543"/>
      <c r="K116" s="2543"/>
      <c r="L116" s="2543"/>
      <c r="M116" s="2543"/>
      <c r="N116" s="2543"/>
      <c r="O116" s="2543"/>
      <c r="P116" s="2543"/>
      <c r="Q116" s="2543"/>
      <c r="R116" s="2543"/>
      <c r="S116" s="2543"/>
      <c r="T116" s="2543"/>
      <c r="U116" s="2543"/>
      <c r="V116" s="2543"/>
      <c r="W116" s="2543"/>
      <c r="X116" s="2543"/>
      <c r="Y116" s="2543"/>
      <c r="Z116" s="2543"/>
      <c r="AA116" s="2543"/>
      <c r="AB116" s="2543"/>
      <c r="AC116" s="2543"/>
      <c r="AD116" s="2543"/>
      <c r="AE116" s="2543"/>
      <c r="AF116" s="2543"/>
      <c r="AG116" s="2543"/>
      <c r="AH116" s="2543"/>
      <c r="AI116" s="2543"/>
      <c r="AJ116" s="2544"/>
      <c r="AK116" s="340"/>
      <c r="AL116" s="340"/>
      <c r="AM116" s="340"/>
      <c r="AN116" s="335"/>
      <c r="AO116" s="336" t="str">
        <f>Application!B722</f>
        <v>2 Bedrooms</v>
      </c>
      <c r="AQ116" s="336">
        <f>Application!O722</f>
        <v>2263</v>
      </c>
      <c r="AU116" s="630" t="str">
        <f>E124</f>
        <v>Studio/SRO</v>
      </c>
      <c r="AV116" s="336">
        <f t="array" ref="AV116">SUM(IF(Application!B718:F752="SRO/Studio",Application!G718:J752))</f>
        <v>0</v>
      </c>
      <c r="AW116" s="748">
        <f>AV116/AV122</f>
        <v>0</v>
      </c>
    </row>
    <row r="117" spans="1:52" s="336" customFormat="1" ht="12.75" customHeight="1">
      <c r="A117" s="340"/>
      <c r="B117" s="339"/>
      <c r="C117" s="339"/>
      <c r="D117" s="339"/>
      <c r="E117" s="2542"/>
      <c r="F117" s="2543"/>
      <c r="G117" s="2543"/>
      <c r="H117" s="2543"/>
      <c r="I117" s="2543"/>
      <c r="J117" s="2543"/>
      <c r="K117" s="2543"/>
      <c r="L117" s="2543"/>
      <c r="M117" s="2543"/>
      <c r="N117" s="2543"/>
      <c r="O117" s="2543"/>
      <c r="P117" s="2543"/>
      <c r="Q117" s="2543"/>
      <c r="R117" s="2543"/>
      <c r="S117" s="2543"/>
      <c r="T117" s="2543"/>
      <c r="U117" s="2543"/>
      <c r="V117" s="2543"/>
      <c r="W117" s="2543"/>
      <c r="X117" s="2543"/>
      <c r="Y117" s="2543"/>
      <c r="Z117" s="2543"/>
      <c r="AA117" s="2543"/>
      <c r="AB117" s="2543"/>
      <c r="AC117" s="2543"/>
      <c r="AD117" s="2543"/>
      <c r="AE117" s="2543"/>
      <c r="AF117" s="2543"/>
      <c r="AG117" s="2543"/>
      <c r="AH117" s="2543"/>
      <c r="AI117" s="2543"/>
      <c r="AJ117" s="2544"/>
      <c r="AK117" s="340"/>
      <c r="AL117" s="340"/>
      <c r="AM117" s="340"/>
      <c r="AN117" s="335"/>
      <c r="AO117" s="336" t="str">
        <f>Application!B723</f>
        <v>2 Bedrooms</v>
      </c>
      <c r="AQ117" s="336">
        <f>Application!O723</f>
        <v>1922</v>
      </c>
      <c r="AU117" s="630" t="str">
        <f>J124</f>
        <v>1-bedroom</v>
      </c>
      <c r="AV117" s="336">
        <f t="array" ref="AV117">SUM(IF(Application!B718:F752="1 Bedroom",Application!G718:J752))</f>
        <v>57</v>
      </c>
      <c r="AW117" s="748">
        <f>AV117/AV122</f>
        <v>0.44881889763779526</v>
      </c>
    </row>
    <row r="118" spans="1:52" s="336" customFormat="1" ht="12.75" customHeight="1">
      <c r="A118" s="340"/>
      <c r="B118" s="339"/>
      <c r="C118" s="339"/>
      <c r="D118" s="339"/>
      <c r="E118" s="2542"/>
      <c r="F118" s="2543"/>
      <c r="G118" s="2543"/>
      <c r="H118" s="2543"/>
      <c r="I118" s="2543"/>
      <c r="J118" s="2543"/>
      <c r="K118" s="2543"/>
      <c r="L118" s="2543"/>
      <c r="M118" s="2543"/>
      <c r="N118" s="2543"/>
      <c r="O118" s="2543"/>
      <c r="P118" s="2543"/>
      <c r="Q118" s="2543"/>
      <c r="R118" s="2543"/>
      <c r="S118" s="2543"/>
      <c r="T118" s="2543"/>
      <c r="U118" s="2543"/>
      <c r="V118" s="2543"/>
      <c r="W118" s="2543"/>
      <c r="X118" s="2543"/>
      <c r="Y118" s="2543"/>
      <c r="Z118" s="2543"/>
      <c r="AA118" s="2543"/>
      <c r="AB118" s="2543"/>
      <c r="AC118" s="2543"/>
      <c r="AD118" s="2543"/>
      <c r="AE118" s="2543"/>
      <c r="AF118" s="2543"/>
      <c r="AG118" s="2543"/>
      <c r="AH118" s="2543"/>
      <c r="AI118" s="2543"/>
      <c r="AJ118" s="2544"/>
      <c r="AK118" s="340"/>
      <c r="AL118" s="340"/>
      <c r="AM118" s="340"/>
      <c r="AN118" s="335"/>
      <c r="AO118" s="336" t="str">
        <f>Application!B724</f>
        <v>2 Bedrooms</v>
      </c>
      <c r="AQ118" s="336">
        <f>Application!O724</f>
        <v>1581</v>
      </c>
      <c r="AU118" s="630" t="str">
        <f>O124</f>
        <v>2-bedroom</v>
      </c>
      <c r="AV118" s="336">
        <f t="array" ref="AV118">SUM(IF(Application!B718:F752="2 Bedrooms",Application!G718:J752))</f>
        <v>35</v>
      </c>
      <c r="AW118" s="748">
        <f>AV118/AV122</f>
        <v>0.27559055118110237</v>
      </c>
    </row>
    <row r="119" spans="1:52" s="336" customFormat="1" ht="12.75" customHeight="1">
      <c r="A119" s="340"/>
      <c r="B119" s="339"/>
      <c r="C119" s="339"/>
      <c r="D119" s="339"/>
      <c r="E119" s="2542"/>
      <c r="F119" s="2543"/>
      <c r="G119" s="2543"/>
      <c r="H119" s="2543"/>
      <c r="I119" s="2543"/>
      <c r="J119" s="2543"/>
      <c r="K119" s="2543"/>
      <c r="L119" s="2543"/>
      <c r="M119" s="2543"/>
      <c r="N119" s="2543"/>
      <c r="O119" s="2543"/>
      <c r="P119" s="2543"/>
      <c r="Q119" s="2543"/>
      <c r="R119" s="2543"/>
      <c r="S119" s="2543"/>
      <c r="T119" s="2543"/>
      <c r="U119" s="2543"/>
      <c r="V119" s="2543"/>
      <c r="W119" s="2543"/>
      <c r="X119" s="2543"/>
      <c r="Y119" s="2543"/>
      <c r="Z119" s="2543"/>
      <c r="AA119" s="2543"/>
      <c r="AB119" s="2543"/>
      <c r="AC119" s="2543"/>
      <c r="AD119" s="2543"/>
      <c r="AE119" s="2543"/>
      <c r="AF119" s="2543"/>
      <c r="AG119" s="2543"/>
      <c r="AH119" s="2543"/>
      <c r="AI119" s="2543"/>
      <c r="AJ119" s="2544"/>
      <c r="AK119" s="340"/>
      <c r="AL119" s="340"/>
      <c r="AM119" s="340"/>
      <c r="AN119" s="335"/>
      <c r="AO119" s="336" t="str">
        <f>Application!B725</f>
        <v>2 Bedrooms</v>
      </c>
      <c r="AQ119" s="336">
        <f>Application!O725</f>
        <v>900</v>
      </c>
      <c r="AU119" s="630" t="str">
        <f>T124</f>
        <v>3-bedroom</v>
      </c>
      <c r="AV119" s="336">
        <f t="array" ref="AV119">SUM(IF(Application!B718:F752="3 Bedrooms",Application!G718:J752))</f>
        <v>35</v>
      </c>
      <c r="AW119" s="748">
        <f>AV119/AV122</f>
        <v>0.27559055118110237</v>
      </c>
    </row>
    <row r="120" spans="1:52" s="336" customFormat="1" ht="12.75" customHeight="1">
      <c r="A120" s="340"/>
      <c r="B120" s="339"/>
      <c r="C120" s="339"/>
      <c r="D120" s="339"/>
      <c r="E120" s="2542"/>
      <c r="F120" s="2543"/>
      <c r="G120" s="2543"/>
      <c r="H120" s="2543"/>
      <c r="I120" s="2543"/>
      <c r="J120" s="2543"/>
      <c r="K120" s="2543"/>
      <c r="L120" s="2543"/>
      <c r="M120" s="2543"/>
      <c r="N120" s="2543"/>
      <c r="O120" s="2543"/>
      <c r="P120" s="2543"/>
      <c r="Q120" s="2543"/>
      <c r="R120" s="2543"/>
      <c r="S120" s="2543"/>
      <c r="T120" s="2543"/>
      <c r="U120" s="2543"/>
      <c r="V120" s="2543"/>
      <c r="W120" s="2543"/>
      <c r="X120" s="2543"/>
      <c r="Y120" s="2543"/>
      <c r="Z120" s="2543"/>
      <c r="AA120" s="2543"/>
      <c r="AB120" s="2543"/>
      <c r="AC120" s="2543"/>
      <c r="AD120" s="2543"/>
      <c r="AE120" s="2543"/>
      <c r="AF120" s="2543"/>
      <c r="AG120" s="2543"/>
      <c r="AH120" s="2543"/>
      <c r="AI120" s="2543"/>
      <c r="AJ120" s="2544"/>
      <c r="AK120" s="340"/>
      <c r="AL120" s="340"/>
      <c r="AM120" s="340"/>
      <c r="AN120" s="335"/>
      <c r="AO120" s="336" t="str">
        <f>Application!B726</f>
        <v>3 Bedrooms</v>
      </c>
      <c r="AQ120" s="336">
        <f>Application!O726</f>
        <v>2607</v>
      </c>
      <c r="AU120" s="630" t="str">
        <f>Y124</f>
        <v>4-bedroom</v>
      </c>
      <c r="AV120" s="336">
        <f t="array" ref="AV120">SUM(IF(Application!B718:F752="4 Bedrooms",Application!G718:J752))</f>
        <v>0</v>
      </c>
      <c r="AW120" s="748">
        <f>AV120/AV122</f>
        <v>0</v>
      </c>
    </row>
    <row r="121" spans="1:52" s="336" customFormat="1" ht="12.75" customHeight="1">
      <c r="A121" s="340"/>
      <c r="B121" s="339"/>
      <c r="C121" s="339"/>
      <c r="D121" s="339"/>
      <c r="E121" s="2542"/>
      <c r="F121" s="2543"/>
      <c r="G121" s="2543"/>
      <c r="H121" s="2543"/>
      <c r="I121" s="2543"/>
      <c r="J121" s="2543"/>
      <c r="K121" s="2543"/>
      <c r="L121" s="2543"/>
      <c r="M121" s="2543"/>
      <c r="N121" s="2543"/>
      <c r="O121" s="2543"/>
      <c r="P121" s="2543"/>
      <c r="Q121" s="2543"/>
      <c r="R121" s="2543"/>
      <c r="S121" s="2543"/>
      <c r="T121" s="2543"/>
      <c r="U121" s="2543"/>
      <c r="V121" s="2543"/>
      <c r="W121" s="2543"/>
      <c r="X121" s="2543"/>
      <c r="Y121" s="2543"/>
      <c r="Z121" s="2543"/>
      <c r="AA121" s="2543"/>
      <c r="AB121" s="2543"/>
      <c r="AC121" s="2543"/>
      <c r="AD121" s="2543"/>
      <c r="AE121" s="2543"/>
      <c r="AF121" s="2543"/>
      <c r="AG121" s="2543"/>
      <c r="AH121" s="2543"/>
      <c r="AI121" s="2543"/>
      <c r="AJ121" s="2544"/>
      <c r="AK121" s="340"/>
      <c r="AL121" s="340"/>
      <c r="AM121" s="340"/>
      <c r="AN121" s="335"/>
      <c r="AO121" s="336" t="str">
        <f>Application!B727</f>
        <v>3 Bedrooms</v>
      </c>
      <c r="AQ121" s="336">
        <f>Application!O727</f>
        <v>2213</v>
      </c>
      <c r="AU121" s="630" t="str">
        <f>AD124</f>
        <v>5-bedroom</v>
      </c>
      <c r="AV121" s="336">
        <f t="array" ref="AV121">SUM(IF(Application!B718:F752="5 Bedrooms",Application!G718:J752))</f>
        <v>0</v>
      </c>
      <c r="AW121" s="748">
        <f>AV121/AV122</f>
        <v>0</v>
      </c>
    </row>
    <row r="122" spans="1:52" s="336" customFormat="1" ht="12.75" customHeight="1">
      <c r="A122" s="340"/>
      <c r="B122" s="339"/>
      <c r="C122" s="339"/>
      <c r="D122" s="339"/>
      <c r="E122" s="2542"/>
      <c r="F122" s="2543"/>
      <c r="G122" s="2543"/>
      <c r="H122" s="2543"/>
      <c r="I122" s="2543"/>
      <c r="J122" s="2543"/>
      <c r="K122" s="2543"/>
      <c r="L122" s="2543"/>
      <c r="M122" s="2543"/>
      <c r="N122" s="2543"/>
      <c r="O122" s="2543"/>
      <c r="P122" s="2543"/>
      <c r="Q122" s="2543"/>
      <c r="R122" s="2543"/>
      <c r="S122" s="2543"/>
      <c r="T122" s="2543"/>
      <c r="U122" s="2543"/>
      <c r="V122" s="2543"/>
      <c r="W122" s="2543"/>
      <c r="X122" s="2543"/>
      <c r="Y122" s="2543"/>
      <c r="Z122" s="2543"/>
      <c r="AA122" s="2543"/>
      <c r="AB122" s="2543"/>
      <c r="AC122" s="2543"/>
      <c r="AD122" s="2543"/>
      <c r="AE122" s="2543"/>
      <c r="AF122" s="2543"/>
      <c r="AG122" s="2543"/>
      <c r="AH122" s="2543"/>
      <c r="AI122" s="2543"/>
      <c r="AJ122" s="2544"/>
      <c r="AK122" s="340"/>
      <c r="AL122" s="340"/>
      <c r="AM122" s="340"/>
      <c r="AN122" s="335"/>
      <c r="AO122" s="336" t="str">
        <f>Application!B728</f>
        <v>3 Bedrooms</v>
      </c>
      <c r="AQ122" s="336">
        <f>Application!O728</f>
        <v>1819</v>
      </c>
      <c r="AV122" s="336">
        <f>SUM(AV116:AV121)</f>
        <v>127</v>
      </c>
      <c r="AW122" s="748">
        <f>SUM(AW116:AW121)</f>
        <v>1</v>
      </c>
    </row>
    <row r="123" spans="1:52" s="336" customFormat="1" ht="12.75" customHeight="1">
      <c r="A123" s="340"/>
      <c r="B123" s="339"/>
      <c r="C123" s="339"/>
      <c r="D123" s="339"/>
      <c r="E123" s="1190"/>
      <c r="F123" s="1191"/>
      <c r="G123" s="1191"/>
      <c r="H123" s="1191"/>
      <c r="I123" s="1191"/>
      <c r="J123" s="1191"/>
      <c r="K123" s="1191"/>
      <c r="L123" s="1191"/>
      <c r="M123" s="1191"/>
      <c r="N123" s="1191"/>
      <c r="O123" s="1191"/>
      <c r="P123" s="1191"/>
      <c r="Q123" s="1191"/>
      <c r="R123" s="1191"/>
      <c r="S123" s="1191"/>
      <c r="T123" s="1191"/>
      <c r="U123" s="1191"/>
      <c r="V123" s="1191"/>
      <c r="W123" s="1191"/>
      <c r="X123" s="1191"/>
      <c r="Y123" s="1191"/>
      <c r="Z123" s="1191"/>
      <c r="AA123" s="1191"/>
      <c r="AB123" s="1191"/>
      <c r="AC123" s="1191"/>
      <c r="AD123" s="1191"/>
      <c r="AE123" s="1191"/>
      <c r="AF123" s="1191"/>
      <c r="AG123" s="1191"/>
      <c r="AH123" s="1191"/>
      <c r="AI123" s="1191"/>
      <c r="AJ123" s="1192"/>
      <c r="AK123" s="340"/>
      <c r="AL123" s="340"/>
      <c r="AM123" s="340"/>
      <c r="AN123" s="335"/>
      <c r="AO123" s="336" t="str">
        <f>Application!B729</f>
        <v>3 Bedrooms</v>
      </c>
      <c r="AQ123" s="336">
        <f>Application!O729</f>
        <v>1031</v>
      </c>
    </row>
    <row r="124" spans="1:52" s="336" customFormat="1" ht="12.75" customHeight="1">
      <c r="A124" s="340"/>
      <c r="B124" s="339"/>
      <c r="C124" s="340"/>
      <c r="D124" s="340"/>
      <c r="E124" s="2535" t="s">
        <v>2192</v>
      </c>
      <c r="F124" s="2536"/>
      <c r="G124" s="2536"/>
      <c r="H124" s="2536"/>
      <c r="I124" s="373"/>
      <c r="J124" s="2536" t="s">
        <v>2193</v>
      </c>
      <c r="K124" s="2536"/>
      <c r="L124" s="2536"/>
      <c r="M124" s="2536"/>
      <c r="N124" s="373"/>
      <c r="O124" s="2536" t="s">
        <v>2194</v>
      </c>
      <c r="P124" s="2536"/>
      <c r="Q124" s="2536"/>
      <c r="R124" s="2536"/>
      <c r="S124" s="373"/>
      <c r="T124" s="2536" t="s">
        <v>2195</v>
      </c>
      <c r="U124" s="2536"/>
      <c r="V124" s="2536"/>
      <c r="W124" s="2536"/>
      <c r="X124" s="373"/>
      <c r="Y124" s="2536" t="s">
        <v>2196</v>
      </c>
      <c r="Z124" s="2536"/>
      <c r="AA124" s="2536"/>
      <c r="AB124" s="2536"/>
      <c r="AC124" s="373"/>
      <c r="AD124" s="2536" t="s">
        <v>2197</v>
      </c>
      <c r="AE124" s="2536"/>
      <c r="AF124" s="2536"/>
      <c r="AG124" s="2536"/>
      <c r="AH124" s="373"/>
      <c r="AI124" s="373"/>
      <c r="AJ124" s="375"/>
      <c r="AK124" s="340"/>
      <c r="AL124" s="340"/>
      <c r="AM124" s="340"/>
      <c r="AN124" s="335"/>
      <c r="AO124" s="336">
        <f>Application!B730</f>
        <v>0</v>
      </c>
      <c r="AQ124" s="336">
        <f>Application!O730</f>
        <v>0</v>
      </c>
    </row>
    <row r="125" spans="1:52" s="336" customFormat="1" ht="12.75" customHeight="1">
      <c r="A125" s="340"/>
      <c r="B125" s="339"/>
      <c r="C125" s="340"/>
      <c r="D125" s="340"/>
      <c r="E125" s="637"/>
      <c r="F125" s="635"/>
      <c r="G125" s="635"/>
      <c r="H125" s="635"/>
      <c r="I125" s="373"/>
      <c r="J125" s="635"/>
      <c r="K125" s="635"/>
      <c r="L125" s="635"/>
      <c r="M125" s="635"/>
      <c r="N125" s="373"/>
      <c r="O125" s="635"/>
      <c r="P125" s="635"/>
      <c r="Q125" s="635"/>
      <c r="R125" s="635"/>
      <c r="S125" s="373"/>
      <c r="T125" s="635"/>
      <c r="U125" s="635"/>
      <c r="V125" s="635"/>
      <c r="W125" s="635"/>
      <c r="X125" s="373"/>
      <c r="Y125" s="635"/>
      <c r="Z125" s="635"/>
      <c r="AA125" s="635"/>
      <c r="AB125" s="635"/>
      <c r="AC125" s="373"/>
      <c r="AD125" s="635"/>
      <c r="AE125" s="635"/>
      <c r="AF125" s="635"/>
      <c r="AG125" s="635"/>
      <c r="AH125" s="373"/>
      <c r="AI125" s="373"/>
      <c r="AJ125" s="375"/>
      <c r="AK125" s="340"/>
      <c r="AL125" s="340"/>
      <c r="AM125" s="340"/>
      <c r="AN125" s="335"/>
      <c r="AO125" s="336">
        <f>Application!B731</f>
        <v>0</v>
      </c>
      <c r="AQ125" s="336">
        <f>Application!O731</f>
        <v>0</v>
      </c>
    </row>
    <row r="126" spans="1:52" s="336" customFormat="1" ht="12.75" customHeight="1">
      <c r="A126" s="340"/>
      <c r="B126" s="339"/>
      <c r="C126" s="340"/>
      <c r="D126" s="340"/>
      <c r="E126" s="638" t="s">
        <v>2198</v>
      </c>
      <c r="F126" s="635"/>
      <c r="G126" s="635"/>
      <c r="H126" s="635"/>
      <c r="I126" s="373"/>
      <c r="J126" s="635"/>
      <c r="K126" s="635"/>
      <c r="L126" s="635"/>
      <c r="M126" s="635"/>
      <c r="N126" s="373"/>
      <c r="O126" s="635"/>
      <c r="P126" s="635"/>
      <c r="Q126" s="635"/>
      <c r="R126" s="635"/>
      <c r="S126" s="373"/>
      <c r="T126" s="635"/>
      <c r="U126" s="635"/>
      <c r="V126" s="635"/>
      <c r="W126" s="635"/>
      <c r="X126" s="373"/>
      <c r="Y126" s="635"/>
      <c r="Z126" s="635"/>
      <c r="AA126" s="635"/>
      <c r="AB126" s="635"/>
      <c r="AC126" s="373"/>
      <c r="AD126" s="635"/>
      <c r="AE126" s="635"/>
      <c r="AF126" s="635"/>
      <c r="AG126" s="635"/>
      <c r="AH126" s="373"/>
      <c r="AI126" s="373"/>
      <c r="AJ126" s="375"/>
      <c r="AK126" s="340"/>
      <c r="AL126" s="340"/>
      <c r="AM126" s="340"/>
      <c r="AN126" s="335"/>
      <c r="AO126" s="336">
        <f>Application!B732</f>
        <v>0</v>
      </c>
      <c r="AQ126" s="336">
        <f>Application!O732</f>
        <v>0</v>
      </c>
    </row>
    <row r="127" spans="1:52" s="336" customFormat="1" ht="12.75" customHeight="1">
      <c r="A127" s="340"/>
      <c r="B127" s="339"/>
      <c r="C127" s="340"/>
      <c r="D127" s="340"/>
      <c r="E127" s="2537"/>
      <c r="F127" s="2538"/>
      <c r="G127" s="2538"/>
      <c r="H127" s="2538"/>
      <c r="I127" s="636"/>
      <c r="J127" s="2538">
        <v>2322</v>
      </c>
      <c r="K127" s="2538"/>
      <c r="L127" s="2538"/>
      <c r="M127" s="2538"/>
      <c r="N127" s="636"/>
      <c r="O127" s="2538">
        <v>2573</v>
      </c>
      <c r="P127" s="2538"/>
      <c r="Q127" s="2538"/>
      <c r="R127" s="2538"/>
      <c r="S127" s="636"/>
      <c r="T127" s="2538">
        <v>3505</v>
      </c>
      <c r="U127" s="2538"/>
      <c r="V127" s="2538"/>
      <c r="W127" s="2538"/>
      <c r="X127" s="636"/>
      <c r="Y127" s="2538"/>
      <c r="Z127" s="2538"/>
      <c r="AA127" s="2538"/>
      <c r="AB127" s="2538"/>
      <c r="AC127" s="636"/>
      <c r="AD127" s="2538"/>
      <c r="AE127" s="2538"/>
      <c r="AF127" s="2538"/>
      <c r="AG127" s="2538"/>
      <c r="AH127" s="373"/>
      <c r="AI127" s="373"/>
      <c r="AJ127" s="375"/>
      <c r="AK127" s="340"/>
      <c r="AL127" s="340"/>
      <c r="AM127" s="340"/>
      <c r="AN127" s="335"/>
      <c r="AO127" s="336">
        <f>Application!B733</f>
        <v>0</v>
      </c>
      <c r="AQ127" s="336">
        <f>Application!O733</f>
        <v>0</v>
      </c>
    </row>
    <row r="128" spans="1:52" s="336" customFormat="1" ht="12.75" customHeight="1">
      <c r="A128" s="340"/>
      <c r="B128" s="339"/>
      <c r="C128" s="340"/>
      <c r="D128" s="340"/>
      <c r="E128" s="637"/>
      <c r="F128" s="635"/>
      <c r="G128" s="635"/>
      <c r="H128" s="635"/>
      <c r="I128" s="373"/>
      <c r="J128" s="635"/>
      <c r="K128" s="635"/>
      <c r="L128" s="635"/>
      <c r="M128" s="635"/>
      <c r="N128" s="373"/>
      <c r="O128" s="635"/>
      <c r="P128" s="635"/>
      <c r="Q128" s="635"/>
      <c r="R128" s="635"/>
      <c r="S128" s="373"/>
      <c r="T128" s="635"/>
      <c r="U128" s="635"/>
      <c r="V128" s="635"/>
      <c r="W128" s="635"/>
      <c r="X128" s="373"/>
      <c r="Y128" s="635"/>
      <c r="Z128" s="635"/>
      <c r="AA128" s="635"/>
      <c r="AB128" s="635"/>
      <c r="AC128" s="373"/>
      <c r="AD128" s="635"/>
      <c r="AE128" s="635"/>
      <c r="AF128" s="635"/>
      <c r="AG128" s="635"/>
      <c r="AH128" s="373"/>
      <c r="AI128" s="373"/>
      <c r="AJ128" s="375"/>
      <c r="AK128" s="340"/>
      <c r="AL128" s="340"/>
      <c r="AM128" s="340"/>
      <c r="AN128" s="335"/>
      <c r="AO128" s="336">
        <f>Application!B734</f>
        <v>0</v>
      </c>
      <c r="AQ128" s="336">
        <f>Application!O734</f>
        <v>0</v>
      </c>
      <c r="AU128" s="746"/>
      <c r="AV128" s="746"/>
      <c r="AW128" s="746"/>
      <c r="AX128" s="746"/>
      <c r="AY128" s="746"/>
      <c r="AZ128" s="746"/>
    </row>
    <row r="129" spans="1:52" s="336" customFormat="1" ht="12.75" customHeight="1">
      <c r="A129" s="340"/>
      <c r="B129" s="339"/>
      <c r="C129" s="340"/>
      <c r="D129" s="340"/>
      <c r="E129" s="638" t="s">
        <v>2199</v>
      </c>
      <c r="F129" s="635"/>
      <c r="G129" s="635"/>
      <c r="H129" s="635"/>
      <c r="I129" s="373"/>
      <c r="J129" s="635"/>
      <c r="K129" s="635"/>
      <c r="L129" s="635"/>
      <c r="M129" s="635"/>
      <c r="N129" s="373"/>
      <c r="O129" s="635"/>
      <c r="P129" s="635"/>
      <c r="Q129" s="635"/>
      <c r="R129" s="635"/>
      <c r="S129" s="373"/>
      <c r="T129" s="635"/>
      <c r="U129" s="635"/>
      <c r="V129" s="635"/>
      <c r="W129" s="635"/>
      <c r="X129" s="373"/>
      <c r="Y129" s="635"/>
      <c r="Z129" s="635"/>
      <c r="AA129" s="635"/>
      <c r="AB129" s="635"/>
      <c r="AC129" s="373"/>
      <c r="AD129" s="635"/>
      <c r="AE129" s="635"/>
      <c r="AF129" s="635"/>
      <c r="AG129" s="635"/>
      <c r="AH129" s="373"/>
      <c r="AI129" s="373"/>
      <c r="AJ129" s="375"/>
      <c r="AK129" s="340"/>
      <c r="AL129" s="340"/>
      <c r="AM129" s="340"/>
      <c r="AN129" s="335"/>
      <c r="AO129" s="336">
        <f>Application!B735</f>
        <v>0</v>
      </c>
      <c r="AQ129" s="336">
        <f>Application!O735</f>
        <v>0</v>
      </c>
      <c r="AU129" s="746"/>
      <c r="AV129" s="746"/>
      <c r="AW129" s="746"/>
      <c r="AX129" s="746"/>
      <c r="AY129" s="746"/>
      <c r="AZ129" s="746"/>
    </row>
    <row r="130" spans="1:52" s="336" customFormat="1" ht="12.75" customHeight="1">
      <c r="A130" s="340"/>
      <c r="B130" s="339"/>
      <c r="C130" s="340"/>
      <c r="D130" s="340"/>
      <c r="E130" s="2545">
        <f>Application!DX670</f>
        <v>0</v>
      </c>
      <c r="F130" s="2546"/>
      <c r="G130" s="2546"/>
      <c r="H130" s="2546"/>
      <c r="I130" s="636"/>
      <c r="J130" s="2546">
        <f>Application!EC670</f>
        <v>1597.0350877192982</v>
      </c>
      <c r="K130" s="2546"/>
      <c r="L130" s="2546"/>
      <c r="M130" s="2546"/>
      <c r="N130" s="636"/>
      <c r="O130" s="2546">
        <f>Application!EH670</f>
        <v>1922.1142857142856</v>
      </c>
      <c r="P130" s="2546"/>
      <c r="Q130" s="2546"/>
      <c r="R130" s="2546"/>
      <c r="S130" s="640"/>
      <c r="T130" s="2546">
        <f>Application!EM670</f>
        <v>2213</v>
      </c>
      <c r="U130" s="2546"/>
      <c r="V130" s="2546"/>
      <c r="W130" s="2546"/>
      <c r="X130" s="640"/>
      <c r="Y130" s="2546">
        <f>Application!ER670</f>
        <v>0</v>
      </c>
      <c r="Z130" s="2546"/>
      <c r="AA130" s="2546"/>
      <c r="AB130" s="2546"/>
      <c r="AC130" s="640"/>
      <c r="AD130" s="2546">
        <f>Application!EW670</f>
        <v>0</v>
      </c>
      <c r="AE130" s="2546"/>
      <c r="AF130" s="2546"/>
      <c r="AG130" s="2546"/>
      <c r="AH130" s="373"/>
      <c r="AI130" s="373"/>
      <c r="AJ130" s="375"/>
      <c r="AK130" s="340"/>
      <c r="AL130" s="340"/>
      <c r="AM130" s="340"/>
      <c r="AN130" s="335"/>
      <c r="AO130" s="336">
        <f>Application!B736</f>
        <v>0</v>
      </c>
      <c r="AQ130" s="336">
        <f>Application!O736</f>
        <v>0</v>
      </c>
      <c r="AU130" s="746"/>
      <c r="AV130" s="746"/>
      <c r="AW130" s="747"/>
      <c r="AX130" s="747"/>
      <c r="AY130" s="746"/>
      <c r="AZ130" s="746"/>
    </row>
    <row r="131" spans="1:52" s="336" customFormat="1" ht="12.75" customHeight="1">
      <c r="A131" s="340"/>
      <c r="B131" s="339"/>
      <c r="C131" s="340"/>
      <c r="D131" s="340"/>
      <c r="E131" s="639"/>
      <c r="F131" s="635"/>
      <c r="G131" s="635"/>
      <c r="H131" s="635"/>
      <c r="I131" s="373"/>
      <c r="J131" s="376"/>
      <c r="K131" s="373"/>
      <c r="L131" s="373"/>
      <c r="M131" s="373"/>
      <c r="N131" s="373"/>
      <c r="O131" s="373"/>
      <c r="P131" s="373"/>
      <c r="Q131" s="373"/>
      <c r="R131" s="373"/>
      <c r="S131" s="373"/>
      <c r="T131" s="373"/>
      <c r="U131" s="373"/>
      <c r="V131" s="373"/>
      <c r="W131" s="373"/>
      <c r="X131" s="373"/>
      <c r="Y131" s="373"/>
      <c r="Z131" s="373"/>
      <c r="AA131" s="373"/>
      <c r="AB131" s="373"/>
      <c r="AC131" s="373"/>
      <c r="AD131" s="373"/>
      <c r="AE131" s="373"/>
      <c r="AF131" s="373"/>
      <c r="AG131" s="373"/>
      <c r="AH131" s="373"/>
      <c r="AI131" s="373"/>
      <c r="AJ131" s="375"/>
      <c r="AK131" s="340"/>
      <c r="AL131" s="340"/>
      <c r="AM131" s="340"/>
      <c r="AN131" s="335"/>
      <c r="AO131" s="336">
        <f>Application!B737</f>
        <v>0</v>
      </c>
      <c r="AQ131" s="336">
        <f>Application!O737</f>
        <v>0</v>
      </c>
      <c r="AU131" s="746"/>
      <c r="AV131" s="746"/>
      <c r="AW131" s="747"/>
      <c r="AX131" s="747"/>
      <c r="AY131" s="746"/>
      <c r="AZ131" s="746"/>
    </row>
    <row r="132" spans="1:52" s="336" customFormat="1" ht="12.75" customHeight="1">
      <c r="A132" s="340"/>
      <c r="B132" s="339"/>
      <c r="C132" s="340"/>
      <c r="D132" s="340"/>
      <c r="E132" s="638" t="s">
        <v>2200</v>
      </c>
      <c r="F132" s="635"/>
      <c r="G132" s="635"/>
      <c r="H132" s="635"/>
      <c r="I132" s="373"/>
      <c r="J132" s="376"/>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5"/>
      <c r="AK132" s="340"/>
      <c r="AL132" s="340"/>
      <c r="AM132" s="340"/>
      <c r="AN132" s="335"/>
      <c r="AO132" s="336">
        <f>Application!B738</f>
        <v>0</v>
      </c>
      <c r="AQ132" s="336">
        <f>Application!O738</f>
        <v>0</v>
      </c>
      <c r="AU132" s="746"/>
      <c r="AV132" s="746"/>
      <c r="AW132" s="747"/>
      <c r="AX132" s="747"/>
      <c r="AY132" s="746"/>
      <c r="AZ132" s="746"/>
    </row>
    <row r="133" spans="1:52" s="336" customFormat="1" ht="12.75" customHeight="1">
      <c r="A133" s="340"/>
      <c r="B133" s="339"/>
      <c r="C133" s="340"/>
      <c r="D133" s="340"/>
      <c r="E133" s="2340" t="e">
        <f>(E127-E130)/E127</f>
        <v>#DIV/0!</v>
      </c>
      <c r="F133" s="2341"/>
      <c r="G133" s="2341"/>
      <c r="H133" s="2342"/>
      <c r="I133" s="373"/>
      <c r="J133" s="2340">
        <f>(J127-J130)/J127</f>
        <v>0.31221572449642626</v>
      </c>
      <c r="K133" s="2341"/>
      <c r="L133" s="2341"/>
      <c r="M133" s="2342"/>
      <c r="N133" s="373"/>
      <c r="O133" s="2340">
        <f>(O127-O130)/O127</f>
        <v>0.25296763089223256</v>
      </c>
      <c r="P133" s="2341"/>
      <c r="Q133" s="2341"/>
      <c r="R133" s="2342"/>
      <c r="S133" s="373"/>
      <c r="T133" s="2340">
        <f>(T127-T130)/T127</f>
        <v>0.36861626248216833</v>
      </c>
      <c r="U133" s="2341"/>
      <c r="V133" s="2341"/>
      <c r="W133" s="2342"/>
      <c r="X133" s="373"/>
      <c r="Y133" s="2340" t="e">
        <f>(Y127-Y130)/Y127</f>
        <v>#DIV/0!</v>
      </c>
      <c r="Z133" s="2341"/>
      <c r="AA133" s="2341"/>
      <c r="AB133" s="2342"/>
      <c r="AC133" s="373"/>
      <c r="AD133" s="2340" t="e">
        <f>(AD127-AD130)/AD127</f>
        <v>#DIV/0!</v>
      </c>
      <c r="AE133" s="2341"/>
      <c r="AF133" s="2341"/>
      <c r="AG133" s="2342"/>
      <c r="AH133" s="373"/>
      <c r="AI133" s="373"/>
      <c r="AJ133" s="375"/>
      <c r="AK133" s="340"/>
      <c r="AL133" s="340"/>
      <c r="AM133" s="340"/>
      <c r="AN133" s="335"/>
      <c r="AO133" s="336">
        <f>Application!B739</f>
        <v>0</v>
      </c>
      <c r="AQ133" s="336">
        <f>Application!O739</f>
        <v>0</v>
      </c>
      <c r="AU133" s="746"/>
      <c r="AV133" s="746"/>
      <c r="AW133" s="747"/>
      <c r="AX133" s="747"/>
      <c r="AY133" s="746"/>
      <c r="AZ133" s="746"/>
    </row>
    <row r="134" spans="1:52" s="336" customFormat="1" ht="12.75" customHeight="1">
      <c r="A134" s="340"/>
      <c r="B134" s="339"/>
      <c r="C134" s="340"/>
      <c r="D134" s="340"/>
      <c r="E134" s="744"/>
      <c r="F134" s="743"/>
      <c r="G134" s="743"/>
      <c r="H134" s="743"/>
      <c r="I134" s="373"/>
      <c r="J134" s="743"/>
      <c r="K134" s="743"/>
      <c r="L134" s="743"/>
      <c r="M134" s="743"/>
      <c r="N134" s="373"/>
      <c r="O134" s="743"/>
      <c r="P134" s="743"/>
      <c r="Q134" s="743"/>
      <c r="R134" s="743"/>
      <c r="S134" s="373"/>
      <c r="T134" s="743"/>
      <c r="U134" s="743"/>
      <c r="V134" s="743"/>
      <c r="W134" s="743"/>
      <c r="X134" s="373"/>
      <c r="Y134" s="743"/>
      <c r="Z134" s="743"/>
      <c r="AA134" s="743"/>
      <c r="AB134" s="743"/>
      <c r="AC134" s="373"/>
      <c r="AD134" s="743"/>
      <c r="AE134" s="743"/>
      <c r="AF134" s="743"/>
      <c r="AG134" s="743"/>
      <c r="AH134" s="373"/>
      <c r="AI134" s="373"/>
      <c r="AJ134" s="375"/>
      <c r="AK134" s="340"/>
      <c r="AL134" s="340"/>
      <c r="AM134" s="340"/>
      <c r="AN134" s="335"/>
      <c r="AO134" s="336">
        <f>Application!B740</f>
        <v>0</v>
      </c>
      <c r="AQ134" s="336">
        <f>Application!O740</f>
        <v>0</v>
      </c>
      <c r="AU134" s="746"/>
      <c r="AV134" s="746"/>
      <c r="AW134" s="747"/>
      <c r="AX134" s="747"/>
      <c r="AY134" s="746"/>
      <c r="AZ134" s="746"/>
    </row>
    <row r="135" spans="1:52" s="336" customFormat="1" ht="12.75" customHeight="1">
      <c r="A135" s="340"/>
      <c r="B135" s="339"/>
      <c r="C135" s="340"/>
      <c r="D135" s="340"/>
      <c r="E135" s="745" t="s">
        <v>2201</v>
      </c>
      <c r="F135" s="743"/>
      <c r="G135" s="743"/>
      <c r="H135" s="743"/>
      <c r="I135" s="373"/>
      <c r="J135" s="743"/>
      <c r="K135" s="743"/>
      <c r="L135" s="743"/>
      <c r="M135" s="743"/>
      <c r="N135" s="373"/>
      <c r="O135" s="743"/>
      <c r="P135" s="743"/>
      <c r="Q135" s="743"/>
      <c r="R135" s="743"/>
      <c r="S135" s="373"/>
      <c r="T135" s="743"/>
      <c r="U135" s="743"/>
      <c r="V135" s="743"/>
      <c r="W135" s="743"/>
      <c r="X135" s="373"/>
      <c r="Y135" s="743"/>
      <c r="Z135" s="743"/>
      <c r="AA135" s="743"/>
      <c r="AB135" s="743"/>
      <c r="AC135" s="373"/>
      <c r="AD135" s="743"/>
      <c r="AE135" s="743"/>
      <c r="AF135" s="743"/>
      <c r="AG135" s="743"/>
      <c r="AH135" s="373"/>
      <c r="AI135" s="373"/>
      <c r="AJ135" s="375"/>
      <c r="AK135" s="340"/>
      <c r="AL135" s="340"/>
      <c r="AM135" s="340"/>
      <c r="AN135" s="335"/>
      <c r="AO135" s="336">
        <f>Application!B741</f>
        <v>0</v>
      </c>
      <c r="AQ135" s="336">
        <f>Application!O741</f>
        <v>0</v>
      </c>
      <c r="AU135" s="747"/>
      <c r="AV135" s="746"/>
      <c r="AW135" s="747"/>
      <c r="AX135" s="747"/>
      <c r="AY135" s="746"/>
      <c r="AZ135" s="746"/>
    </row>
    <row r="136" spans="1:52" s="336" customFormat="1" ht="12.75" customHeight="1">
      <c r="A136" s="340"/>
      <c r="B136" s="339"/>
      <c r="C136" s="340"/>
      <c r="D136" s="340"/>
      <c r="E136" s="2548" t="e">
        <f>IF(((E133-0.1)*AW116)&gt;0,((E133-0.1)*AW116),0)</f>
        <v>#DIV/0!</v>
      </c>
      <c r="F136" s="2549"/>
      <c r="G136" s="2549"/>
      <c r="H136" s="2550"/>
      <c r="I136" s="373"/>
      <c r="J136" s="2548">
        <f>IF(((J133-0.1)*AW117)&gt;0,((J133-0.1)*AW117),0)</f>
        <v>9.5246427529892097E-2</v>
      </c>
      <c r="K136" s="2549"/>
      <c r="L136" s="2549"/>
      <c r="M136" s="2550"/>
      <c r="N136" s="373"/>
      <c r="O136" s="2548">
        <f>IF(((O133-0.1)*AW118)&gt;0,((O133-0.1)*AW118),0)</f>
        <v>4.215643371045779E-2</v>
      </c>
      <c r="P136" s="2549"/>
      <c r="Q136" s="2549"/>
      <c r="R136" s="2550"/>
      <c r="S136" s="373"/>
      <c r="T136" s="2548">
        <f>IF(((T133-0.1)*AW119)&gt;0,((T133-0.1)*AW119),0)</f>
        <v>7.4028103833668438E-2</v>
      </c>
      <c r="U136" s="2549"/>
      <c r="V136" s="2549"/>
      <c r="W136" s="2550"/>
      <c r="X136" s="373"/>
      <c r="Y136" s="2548" t="e">
        <f>IF(((Y133-0.1)*AW120)&gt;0,((Y133-0.1)*AW120),0)</f>
        <v>#DIV/0!</v>
      </c>
      <c r="Z136" s="2549"/>
      <c r="AA136" s="2549"/>
      <c r="AB136" s="2550"/>
      <c r="AC136" s="373"/>
      <c r="AD136" s="2548" t="e">
        <f>IF(((AD133-0.1)*AW121)&gt;0,((AD133-0.1)*AW121),0)</f>
        <v>#DIV/0!</v>
      </c>
      <c r="AE136" s="2549"/>
      <c r="AF136" s="2549"/>
      <c r="AG136" s="2550"/>
      <c r="AH136" s="373"/>
      <c r="AI136" s="373"/>
      <c r="AJ136" s="375"/>
      <c r="AK136" s="340"/>
      <c r="AL136" s="340"/>
      <c r="AM136" s="340"/>
      <c r="AN136" s="335"/>
      <c r="AO136" s="336">
        <f>Application!B752</f>
        <v>0</v>
      </c>
      <c r="AQ136" s="336">
        <f>Application!O752</f>
        <v>0</v>
      </c>
      <c r="AU136" s="746"/>
      <c r="AV136" s="746"/>
      <c r="AW136" s="746"/>
      <c r="AX136" s="747"/>
      <c r="AY136" s="746"/>
      <c r="AZ136" s="746"/>
    </row>
    <row r="137" spans="1:52" s="336" customFormat="1" ht="12.75" customHeight="1">
      <c r="A137" s="340"/>
      <c r="B137" s="339"/>
      <c r="C137" s="340"/>
      <c r="D137" s="340"/>
      <c r="E137" s="639"/>
      <c r="F137" s="635"/>
      <c r="G137" s="635"/>
      <c r="H137" s="635"/>
      <c r="I137" s="373"/>
      <c r="J137" s="376"/>
      <c r="K137" s="373"/>
      <c r="L137" s="373"/>
      <c r="M137" s="373"/>
      <c r="N137" s="373"/>
      <c r="O137" s="373"/>
      <c r="P137" s="373"/>
      <c r="Q137" s="373"/>
      <c r="R137" s="373"/>
      <c r="S137" s="373"/>
      <c r="T137" s="373"/>
      <c r="U137" s="373"/>
      <c r="V137" s="373"/>
      <c r="W137" s="373"/>
      <c r="X137" s="373"/>
      <c r="Y137" s="373"/>
      <c r="Z137" s="373"/>
      <c r="AA137" s="373"/>
      <c r="AB137" s="373"/>
      <c r="AC137" s="373"/>
      <c r="AD137" s="373"/>
      <c r="AE137" s="373"/>
      <c r="AF137" s="373"/>
      <c r="AG137" s="373"/>
      <c r="AH137" s="373"/>
      <c r="AI137" s="373"/>
      <c r="AJ137" s="375"/>
      <c r="AK137" s="340"/>
      <c r="AL137" s="340"/>
      <c r="AM137" s="340"/>
      <c r="AN137" s="335"/>
      <c r="AU137" s="746"/>
      <c r="AV137" s="746"/>
      <c r="AW137" s="746"/>
      <c r="AX137" s="746"/>
      <c r="AY137" s="746"/>
      <c r="AZ137" s="746"/>
    </row>
    <row r="138" spans="1:52" s="336" customFormat="1" ht="12.75" customHeight="1">
      <c r="A138" s="340"/>
      <c r="B138" s="339"/>
      <c r="C138" s="340"/>
      <c r="D138" s="340"/>
      <c r="E138" s="2340">
        <f>ROUNDDOWN(SUMIF(E136:AG136,"&gt;0"),2)</f>
        <v>0.21</v>
      </c>
      <c r="F138" s="2341"/>
      <c r="G138" s="2341"/>
      <c r="H138" s="2342"/>
      <c r="I138" s="373"/>
      <c r="J138" s="376" t="s">
        <v>2202</v>
      </c>
      <c r="K138" s="373"/>
      <c r="L138" s="373"/>
      <c r="M138" s="373"/>
      <c r="N138" s="373"/>
      <c r="O138" s="373"/>
      <c r="P138" s="373"/>
      <c r="Q138" s="373"/>
      <c r="R138" s="373"/>
      <c r="S138" s="373"/>
      <c r="T138" s="373"/>
      <c r="U138" s="373"/>
      <c r="V138" s="373"/>
      <c r="W138" s="373"/>
      <c r="X138" s="373"/>
      <c r="Y138" s="373"/>
      <c r="Z138" s="373"/>
      <c r="AA138" s="373"/>
      <c r="AB138" s="373"/>
      <c r="AC138" s="373"/>
      <c r="AD138" s="641"/>
      <c r="AE138" s="641"/>
      <c r="AF138" s="641"/>
      <c r="AG138" s="641"/>
      <c r="AH138" s="373"/>
      <c r="AI138" s="373"/>
      <c r="AJ138" s="375"/>
      <c r="AK138" s="340"/>
      <c r="AL138" s="340"/>
      <c r="AM138" s="340"/>
      <c r="AN138" s="335"/>
      <c r="AU138" s="746"/>
      <c r="AV138" s="746"/>
      <c r="AW138" s="746"/>
      <c r="AX138" s="747"/>
      <c r="AY138" s="746"/>
      <c r="AZ138" s="746"/>
    </row>
    <row r="139" spans="1:52" s="336" customFormat="1" ht="12.75" customHeight="1">
      <c r="A139" s="340"/>
      <c r="B139" s="339"/>
      <c r="C139" s="340"/>
      <c r="D139" s="340"/>
      <c r="E139" s="2520">
        <f>IF((E138*100)&gt;10,10,E138*100)</f>
        <v>10</v>
      </c>
      <c r="F139" s="2521"/>
      <c r="G139" s="2521"/>
      <c r="H139" s="2522"/>
      <c r="I139" s="373"/>
      <c r="J139" s="376" t="s">
        <v>2182</v>
      </c>
      <c r="K139" s="373"/>
      <c r="L139" s="373"/>
      <c r="M139" s="373"/>
      <c r="N139" s="373"/>
      <c r="O139" s="373"/>
      <c r="P139" s="373"/>
      <c r="Q139" s="373"/>
      <c r="R139" s="373"/>
      <c r="S139" s="373"/>
      <c r="T139" s="373"/>
      <c r="U139" s="373"/>
      <c r="V139" s="373"/>
      <c r="W139" s="373"/>
      <c r="X139" s="373"/>
      <c r="Y139" s="373"/>
      <c r="Z139" s="373"/>
      <c r="AA139" s="373"/>
      <c r="AB139" s="373"/>
      <c r="AC139" s="373"/>
      <c r="AD139" s="373"/>
      <c r="AE139" s="373"/>
      <c r="AF139" s="373"/>
      <c r="AG139" s="373"/>
      <c r="AH139" s="373"/>
      <c r="AI139" s="373"/>
      <c r="AJ139" s="375"/>
      <c r="AK139" s="340"/>
      <c r="AL139" s="340"/>
      <c r="AM139" s="340"/>
      <c r="AN139" s="335"/>
      <c r="AU139" s="746"/>
      <c r="AV139" s="746"/>
      <c r="AW139" s="746"/>
      <c r="AX139" s="746"/>
      <c r="AY139" s="746"/>
      <c r="AZ139" s="746"/>
    </row>
    <row r="140" spans="1:52" s="336" customFormat="1" ht="12.75" customHeight="1">
      <c r="A140" s="340"/>
      <c r="B140" s="340"/>
      <c r="C140" s="340"/>
      <c r="D140" s="340"/>
      <c r="E140" s="383"/>
      <c r="F140" s="384"/>
      <c r="G140" s="384"/>
      <c r="H140" s="384"/>
      <c r="I140" s="384"/>
      <c r="J140" s="384"/>
      <c r="K140" s="384"/>
      <c r="L140" s="384"/>
      <c r="M140" s="384"/>
      <c r="N140" s="384"/>
      <c r="O140" s="384"/>
      <c r="P140" s="384"/>
      <c r="Q140" s="384"/>
      <c r="R140" s="384"/>
      <c r="S140" s="384"/>
      <c r="T140" s="384"/>
      <c r="U140" s="384"/>
      <c r="V140" s="384"/>
      <c r="W140" s="384"/>
      <c r="X140" s="384"/>
      <c r="Y140" s="384"/>
      <c r="Z140" s="384"/>
      <c r="AA140" s="384"/>
      <c r="AB140" s="384"/>
      <c r="AC140" s="384"/>
      <c r="AD140" s="384"/>
      <c r="AE140" s="384"/>
      <c r="AF140" s="384"/>
      <c r="AG140" s="384"/>
      <c r="AH140" s="384"/>
      <c r="AI140" s="384"/>
      <c r="AJ140" s="385"/>
      <c r="AK140" s="340"/>
      <c r="AL140" s="340"/>
      <c r="AM140" s="340"/>
      <c r="AN140" s="335"/>
      <c r="AT140" s="742"/>
      <c r="AU140" s="746"/>
      <c r="AV140" s="746"/>
      <c r="AW140" s="747"/>
      <c r="AX140" s="746"/>
      <c r="AY140" s="746"/>
      <c r="AZ140" s="746"/>
    </row>
    <row r="141" spans="1:52" s="336" customFormat="1" ht="12.75" customHeight="1">
      <c r="A141" s="340"/>
      <c r="B141" s="340"/>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c r="AF141" s="340"/>
      <c r="AG141" s="340"/>
      <c r="AH141" s="340"/>
      <c r="AI141" s="340"/>
      <c r="AJ141" s="340"/>
      <c r="AK141" s="340"/>
      <c r="AL141" s="340"/>
      <c r="AM141" s="340"/>
      <c r="AN141" s="335"/>
      <c r="AU141" s="746"/>
      <c r="AV141" s="746"/>
      <c r="AW141" s="746"/>
      <c r="AX141" s="746"/>
      <c r="AY141" s="746"/>
      <c r="AZ141" s="746"/>
    </row>
    <row r="142" spans="1:52" s="336" customFormat="1" ht="12.75" customHeight="1">
      <c r="A142" s="340"/>
      <c r="B142" s="340"/>
      <c r="C142" s="340"/>
      <c r="D142" s="340"/>
      <c r="E142" s="340"/>
      <c r="F142" s="340"/>
      <c r="G142" s="340"/>
      <c r="H142" s="340"/>
      <c r="I142" s="340"/>
      <c r="J142" s="340"/>
      <c r="K142" s="340"/>
      <c r="L142" s="340"/>
      <c r="M142" s="340"/>
      <c r="N142" s="340"/>
      <c r="O142" s="340"/>
      <c r="P142" s="340"/>
      <c r="Q142" s="340"/>
      <c r="R142" s="340"/>
      <c r="S142" s="340"/>
      <c r="T142" s="340"/>
      <c r="U142" s="340"/>
      <c r="V142" s="340"/>
      <c r="W142" s="340"/>
      <c r="X142" s="340"/>
      <c r="Y142" s="340"/>
      <c r="Z142" s="340"/>
      <c r="AA142" s="340"/>
      <c r="AB142" s="340"/>
      <c r="AC142" s="340"/>
      <c r="AD142" s="340"/>
      <c r="AE142" s="340"/>
      <c r="AF142" s="340"/>
      <c r="AG142" s="340"/>
      <c r="AH142" s="340"/>
      <c r="AI142" s="340"/>
      <c r="AJ142" s="340"/>
      <c r="AK142" s="340"/>
      <c r="AL142" s="340"/>
      <c r="AM142" s="340"/>
      <c r="AN142" s="335"/>
    </row>
    <row r="143" spans="1:52" s="336" customFormat="1" ht="12.75" customHeight="1">
      <c r="A143" s="358"/>
      <c r="B143" s="359"/>
      <c r="C143" s="359"/>
      <c r="D143" s="359"/>
      <c r="E143" s="359"/>
      <c r="F143" s="359"/>
      <c r="G143" s="360"/>
      <c r="H143" s="361"/>
      <c r="I143" s="361"/>
      <c r="J143" s="361"/>
      <c r="K143" s="361"/>
      <c r="L143" s="361"/>
      <c r="M143" s="361"/>
      <c r="N143" s="361"/>
      <c r="O143" s="361"/>
      <c r="P143" s="361"/>
      <c r="Q143" s="361"/>
      <c r="R143" s="361"/>
      <c r="S143" s="361"/>
      <c r="T143" s="361"/>
      <c r="U143" s="361"/>
      <c r="V143" s="361"/>
      <c r="W143" s="361"/>
      <c r="X143" s="361"/>
      <c r="Y143" s="361"/>
      <c r="Z143" s="361"/>
      <c r="AA143" s="361"/>
      <c r="AB143" s="361"/>
      <c r="AC143" s="361"/>
      <c r="AD143" s="361"/>
      <c r="AE143" s="361"/>
      <c r="AF143" s="361"/>
      <c r="AG143" s="361"/>
      <c r="AH143" s="361"/>
      <c r="AI143" s="362"/>
      <c r="AJ143" s="362" t="s">
        <v>2203</v>
      </c>
      <c r="AK143" s="2520">
        <f>E139</f>
        <v>10</v>
      </c>
      <c r="AL143" s="2521"/>
      <c r="AM143" s="2522"/>
      <c r="AN143" s="335"/>
    </row>
    <row r="144" spans="1:52" s="336" customFormat="1" ht="12.75" customHeight="1" thickBot="1">
      <c r="A144" s="363"/>
      <c r="B144" s="364"/>
      <c r="C144" s="365"/>
      <c r="D144" s="365"/>
      <c r="E144" s="365"/>
      <c r="F144" s="365"/>
      <c r="G144" s="365"/>
      <c r="H144" s="365"/>
      <c r="I144" s="365"/>
      <c r="J144" s="365"/>
      <c r="K144" s="365"/>
      <c r="L144" s="365"/>
      <c r="M144" s="365"/>
      <c r="N144" s="365"/>
      <c r="O144" s="365"/>
      <c r="P144" s="365"/>
      <c r="Q144" s="365"/>
      <c r="R144" s="365"/>
      <c r="S144" s="365"/>
      <c r="T144" s="365"/>
      <c r="U144" s="365"/>
      <c r="V144" s="365"/>
      <c r="W144" s="365"/>
      <c r="X144" s="365"/>
      <c r="Y144" s="365"/>
      <c r="Z144" s="365"/>
      <c r="AA144" s="365"/>
      <c r="AB144" s="365"/>
      <c r="AC144" s="365"/>
      <c r="AD144" s="365"/>
      <c r="AE144" s="365"/>
      <c r="AF144" s="365"/>
      <c r="AG144" s="365"/>
      <c r="AH144" s="365"/>
      <c r="AI144" s="365"/>
      <c r="AJ144" s="365"/>
      <c r="AK144" s="365"/>
      <c r="AL144" s="365"/>
      <c r="AM144" s="366"/>
      <c r="AN144" s="335"/>
    </row>
    <row r="145" spans="1:42" s="336" customFormat="1" ht="12.75" customHeight="1" thickTop="1">
      <c r="A145" s="367"/>
      <c r="B145" s="368"/>
      <c r="C145" s="369"/>
      <c r="D145" s="369"/>
      <c r="E145" s="369"/>
      <c r="F145" s="369"/>
      <c r="G145" s="369"/>
      <c r="H145" s="369"/>
      <c r="I145" s="1209"/>
      <c r="J145" s="1209"/>
      <c r="K145" s="1209"/>
      <c r="L145" s="1209"/>
      <c r="M145" s="1209"/>
      <c r="N145" s="1209"/>
      <c r="O145" s="1209"/>
      <c r="P145" s="1209"/>
      <c r="Q145" s="1209"/>
      <c r="R145" s="367"/>
      <c r="S145" s="339"/>
      <c r="T145" s="339"/>
      <c r="U145" s="339"/>
      <c r="V145" s="339"/>
      <c r="W145" s="339"/>
      <c r="X145" s="339"/>
      <c r="Y145" s="339"/>
      <c r="Z145" s="339"/>
      <c r="AA145" s="339"/>
      <c r="AB145" s="339"/>
      <c r="AC145" s="339"/>
      <c r="AD145" s="339"/>
      <c r="AE145" s="339"/>
      <c r="AF145" s="367"/>
      <c r="AG145" s="339"/>
      <c r="AH145" s="339"/>
      <c r="AI145" s="339"/>
      <c r="AJ145" s="339"/>
      <c r="AK145" s="349"/>
      <c r="AL145" s="349"/>
      <c r="AM145" s="349"/>
      <c r="AN145" s="335"/>
    </row>
    <row r="146" spans="1:42" s="339" customFormat="1" ht="12.75" customHeight="1">
      <c r="A146" s="338" t="s">
        <v>2204</v>
      </c>
      <c r="AE146" s="2394" t="s">
        <v>2162</v>
      </c>
      <c r="AF146" s="2394"/>
      <c r="AG146" s="2394"/>
      <c r="AH146" s="2394"/>
      <c r="AI146" s="2394"/>
      <c r="AJ146" s="2394"/>
      <c r="AK146" s="2394"/>
      <c r="AL146" s="1206"/>
      <c r="AN146" s="386"/>
      <c r="AO146" s="336"/>
    </row>
    <row r="147" spans="1:42" s="339" customFormat="1" ht="12.9" customHeight="1">
      <c r="A147" s="338"/>
      <c r="AE147" s="1206"/>
      <c r="AF147" s="1206"/>
      <c r="AG147" s="1206"/>
      <c r="AH147" s="1206"/>
      <c r="AI147" s="1206"/>
      <c r="AJ147" s="1206"/>
      <c r="AK147" s="1206"/>
      <c r="AL147" s="1206"/>
      <c r="AN147" s="386"/>
    </row>
    <row r="148" spans="1:42" s="336" customFormat="1" ht="12.75" customHeight="1">
      <c r="A148" s="338"/>
      <c r="B148" s="338" t="s">
        <v>2205</v>
      </c>
      <c r="C148" s="339"/>
      <c r="D148" s="339"/>
      <c r="E148" s="339"/>
      <c r="F148" s="339"/>
      <c r="G148" s="339"/>
      <c r="H148" s="339"/>
      <c r="I148" s="339"/>
      <c r="J148" s="339"/>
      <c r="K148" s="339"/>
      <c r="L148" s="339"/>
      <c r="M148" s="339"/>
      <c r="N148" s="339"/>
      <c r="O148" s="339"/>
      <c r="P148" s="339"/>
      <c r="Q148" s="339"/>
      <c r="R148" s="339"/>
      <c r="S148" s="339"/>
      <c r="T148" s="339"/>
      <c r="U148" s="339"/>
      <c r="V148" s="339"/>
      <c r="W148" s="339"/>
      <c r="X148" s="339"/>
      <c r="Y148" s="339"/>
      <c r="Z148" s="339"/>
      <c r="AA148" s="339"/>
      <c r="AB148" s="339"/>
      <c r="AC148" s="339"/>
      <c r="AD148" s="339"/>
      <c r="AF148" s="2454" t="s">
        <v>2206</v>
      </c>
      <c r="AG148" s="2454"/>
      <c r="AH148" s="2454"/>
      <c r="AI148" s="2454"/>
      <c r="AJ148" s="2454"/>
      <c r="AK148" s="2454"/>
      <c r="AL148" s="2454"/>
      <c r="AM148" s="339"/>
      <c r="AN148" s="335"/>
    </row>
    <row r="149" spans="1:42" s="336" customFormat="1" ht="12.75" customHeight="1">
      <c r="A149" s="338"/>
      <c r="B149" s="338" t="s">
        <v>1082</v>
      </c>
      <c r="C149" s="1198"/>
      <c r="D149" s="1198"/>
      <c r="E149" s="1198"/>
      <c r="F149" s="1198"/>
      <c r="G149" s="1198"/>
      <c r="H149" s="1198"/>
      <c r="I149" s="1198"/>
      <c r="J149" s="1198"/>
      <c r="K149" s="1198"/>
      <c r="L149" s="1198"/>
      <c r="M149" s="1198"/>
      <c r="N149" s="1198"/>
      <c r="O149" s="1198"/>
      <c r="P149" s="1198"/>
      <c r="Q149" s="1198"/>
      <c r="R149" s="1198"/>
      <c r="S149" s="1198"/>
      <c r="T149" s="1198"/>
      <c r="U149" s="1198"/>
      <c r="V149" s="1198"/>
      <c r="W149" s="1198"/>
      <c r="X149" s="1198"/>
      <c r="Y149" s="1198"/>
      <c r="Z149" s="1198"/>
      <c r="AA149" s="1198"/>
      <c r="AB149" s="1198"/>
      <c r="AC149" s="1198"/>
      <c r="AD149" s="339"/>
      <c r="AL149" s="1195"/>
      <c r="AM149" s="339"/>
      <c r="AN149" s="335"/>
    </row>
    <row r="150" spans="1:42" s="336" customFormat="1" ht="15" customHeight="1">
      <c r="A150" s="338"/>
      <c r="B150" s="2524" t="s">
        <v>1094</v>
      </c>
      <c r="C150" s="2524"/>
      <c r="D150" s="2524"/>
      <c r="E150" s="2524"/>
      <c r="F150" s="2524"/>
      <c r="G150" s="2524"/>
      <c r="H150" s="2524"/>
      <c r="I150" s="2524"/>
      <c r="J150" s="2524"/>
      <c r="K150" s="2524"/>
      <c r="L150" s="2524"/>
      <c r="M150" s="2524"/>
      <c r="N150" s="2524"/>
      <c r="O150" s="2524"/>
      <c r="P150" s="2524"/>
      <c r="Q150" s="2524"/>
      <c r="R150" s="2524"/>
      <c r="S150" s="2524"/>
      <c r="T150" s="2524"/>
      <c r="U150" s="2524"/>
      <c r="V150" s="2524"/>
      <c r="W150" s="2524"/>
      <c r="X150" s="2524"/>
      <c r="Y150" s="2524"/>
      <c r="Z150" s="2524"/>
      <c r="AA150" s="2524"/>
      <c r="AB150" s="2524"/>
      <c r="AC150" s="2524"/>
      <c r="AD150" s="339"/>
      <c r="AE150" s="1195"/>
      <c r="AF150" s="1195"/>
      <c r="AG150" s="1195"/>
      <c r="AH150" s="1195"/>
      <c r="AI150" s="1195"/>
      <c r="AJ150" s="1195"/>
      <c r="AK150" s="1195"/>
      <c r="AL150" s="1195"/>
      <c r="AM150" s="339"/>
      <c r="AN150" s="335"/>
      <c r="AP150" s="388"/>
    </row>
    <row r="151" spans="1:42" s="336" customFormat="1" ht="12.75" customHeight="1">
      <c r="A151" s="338"/>
      <c r="B151" s="338"/>
      <c r="C151" s="339"/>
      <c r="D151" s="339"/>
      <c r="E151" s="339"/>
      <c r="F151" s="339"/>
      <c r="G151" s="339"/>
      <c r="H151" s="339"/>
      <c r="I151" s="339"/>
      <c r="J151" s="339"/>
      <c r="K151" s="339"/>
      <c r="L151" s="339"/>
      <c r="M151" s="339"/>
      <c r="N151" s="339"/>
      <c r="O151" s="339"/>
      <c r="P151" s="339"/>
      <c r="Q151" s="339"/>
      <c r="R151" s="339"/>
      <c r="S151" s="339"/>
      <c r="T151" s="339"/>
      <c r="U151" s="339"/>
      <c r="V151" s="339"/>
      <c r="W151" s="339"/>
      <c r="X151" s="339"/>
      <c r="Y151" s="339"/>
      <c r="Z151" s="339"/>
      <c r="AA151" s="339"/>
      <c r="AB151" s="339"/>
      <c r="AC151" s="339"/>
      <c r="AD151" s="339"/>
      <c r="AE151" s="1195"/>
      <c r="AF151" s="1195"/>
      <c r="AG151" s="1195"/>
      <c r="AH151" s="1195"/>
      <c r="AI151" s="1195"/>
      <c r="AJ151" s="1195"/>
      <c r="AK151" s="1195"/>
      <c r="AL151" s="1195"/>
      <c r="AM151" s="339"/>
      <c r="AN151" s="335"/>
      <c r="AO151" s="1140" t="s">
        <v>547</v>
      </c>
      <c r="AP151" s="344"/>
    </row>
    <row r="152" spans="1:42" s="336" customFormat="1" ht="12.75" customHeight="1">
      <c r="A152" s="338"/>
      <c r="B152" s="339" t="s">
        <v>2207</v>
      </c>
      <c r="C152" s="339"/>
      <c r="D152" s="339"/>
      <c r="E152" s="339"/>
      <c r="F152" s="339"/>
      <c r="G152" s="339"/>
      <c r="H152" s="339"/>
      <c r="I152" s="339"/>
      <c r="J152" s="339"/>
      <c r="K152" s="339"/>
      <c r="L152" s="339"/>
      <c r="M152" s="339"/>
      <c r="N152" s="339"/>
      <c r="O152" s="339"/>
      <c r="P152" s="339"/>
      <c r="Q152" s="339"/>
      <c r="R152" s="339"/>
      <c r="S152" s="339"/>
      <c r="T152" s="339"/>
      <c r="U152" s="339"/>
      <c r="V152" s="339"/>
      <c r="W152" s="339"/>
      <c r="X152" s="339"/>
      <c r="Y152" s="339"/>
      <c r="Z152" s="339"/>
      <c r="AA152" s="339"/>
      <c r="AB152" s="339"/>
      <c r="AC152" s="339"/>
      <c r="AD152" s="339"/>
      <c r="AE152" s="339"/>
      <c r="AF152" s="339"/>
      <c r="AG152" s="339"/>
      <c r="AH152" s="339"/>
      <c r="AI152" s="339"/>
      <c r="AJ152" s="339"/>
      <c r="AK152" s="339"/>
      <c r="AL152" s="339"/>
      <c r="AM152" s="339"/>
      <c r="AN152" s="335"/>
      <c r="AO152" s="286" t="s">
        <v>2208</v>
      </c>
      <c r="AP152" s="296">
        <v>5</v>
      </c>
    </row>
    <row r="153" spans="1:42" s="336" customFormat="1" ht="12.75" customHeight="1">
      <c r="A153" s="338"/>
      <c r="B153" s="2525" t="s">
        <v>2209</v>
      </c>
      <c r="C153" s="2525"/>
      <c r="D153" s="2525"/>
      <c r="E153" s="2525"/>
      <c r="F153" s="2525"/>
      <c r="G153" s="2525"/>
      <c r="H153" s="2525"/>
      <c r="I153" s="2525"/>
      <c r="J153" s="2525"/>
      <c r="K153" s="2525"/>
      <c r="L153" s="2525"/>
      <c r="M153" s="2525"/>
      <c r="N153" s="2525"/>
      <c r="O153" s="2525"/>
      <c r="P153" s="2525"/>
      <c r="Q153" s="2525"/>
      <c r="R153" s="2525"/>
      <c r="S153" s="2525"/>
      <c r="T153" s="2525"/>
      <c r="U153" s="2525"/>
      <c r="V153" s="2525"/>
      <c r="W153" s="2525"/>
      <c r="X153" s="2525"/>
      <c r="Y153" s="2525"/>
      <c r="Z153" s="2525"/>
      <c r="AA153" s="2525"/>
      <c r="AB153" s="2525"/>
      <c r="AC153" s="2525"/>
      <c r="AD153" s="2525"/>
      <c r="AE153" s="2525"/>
      <c r="AF153" s="2525"/>
      <c r="AG153" s="2525"/>
      <c r="AH153" s="2525"/>
      <c r="AI153" s="2525"/>
      <c r="AM153" s="339"/>
      <c r="AN153" s="335"/>
      <c r="AO153" s="286" t="s">
        <v>2209</v>
      </c>
      <c r="AP153" s="296">
        <v>7</v>
      </c>
    </row>
    <row r="154" spans="1:42" s="336" customFormat="1" ht="12.9" customHeight="1">
      <c r="A154" s="338"/>
      <c r="B154" s="1198"/>
      <c r="C154" s="1198"/>
      <c r="D154" s="1198"/>
      <c r="E154" s="1198"/>
      <c r="F154" s="1198"/>
      <c r="G154" s="1198"/>
      <c r="H154" s="1198"/>
      <c r="I154" s="1198"/>
      <c r="J154" s="1198"/>
      <c r="K154" s="1198"/>
      <c r="L154" s="1198"/>
      <c r="M154" s="1198"/>
      <c r="N154" s="1198"/>
      <c r="O154" s="1198"/>
      <c r="P154" s="1198"/>
      <c r="Q154" s="1198"/>
      <c r="R154" s="1198"/>
      <c r="S154" s="1198"/>
      <c r="T154" s="1198"/>
      <c r="U154" s="1198"/>
      <c r="V154" s="1198"/>
      <c r="W154" s="1198"/>
      <c r="X154" s="1198"/>
      <c r="Y154" s="1198"/>
      <c r="Z154" s="1198"/>
      <c r="AA154" s="1198"/>
      <c r="AB154" s="1198"/>
      <c r="AC154" s="1198"/>
      <c r="AD154" s="1206"/>
      <c r="AM154" s="339"/>
      <c r="AN154" s="335"/>
      <c r="AO154" s="286" t="s">
        <v>2210</v>
      </c>
      <c r="AP154" s="296">
        <v>7</v>
      </c>
    </row>
    <row r="155" spans="1:42" s="336" customFormat="1" ht="12.75" customHeight="1">
      <c r="A155" s="338"/>
      <c r="B155" s="339" t="s">
        <v>2211</v>
      </c>
      <c r="AB155" s="2326" t="s">
        <v>809</v>
      </c>
      <c r="AC155" s="2326"/>
      <c r="AD155" s="1206"/>
      <c r="AM155" s="339"/>
      <c r="AN155" s="335"/>
      <c r="AO155" s="286"/>
      <c r="AP155" s="286"/>
    </row>
    <row r="156" spans="1:42" s="336" customFormat="1" ht="9" customHeight="1">
      <c r="A156" s="338"/>
      <c r="B156" s="1198"/>
      <c r="C156" s="1198"/>
      <c r="D156" s="1198"/>
      <c r="E156" s="1198"/>
      <c r="F156" s="1198"/>
      <c r="G156" s="1198"/>
      <c r="H156" s="1198"/>
      <c r="I156" s="1198"/>
      <c r="J156" s="1198"/>
      <c r="K156" s="1198"/>
      <c r="L156" s="1198"/>
      <c r="M156" s="1198"/>
      <c r="N156" s="1198"/>
      <c r="O156" s="1198"/>
      <c r="P156" s="1198"/>
      <c r="Q156" s="1198"/>
      <c r="R156" s="1198"/>
      <c r="S156" s="1198"/>
      <c r="T156" s="1198"/>
      <c r="U156" s="1198"/>
      <c r="V156" s="1198"/>
      <c r="W156" s="1198"/>
      <c r="X156" s="1198"/>
      <c r="Y156" s="1198"/>
      <c r="Z156" s="1198"/>
      <c r="AA156" s="1198"/>
      <c r="AB156" s="1198"/>
      <c r="AC156" s="1198"/>
      <c r="AD156" s="1206"/>
      <c r="AM156" s="339"/>
      <c r="AN156" s="335"/>
      <c r="AO156" s="1140" t="s">
        <v>2212</v>
      </c>
      <c r="AP156" s="296"/>
    </row>
    <row r="157" spans="1:42" s="336" customFormat="1" ht="12.75" customHeight="1">
      <c r="A157" s="338"/>
      <c r="B157" s="338" t="s">
        <v>2213</v>
      </c>
      <c r="C157" s="1198"/>
      <c r="D157" s="1198"/>
      <c r="E157" s="1198"/>
      <c r="F157" s="1198"/>
      <c r="G157" s="1198"/>
      <c r="H157" s="1198"/>
      <c r="I157" s="1198"/>
      <c r="J157" s="1198"/>
      <c r="K157" s="1198"/>
      <c r="L157" s="1198"/>
      <c r="M157" s="1198"/>
      <c r="N157" s="1198"/>
      <c r="O157" s="1198"/>
      <c r="P157" s="1198"/>
      <c r="Q157" s="1198"/>
      <c r="R157" s="1198"/>
      <c r="S157" s="1198"/>
      <c r="T157" s="1198"/>
      <c r="U157" s="1198"/>
      <c r="V157" s="1198"/>
      <c r="W157" s="1198"/>
      <c r="X157" s="1198"/>
      <c r="Y157" s="1198"/>
      <c r="Z157" s="1198"/>
      <c r="AA157" s="1198"/>
      <c r="AB157" s="1198"/>
      <c r="AC157" s="1198"/>
      <c r="AD157" s="1206"/>
      <c r="AM157" s="339"/>
      <c r="AN157" s="335"/>
      <c r="AO157" s="286" t="s">
        <v>2214</v>
      </c>
      <c r="AP157" s="296">
        <v>5</v>
      </c>
    </row>
    <row r="158" spans="1:42" s="336" customFormat="1" ht="12.75" customHeight="1">
      <c r="A158" s="338"/>
      <c r="B158" s="2525" t="s">
        <v>2212</v>
      </c>
      <c r="C158" s="2525"/>
      <c r="D158" s="2525"/>
      <c r="E158" s="2525"/>
      <c r="F158" s="2525"/>
      <c r="G158" s="2525"/>
      <c r="H158" s="2525"/>
      <c r="I158" s="2525"/>
      <c r="J158" s="2525"/>
      <c r="K158" s="2525"/>
      <c r="L158" s="2525"/>
      <c r="M158" s="2525"/>
      <c r="N158" s="2525"/>
      <c r="O158" s="2525"/>
      <c r="P158" s="2525"/>
      <c r="Q158" s="2525"/>
      <c r="R158" s="2525"/>
      <c r="S158" s="2525"/>
      <c r="T158" s="2525"/>
      <c r="U158" s="2525"/>
      <c r="V158" s="2525"/>
      <c r="W158" s="2525"/>
      <c r="X158" s="2525"/>
      <c r="Y158" s="2525"/>
      <c r="Z158" s="2525"/>
      <c r="AA158" s="2525"/>
      <c r="AB158" s="2525"/>
      <c r="AC158" s="2525"/>
      <c r="AD158" s="2525"/>
      <c r="AE158" s="2525"/>
      <c r="AF158" s="2525"/>
      <c r="AG158" s="2525"/>
      <c r="AH158" s="2525"/>
      <c r="AI158" s="2525"/>
      <c r="AJ158" s="2525"/>
      <c r="AN158" s="335"/>
      <c r="AO158" s="286" t="s">
        <v>2215</v>
      </c>
      <c r="AP158" s="296">
        <v>7</v>
      </c>
    </row>
    <row r="159" spans="1:42" s="336" customFormat="1" ht="12.75" customHeight="1">
      <c r="B159" s="339" t="s">
        <v>2216</v>
      </c>
      <c r="C159" s="1198"/>
      <c r="D159" s="1198"/>
      <c r="E159" s="1198"/>
      <c r="F159" s="1198"/>
      <c r="G159" s="1198"/>
      <c r="H159" s="1198"/>
      <c r="I159" s="1198"/>
      <c r="J159" s="1198"/>
      <c r="K159" s="1198"/>
      <c r="L159" s="1198"/>
      <c r="M159" s="1198"/>
      <c r="N159" s="1198"/>
      <c r="O159" s="1198"/>
      <c r="P159" s="1198"/>
      <c r="Q159" s="1198"/>
      <c r="R159" s="1198"/>
      <c r="S159" s="1198"/>
      <c r="T159" s="1198"/>
      <c r="U159" s="1198"/>
      <c r="AM159" s="339"/>
      <c r="AN159" s="335"/>
      <c r="AO159" s="286"/>
      <c r="AP159" s="296"/>
    </row>
    <row r="160" spans="1:42" s="336" customFormat="1" ht="12.75" customHeight="1">
      <c r="B160" s="339"/>
      <c r="C160" s="1198"/>
      <c r="D160" s="1198"/>
      <c r="E160" s="1198"/>
      <c r="F160" s="1198"/>
      <c r="G160" s="1198"/>
      <c r="H160" s="1198"/>
      <c r="I160" s="1198"/>
      <c r="J160" s="1198"/>
      <c r="K160" s="1198"/>
      <c r="L160" s="1198"/>
      <c r="M160" s="1198"/>
      <c r="N160" s="1198"/>
      <c r="O160" s="1198"/>
      <c r="P160" s="1198"/>
      <c r="Q160" s="1198"/>
      <c r="R160" s="1198"/>
      <c r="S160" s="1198"/>
      <c r="T160" s="1198"/>
      <c r="U160" s="1198"/>
      <c r="AM160" s="339"/>
      <c r="AN160" s="335"/>
      <c r="AO160" s="286"/>
      <c r="AP160" s="296"/>
    </row>
    <row r="161" spans="1:42" s="336" customFormat="1" ht="12.75" customHeight="1">
      <c r="B161" s="2323" t="s">
        <v>2217</v>
      </c>
      <c r="C161" s="2323"/>
      <c r="D161" s="2323"/>
      <c r="E161" s="2323"/>
      <c r="F161" s="2323"/>
      <c r="G161" s="2323"/>
      <c r="H161" s="2323"/>
      <c r="I161" s="2323"/>
      <c r="J161" s="2323"/>
      <c r="K161" s="2323"/>
      <c r="L161" s="2323"/>
      <c r="M161" s="2323"/>
      <c r="N161" s="2323"/>
      <c r="O161" s="2323"/>
      <c r="P161" s="2323"/>
      <c r="Q161" s="2323"/>
      <c r="R161" s="2323"/>
      <c r="S161" s="2323"/>
      <c r="T161" s="2323"/>
      <c r="U161" s="2323"/>
      <c r="V161" s="2323"/>
      <c r="W161" s="2323"/>
      <c r="X161" s="2323"/>
      <c r="Y161" s="2323"/>
      <c r="Z161" s="2323"/>
      <c r="AA161" s="2323"/>
      <c r="AB161" s="2323"/>
      <c r="AC161" s="2323"/>
      <c r="AD161" s="2323"/>
      <c r="AE161" s="2323"/>
      <c r="AF161" s="2323"/>
      <c r="AG161" s="2323"/>
      <c r="AH161" s="2323"/>
      <c r="AI161" s="2323"/>
      <c r="AJ161" s="2323"/>
      <c r="AK161" s="891"/>
      <c r="AM161" s="339"/>
      <c r="AN161" s="335"/>
      <c r="AO161" s="286"/>
      <c r="AP161" s="296"/>
    </row>
    <row r="162" spans="1:42" s="336" customFormat="1" ht="12.75" customHeight="1">
      <c r="B162" s="2323"/>
      <c r="C162" s="2323"/>
      <c r="D162" s="2323"/>
      <c r="E162" s="2323"/>
      <c r="F162" s="2323"/>
      <c r="G162" s="2323"/>
      <c r="H162" s="2323"/>
      <c r="I162" s="2323"/>
      <c r="J162" s="2323"/>
      <c r="K162" s="2323"/>
      <c r="L162" s="2323"/>
      <c r="M162" s="2323"/>
      <c r="N162" s="2323"/>
      <c r="O162" s="2323"/>
      <c r="P162" s="2323"/>
      <c r="Q162" s="2323"/>
      <c r="R162" s="2323"/>
      <c r="S162" s="2323"/>
      <c r="T162" s="2323"/>
      <c r="U162" s="2323"/>
      <c r="V162" s="2323"/>
      <c r="W162" s="2323"/>
      <c r="X162" s="2323"/>
      <c r="Y162" s="2323"/>
      <c r="Z162" s="2323"/>
      <c r="AA162" s="2323"/>
      <c r="AB162" s="2323"/>
      <c r="AC162" s="2323"/>
      <c r="AD162" s="2323"/>
      <c r="AE162" s="2323"/>
      <c r="AF162" s="2323"/>
      <c r="AG162" s="2323"/>
      <c r="AH162" s="2323"/>
      <c r="AI162" s="2323"/>
      <c r="AJ162" s="2323"/>
      <c r="AK162" s="891"/>
      <c r="AM162" s="339"/>
      <c r="AN162" s="335"/>
      <c r="AO162" s="286"/>
      <c r="AP162" s="296"/>
    </row>
    <row r="163" spans="1:42" s="336" customFormat="1" ht="12.75" customHeight="1">
      <c r="C163" s="2324" t="s">
        <v>2218</v>
      </c>
      <c r="D163" s="2324"/>
      <c r="E163" s="2324"/>
      <c r="F163" s="2324"/>
      <c r="G163" s="2324"/>
      <c r="H163" s="2324"/>
      <c r="I163" s="2324"/>
      <c r="J163" s="2324"/>
      <c r="K163" s="2324"/>
      <c r="L163" s="2324"/>
      <c r="M163" s="2324"/>
      <c r="N163" s="2324"/>
      <c r="O163" s="2324"/>
      <c r="P163" s="2324"/>
      <c r="Q163" s="2324"/>
      <c r="R163" s="2324"/>
      <c r="S163" s="2324"/>
      <c r="T163" s="2324"/>
      <c r="U163" s="2324"/>
      <c r="V163" s="2324"/>
      <c r="W163" s="2324"/>
      <c r="X163" s="2324"/>
      <c r="Y163" s="2324"/>
      <c r="Z163" s="2324"/>
      <c r="AA163" s="2324"/>
      <c r="AB163" s="2324"/>
      <c r="AC163" s="2324"/>
      <c r="AD163" s="2324"/>
      <c r="AE163" s="2324"/>
      <c r="AF163" s="2324"/>
      <c r="AG163" s="2324"/>
      <c r="AH163" s="2324"/>
      <c r="AI163" s="2324"/>
      <c r="AJ163" s="2324"/>
      <c r="AK163" s="891"/>
      <c r="AM163" s="339"/>
      <c r="AN163" s="335"/>
      <c r="AO163" s="286"/>
      <c r="AP163" s="296"/>
    </row>
    <row r="164" spans="1:42" s="336" customFormat="1" ht="12.75" customHeight="1">
      <c r="B164" s="891"/>
      <c r="C164" s="2325" t="s">
        <v>2219</v>
      </c>
      <c r="D164" s="2325"/>
      <c r="E164" s="2325"/>
      <c r="F164" s="2325"/>
      <c r="G164" s="2325"/>
      <c r="H164" s="2325"/>
      <c r="I164" s="2325"/>
      <c r="J164" s="2325"/>
      <c r="K164" s="2325"/>
      <c r="L164" s="2325"/>
      <c r="M164" s="2325"/>
      <c r="N164" s="2325"/>
      <c r="O164" s="2325"/>
      <c r="P164" s="2325"/>
      <c r="Q164" s="2325"/>
      <c r="R164" s="2325"/>
      <c r="S164" s="2325"/>
      <c r="T164" s="2325"/>
      <c r="U164" s="2325"/>
      <c r="V164" s="2325"/>
      <c r="W164" s="2325"/>
      <c r="X164" s="2325"/>
      <c r="Y164" s="2325"/>
      <c r="Z164" s="2325"/>
      <c r="AA164" s="1213"/>
      <c r="AB164" s="1213"/>
      <c r="AC164" s="1213"/>
      <c r="AD164" s="1213"/>
      <c r="AE164" s="1213"/>
      <c r="AF164" s="1213"/>
      <c r="AG164" s="1213"/>
      <c r="AH164" s="1213"/>
      <c r="AJ164" s="2326" t="s">
        <v>809</v>
      </c>
      <c r="AK164" s="2326"/>
      <c r="AM164" s="339"/>
      <c r="AN164" s="335"/>
      <c r="AO164" s="286"/>
      <c r="AP164" s="296"/>
    </row>
    <row r="165" spans="1:42" s="336" customFormat="1" ht="12.75" customHeight="1">
      <c r="AM165" s="339"/>
      <c r="AN165" s="335"/>
    </row>
    <row r="166" spans="1:42" s="349" customFormat="1" ht="12.75" customHeight="1">
      <c r="A166" s="393"/>
      <c r="B166" s="394"/>
      <c r="C166" s="394"/>
      <c r="D166" s="394"/>
      <c r="E166" s="394"/>
      <c r="F166" s="394"/>
      <c r="G166" s="394"/>
      <c r="H166" s="394"/>
      <c r="I166" s="394"/>
      <c r="J166" s="394"/>
      <c r="K166" s="394"/>
      <c r="L166" s="394"/>
      <c r="M166" s="394"/>
      <c r="N166" s="394"/>
      <c r="O166" s="394"/>
      <c r="P166" s="394"/>
      <c r="Q166" s="394"/>
      <c r="R166" s="394"/>
      <c r="S166" s="394"/>
      <c r="T166" s="394"/>
      <c r="U166" s="394"/>
      <c r="V166" s="394"/>
      <c r="W166" s="394"/>
      <c r="X166" s="394"/>
      <c r="Y166" s="394"/>
      <c r="Z166" s="394"/>
      <c r="AA166" s="394"/>
      <c r="AB166" s="394"/>
      <c r="AC166" s="394"/>
      <c r="AD166" s="394"/>
      <c r="AE166" s="394"/>
      <c r="AF166" s="394"/>
      <c r="AG166" s="394"/>
      <c r="AH166" s="394"/>
      <c r="AI166" s="362" t="s">
        <v>2220</v>
      </c>
      <c r="AJ166" s="2414">
        <f>IF($AB$155="N/A",VLOOKUP($B$153,$AO$151:$AP$154,2,FALSE),VLOOKUP($B$158,$AO$156:$AP$158,2,FALSE))</f>
        <v>7</v>
      </c>
      <c r="AK166" s="2414"/>
      <c r="AL166" s="388"/>
      <c r="AM166" s="336"/>
      <c r="AN166" s="391"/>
    </row>
    <row r="167" spans="1:42" s="349" customFormat="1" ht="12.75" customHeight="1">
      <c r="A167" s="388"/>
      <c r="B167" s="388"/>
      <c r="C167" s="336"/>
      <c r="D167" s="336"/>
      <c r="E167" s="336"/>
      <c r="F167" s="336"/>
      <c r="G167" s="336"/>
      <c r="H167" s="336"/>
      <c r="I167" s="336"/>
      <c r="J167" s="336"/>
      <c r="K167" s="336"/>
      <c r="L167" s="336"/>
      <c r="M167" s="336"/>
      <c r="N167" s="336"/>
      <c r="O167" s="336"/>
      <c r="P167" s="336"/>
      <c r="Q167" s="336"/>
      <c r="R167" s="336"/>
      <c r="S167" s="336"/>
      <c r="T167" s="336"/>
      <c r="U167" s="336"/>
      <c r="V167" s="336"/>
      <c r="W167" s="336"/>
      <c r="X167" s="336"/>
      <c r="Y167" s="336"/>
      <c r="Z167" s="336"/>
      <c r="AA167" s="336"/>
      <c r="AB167" s="336"/>
      <c r="AC167" s="336"/>
      <c r="AD167" s="336"/>
      <c r="AE167" s="336"/>
      <c r="AF167" s="336"/>
      <c r="AG167" s="336"/>
      <c r="AH167" s="336"/>
      <c r="AI167" s="336"/>
      <c r="AJ167" s="336"/>
      <c r="AK167" s="336"/>
      <c r="AL167" s="336"/>
      <c r="AM167" s="336"/>
      <c r="AN167" s="391"/>
    </row>
    <row r="168" spans="1:42" s="349" customFormat="1" ht="12.75" customHeight="1">
      <c r="A168" s="336"/>
      <c r="B168" s="338" t="s">
        <v>2221</v>
      </c>
      <c r="C168" s="339"/>
      <c r="D168" s="336"/>
      <c r="E168" s="432"/>
      <c r="F168" s="432"/>
      <c r="G168" s="432"/>
      <c r="H168" s="432"/>
      <c r="I168" s="432"/>
      <c r="J168" s="432"/>
      <c r="K168" s="432"/>
      <c r="L168" s="432"/>
      <c r="M168" s="432"/>
      <c r="N168" s="432"/>
      <c r="O168" s="432"/>
      <c r="P168" s="432"/>
      <c r="Q168" s="432"/>
      <c r="R168" s="432"/>
      <c r="S168" s="432"/>
      <c r="T168" s="432"/>
      <c r="U168" s="432"/>
      <c r="V168" s="432"/>
      <c r="W168" s="432"/>
      <c r="X168" s="432"/>
      <c r="Y168" s="432"/>
      <c r="Z168" s="432"/>
      <c r="AA168" s="432"/>
      <c r="AB168" s="432"/>
      <c r="AC168" s="432"/>
      <c r="AD168" s="432"/>
      <c r="AE168" s="336"/>
      <c r="AF168" s="2454" t="s">
        <v>2222</v>
      </c>
      <c r="AG168" s="2454"/>
      <c r="AH168" s="2454"/>
      <c r="AI168" s="2454"/>
      <c r="AJ168" s="2454"/>
      <c r="AK168" s="2454"/>
      <c r="AL168" s="2454"/>
      <c r="AM168" s="396"/>
      <c r="AN168" s="391"/>
    </row>
    <row r="169" spans="1:42" s="349" customFormat="1" ht="12.75" customHeight="1">
      <c r="A169" s="336"/>
      <c r="B169" s="339" t="s">
        <v>2223</v>
      </c>
      <c r="C169" s="336"/>
      <c r="D169" s="336"/>
      <c r="E169" s="336"/>
      <c r="F169" s="336"/>
      <c r="G169" s="336"/>
      <c r="H169" s="336"/>
      <c r="I169" s="336"/>
      <c r="J169" s="336"/>
      <c r="K169" s="336"/>
      <c r="L169" s="336"/>
      <c r="M169" s="336"/>
      <c r="N169" s="336"/>
      <c r="O169" s="336"/>
      <c r="P169" s="336"/>
      <c r="Q169" s="336"/>
      <c r="R169" s="336"/>
      <c r="S169" s="336"/>
      <c r="T169" s="336"/>
      <c r="U169" s="336"/>
      <c r="V169" s="336"/>
      <c r="W169" s="336"/>
      <c r="X169" s="336"/>
      <c r="Y169" s="336"/>
      <c r="Z169" s="336"/>
      <c r="AA169" s="339"/>
      <c r="AB169" s="339"/>
      <c r="AC169" s="339"/>
      <c r="AD169" s="339"/>
      <c r="AE169" s="336"/>
      <c r="AF169" s="336"/>
      <c r="AG169" s="336"/>
      <c r="AH169" s="336"/>
      <c r="AI169" s="336"/>
      <c r="AJ169" s="336"/>
      <c r="AK169" s="336"/>
      <c r="AL169" s="336"/>
      <c r="AM169" s="396"/>
      <c r="AN169" s="391"/>
    </row>
    <row r="170" spans="1:42" s="349" customFormat="1" ht="12.75" customHeight="1">
      <c r="A170" s="336"/>
      <c r="B170" s="336"/>
      <c r="C170" s="2525" t="s">
        <v>2224</v>
      </c>
      <c r="D170" s="2525"/>
      <c r="E170" s="2525"/>
      <c r="F170" s="2525"/>
      <c r="G170" s="2525"/>
      <c r="H170" s="2525"/>
      <c r="I170" s="2525"/>
      <c r="J170" s="2525"/>
      <c r="K170" s="2525"/>
      <c r="L170" s="2525"/>
      <c r="M170" s="2525"/>
      <c r="N170" s="2525"/>
      <c r="O170" s="2525"/>
      <c r="P170" s="2525"/>
      <c r="Q170" s="2525"/>
      <c r="R170" s="2525"/>
      <c r="S170" s="2525"/>
      <c r="T170" s="2525"/>
      <c r="U170" s="2525"/>
      <c r="V170" s="2525"/>
      <c r="W170" s="2525"/>
      <c r="X170" s="2525"/>
      <c r="Y170" s="2525"/>
      <c r="Z170" s="2525"/>
      <c r="AA170" s="2525"/>
      <c r="AB170" s="2525"/>
      <c r="AC170" s="2525"/>
      <c r="AD170" s="2525"/>
      <c r="AE170" s="2525"/>
      <c r="AF170" s="2525"/>
      <c r="AG170" s="2525"/>
      <c r="AH170" s="2525"/>
      <c r="AI170" s="2525"/>
      <c r="AJ170" s="336"/>
      <c r="AK170" s="336"/>
      <c r="AL170" s="336"/>
      <c r="AM170" s="396"/>
      <c r="AN170" s="390"/>
      <c r="AO170" s="286" t="s">
        <v>547</v>
      </c>
      <c r="AP170" s="286"/>
    </row>
    <row r="171" spans="1:42" s="349" customFormat="1" ht="12.9" customHeight="1">
      <c r="A171" s="336"/>
      <c r="B171" s="336"/>
      <c r="C171" s="1198"/>
      <c r="D171" s="1198"/>
      <c r="E171" s="1198"/>
      <c r="F171" s="1198"/>
      <c r="G171" s="1198"/>
      <c r="H171" s="1198"/>
      <c r="I171" s="1198"/>
      <c r="J171" s="1198"/>
      <c r="K171" s="1198"/>
      <c r="L171" s="1198"/>
      <c r="M171" s="1198"/>
      <c r="N171" s="1198"/>
      <c r="O171" s="1198"/>
      <c r="P171" s="1198"/>
      <c r="Q171" s="1198"/>
      <c r="R171" s="1198"/>
      <c r="S171" s="1198"/>
      <c r="T171" s="1198"/>
      <c r="U171" s="1198"/>
      <c r="V171" s="1198"/>
      <c r="W171" s="1198"/>
      <c r="X171" s="1198"/>
      <c r="Y171" s="1198"/>
      <c r="Z171" s="1198"/>
      <c r="AA171" s="1198"/>
      <c r="AB171" s="1198"/>
      <c r="AC171" s="1198"/>
      <c r="AD171" s="1198"/>
      <c r="AE171" s="336"/>
      <c r="AF171" s="336"/>
      <c r="AG171" s="336"/>
      <c r="AH171" s="336"/>
      <c r="AI171" s="336"/>
      <c r="AJ171" s="336"/>
      <c r="AK171" s="336"/>
      <c r="AL171" s="336"/>
      <c r="AM171" s="396"/>
      <c r="AN171" s="390"/>
      <c r="AO171" s="286" t="s">
        <v>2225</v>
      </c>
      <c r="AP171" s="392">
        <v>2</v>
      </c>
    </row>
    <row r="172" spans="1:42" s="349" customFormat="1" ht="12.75" customHeight="1">
      <c r="A172" s="336"/>
      <c r="B172" s="336"/>
      <c r="C172" s="339" t="s">
        <v>2226</v>
      </c>
      <c r="D172" s="336"/>
      <c r="E172" s="336"/>
      <c r="F172" s="336"/>
      <c r="G172" s="336"/>
      <c r="H172" s="336"/>
      <c r="I172" s="336"/>
      <c r="J172" s="336"/>
      <c r="K172" s="336"/>
      <c r="L172" s="336"/>
      <c r="M172" s="336"/>
      <c r="N172" s="336"/>
      <c r="O172" s="336"/>
      <c r="P172" s="336"/>
      <c r="Q172" s="336"/>
      <c r="R172" s="336"/>
      <c r="S172" s="336"/>
      <c r="T172" s="336"/>
      <c r="U172" s="336"/>
      <c r="V172" s="336"/>
      <c r="W172" s="336"/>
      <c r="X172" s="336"/>
      <c r="Y172" s="336"/>
      <c r="Z172" s="336"/>
      <c r="AA172" s="336"/>
      <c r="AB172" s="336"/>
      <c r="AE172" s="336"/>
      <c r="AF172" s="2326" t="s">
        <v>809</v>
      </c>
      <c r="AG172" s="2326"/>
      <c r="AH172" s="336"/>
      <c r="AI172" s="336"/>
      <c r="AJ172" s="336"/>
      <c r="AK172" s="336"/>
      <c r="AL172" s="336"/>
      <c r="AM172" s="396"/>
      <c r="AN172" s="390"/>
      <c r="AO172" s="286" t="s">
        <v>2224</v>
      </c>
      <c r="AP172" s="392">
        <v>3</v>
      </c>
    </row>
    <row r="173" spans="1:42" s="349" customFormat="1" ht="9" customHeight="1">
      <c r="A173" s="336"/>
      <c r="B173" s="336"/>
      <c r="C173" s="1198"/>
      <c r="D173" s="1198"/>
      <c r="E173" s="1198"/>
      <c r="F173" s="1198"/>
      <c r="G173" s="1198"/>
      <c r="H173" s="1198"/>
      <c r="I173" s="1198"/>
      <c r="J173" s="1198"/>
      <c r="K173" s="1198"/>
      <c r="L173" s="1198"/>
      <c r="M173" s="1198"/>
      <c r="N173" s="1198"/>
      <c r="O173" s="1198"/>
      <c r="P173" s="1198"/>
      <c r="Q173" s="1198"/>
      <c r="R173" s="1198"/>
      <c r="S173" s="1198"/>
      <c r="T173" s="1198"/>
      <c r="U173" s="1198"/>
      <c r="V173" s="1198"/>
      <c r="W173" s="1198"/>
      <c r="X173" s="1198"/>
      <c r="Y173" s="1198"/>
      <c r="Z173" s="1198"/>
      <c r="AA173" s="1198"/>
      <c r="AB173" s="1198"/>
      <c r="AC173" s="1198"/>
      <c r="AD173" s="1198"/>
      <c r="AE173" s="336"/>
      <c r="AF173" s="336"/>
      <c r="AG173" s="336"/>
      <c r="AJ173" s="336"/>
      <c r="AK173" s="336"/>
      <c r="AL173" s="336"/>
      <c r="AM173" s="396"/>
      <c r="AN173" s="390"/>
      <c r="AO173" s="395" t="s">
        <v>2227</v>
      </c>
      <c r="AP173" s="392">
        <v>3</v>
      </c>
    </row>
    <row r="174" spans="1:42" s="349" customFormat="1" ht="12.75" customHeight="1">
      <c r="A174" s="336"/>
      <c r="B174" s="336"/>
      <c r="C174" s="2525" t="s">
        <v>2212</v>
      </c>
      <c r="D174" s="2525"/>
      <c r="E174" s="2525"/>
      <c r="F174" s="2525"/>
      <c r="G174" s="2525"/>
      <c r="H174" s="2525"/>
      <c r="I174" s="2525"/>
      <c r="J174" s="2525"/>
      <c r="K174" s="2525"/>
      <c r="L174" s="2525"/>
      <c r="M174" s="2525"/>
      <c r="N174" s="2525"/>
      <c r="O174" s="2525"/>
      <c r="P174" s="2525"/>
      <c r="Q174" s="2525"/>
      <c r="R174" s="2525"/>
      <c r="S174" s="2525"/>
      <c r="T174" s="2525"/>
      <c r="U174" s="2525"/>
      <c r="V174" s="2525"/>
      <c r="W174" s="2525"/>
      <c r="X174" s="2525"/>
      <c r="Y174" s="2525"/>
      <c r="Z174" s="2525"/>
      <c r="AA174" s="2525"/>
      <c r="AB174" s="2525"/>
      <c r="AC174" s="2525"/>
      <c r="AD174" s="2525"/>
      <c r="AE174" s="336"/>
      <c r="AF174" s="336"/>
      <c r="AG174" s="336"/>
      <c r="AH174" s="336"/>
      <c r="AI174" s="336"/>
      <c r="AJ174" s="336"/>
      <c r="AK174" s="336"/>
      <c r="AL174" s="336"/>
      <c r="AM174" s="396"/>
      <c r="AN174" s="390"/>
      <c r="AO174" s="395"/>
      <c r="AP174" s="392"/>
    </row>
    <row r="175" spans="1:42" s="349" customFormat="1" ht="12.75" customHeight="1">
      <c r="A175" s="336"/>
      <c r="B175" s="336"/>
      <c r="C175" s="339" t="s">
        <v>2216</v>
      </c>
      <c r="D175" s="339"/>
      <c r="E175" s="339"/>
      <c r="F175" s="339"/>
      <c r="G175" s="339"/>
      <c r="H175" s="339"/>
      <c r="I175" s="339"/>
      <c r="J175" s="339"/>
      <c r="K175" s="339"/>
      <c r="L175" s="339"/>
      <c r="M175" s="339"/>
      <c r="N175" s="339"/>
      <c r="O175" s="339"/>
      <c r="P175" s="339"/>
      <c r="Q175" s="339"/>
      <c r="R175" s="339"/>
      <c r="S175" s="339"/>
      <c r="T175" s="339"/>
      <c r="U175" s="339"/>
      <c r="V175" s="339"/>
      <c r="W175" s="339"/>
      <c r="X175" s="339"/>
      <c r="Y175" s="339"/>
      <c r="Z175" s="339"/>
      <c r="AA175" s="339"/>
      <c r="AB175" s="339"/>
      <c r="AC175" s="339"/>
      <c r="AD175" s="339"/>
      <c r="AE175" s="339"/>
      <c r="AF175" s="339"/>
      <c r="AG175" s="339"/>
      <c r="AH175" s="339"/>
      <c r="AI175" s="339"/>
      <c r="AJ175" s="339"/>
      <c r="AK175" s="339"/>
      <c r="AL175" s="336"/>
      <c r="AM175" s="396"/>
      <c r="AN175" s="390"/>
      <c r="AO175" s="397"/>
      <c r="AP175" s="397"/>
    </row>
    <row r="176" spans="1:42" s="349" customFormat="1" ht="12.75" customHeight="1">
      <c r="A176" s="336"/>
      <c r="B176" s="336"/>
      <c r="C176" s="336"/>
      <c r="D176" s="336"/>
      <c r="E176" s="336"/>
      <c r="F176" s="336"/>
      <c r="G176" s="336"/>
      <c r="H176" s="336"/>
      <c r="I176" s="336"/>
      <c r="J176" s="336"/>
      <c r="K176" s="336"/>
      <c r="L176" s="336"/>
      <c r="M176" s="336"/>
      <c r="N176" s="336"/>
      <c r="O176" s="336"/>
      <c r="P176" s="336"/>
      <c r="Q176" s="336"/>
      <c r="R176" s="336"/>
      <c r="S176" s="336"/>
      <c r="T176" s="336"/>
      <c r="U176" s="336"/>
      <c r="V176" s="336"/>
      <c r="W176" s="336"/>
      <c r="X176" s="336"/>
      <c r="Y176" s="336"/>
      <c r="Z176" s="336"/>
      <c r="AA176" s="336"/>
      <c r="AB176" s="336"/>
      <c r="AC176" s="336"/>
      <c r="AD176" s="336"/>
      <c r="AE176" s="336"/>
      <c r="AF176" s="336"/>
      <c r="AG176" s="336"/>
      <c r="AH176" s="336"/>
      <c r="AI176" s="336"/>
      <c r="AJ176" s="336"/>
      <c r="AK176" s="336"/>
      <c r="AL176" s="336"/>
      <c r="AM176" s="396"/>
      <c r="AN176" s="390"/>
    </row>
    <row r="177" spans="1:73" s="349" customFormat="1" ht="12.75" customHeight="1">
      <c r="A177" s="336"/>
      <c r="B177" s="336"/>
      <c r="C177" s="338" t="s">
        <v>2228</v>
      </c>
      <c r="D177" s="1198"/>
      <c r="E177" s="1198"/>
      <c r="F177" s="1198"/>
      <c r="G177" s="1198"/>
      <c r="H177" s="1198"/>
      <c r="I177" s="1198"/>
      <c r="J177" s="1198"/>
      <c r="K177" s="1198"/>
      <c r="L177" s="1198"/>
      <c r="M177" s="1198"/>
      <c r="N177" s="1198"/>
      <c r="O177" s="1198"/>
      <c r="P177" s="1198"/>
      <c r="Q177" s="1198"/>
      <c r="R177" s="1198"/>
      <c r="S177" s="1198"/>
      <c r="T177" s="1198"/>
      <c r="U177" s="1198"/>
      <c r="V177" s="1198"/>
      <c r="W177" s="1198"/>
      <c r="X177" s="1198"/>
      <c r="Y177" s="1198"/>
      <c r="Z177" s="1198"/>
      <c r="AA177" s="1198"/>
      <c r="AB177" s="1198"/>
      <c r="AC177" s="1198"/>
      <c r="AD177" s="1198"/>
      <c r="AE177" s="336"/>
      <c r="AF177" s="336"/>
      <c r="AG177" s="336"/>
      <c r="AH177" s="336"/>
      <c r="AI177" s="336"/>
      <c r="AJ177" s="336"/>
      <c r="AK177" s="336"/>
      <c r="AL177" s="336"/>
      <c r="AM177" s="396"/>
      <c r="AN177" s="390"/>
      <c r="AO177" s="286" t="s">
        <v>2212</v>
      </c>
      <c r="AP177" s="286"/>
    </row>
    <row r="178" spans="1:73" s="349" customFormat="1" ht="12.75" customHeight="1">
      <c r="A178" s="336"/>
      <c r="B178" s="336"/>
      <c r="C178" s="2526" t="str">
        <f>Application!AA335</f>
        <v>The John Stewart Company</v>
      </c>
      <c r="D178" s="2526"/>
      <c r="E178" s="2526"/>
      <c r="F178" s="2526"/>
      <c r="G178" s="2526"/>
      <c r="H178" s="2526"/>
      <c r="I178" s="2526"/>
      <c r="J178" s="2526"/>
      <c r="K178" s="2526"/>
      <c r="L178" s="2526"/>
      <c r="M178" s="2526"/>
      <c r="N178" s="2526"/>
      <c r="O178" s="2526"/>
      <c r="P178" s="2526"/>
      <c r="Q178" s="2526"/>
      <c r="R178" s="2526"/>
      <c r="S178" s="2526"/>
      <c r="T178" s="2526"/>
      <c r="U178" s="2526"/>
      <c r="V178" s="2526"/>
      <c r="W178" s="2526"/>
      <c r="X178" s="2526"/>
      <c r="Y178" s="2526"/>
      <c r="Z178" s="2526"/>
      <c r="AA178" s="2526"/>
      <c r="AB178" s="2526"/>
      <c r="AC178" s="2526"/>
      <c r="AD178" s="2526"/>
      <c r="AE178" s="336"/>
      <c r="AF178" s="336"/>
      <c r="AG178" s="336"/>
      <c r="AH178" s="336"/>
      <c r="AI178" s="336"/>
      <c r="AJ178" s="336"/>
      <c r="AK178" s="336"/>
      <c r="AL178" s="336"/>
      <c r="AM178" s="396"/>
      <c r="AN178" s="390"/>
      <c r="AO178" s="286" t="s">
        <v>2229</v>
      </c>
      <c r="AP178" s="392">
        <v>2</v>
      </c>
    </row>
    <row r="179" spans="1:73" s="349" customFormat="1" ht="12.75" customHeight="1">
      <c r="A179" s="336"/>
      <c r="B179" s="336"/>
      <c r="C179" s="1198"/>
      <c r="D179" s="1198"/>
      <c r="E179" s="1198"/>
      <c r="F179" s="1198"/>
      <c r="G179" s="1198"/>
      <c r="H179" s="1198"/>
      <c r="I179" s="1198"/>
      <c r="J179" s="1198"/>
      <c r="K179" s="1198"/>
      <c r="L179" s="1198"/>
      <c r="M179" s="1198"/>
      <c r="N179" s="1198"/>
      <c r="O179" s="1198"/>
      <c r="P179" s="1198"/>
      <c r="Q179" s="1198"/>
      <c r="R179" s="1198"/>
      <c r="S179" s="1198"/>
      <c r="T179" s="1198"/>
      <c r="U179" s="1198"/>
      <c r="V179" s="1198"/>
      <c r="W179" s="1198"/>
      <c r="X179" s="1198"/>
      <c r="Y179" s="1198"/>
      <c r="Z179" s="1198"/>
      <c r="AA179" s="1198"/>
      <c r="AB179" s="1198"/>
      <c r="AC179" s="1198"/>
      <c r="AD179" s="1198"/>
      <c r="AE179" s="336"/>
      <c r="AF179" s="336"/>
      <c r="AG179" s="336"/>
      <c r="AH179" s="336"/>
      <c r="AI179" s="336"/>
      <c r="AJ179" s="336"/>
      <c r="AK179" s="336"/>
      <c r="AL179" s="336"/>
      <c r="AM179" s="396"/>
      <c r="AN179" s="390"/>
      <c r="AO179" s="286" t="s">
        <v>2230</v>
      </c>
      <c r="AP179" s="392">
        <v>3</v>
      </c>
    </row>
    <row r="180" spans="1:73" s="349" customFormat="1" ht="12.75" customHeight="1">
      <c r="A180" s="398"/>
      <c r="B180" s="361"/>
      <c r="C180" s="361"/>
      <c r="D180" s="360"/>
      <c r="E180" s="361"/>
      <c r="F180" s="361"/>
      <c r="G180" s="361"/>
      <c r="H180" s="361"/>
      <c r="I180" s="361"/>
      <c r="J180" s="361"/>
      <c r="K180" s="361"/>
      <c r="L180" s="361"/>
      <c r="M180" s="361"/>
      <c r="N180" s="361"/>
      <c r="O180" s="361"/>
      <c r="P180" s="361"/>
      <c r="Q180" s="394"/>
      <c r="R180" s="399"/>
      <c r="S180" s="361"/>
      <c r="T180" s="361"/>
      <c r="U180" s="361"/>
      <c r="V180" s="361"/>
      <c r="W180" s="361"/>
      <c r="X180" s="361"/>
      <c r="Y180" s="361"/>
      <c r="Z180" s="361"/>
      <c r="AA180" s="361"/>
      <c r="AB180" s="361"/>
      <c r="AC180" s="361"/>
      <c r="AD180" s="361"/>
      <c r="AE180" s="361"/>
      <c r="AF180" s="361"/>
      <c r="AG180" s="361"/>
      <c r="AH180" s="361"/>
      <c r="AI180" s="362" t="s">
        <v>2231</v>
      </c>
      <c r="AJ180" s="2413">
        <f>IF($AF$172="N/A",VLOOKUP($C$170,$AO$170:$AP$173,2,FALSE),VLOOKUP($C$174,$AO$177:$AP$179,2,FALSE))</f>
        <v>3</v>
      </c>
      <c r="AK180" s="2413"/>
      <c r="AL180" s="400"/>
      <c r="AM180" s="401"/>
      <c r="AN180" s="390"/>
      <c r="AO180" s="395"/>
      <c r="AP180" s="392"/>
    </row>
    <row r="181" spans="1:73" s="349" customFormat="1" ht="12.75" customHeight="1">
      <c r="A181" s="336"/>
      <c r="B181" s="402"/>
      <c r="R181" s="336"/>
      <c r="S181" s="402"/>
      <c r="AN181" s="390"/>
    </row>
    <row r="182" spans="1:73" s="349" customFormat="1" ht="12.75" customHeight="1">
      <c r="A182" s="403"/>
      <c r="B182" s="396"/>
      <c r="C182" s="396"/>
      <c r="D182" s="396"/>
      <c r="E182" s="396"/>
      <c r="F182" s="396"/>
      <c r="G182" s="396"/>
      <c r="H182" s="396"/>
      <c r="I182" s="396"/>
      <c r="J182" s="396"/>
      <c r="K182" s="396"/>
      <c r="L182" s="396"/>
      <c r="M182" s="396"/>
      <c r="N182" s="396"/>
      <c r="O182" s="396"/>
      <c r="P182" s="396"/>
      <c r="Q182" s="396"/>
      <c r="R182" s="396"/>
      <c r="S182" s="396"/>
      <c r="T182" s="396"/>
      <c r="U182" s="396"/>
      <c r="V182" s="396"/>
      <c r="W182" s="396"/>
      <c r="X182" s="396"/>
      <c r="Y182" s="396"/>
      <c r="Z182" s="396"/>
      <c r="AA182" s="396"/>
      <c r="AB182" s="396"/>
      <c r="AC182" s="396"/>
      <c r="AD182" s="396"/>
      <c r="AE182" s="396"/>
      <c r="AF182" s="396"/>
      <c r="AG182" s="396"/>
      <c r="AH182" s="396"/>
      <c r="AI182" s="396"/>
      <c r="AJ182" s="396"/>
      <c r="AK182" s="396"/>
      <c r="AL182" s="396"/>
      <c r="AM182" s="396"/>
      <c r="AN182" s="390"/>
    </row>
    <row r="183" spans="1:73" s="349" customFormat="1" ht="12.75" customHeight="1">
      <c r="A183" s="358"/>
      <c r="B183" s="359"/>
      <c r="C183" s="359"/>
      <c r="D183" s="359"/>
      <c r="E183" s="359"/>
      <c r="F183" s="359"/>
      <c r="G183" s="360"/>
      <c r="H183" s="361"/>
      <c r="I183" s="361"/>
      <c r="J183" s="361"/>
      <c r="K183" s="361"/>
      <c r="L183" s="361"/>
      <c r="M183" s="361"/>
      <c r="N183" s="361"/>
      <c r="O183" s="361"/>
      <c r="P183" s="361"/>
      <c r="Q183" s="361"/>
      <c r="R183" s="361"/>
      <c r="S183" s="361"/>
      <c r="T183" s="361"/>
      <c r="U183" s="361"/>
      <c r="V183" s="361"/>
      <c r="W183" s="361"/>
      <c r="X183" s="361"/>
      <c r="Y183" s="361"/>
      <c r="Z183" s="361"/>
      <c r="AA183" s="361"/>
      <c r="AB183" s="361"/>
      <c r="AC183" s="361"/>
      <c r="AD183" s="361"/>
      <c r="AE183" s="361"/>
      <c r="AF183" s="361"/>
      <c r="AG183" s="361"/>
      <c r="AH183" s="361"/>
      <c r="AI183" s="362"/>
      <c r="AJ183" s="362" t="s">
        <v>2232</v>
      </c>
      <c r="AK183" s="2520">
        <f>$AJ$166+$AJ$180</f>
        <v>10</v>
      </c>
      <c r="AL183" s="2521"/>
      <c r="AM183" s="2522"/>
      <c r="AN183" s="390"/>
    </row>
    <row r="184" spans="1:73" s="349" customFormat="1" ht="12.75" customHeight="1" thickBot="1">
      <c r="A184" s="363"/>
      <c r="B184" s="364"/>
      <c r="C184" s="365"/>
      <c r="D184" s="365"/>
      <c r="E184" s="365"/>
      <c r="F184" s="365"/>
      <c r="G184" s="365"/>
      <c r="H184" s="365"/>
      <c r="I184" s="365"/>
      <c r="J184" s="365"/>
      <c r="K184" s="365"/>
      <c r="L184" s="365"/>
      <c r="M184" s="365"/>
      <c r="N184" s="365"/>
      <c r="O184" s="365"/>
      <c r="P184" s="365"/>
      <c r="Q184" s="365"/>
      <c r="R184" s="365"/>
      <c r="S184" s="365"/>
      <c r="T184" s="365"/>
      <c r="U184" s="365"/>
      <c r="V184" s="365"/>
      <c r="W184" s="365"/>
      <c r="X184" s="365"/>
      <c r="Y184" s="365"/>
      <c r="Z184" s="365"/>
      <c r="AA184" s="365"/>
      <c r="AB184" s="365"/>
      <c r="AC184" s="365"/>
      <c r="AD184" s="365"/>
      <c r="AE184" s="365"/>
      <c r="AF184" s="365"/>
      <c r="AG184" s="365"/>
      <c r="AH184" s="365"/>
      <c r="AI184" s="365"/>
      <c r="AJ184" s="365"/>
      <c r="AK184" s="365"/>
      <c r="AL184" s="365"/>
      <c r="AM184" s="366"/>
      <c r="AN184" s="390"/>
      <c r="AO184" s="365"/>
      <c r="AR184" s="365"/>
      <c r="AS184" s="365"/>
      <c r="AT184" s="365"/>
      <c r="AU184" s="365"/>
      <c r="AV184" s="365"/>
      <c r="AW184" s="365"/>
      <c r="AX184" s="365"/>
      <c r="AY184" s="365"/>
      <c r="AZ184" s="365"/>
      <c r="BA184" s="365"/>
      <c r="BB184" s="365"/>
      <c r="BC184" s="365"/>
      <c r="BD184" s="365"/>
      <c r="BE184" s="365"/>
      <c r="BF184" s="365"/>
      <c r="BG184" s="365"/>
      <c r="BH184" s="365"/>
      <c r="BI184" s="365"/>
      <c r="BJ184" s="365"/>
      <c r="BK184" s="365"/>
      <c r="BL184" s="365"/>
      <c r="BM184" s="365"/>
      <c r="BN184" s="365"/>
      <c r="BO184" s="365"/>
      <c r="BP184" s="365"/>
      <c r="BQ184" s="365"/>
      <c r="BR184" s="365"/>
      <c r="BS184" s="365"/>
      <c r="BT184" s="365"/>
      <c r="BU184" s="365"/>
    </row>
    <row r="185" spans="1:73" s="349" customFormat="1" ht="12.75" customHeight="1" thickTop="1">
      <c r="A185" s="367"/>
      <c r="B185" s="368"/>
      <c r="C185" s="369"/>
      <c r="D185" s="369"/>
      <c r="E185" s="369"/>
      <c r="F185" s="369"/>
      <c r="G185" s="369"/>
      <c r="H185" s="369"/>
      <c r="I185" s="1209"/>
      <c r="J185" s="1209"/>
      <c r="K185" s="1209"/>
      <c r="L185" s="1209"/>
      <c r="M185" s="1209"/>
      <c r="N185" s="1209"/>
      <c r="O185" s="1209"/>
      <c r="P185" s="1209"/>
      <c r="Q185" s="1209"/>
      <c r="R185" s="367"/>
      <c r="S185" s="339"/>
      <c r="T185" s="339"/>
      <c r="U185" s="339"/>
      <c r="V185" s="339"/>
      <c r="W185" s="339"/>
      <c r="X185" s="339"/>
      <c r="Y185" s="339"/>
      <c r="Z185" s="339"/>
      <c r="AA185" s="339"/>
      <c r="AB185" s="339"/>
      <c r="AC185" s="339"/>
      <c r="AD185" s="339"/>
      <c r="AE185" s="339"/>
      <c r="AF185" s="367"/>
      <c r="AG185" s="339"/>
      <c r="AH185" s="339"/>
      <c r="AI185" s="339"/>
      <c r="AJ185" s="339"/>
      <c r="AN185" s="390"/>
      <c r="AP185" s="404" t="s">
        <v>2233</v>
      </c>
      <c r="AQ185" s="404">
        <v>0</v>
      </c>
    </row>
    <row r="186" spans="1:73" s="349" customFormat="1" ht="12.75" customHeight="1">
      <c r="A186" s="338" t="s">
        <v>2234</v>
      </c>
      <c r="B186" s="338" t="s">
        <v>2235</v>
      </c>
      <c r="C186" s="405"/>
      <c r="D186" s="406"/>
      <c r="E186" s="406"/>
      <c r="F186" s="406"/>
      <c r="G186" s="406"/>
      <c r="H186" s="406"/>
      <c r="I186" s="406"/>
      <c r="J186" s="406"/>
      <c r="K186" s="336"/>
      <c r="L186" s="336"/>
      <c r="M186" s="336"/>
      <c r="N186" s="336"/>
      <c r="O186" s="336"/>
      <c r="P186" s="336"/>
      <c r="Q186" s="336"/>
      <c r="R186" s="336"/>
      <c r="S186" s="336"/>
      <c r="T186" s="336"/>
      <c r="U186" s="336"/>
      <c r="V186" s="336"/>
      <c r="W186" s="336"/>
      <c r="X186" s="336"/>
      <c r="Y186" s="1216"/>
      <c r="Z186" s="1216"/>
      <c r="AA186" s="1216"/>
      <c r="AB186" s="1216"/>
      <c r="AC186" s="336"/>
      <c r="AD186" s="336"/>
      <c r="AE186" s="2394" t="s">
        <v>2162</v>
      </c>
      <c r="AF186" s="2394"/>
      <c r="AG186" s="2394"/>
      <c r="AH186" s="2394"/>
      <c r="AI186" s="2394"/>
      <c r="AJ186" s="2394"/>
      <c r="AK186" s="2394"/>
      <c r="AL186" s="1206"/>
      <c r="AN186" s="390"/>
      <c r="AP186" s="349" t="s">
        <v>936</v>
      </c>
      <c r="AQ186" s="349">
        <v>10</v>
      </c>
    </row>
    <row r="187" spans="1:73" s="349" customFormat="1" ht="12.75" customHeight="1">
      <c r="A187" s="338"/>
      <c r="B187" s="407"/>
      <c r="C187" s="408"/>
      <c r="D187" s="406"/>
      <c r="E187" s="406"/>
      <c r="F187" s="406"/>
      <c r="G187" s="406"/>
      <c r="H187" s="336"/>
      <c r="I187" s="336"/>
      <c r="J187" s="336"/>
      <c r="K187" s="336"/>
      <c r="L187" s="336"/>
      <c r="M187" s="336"/>
      <c r="N187" s="336"/>
      <c r="O187" s="336"/>
      <c r="P187" s="336"/>
      <c r="Q187" s="336"/>
      <c r="R187" s="1216"/>
      <c r="S187" s="1216"/>
      <c r="T187" s="1216"/>
      <c r="U187" s="1216"/>
      <c r="V187" s="1216"/>
      <c r="W187" s="1216"/>
      <c r="X187" s="1216"/>
      <c r="Y187" s="1216"/>
      <c r="Z187" s="1216"/>
      <c r="AA187" s="1216"/>
      <c r="AB187" s="1216"/>
      <c r="AC187" s="1206"/>
      <c r="AD187" s="1206"/>
      <c r="AE187" s="336"/>
      <c r="AF187" s="336"/>
      <c r="AG187" s="336"/>
      <c r="AH187" s="336"/>
      <c r="AI187" s="336"/>
      <c r="AJ187" s="336"/>
      <c r="AK187" s="336"/>
      <c r="AL187" s="336"/>
      <c r="AN187" s="390"/>
      <c r="AP187" s="349" t="s">
        <v>2236</v>
      </c>
      <c r="AQ187" s="349">
        <v>10</v>
      </c>
    </row>
    <row r="188" spans="1:73" s="349" customFormat="1" ht="12.75" customHeight="1">
      <c r="A188" s="336"/>
      <c r="B188" s="2523" t="s">
        <v>936</v>
      </c>
      <c r="C188" s="2523"/>
      <c r="D188" s="2523"/>
      <c r="E188" s="2523"/>
      <c r="F188" s="2523"/>
      <c r="G188" s="2523"/>
      <c r="H188" s="2523"/>
      <c r="I188" s="2523"/>
      <c r="J188" s="2523"/>
      <c r="K188" s="2523"/>
      <c r="L188" s="2523"/>
      <c r="M188" s="2523"/>
      <c r="N188" s="2523"/>
      <c r="O188" s="2523"/>
      <c r="P188" s="2523"/>
      <c r="Q188" s="2523"/>
      <c r="R188" s="2523"/>
      <c r="S188" s="2523"/>
      <c r="T188" s="2523"/>
      <c r="U188" s="2523"/>
      <c r="V188" s="2523"/>
      <c r="W188" s="2523"/>
      <c r="X188" s="2523"/>
      <c r="Y188" s="2523"/>
      <c r="Z188" s="2523"/>
      <c r="AA188" s="2523"/>
      <c r="AB188" s="2523"/>
      <c r="AC188" s="2523"/>
      <c r="AD188" s="336"/>
      <c r="AE188" s="336"/>
      <c r="AF188" s="2454" t="s">
        <v>2237</v>
      </c>
      <c r="AG188" s="2454"/>
      <c r="AH188" s="2454"/>
      <c r="AI188" s="2454"/>
      <c r="AJ188" s="2454"/>
      <c r="AK188" s="2454"/>
      <c r="AL188" s="2454"/>
      <c r="AN188" s="390"/>
      <c r="AP188" s="349" t="s">
        <v>944</v>
      </c>
      <c r="AQ188" s="349">
        <v>10</v>
      </c>
    </row>
    <row r="189" spans="1:73" s="349" customFormat="1" ht="12.75" customHeight="1">
      <c r="A189" s="336"/>
      <c r="B189" s="2325" t="s">
        <v>2238</v>
      </c>
      <c r="C189" s="2325"/>
      <c r="D189" s="2325"/>
      <c r="E189" s="2325"/>
      <c r="F189" s="2325"/>
      <c r="G189" s="2325"/>
      <c r="H189" s="2325"/>
      <c r="I189" s="2325"/>
      <c r="J189" s="2325"/>
      <c r="K189" s="2325"/>
      <c r="L189" s="2325"/>
      <c r="M189" s="2325"/>
      <c r="N189" s="2325"/>
      <c r="O189" s="2325"/>
      <c r="P189" s="2325"/>
      <c r="Q189" s="2325"/>
      <c r="R189" s="2325"/>
      <c r="S189" s="2325"/>
      <c r="T189" s="2524" t="s">
        <v>809</v>
      </c>
      <c r="U189" s="2524"/>
      <c r="V189" s="2524"/>
      <c r="W189" s="2524"/>
      <c r="X189" s="2524"/>
      <c r="Y189" s="2524"/>
      <c r="Z189" s="2524"/>
      <c r="AA189" s="2524"/>
      <c r="AB189" s="2524"/>
      <c r="AC189" s="2524"/>
      <c r="AD189" s="336"/>
      <c r="AE189" s="336"/>
      <c r="AF189" s="336"/>
      <c r="AG189" s="336"/>
      <c r="AH189" s="336"/>
      <c r="AI189" s="336"/>
      <c r="AJ189" s="1189"/>
      <c r="AK189" s="388"/>
      <c r="AL189" s="388"/>
      <c r="AM189" s="388"/>
      <c r="AN189" s="390"/>
      <c r="AP189" s="349" t="s">
        <v>945</v>
      </c>
      <c r="AQ189" s="349">
        <v>10</v>
      </c>
      <c r="AS189" s="349" t="s">
        <v>809</v>
      </c>
    </row>
    <row r="190" spans="1:73" s="349" customFormat="1" ht="12.75" customHeight="1">
      <c r="A190" s="336"/>
      <c r="B190" s="1198"/>
      <c r="C190" s="1198"/>
      <c r="D190" s="1198"/>
      <c r="E190" s="1198"/>
      <c r="F190" s="1198"/>
      <c r="G190" s="1198"/>
      <c r="H190" s="1198"/>
      <c r="I190" s="1198"/>
      <c r="J190" s="1198"/>
      <c r="K190" s="1198"/>
      <c r="L190" s="1198"/>
      <c r="M190" s="1198"/>
      <c r="N190" s="1198"/>
      <c r="O190" s="1198"/>
      <c r="P190" s="1198"/>
      <c r="Q190" s="1198"/>
      <c r="R190" s="1198"/>
      <c r="S190" s="1198"/>
      <c r="T190" s="1198"/>
      <c r="U190" s="1198"/>
      <c r="V190" s="1198"/>
      <c r="W190" s="1198"/>
      <c r="X190" s="1198"/>
      <c r="Y190" s="1198"/>
      <c r="Z190" s="1198"/>
      <c r="AA190" s="1198"/>
      <c r="AB190" s="1198"/>
      <c r="AC190" s="1198"/>
      <c r="AD190" s="1198"/>
      <c r="AE190" s="336"/>
      <c r="AF190" s="336"/>
      <c r="AG190" s="336"/>
      <c r="AH190" s="336"/>
      <c r="AI190" s="336"/>
      <c r="AJ190" s="1189"/>
      <c r="AK190" s="388"/>
      <c r="AL190" s="388"/>
      <c r="AM190" s="409"/>
      <c r="AP190" s="349" t="s">
        <v>2239</v>
      </c>
      <c r="AQ190" s="349">
        <v>10</v>
      </c>
      <c r="AS190" s="349" t="s">
        <v>2240</v>
      </c>
    </row>
    <row r="191" spans="1:73" s="349" customFormat="1" ht="12.75" customHeight="1">
      <c r="A191" s="398"/>
      <c r="B191" s="361"/>
      <c r="C191" s="361"/>
      <c r="D191" s="361"/>
      <c r="E191" s="361"/>
      <c r="F191" s="361"/>
      <c r="G191" s="361"/>
      <c r="H191" s="361"/>
      <c r="I191" s="361"/>
      <c r="J191" s="361"/>
      <c r="K191" s="361"/>
      <c r="L191" s="361"/>
      <c r="M191" s="361"/>
      <c r="N191" s="361"/>
      <c r="O191" s="361"/>
      <c r="P191" s="361"/>
      <c r="Q191" s="361"/>
      <c r="R191" s="361"/>
      <c r="S191" s="361"/>
      <c r="T191" s="361"/>
      <c r="U191" s="361"/>
      <c r="V191" s="361"/>
      <c r="W191" s="361"/>
      <c r="X191" s="361"/>
      <c r="Y191" s="361"/>
      <c r="Z191" s="361"/>
      <c r="AA191" s="361"/>
      <c r="AB191" s="361"/>
      <c r="AC191" s="361"/>
      <c r="AD191" s="361"/>
      <c r="AE191" s="361"/>
      <c r="AF191" s="361"/>
      <c r="AG191" s="361"/>
      <c r="AH191" s="361"/>
      <c r="AI191" s="362"/>
      <c r="AJ191" s="362" t="s">
        <v>2241</v>
      </c>
      <c r="AK191" s="2361">
        <f>IF(AK84&gt;0,VLOOKUP($B$188,AP185:AQ191,2,FALSE),0)</f>
        <v>10</v>
      </c>
      <c r="AL191" s="2362"/>
      <c r="AM191" s="2363"/>
      <c r="AN191" s="335"/>
      <c r="AP191" s="349" t="s">
        <v>2242</v>
      </c>
      <c r="AQ191" s="349">
        <v>10</v>
      </c>
      <c r="AS191" s="349" t="s">
        <v>2243</v>
      </c>
    </row>
    <row r="192" spans="1:73" s="349" customFormat="1" ht="12.75" customHeight="1" thickBot="1">
      <c r="A192" s="410"/>
      <c r="B192" s="410"/>
      <c r="C192" s="411"/>
      <c r="D192" s="412"/>
      <c r="E192" s="412"/>
      <c r="F192" s="412"/>
      <c r="G192" s="412"/>
      <c r="H192" s="412"/>
      <c r="I192" s="412"/>
      <c r="J192" s="412"/>
      <c r="K192" s="412"/>
      <c r="L192" s="412"/>
      <c r="M192" s="412"/>
      <c r="N192" s="412"/>
      <c r="O192" s="412"/>
      <c r="P192" s="412"/>
      <c r="Q192" s="412"/>
      <c r="R192" s="412"/>
      <c r="S192" s="412"/>
      <c r="T192" s="412"/>
      <c r="U192" s="412"/>
      <c r="V192" s="412"/>
      <c r="W192" s="412"/>
      <c r="X192" s="412"/>
      <c r="Y192" s="412"/>
      <c r="Z192" s="412"/>
      <c r="AA192" s="412"/>
      <c r="AB192" s="412"/>
      <c r="AC192" s="412"/>
      <c r="AD192" s="412"/>
      <c r="AE192" s="412"/>
      <c r="AF192" s="412"/>
      <c r="AG192" s="412"/>
      <c r="AH192" s="412"/>
      <c r="AI192" s="412"/>
      <c r="AJ192" s="412"/>
      <c r="AK192" s="412"/>
      <c r="AL192" s="412"/>
      <c r="AM192" s="412"/>
      <c r="AN192" s="390"/>
    </row>
    <row r="193" spans="1:40" s="349" customFormat="1" ht="12.75" customHeight="1" thickTop="1">
      <c r="A193" s="367"/>
      <c r="B193" s="368"/>
      <c r="C193" s="369"/>
      <c r="D193" s="369"/>
      <c r="E193" s="369"/>
      <c r="F193" s="369"/>
      <c r="G193" s="369"/>
      <c r="H193" s="369"/>
      <c r="I193" s="1209"/>
      <c r="J193" s="1209"/>
      <c r="K193" s="1209"/>
      <c r="L193" s="1209"/>
      <c r="M193" s="1209"/>
      <c r="N193" s="1209"/>
      <c r="O193" s="1209"/>
      <c r="P193" s="1209"/>
      <c r="Q193" s="1209"/>
      <c r="R193" s="367"/>
      <c r="S193" s="339"/>
      <c r="T193" s="339"/>
      <c r="U193" s="339"/>
      <c r="V193" s="339"/>
      <c r="W193" s="339"/>
      <c r="X193" s="339"/>
      <c r="Y193" s="339"/>
      <c r="Z193" s="339"/>
      <c r="AA193" s="339"/>
      <c r="AB193" s="339"/>
      <c r="AC193" s="339"/>
      <c r="AD193" s="339"/>
      <c r="AE193" s="339"/>
      <c r="AF193" s="367"/>
      <c r="AG193" s="339"/>
      <c r="AH193" s="339"/>
      <c r="AI193" s="339"/>
      <c r="AJ193" s="339"/>
      <c r="AN193" s="390"/>
    </row>
    <row r="194" spans="1:40">
      <c r="A194" s="338" t="s">
        <v>2244</v>
      </c>
      <c r="B194" s="338" t="s">
        <v>2245</v>
      </c>
      <c r="C194" s="405"/>
      <c r="D194" s="406"/>
      <c r="E194" s="406"/>
      <c r="F194" s="406"/>
      <c r="G194" s="406"/>
      <c r="H194" s="406"/>
      <c r="I194" s="406"/>
      <c r="J194" s="406"/>
      <c r="K194" s="349"/>
      <c r="L194" s="349"/>
      <c r="M194" s="349"/>
      <c r="N194" s="349"/>
      <c r="O194" s="349"/>
      <c r="P194" s="349"/>
      <c r="Q194" s="349"/>
      <c r="R194" s="349"/>
      <c r="S194" s="349"/>
      <c r="T194" s="349"/>
      <c r="U194" s="349"/>
      <c r="V194" s="349"/>
      <c r="W194" s="349"/>
      <c r="X194" s="349"/>
      <c r="Y194" s="1216"/>
      <c r="Z194" s="1216"/>
      <c r="AA194" s="1216"/>
      <c r="AB194" s="1216"/>
      <c r="AC194" s="349"/>
      <c r="AD194" s="349"/>
      <c r="AE194" s="2394" t="s">
        <v>2246</v>
      </c>
      <c r="AF194" s="2394"/>
      <c r="AG194" s="2394"/>
      <c r="AH194" s="2394"/>
      <c r="AI194" s="2394"/>
      <c r="AJ194" s="2394"/>
      <c r="AK194" s="2394"/>
    </row>
    <row r="195" spans="1:40">
      <c r="A195" s="338"/>
      <c r="B195" s="338"/>
      <c r="C195" s="405"/>
      <c r="D195" s="406"/>
      <c r="E195" s="406"/>
      <c r="F195" s="406"/>
      <c r="G195" s="406"/>
      <c r="H195" s="406"/>
      <c r="I195" s="406"/>
      <c r="J195" s="406"/>
      <c r="K195" s="336"/>
      <c r="L195" s="336"/>
      <c r="M195" s="336"/>
      <c r="N195" s="336"/>
      <c r="O195" s="336"/>
      <c r="P195" s="336"/>
      <c r="Q195" s="336"/>
      <c r="R195" s="336"/>
      <c r="S195" s="336"/>
      <c r="T195" s="336"/>
      <c r="U195" s="336"/>
      <c r="V195" s="336"/>
      <c r="W195" s="336"/>
      <c r="X195" s="336"/>
      <c r="Y195" s="1216"/>
      <c r="Z195" s="1216"/>
      <c r="AA195" s="1216"/>
      <c r="AB195" s="1216"/>
      <c r="AC195" s="336"/>
      <c r="AD195" s="336"/>
      <c r="AE195" s="1189"/>
      <c r="AF195" s="1189"/>
      <c r="AG195" s="1189"/>
      <c r="AH195" s="1189"/>
      <c r="AI195" s="1189"/>
      <c r="AJ195" s="1189"/>
      <c r="AK195" s="1189"/>
    </row>
    <row r="196" spans="1:40">
      <c r="A196" s="338"/>
      <c r="B196" s="619" t="s">
        <v>2247</v>
      </c>
      <c r="C196" s="405"/>
      <c r="D196" s="406"/>
      <c r="E196" s="406"/>
      <c r="F196" s="406"/>
      <c r="G196" s="406"/>
      <c r="H196" s="406"/>
      <c r="I196" s="406"/>
      <c r="J196" s="406"/>
      <c r="K196" s="336"/>
      <c r="L196" s="336"/>
      <c r="M196" s="336"/>
      <c r="N196" s="336"/>
      <c r="O196" s="336"/>
      <c r="P196" s="336"/>
      <c r="Q196" s="336"/>
      <c r="R196" s="336"/>
      <c r="S196" s="336"/>
      <c r="T196" s="336"/>
      <c r="U196" s="336"/>
      <c r="V196" s="336"/>
      <c r="W196" s="336"/>
      <c r="X196" s="336"/>
      <c r="Y196" s="1216"/>
      <c r="Z196" s="1216"/>
      <c r="AA196" s="1216"/>
      <c r="AB196" s="1216"/>
      <c r="AC196" s="336"/>
      <c r="AD196" s="336"/>
      <c r="AE196" s="1189"/>
      <c r="AF196" s="1189"/>
      <c r="AG196" s="1189"/>
      <c r="AH196" s="1189"/>
      <c r="AI196" s="1189"/>
      <c r="AJ196" s="1189"/>
      <c r="AK196" s="1189"/>
    </row>
    <row r="197" spans="1:40">
      <c r="A197" s="1198"/>
      <c r="C197" s="451"/>
      <c r="D197" s="605"/>
      <c r="E197" s="605"/>
      <c r="F197" s="605"/>
      <c r="G197" s="605"/>
      <c r="H197" s="605"/>
      <c r="I197" s="605"/>
      <c r="J197" s="605"/>
      <c r="K197" s="336"/>
      <c r="L197" s="336"/>
      <c r="M197" s="336"/>
      <c r="N197" s="336"/>
      <c r="O197" s="336"/>
      <c r="P197" s="336"/>
      <c r="Q197" s="336"/>
      <c r="R197" s="336"/>
      <c r="S197" s="336"/>
      <c r="T197" s="336"/>
      <c r="U197" s="336"/>
      <c r="V197" s="336"/>
      <c r="W197" s="336"/>
      <c r="X197" s="336"/>
      <c r="Y197" s="1202"/>
      <c r="Z197" s="1202"/>
      <c r="AA197" s="1202"/>
      <c r="AB197" s="1202"/>
      <c r="AC197" s="336"/>
      <c r="AD197" s="336"/>
      <c r="AE197" s="402"/>
      <c r="AF197" s="402"/>
      <c r="AG197" s="402"/>
      <c r="AH197" s="402"/>
      <c r="AI197" s="402"/>
      <c r="AJ197" s="402"/>
      <c r="AK197" s="402"/>
    </row>
    <row r="198" spans="1:40">
      <c r="A198" s="1198"/>
      <c r="B198" s="620" t="s">
        <v>2248</v>
      </c>
      <c r="C198" s="451"/>
      <c r="D198" s="605"/>
      <c r="E198" s="605"/>
      <c r="F198" s="605"/>
      <c r="G198" s="605"/>
      <c r="H198" s="605"/>
      <c r="I198" s="605"/>
      <c r="J198" s="605"/>
      <c r="K198" s="336"/>
      <c r="L198" s="336"/>
      <c r="M198" s="336"/>
      <c r="N198" s="336"/>
      <c r="O198" s="336"/>
      <c r="P198" s="336"/>
      <c r="Q198" s="336"/>
      <c r="R198" s="336"/>
      <c r="S198" s="336"/>
      <c r="T198" s="336"/>
      <c r="U198" s="336"/>
      <c r="V198" s="336"/>
      <c r="W198" s="336"/>
      <c r="X198" s="336"/>
      <c r="Y198" s="1202"/>
      <c r="Z198" s="1202"/>
      <c r="AA198" s="1202"/>
      <c r="AB198" s="1202"/>
      <c r="AC198" s="336"/>
      <c r="AD198" s="336"/>
      <c r="AE198" s="402"/>
      <c r="AF198" s="402"/>
      <c r="AG198" s="402"/>
      <c r="AH198" s="402"/>
      <c r="AI198" s="402"/>
      <c r="AJ198" s="402"/>
      <c r="AK198" s="402"/>
    </row>
    <row r="199" spans="1:40">
      <c r="A199" s="1198"/>
      <c r="B199" s="2517" t="s">
        <v>2249</v>
      </c>
      <c r="C199" s="2517"/>
      <c r="D199" s="2517"/>
      <c r="E199" s="2517"/>
      <c r="F199" s="2517"/>
      <c r="G199" s="2517"/>
      <c r="H199" s="2517"/>
      <c r="I199" s="2517"/>
      <c r="J199" s="2517"/>
      <c r="K199" s="2517"/>
      <c r="L199" s="2517"/>
      <c r="M199" s="2517"/>
      <c r="N199" s="2517"/>
      <c r="O199" s="2517"/>
      <c r="P199" s="2517"/>
      <c r="Q199" s="2517"/>
      <c r="R199" s="2517"/>
      <c r="S199" s="2517"/>
      <c r="T199" s="2517"/>
      <c r="U199" s="2517"/>
      <c r="V199" s="2517"/>
      <c r="W199" s="2517"/>
      <c r="X199" s="2517"/>
      <c r="Y199" s="2517"/>
      <c r="Z199" s="2517"/>
      <c r="AA199" s="2517"/>
      <c r="AB199" s="2517"/>
      <c r="AC199" s="621"/>
      <c r="AD199" s="2507">
        <v>8000000</v>
      </c>
      <c r="AE199" s="2507"/>
      <c r="AF199" s="2507"/>
      <c r="AG199" s="2507"/>
      <c r="AH199" s="2507"/>
      <c r="AI199" s="2507"/>
      <c r="AJ199" s="2507"/>
      <c r="AK199" s="402"/>
    </row>
    <row r="200" spans="1:40">
      <c r="A200" s="1198"/>
      <c r="B200" s="2517"/>
      <c r="C200" s="2517"/>
      <c r="D200" s="2517"/>
      <c r="E200" s="2517"/>
      <c r="F200" s="2517"/>
      <c r="G200" s="2517"/>
      <c r="H200" s="2517"/>
      <c r="I200" s="2517"/>
      <c r="J200" s="2517"/>
      <c r="K200" s="2517"/>
      <c r="L200" s="2517"/>
      <c r="M200" s="2517"/>
      <c r="N200" s="2517"/>
      <c r="O200" s="2517"/>
      <c r="P200" s="2517"/>
      <c r="Q200" s="2517"/>
      <c r="R200" s="2517"/>
      <c r="S200" s="2517"/>
      <c r="T200" s="2517"/>
      <c r="U200" s="2517"/>
      <c r="V200" s="2517"/>
      <c r="W200" s="2517"/>
      <c r="X200" s="2517"/>
      <c r="Y200" s="2517"/>
      <c r="Z200" s="2517"/>
      <c r="AA200" s="2517"/>
      <c r="AB200" s="2517"/>
      <c r="AC200" s="621"/>
      <c r="AD200" s="2507"/>
      <c r="AE200" s="2507"/>
      <c r="AF200" s="2507"/>
      <c r="AG200" s="2507"/>
      <c r="AH200" s="2507"/>
      <c r="AI200" s="2507"/>
      <c r="AJ200" s="2507"/>
      <c r="AK200" s="402"/>
    </row>
    <row r="201" spans="1:40">
      <c r="A201" s="1198"/>
      <c r="B201" s="2517"/>
      <c r="C201" s="2517"/>
      <c r="D201" s="2517"/>
      <c r="E201" s="2517"/>
      <c r="F201" s="2517"/>
      <c r="G201" s="2517"/>
      <c r="H201" s="2517"/>
      <c r="I201" s="2517"/>
      <c r="J201" s="2517"/>
      <c r="K201" s="2517"/>
      <c r="L201" s="2517"/>
      <c r="M201" s="2517"/>
      <c r="N201" s="2517"/>
      <c r="O201" s="2517"/>
      <c r="P201" s="2517"/>
      <c r="Q201" s="2517"/>
      <c r="R201" s="2517"/>
      <c r="S201" s="2517"/>
      <c r="T201" s="2517"/>
      <c r="U201" s="2517"/>
      <c r="V201" s="2517"/>
      <c r="W201" s="2517"/>
      <c r="X201" s="2517"/>
      <c r="Y201" s="2517"/>
      <c r="Z201" s="2517"/>
      <c r="AA201" s="2517"/>
      <c r="AB201" s="2517"/>
      <c r="AC201" s="621"/>
      <c r="AD201" s="2507"/>
      <c r="AE201" s="2507"/>
      <c r="AF201" s="2507"/>
      <c r="AG201" s="2507"/>
      <c r="AH201" s="2507"/>
      <c r="AI201" s="2507"/>
      <c r="AJ201" s="2507"/>
      <c r="AK201" s="402"/>
    </row>
    <row r="202" spans="1:40">
      <c r="A202" s="1198"/>
      <c r="B202" s="2517"/>
      <c r="C202" s="2517"/>
      <c r="D202" s="2517"/>
      <c r="E202" s="2517"/>
      <c r="F202" s="2517"/>
      <c r="G202" s="2517"/>
      <c r="H202" s="2517"/>
      <c r="I202" s="2517"/>
      <c r="J202" s="2517"/>
      <c r="K202" s="2517"/>
      <c r="L202" s="2517"/>
      <c r="M202" s="2517"/>
      <c r="N202" s="2517"/>
      <c r="O202" s="2517"/>
      <c r="P202" s="2517"/>
      <c r="Q202" s="2517"/>
      <c r="R202" s="2517"/>
      <c r="S202" s="2517"/>
      <c r="T202" s="2517"/>
      <c r="U202" s="2517"/>
      <c r="V202" s="2517"/>
      <c r="W202" s="2517"/>
      <c r="X202" s="2517"/>
      <c r="Y202" s="2517"/>
      <c r="Z202" s="2517"/>
      <c r="AA202" s="2517"/>
      <c r="AB202" s="2517"/>
      <c r="AC202" s="621"/>
      <c r="AD202" s="2507"/>
      <c r="AE202" s="2507"/>
      <c r="AF202" s="2507"/>
      <c r="AG202" s="2507"/>
      <c r="AH202" s="2507"/>
      <c r="AI202" s="2507"/>
      <c r="AJ202" s="2507"/>
      <c r="AK202" s="402"/>
    </row>
    <row r="203" spans="1:40">
      <c r="A203" s="1198"/>
      <c r="B203" s="2517"/>
      <c r="C203" s="2517"/>
      <c r="D203" s="2517"/>
      <c r="E203" s="2517"/>
      <c r="F203" s="2517"/>
      <c r="G203" s="2517"/>
      <c r="H203" s="2517"/>
      <c r="I203" s="2517"/>
      <c r="J203" s="2517"/>
      <c r="K203" s="2517"/>
      <c r="L203" s="2517"/>
      <c r="M203" s="2517"/>
      <c r="N203" s="2517"/>
      <c r="O203" s="2517"/>
      <c r="P203" s="2517"/>
      <c r="Q203" s="2517"/>
      <c r="R203" s="2517"/>
      <c r="S203" s="2517"/>
      <c r="T203" s="2517"/>
      <c r="U203" s="2517"/>
      <c r="V203" s="2517"/>
      <c r="W203" s="2517"/>
      <c r="X203" s="2517"/>
      <c r="Y203" s="2517"/>
      <c r="Z203" s="2517"/>
      <c r="AA203" s="2517"/>
      <c r="AB203" s="2517"/>
      <c r="AC203" s="621"/>
      <c r="AD203" s="2507"/>
      <c r="AE203" s="2507"/>
      <c r="AF203" s="2507"/>
      <c r="AG203" s="2507"/>
      <c r="AH203" s="2507"/>
      <c r="AI203" s="2507"/>
      <c r="AJ203" s="2507"/>
      <c r="AK203" s="402"/>
    </row>
    <row r="204" spans="1:40">
      <c r="A204" s="1198"/>
      <c r="B204" s="2517"/>
      <c r="C204" s="2517"/>
      <c r="D204" s="2517"/>
      <c r="E204" s="2517"/>
      <c r="F204" s="2517"/>
      <c r="G204" s="2517"/>
      <c r="H204" s="2517"/>
      <c r="I204" s="2517"/>
      <c r="J204" s="2517"/>
      <c r="K204" s="2517"/>
      <c r="L204" s="2517"/>
      <c r="M204" s="2517"/>
      <c r="N204" s="2517"/>
      <c r="O204" s="2517"/>
      <c r="P204" s="2517"/>
      <c r="Q204" s="2517"/>
      <c r="R204" s="2517"/>
      <c r="S204" s="2517"/>
      <c r="T204" s="2517"/>
      <c r="U204" s="2517"/>
      <c r="V204" s="2517"/>
      <c r="W204" s="2517"/>
      <c r="X204" s="2517"/>
      <c r="Y204" s="2517"/>
      <c r="Z204" s="2517"/>
      <c r="AA204" s="2517"/>
      <c r="AB204" s="2517"/>
      <c r="AC204" s="621"/>
      <c r="AD204" s="2507"/>
      <c r="AE204" s="2507"/>
      <c r="AF204" s="2507"/>
      <c r="AG204" s="2507"/>
      <c r="AH204" s="2507"/>
      <c r="AI204" s="2507"/>
      <c r="AJ204" s="2507"/>
      <c r="AK204" s="402"/>
    </row>
    <row r="205" spans="1:40">
      <c r="A205" s="1198"/>
      <c r="B205" s="2517"/>
      <c r="C205" s="2517"/>
      <c r="D205" s="2517"/>
      <c r="E205" s="2517"/>
      <c r="F205" s="2517"/>
      <c r="G205" s="2517"/>
      <c r="H205" s="2517"/>
      <c r="I205" s="2517"/>
      <c r="J205" s="2517"/>
      <c r="K205" s="2517"/>
      <c r="L205" s="2517"/>
      <c r="M205" s="2517"/>
      <c r="N205" s="2517"/>
      <c r="O205" s="2517"/>
      <c r="P205" s="2517"/>
      <c r="Q205" s="2517"/>
      <c r="R205" s="2517"/>
      <c r="S205" s="2517"/>
      <c r="T205" s="2517"/>
      <c r="U205" s="2517"/>
      <c r="V205" s="2517"/>
      <c r="W205" s="2517"/>
      <c r="X205" s="2517"/>
      <c r="Y205" s="2517"/>
      <c r="Z205" s="2517"/>
      <c r="AA205" s="2517"/>
      <c r="AB205" s="2517"/>
      <c r="AC205" s="621"/>
      <c r="AD205" s="2507"/>
      <c r="AE205" s="2507"/>
      <c r="AF205" s="2507"/>
      <c r="AG205" s="2507"/>
      <c r="AH205" s="2507"/>
      <c r="AI205" s="2507"/>
      <c r="AJ205" s="2507"/>
      <c r="AK205" s="402"/>
    </row>
    <row r="206" spans="1:40">
      <c r="A206" s="1198"/>
      <c r="B206" s="2517"/>
      <c r="C206" s="2517"/>
      <c r="D206" s="2517"/>
      <c r="E206" s="2517"/>
      <c r="F206" s="2517"/>
      <c r="G206" s="2517"/>
      <c r="H206" s="2517"/>
      <c r="I206" s="2517"/>
      <c r="J206" s="2517"/>
      <c r="K206" s="2517"/>
      <c r="L206" s="2517"/>
      <c r="M206" s="2517"/>
      <c r="N206" s="2517"/>
      <c r="O206" s="2517"/>
      <c r="P206" s="2517"/>
      <c r="Q206" s="2517"/>
      <c r="R206" s="2517"/>
      <c r="S206" s="2517"/>
      <c r="T206" s="2517"/>
      <c r="U206" s="2517"/>
      <c r="V206" s="2517"/>
      <c r="W206" s="2517"/>
      <c r="X206" s="2517"/>
      <c r="Y206" s="2517"/>
      <c r="Z206" s="2517"/>
      <c r="AA206" s="2517"/>
      <c r="AB206" s="2517"/>
      <c r="AC206" s="621"/>
      <c r="AD206" s="2507"/>
      <c r="AE206" s="2507"/>
      <c r="AF206" s="2507"/>
      <c r="AG206" s="2507"/>
      <c r="AH206" s="2507"/>
      <c r="AI206" s="2507"/>
      <c r="AJ206" s="2507"/>
      <c r="AK206" s="402"/>
    </row>
    <row r="207" spans="1:40">
      <c r="A207" s="1198"/>
      <c r="B207" s="2517"/>
      <c r="C207" s="2517"/>
      <c r="D207" s="2517"/>
      <c r="E207" s="2517"/>
      <c r="F207" s="2517"/>
      <c r="G207" s="2517"/>
      <c r="H207" s="2517"/>
      <c r="I207" s="2517"/>
      <c r="J207" s="2517"/>
      <c r="K207" s="2517"/>
      <c r="L207" s="2517"/>
      <c r="M207" s="2517"/>
      <c r="N207" s="2517"/>
      <c r="O207" s="2517"/>
      <c r="P207" s="2517"/>
      <c r="Q207" s="2517"/>
      <c r="R207" s="2517"/>
      <c r="S207" s="2517"/>
      <c r="T207" s="2517"/>
      <c r="U207" s="2517"/>
      <c r="V207" s="2517"/>
      <c r="W207" s="2517"/>
      <c r="X207" s="2517"/>
      <c r="Y207" s="2517"/>
      <c r="Z207" s="2517"/>
      <c r="AA207" s="2517"/>
      <c r="AB207" s="2517"/>
      <c r="AC207" s="621"/>
      <c r="AD207" s="2507"/>
      <c r="AE207" s="2507"/>
      <c r="AF207" s="2507"/>
      <c r="AG207" s="2507"/>
      <c r="AH207" s="2507"/>
      <c r="AI207" s="2507"/>
      <c r="AJ207" s="2507"/>
      <c r="AK207" s="402"/>
    </row>
    <row r="208" spans="1:40">
      <c r="A208" s="1198"/>
      <c r="B208" s="2517"/>
      <c r="C208" s="2517"/>
      <c r="D208" s="2517"/>
      <c r="E208" s="2517"/>
      <c r="F208" s="2517"/>
      <c r="G208" s="2517"/>
      <c r="H208" s="2517"/>
      <c r="I208" s="2517"/>
      <c r="J208" s="2517"/>
      <c r="K208" s="2517"/>
      <c r="L208" s="2517"/>
      <c r="M208" s="2517"/>
      <c r="N208" s="2517"/>
      <c r="O208" s="2517"/>
      <c r="P208" s="2517"/>
      <c r="Q208" s="2517"/>
      <c r="R208" s="2517"/>
      <c r="S208" s="2517"/>
      <c r="T208" s="2517"/>
      <c r="U208" s="2517"/>
      <c r="V208" s="2517"/>
      <c r="W208" s="2517"/>
      <c r="X208" s="2517"/>
      <c r="Y208" s="2517"/>
      <c r="Z208" s="2517"/>
      <c r="AA208" s="2517"/>
      <c r="AB208" s="2517"/>
      <c r="AC208" s="621"/>
      <c r="AD208" s="2507"/>
      <c r="AE208" s="2507"/>
      <c r="AF208" s="2507"/>
      <c r="AG208" s="2507"/>
      <c r="AH208" s="2507"/>
      <c r="AI208" s="2507"/>
      <c r="AJ208" s="2507"/>
      <c r="AK208" s="402"/>
    </row>
    <row r="209" spans="1:37">
      <c r="A209" s="1198"/>
      <c r="B209" s="2532" t="s">
        <v>2250</v>
      </c>
      <c r="C209" s="2532"/>
      <c r="D209" s="2532"/>
      <c r="E209" s="2532"/>
      <c r="F209" s="2532"/>
      <c r="G209" s="2532"/>
      <c r="H209" s="2532"/>
      <c r="I209" s="2532"/>
      <c r="J209" s="2532"/>
      <c r="K209" s="2532"/>
      <c r="L209" s="2532"/>
      <c r="M209" s="2532"/>
      <c r="N209" s="2532"/>
      <c r="O209" s="2532"/>
      <c r="P209" s="2532"/>
      <c r="Q209" s="2532"/>
      <c r="R209" s="2532"/>
      <c r="S209" s="2532"/>
      <c r="T209" s="2532"/>
      <c r="U209" s="2532"/>
      <c r="V209" s="2532"/>
      <c r="W209" s="2532"/>
      <c r="X209" s="2532"/>
      <c r="Y209" s="2532"/>
      <c r="Z209" s="2532"/>
      <c r="AA209" s="2532"/>
      <c r="AB209" s="2532"/>
      <c r="AC209" s="336"/>
      <c r="AD209" s="2505">
        <f>AB260</f>
        <v>0</v>
      </c>
      <c r="AE209" s="2505"/>
      <c r="AF209" s="2505"/>
      <c r="AG209" s="2505"/>
      <c r="AH209" s="2505"/>
      <c r="AI209" s="2505"/>
      <c r="AJ209" s="2505"/>
      <c r="AK209" s="402"/>
    </row>
    <row r="210" spans="1:37">
      <c r="A210" s="1198"/>
      <c r="B210" s="2379" t="s">
        <v>2251</v>
      </c>
      <c r="C210" s="2379"/>
      <c r="D210" s="2379"/>
      <c r="E210" s="2379"/>
      <c r="F210" s="2379"/>
      <c r="G210" s="2379"/>
      <c r="H210" s="2379"/>
      <c r="I210" s="2379"/>
      <c r="J210" s="2379"/>
      <c r="K210" s="2379"/>
      <c r="L210" s="2379"/>
      <c r="M210" s="2379"/>
      <c r="N210" s="2379"/>
      <c r="O210" s="2379"/>
      <c r="P210" s="2379"/>
      <c r="Q210" s="2379"/>
      <c r="R210" s="2379"/>
      <c r="S210" s="2379"/>
      <c r="T210" s="2379"/>
      <c r="U210" s="2379"/>
      <c r="V210" s="2379"/>
      <c r="W210" s="2379"/>
      <c r="X210" s="2379"/>
      <c r="Y210" s="2379"/>
      <c r="Z210" s="2379"/>
      <c r="AA210" s="2379"/>
      <c r="AB210" s="2379"/>
      <c r="AC210" s="621"/>
      <c r="AD210" s="2506">
        <f>'Sources and Uses Budget'!B15</f>
        <v>0</v>
      </c>
      <c r="AE210" s="2506"/>
      <c r="AF210" s="2506"/>
      <c r="AG210" s="2506"/>
      <c r="AH210" s="2506"/>
      <c r="AI210" s="2506"/>
      <c r="AJ210" s="2506"/>
      <c r="AK210" s="402"/>
    </row>
    <row r="211" spans="1:37">
      <c r="A211" s="1198"/>
      <c r="B211" s="1140"/>
      <c r="C211" s="1140"/>
      <c r="D211" s="1140"/>
      <c r="E211" s="1140"/>
      <c r="F211" s="1140"/>
      <c r="G211" s="1140"/>
      <c r="H211" s="1140"/>
      <c r="I211" s="1140"/>
      <c r="J211" s="1140"/>
      <c r="K211" s="1140"/>
      <c r="L211" s="1140"/>
      <c r="M211" s="1140"/>
      <c r="N211" s="1140"/>
      <c r="O211" s="1140"/>
      <c r="P211" s="1140"/>
      <c r="Q211" s="1140"/>
      <c r="R211" s="1140"/>
      <c r="S211" s="1140"/>
      <c r="T211" s="1140"/>
      <c r="U211" s="1140"/>
      <c r="V211" s="1140"/>
      <c r="W211" s="1140"/>
      <c r="X211" s="1140"/>
      <c r="Y211" s="1140"/>
      <c r="Z211" s="1140"/>
      <c r="AA211" s="1140"/>
      <c r="AB211" s="414" t="s">
        <v>1488</v>
      </c>
      <c r="AC211" s="336"/>
      <c r="AD211" s="2511">
        <f>SUM(AD199:AJ209)-AD210</f>
        <v>8000000</v>
      </c>
      <c r="AE211" s="2511"/>
      <c r="AF211" s="2511"/>
      <c r="AG211" s="2511"/>
      <c r="AH211" s="2511"/>
      <c r="AI211" s="2511"/>
      <c r="AJ211" s="2511"/>
      <c r="AK211" s="402"/>
    </row>
    <row r="212" spans="1:37">
      <c r="A212" s="1198"/>
      <c r="B212" s="1198"/>
      <c r="C212" s="451"/>
      <c r="D212" s="605"/>
      <c r="E212" s="605"/>
      <c r="F212" s="605"/>
      <c r="G212" s="605"/>
      <c r="H212" s="605"/>
      <c r="I212" s="605"/>
      <c r="J212" s="605"/>
      <c r="K212" s="336"/>
      <c r="L212" s="336"/>
      <c r="M212" s="336"/>
      <c r="N212" s="336"/>
      <c r="O212" s="336"/>
      <c r="P212" s="336"/>
      <c r="Q212" s="336"/>
      <c r="R212" s="336"/>
      <c r="S212" s="336"/>
      <c r="T212" s="336"/>
      <c r="U212" s="336"/>
      <c r="V212" s="336"/>
      <c r="W212" s="336"/>
      <c r="X212" s="336"/>
      <c r="Y212" s="1202"/>
      <c r="Z212" s="1202"/>
      <c r="AA212" s="1202"/>
      <c r="AB212" s="1202"/>
      <c r="AC212" s="336"/>
      <c r="AD212" s="336"/>
      <c r="AE212" s="402"/>
      <c r="AF212" s="402"/>
      <c r="AG212" s="402"/>
      <c r="AH212" s="402"/>
      <c r="AI212" s="402"/>
      <c r="AJ212" s="402"/>
      <c r="AK212" s="402"/>
    </row>
    <row r="213" spans="1:37">
      <c r="A213" s="1198"/>
      <c r="B213" s="304" t="s">
        <v>2252</v>
      </c>
      <c r="C213" s="451"/>
      <c r="D213" s="605"/>
      <c r="E213" s="605"/>
      <c r="F213" s="605"/>
      <c r="G213" s="605"/>
      <c r="H213" s="605"/>
      <c r="I213" s="605"/>
      <c r="J213" s="605"/>
      <c r="K213" s="336"/>
      <c r="L213" s="336"/>
      <c r="M213" s="336"/>
      <c r="N213" s="336"/>
      <c r="O213" s="336"/>
      <c r="P213" s="336"/>
      <c r="Q213" s="336"/>
      <c r="R213" s="336"/>
      <c r="S213" s="336"/>
      <c r="T213" s="336"/>
      <c r="U213" s="336"/>
      <c r="V213" s="336"/>
      <c r="W213" s="336"/>
      <c r="X213" s="336"/>
      <c r="Y213" s="1202"/>
      <c r="Z213" s="1202"/>
      <c r="AA213" s="1202"/>
      <c r="AB213" s="1202"/>
      <c r="AC213" s="336"/>
      <c r="AD213" s="336"/>
      <c r="AE213" s="402"/>
      <c r="AF213" s="402"/>
      <c r="AG213" s="402"/>
      <c r="AH213" s="402"/>
      <c r="AI213" s="402"/>
      <c r="AJ213" s="402"/>
      <c r="AK213" s="402"/>
    </row>
    <row r="214" spans="1:37">
      <c r="A214" s="1198"/>
      <c r="B214" s="286" t="s">
        <v>2253</v>
      </c>
      <c r="C214" s="451"/>
      <c r="D214" s="605"/>
      <c r="E214" s="605"/>
      <c r="F214" s="605"/>
      <c r="G214" s="605"/>
      <c r="H214" s="605"/>
      <c r="I214" s="605"/>
      <c r="J214" s="605"/>
      <c r="K214" s="336"/>
      <c r="L214" s="336"/>
      <c r="M214" s="336"/>
      <c r="N214" s="336"/>
      <c r="O214" s="336"/>
      <c r="P214" s="336"/>
      <c r="Q214" s="336"/>
      <c r="R214" s="336"/>
      <c r="S214" s="336"/>
      <c r="T214" s="336"/>
      <c r="U214" s="336"/>
      <c r="V214" s="336"/>
      <c r="W214" s="336"/>
      <c r="X214" s="336"/>
      <c r="Y214" s="1202"/>
      <c r="Z214" s="1202"/>
      <c r="AA214" s="1202"/>
      <c r="AB214" s="1202"/>
      <c r="AC214" s="336"/>
      <c r="AD214" s="336"/>
      <c r="AE214" s="402"/>
      <c r="AF214" s="402"/>
      <c r="AG214" s="402"/>
      <c r="AH214" s="402"/>
      <c r="AI214" s="402"/>
      <c r="AJ214" s="402"/>
      <c r="AK214" s="402"/>
    </row>
    <row r="215" spans="1:37">
      <c r="A215" s="628"/>
      <c r="B215" s="643" t="s">
        <v>2254</v>
      </c>
      <c r="C215" s="644"/>
      <c r="D215" s="645"/>
      <c r="E215" s="645"/>
      <c r="F215" s="645"/>
      <c r="G215" s="645"/>
      <c r="H215" s="645"/>
      <c r="I215" s="645"/>
      <c r="J215" s="645"/>
      <c r="K215" s="646"/>
      <c r="L215" s="646"/>
      <c r="M215" s="646"/>
      <c r="N215" s="646"/>
      <c r="O215" s="646"/>
      <c r="P215" s="646"/>
      <c r="Q215" s="646"/>
      <c r="R215" s="646"/>
      <c r="S215" s="528"/>
      <c r="T215" s="528"/>
      <c r="U215" s="528"/>
      <c r="V215" s="528"/>
      <c r="W215" s="528"/>
      <c r="X215" s="528"/>
      <c r="Y215" s="1204"/>
      <c r="Z215" s="1204"/>
      <c r="AA215" s="1204"/>
      <c r="AB215" s="1204"/>
      <c r="AC215" s="528"/>
      <c r="AD215" s="528"/>
      <c r="AE215" s="606"/>
      <c r="AF215" s="606"/>
      <c r="AG215" s="606"/>
      <c r="AH215" s="606"/>
      <c r="AI215" s="606"/>
      <c r="AJ215" s="607"/>
      <c r="AK215" s="402"/>
    </row>
    <row r="216" spans="1:37">
      <c r="A216" s="628"/>
      <c r="B216" s="647" t="s">
        <v>2255</v>
      </c>
      <c r="C216" s="648"/>
      <c r="D216" s="649"/>
      <c r="E216" s="649"/>
      <c r="F216" s="649"/>
      <c r="G216" s="649"/>
      <c r="H216" s="649"/>
      <c r="I216" s="649"/>
      <c r="J216" s="649"/>
      <c r="K216" s="650"/>
      <c r="L216" s="650"/>
      <c r="M216" s="650"/>
      <c r="N216" s="650"/>
      <c r="O216" s="650"/>
      <c r="P216" s="650"/>
      <c r="Q216" s="650"/>
      <c r="R216" s="650"/>
      <c r="S216" s="336"/>
      <c r="T216" s="336"/>
      <c r="U216" s="336"/>
      <c r="V216" s="336"/>
      <c r="W216" s="336"/>
      <c r="X216" s="336"/>
      <c r="Y216" s="1202"/>
      <c r="Z216" s="1202"/>
      <c r="AA216" s="1202"/>
      <c r="AB216" s="1202"/>
      <c r="AC216" s="336"/>
      <c r="AD216" s="336"/>
      <c r="AE216" s="402"/>
      <c r="AF216" s="402"/>
      <c r="AG216" s="402"/>
      <c r="AH216" s="402"/>
      <c r="AI216" s="402"/>
      <c r="AJ216" s="608"/>
      <c r="AK216" s="402"/>
    </row>
    <row r="217" spans="1:37">
      <c r="A217" s="628"/>
      <c r="B217" s="647" t="s">
        <v>2256</v>
      </c>
      <c r="C217" s="648"/>
      <c r="D217" s="649"/>
      <c r="E217" s="649"/>
      <c r="F217" s="649"/>
      <c r="G217" s="649"/>
      <c r="H217" s="649"/>
      <c r="I217" s="649"/>
      <c r="J217" s="649"/>
      <c r="K217" s="650"/>
      <c r="L217" s="650"/>
      <c r="M217" s="650"/>
      <c r="N217" s="650"/>
      <c r="O217" s="650"/>
      <c r="P217" s="650"/>
      <c r="Q217" s="650"/>
      <c r="R217" s="650"/>
      <c r="S217" s="336"/>
      <c r="T217" s="336"/>
      <c r="U217" s="336"/>
      <c r="V217" s="336"/>
      <c r="W217" s="336"/>
      <c r="X217" s="336"/>
      <c r="Y217" s="1202"/>
      <c r="Z217" s="1202"/>
      <c r="AA217" s="1202"/>
      <c r="AB217" s="1202"/>
      <c r="AC217" s="336"/>
      <c r="AD217" s="336"/>
      <c r="AE217" s="402"/>
      <c r="AF217" s="402"/>
      <c r="AG217" s="402"/>
      <c r="AH217" s="402"/>
      <c r="AI217" s="402"/>
      <c r="AJ217" s="608"/>
      <c r="AK217" s="402"/>
    </row>
    <row r="218" spans="1:37">
      <c r="A218" s="628"/>
      <c r="B218" s="647" t="s">
        <v>2257</v>
      </c>
      <c r="C218" s="648"/>
      <c r="D218" s="649"/>
      <c r="E218" s="649"/>
      <c r="F218" s="649"/>
      <c r="G218" s="649"/>
      <c r="H218" s="649"/>
      <c r="I218" s="649"/>
      <c r="J218" s="649"/>
      <c r="K218" s="650"/>
      <c r="L218" s="650"/>
      <c r="M218" s="650"/>
      <c r="N218" s="650"/>
      <c r="O218" s="650"/>
      <c r="P218" s="650"/>
      <c r="Q218" s="650"/>
      <c r="R218" s="650"/>
      <c r="S218" s="336"/>
      <c r="T218" s="336"/>
      <c r="U218" s="336"/>
      <c r="V218" s="336"/>
      <c r="W218" s="336"/>
      <c r="X218" s="336"/>
      <c r="Y218" s="1202"/>
      <c r="Z218" s="1202"/>
      <c r="AA218" s="1202"/>
      <c r="AB218" s="1202"/>
      <c r="AC218" s="336"/>
      <c r="AD218" s="336"/>
      <c r="AE218" s="402"/>
      <c r="AF218" s="402"/>
      <c r="AG218" s="402"/>
      <c r="AH218" s="402"/>
      <c r="AI218" s="402"/>
      <c r="AJ218" s="608"/>
      <c r="AK218" s="402"/>
    </row>
    <row r="219" spans="1:37">
      <c r="A219" s="628"/>
      <c r="B219" s="651" t="s">
        <v>2258</v>
      </c>
      <c r="C219" s="648"/>
      <c r="D219" s="649"/>
      <c r="E219" s="649"/>
      <c r="F219" s="649"/>
      <c r="G219" s="649"/>
      <c r="H219" s="649"/>
      <c r="I219" s="649"/>
      <c r="J219" s="649"/>
      <c r="K219" s="650"/>
      <c r="L219" s="650"/>
      <c r="M219" s="650"/>
      <c r="N219" s="650"/>
      <c r="O219" s="650"/>
      <c r="P219" s="650"/>
      <c r="Q219" s="650"/>
      <c r="R219" s="650"/>
      <c r="S219" s="336"/>
      <c r="T219" s="336"/>
      <c r="U219" s="336"/>
      <c r="V219" s="336"/>
      <c r="W219" s="336"/>
      <c r="X219" s="336"/>
      <c r="Y219" s="1202"/>
      <c r="Z219" s="1202"/>
      <c r="AA219" s="1202"/>
      <c r="AB219" s="1202"/>
      <c r="AC219" s="336"/>
      <c r="AD219" s="336"/>
      <c r="AE219" s="402"/>
      <c r="AF219" s="402"/>
      <c r="AG219" s="402"/>
      <c r="AH219" s="402"/>
      <c r="AI219" s="402"/>
      <c r="AJ219" s="608"/>
      <c r="AK219" s="402"/>
    </row>
    <row r="220" spans="1:37">
      <c r="A220" s="628"/>
      <c r="B220" s="652" t="s">
        <v>2259</v>
      </c>
      <c r="C220" s="653"/>
      <c r="D220" s="654"/>
      <c r="E220" s="654"/>
      <c r="F220" s="654"/>
      <c r="G220" s="654"/>
      <c r="H220" s="654"/>
      <c r="I220" s="654"/>
      <c r="J220" s="654"/>
      <c r="K220" s="655"/>
      <c r="L220" s="655"/>
      <c r="M220" s="655"/>
      <c r="N220" s="655"/>
      <c r="O220" s="655"/>
      <c r="P220" s="655"/>
      <c r="Q220" s="655"/>
      <c r="R220" s="655"/>
      <c r="S220" s="521"/>
      <c r="T220" s="521"/>
      <c r="U220" s="521"/>
      <c r="V220" s="521"/>
      <c r="W220" s="521"/>
      <c r="X220" s="521"/>
      <c r="Y220" s="1203"/>
      <c r="Z220" s="1203"/>
      <c r="AA220" s="1203"/>
      <c r="AB220" s="1203"/>
      <c r="AC220" s="521"/>
      <c r="AD220" s="521"/>
      <c r="AE220" s="609"/>
      <c r="AF220" s="609"/>
      <c r="AG220" s="609"/>
      <c r="AH220" s="609"/>
      <c r="AI220" s="609"/>
      <c r="AJ220" s="610"/>
      <c r="AK220" s="402"/>
    </row>
    <row r="221" spans="1:37">
      <c r="A221" s="1198"/>
      <c r="B221" s="1198"/>
      <c r="C221" s="451"/>
      <c r="D221" s="605"/>
      <c r="E221" s="605"/>
      <c r="F221" s="605"/>
      <c r="G221" s="605"/>
      <c r="H221" s="605"/>
      <c r="I221" s="605"/>
      <c r="J221" s="605"/>
      <c r="K221" s="336"/>
      <c r="L221" s="336"/>
      <c r="M221" s="336"/>
      <c r="N221" s="336"/>
      <c r="O221" s="336"/>
      <c r="P221" s="336"/>
      <c r="Q221" s="336"/>
      <c r="R221" s="336"/>
      <c r="S221" s="336"/>
      <c r="T221" s="336"/>
      <c r="U221" s="336"/>
      <c r="V221" s="336"/>
      <c r="W221" s="336"/>
      <c r="X221" s="336"/>
      <c r="Y221" s="1202"/>
      <c r="Z221" s="1202"/>
      <c r="AA221" s="1202"/>
      <c r="AB221" s="1202"/>
      <c r="AC221" s="336"/>
      <c r="AD221" s="336"/>
      <c r="AE221" s="402"/>
      <c r="AF221" s="402"/>
      <c r="AG221" s="402"/>
      <c r="AH221" s="402"/>
      <c r="AI221" s="402"/>
      <c r="AJ221" s="402"/>
      <c r="AK221" s="402"/>
    </row>
    <row r="222" spans="1:37">
      <c r="A222" s="1198"/>
      <c r="B222" s="623"/>
      <c r="C222" s="286"/>
      <c r="D222" s="286"/>
      <c r="I222" s="2530" t="s">
        <v>2260</v>
      </c>
      <c r="J222" s="2530"/>
      <c r="K222" s="2530"/>
      <c r="L222" s="336"/>
      <c r="M222" s="336"/>
      <c r="N222" s="336"/>
      <c r="O222" s="336"/>
      <c r="P222" s="336"/>
      <c r="Q222" s="336"/>
      <c r="R222" s="336"/>
      <c r="S222" s="336"/>
      <c r="T222" s="2345" t="s">
        <v>2261</v>
      </c>
      <c r="U222" s="2345"/>
      <c r="V222" s="2345"/>
      <c r="W222" s="2345"/>
      <c r="X222" s="2345"/>
      <c r="Y222" s="2345"/>
      <c r="Z222" s="624"/>
      <c r="AA222" s="296"/>
      <c r="AB222" s="2527" t="s">
        <v>2262</v>
      </c>
      <c r="AC222" s="2527"/>
      <c r="AD222" s="2527"/>
      <c r="AE222" s="2527"/>
      <c r="AF222" s="2527"/>
      <c r="AG222" s="2527"/>
      <c r="AH222" s="605"/>
      <c r="AI222" s="605"/>
      <c r="AJ222" s="605"/>
      <c r="AK222" s="402"/>
    </row>
    <row r="223" spans="1:37">
      <c r="A223" s="1198"/>
      <c r="B223" s="2528" t="s">
        <v>2263</v>
      </c>
      <c r="C223" s="2528"/>
      <c r="D223" s="2528"/>
      <c r="E223" s="2528"/>
      <c r="F223" s="2528"/>
      <c r="G223" s="2528"/>
      <c r="I223" s="2529" t="s">
        <v>2264</v>
      </c>
      <c r="J223" s="2529"/>
      <c r="K223" s="2529"/>
      <c r="L223" s="1197"/>
      <c r="N223" s="2380" t="s">
        <v>2265</v>
      </c>
      <c r="O223" s="2380"/>
      <c r="P223" s="2380"/>
      <c r="Q223" s="2380"/>
      <c r="R223" s="2380"/>
      <c r="T223" s="2380" t="s">
        <v>2266</v>
      </c>
      <c r="U223" s="2380"/>
      <c r="V223" s="2380"/>
      <c r="W223" s="2380"/>
      <c r="X223" s="2380"/>
      <c r="Y223" s="2380"/>
      <c r="Z223" s="625"/>
      <c r="AA223" s="296"/>
      <c r="AB223" s="2395" t="s">
        <v>2267</v>
      </c>
      <c r="AC223" s="2395"/>
      <c r="AD223" s="2395"/>
      <c r="AE223" s="2395"/>
      <c r="AF223" s="2395"/>
      <c r="AG223" s="2395"/>
      <c r="AH223" s="605"/>
      <c r="AI223" s="605"/>
      <c r="AJ223" s="605"/>
      <c r="AK223" s="402"/>
    </row>
    <row r="224" spans="1:37">
      <c r="A224" s="1198"/>
      <c r="B224" s="2396" t="s">
        <v>1027</v>
      </c>
      <c r="C224" s="2396"/>
      <c r="D224" s="2396"/>
      <c r="E224" s="2396"/>
      <c r="F224" s="2396"/>
      <c r="G224" s="2396"/>
      <c r="H224" s="627"/>
      <c r="I224" s="2349"/>
      <c r="J224" s="2349"/>
      <c r="K224" s="2349"/>
      <c r="L224" s="1197"/>
      <c r="N224" s="2347"/>
      <c r="O224" s="2347"/>
      <c r="P224" s="2347"/>
      <c r="Q224" s="2347"/>
      <c r="R224" s="2347"/>
      <c r="T224" s="2346"/>
      <c r="U224" s="2346"/>
      <c r="V224" s="2346"/>
      <c r="W224" s="2346"/>
      <c r="X224" s="2346"/>
      <c r="Y224" s="2346"/>
      <c r="Z224" s="626"/>
      <c r="AA224" s="626"/>
      <c r="AB224" s="2344">
        <f t="shared" ref="AB224:AB233" si="0">MAX(($T224-$N224)*$I224*12,0)</f>
        <v>0</v>
      </c>
      <c r="AC224" s="2344"/>
      <c r="AD224" s="2344"/>
      <c r="AE224" s="2344"/>
      <c r="AF224" s="2344"/>
      <c r="AG224" s="2344"/>
      <c r="AH224" s="605"/>
      <c r="AI224" s="605"/>
      <c r="AJ224" s="605"/>
      <c r="AK224" s="402"/>
    </row>
    <row r="225" spans="1:37">
      <c r="A225" s="1198"/>
      <c r="B225" s="2396" t="s">
        <v>1027</v>
      </c>
      <c r="C225" s="2396"/>
      <c r="D225" s="2396"/>
      <c r="E225" s="2396"/>
      <c r="F225" s="2396"/>
      <c r="G225" s="2396"/>
      <c r="I225" s="2349"/>
      <c r="J225" s="2349"/>
      <c r="K225" s="2349"/>
      <c r="L225" s="1197"/>
      <c r="N225" s="2347"/>
      <c r="O225" s="2347"/>
      <c r="P225" s="2347"/>
      <c r="Q225" s="2347"/>
      <c r="R225" s="2347"/>
      <c r="T225" s="2346"/>
      <c r="U225" s="2346"/>
      <c r="V225" s="2346"/>
      <c r="W225" s="2346"/>
      <c r="X225" s="2346"/>
      <c r="Y225" s="2346"/>
      <c r="Z225" s="626"/>
      <c r="AA225" s="626"/>
      <c r="AB225" s="2344">
        <f t="shared" si="0"/>
        <v>0</v>
      </c>
      <c r="AC225" s="2344"/>
      <c r="AD225" s="2344"/>
      <c r="AE225" s="2344"/>
      <c r="AF225" s="2344"/>
      <c r="AG225" s="2344"/>
      <c r="AH225" s="605"/>
      <c r="AI225" s="605"/>
      <c r="AJ225" s="605"/>
      <c r="AK225" s="402"/>
    </row>
    <row r="226" spans="1:37">
      <c r="A226" s="1198"/>
      <c r="B226" s="2396" t="s">
        <v>1027</v>
      </c>
      <c r="C226" s="2396"/>
      <c r="D226" s="2396"/>
      <c r="E226" s="2396"/>
      <c r="F226" s="2396"/>
      <c r="G226" s="2396"/>
      <c r="I226" s="2349"/>
      <c r="J226" s="2349"/>
      <c r="K226" s="2349"/>
      <c r="L226" s="1197"/>
      <c r="N226" s="2347"/>
      <c r="O226" s="2347"/>
      <c r="P226" s="2347"/>
      <c r="Q226" s="2347"/>
      <c r="R226" s="2347"/>
      <c r="T226" s="2346"/>
      <c r="U226" s="2346"/>
      <c r="V226" s="2346"/>
      <c r="W226" s="2346"/>
      <c r="X226" s="2346"/>
      <c r="Y226" s="2346"/>
      <c r="Z226" s="626"/>
      <c r="AA226" s="626"/>
      <c r="AB226" s="2344">
        <f t="shared" si="0"/>
        <v>0</v>
      </c>
      <c r="AC226" s="2344"/>
      <c r="AD226" s="2344"/>
      <c r="AE226" s="2344"/>
      <c r="AF226" s="2344"/>
      <c r="AG226" s="2344"/>
      <c r="AH226" s="605"/>
      <c r="AI226" s="605"/>
      <c r="AJ226" s="605"/>
      <c r="AK226" s="402"/>
    </row>
    <row r="227" spans="1:37">
      <c r="A227" s="1198"/>
      <c r="B227" s="2396" t="s">
        <v>1027</v>
      </c>
      <c r="C227" s="2396"/>
      <c r="D227" s="2396"/>
      <c r="E227" s="2396"/>
      <c r="F227" s="2396"/>
      <c r="G227" s="2396"/>
      <c r="I227" s="2349"/>
      <c r="J227" s="2349"/>
      <c r="K227" s="2349"/>
      <c r="L227" s="1197"/>
      <c r="N227" s="2347"/>
      <c r="O227" s="2347"/>
      <c r="P227" s="2347"/>
      <c r="Q227" s="2347"/>
      <c r="R227" s="2347"/>
      <c r="T227" s="2346"/>
      <c r="U227" s="2346"/>
      <c r="V227" s="2346"/>
      <c r="W227" s="2346"/>
      <c r="X227" s="2346"/>
      <c r="Y227" s="2346"/>
      <c r="Z227" s="626"/>
      <c r="AA227" s="626"/>
      <c r="AB227" s="2344">
        <f t="shared" si="0"/>
        <v>0</v>
      </c>
      <c r="AC227" s="2344"/>
      <c r="AD227" s="2344"/>
      <c r="AE227" s="2344"/>
      <c r="AF227" s="2344"/>
      <c r="AG227" s="2344"/>
      <c r="AH227" s="605"/>
      <c r="AI227" s="605"/>
      <c r="AJ227" s="605"/>
      <c r="AK227" s="402"/>
    </row>
    <row r="228" spans="1:37">
      <c r="A228" s="1198"/>
      <c r="B228" s="2396" t="s">
        <v>1027</v>
      </c>
      <c r="C228" s="2396"/>
      <c r="D228" s="2396"/>
      <c r="E228" s="2396"/>
      <c r="F228" s="2396"/>
      <c r="G228" s="2396"/>
      <c r="I228" s="2349"/>
      <c r="J228" s="2349"/>
      <c r="K228" s="2349"/>
      <c r="L228" s="750"/>
      <c r="N228" s="2347"/>
      <c r="O228" s="2347"/>
      <c r="P228" s="2347"/>
      <c r="Q228" s="2347"/>
      <c r="R228" s="2347"/>
      <c r="T228" s="2346"/>
      <c r="U228" s="2346"/>
      <c r="V228" s="2346"/>
      <c r="W228" s="2346"/>
      <c r="X228" s="2346"/>
      <c r="Y228" s="2346"/>
      <c r="Z228" s="626"/>
      <c r="AA228" s="626"/>
      <c r="AB228" s="2344">
        <f t="shared" si="0"/>
        <v>0</v>
      </c>
      <c r="AC228" s="2344"/>
      <c r="AD228" s="2344"/>
      <c r="AE228" s="2344"/>
      <c r="AF228" s="2344"/>
      <c r="AG228" s="2344"/>
      <c r="AH228" s="605"/>
      <c r="AI228" s="605"/>
      <c r="AJ228" s="605"/>
      <c r="AK228" s="402"/>
    </row>
    <row r="229" spans="1:37">
      <c r="A229" s="1198"/>
      <c r="B229" s="2396" t="s">
        <v>1027</v>
      </c>
      <c r="C229" s="2396"/>
      <c r="D229" s="2396"/>
      <c r="E229" s="2396"/>
      <c r="F229" s="2396"/>
      <c r="G229" s="2396"/>
      <c r="I229" s="2349"/>
      <c r="J229" s="2349"/>
      <c r="K229" s="2349"/>
      <c r="L229" s="750"/>
      <c r="N229" s="2347"/>
      <c r="O229" s="2347"/>
      <c r="P229" s="2347"/>
      <c r="Q229" s="2347"/>
      <c r="R229" s="2347"/>
      <c r="T229" s="2346"/>
      <c r="U229" s="2346"/>
      <c r="V229" s="2346"/>
      <c r="W229" s="2346"/>
      <c r="X229" s="2346"/>
      <c r="Y229" s="2346"/>
      <c r="Z229" s="626"/>
      <c r="AA229" s="626"/>
      <c r="AB229" s="2344">
        <f t="shared" si="0"/>
        <v>0</v>
      </c>
      <c r="AC229" s="2344"/>
      <c r="AD229" s="2344"/>
      <c r="AE229" s="2344"/>
      <c r="AF229" s="2344"/>
      <c r="AG229" s="2344"/>
      <c r="AH229" s="605"/>
      <c r="AI229" s="605"/>
      <c r="AJ229" s="605"/>
      <c r="AK229" s="402"/>
    </row>
    <row r="230" spans="1:37">
      <c r="A230" s="1198"/>
      <c r="B230" s="2396" t="s">
        <v>1027</v>
      </c>
      <c r="C230" s="2396"/>
      <c r="D230" s="2396"/>
      <c r="E230" s="2396"/>
      <c r="F230" s="2396"/>
      <c r="G230" s="2396"/>
      <c r="I230" s="2349"/>
      <c r="J230" s="2349"/>
      <c r="K230" s="2349"/>
      <c r="L230" s="750"/>
      <c r="N230" s="2347"/>
      <c r="O230" s="2347"/>
      <c r="P230" s="2347"/>
      <c r="Q230" s="2347"/>
      <c r="R230" s="2347"/>
      <c r="T230" s="2346"/>
      <c r="U230" s="2346"/>
      <c r="V230" s="2346"/>
      <c r="W230" s="2346"/>
      <c r="X230" s="2346"/>
      <c r="Y230" s="2346"/>
      <c r="Z230" s="626"/>
      <c r="AA230" s="626"/>
      <c r="AB230" s="2344">
        <f t="shared" si="0"/>
        <v>0</v>
      </c>
      <c r="AC230" s="2344"/>
      <c r="AD230" s="2344"/>
      <c r="AE230" s="2344"/>
      <c r="AF230" s="2344"/>
      <c r="AG230" s="2344"/>
      <c r="AH230" s="605"/>
      <c r="AI230" s="605"/>
      <c r="AJ230" s="605"/>
      <c r="AK230" s="402"/>
    </row>
    <row r="231" spans="1:37">
      <c r="A231" s="1198"/>
      <c r="B231" s="2396" t="s">
        <v>1027</v>
      </c>
      <c r="C231" s="2396"/>
      <c r="D231" s="2396"/>
      <c r="E231" s="2396"/>
      <c r="F231" s="2396"/>
      <c r="G231" s="2396"/>
      <c r="I231" s="2349"/>
      <c r="J231" s="2349"/>
      <c r="K231" s="2349"/>
      <c r="L231" s="750"/>
      <c r="N231" s="2347"/>
      <c r="O231" s="2347"/>
      <c r="P231" s="2347"/>
      <c r="Q231" s="2347"/>
      <c r="R231" s="2347"/>
      <c r="T231" s="2346"/>
      <c r="U231" s="2346"/>
      <c r="V231" s="2346"/>
      <c r="W231" s="2346"/>
      <c r="X231" s="2346"/>
      <c r="Y231" s="2346"/>
      <c r="Z231" s="626"/>
      <c r="AA231" s="626"/>
      <c r="AB231" s="2344">
        <f t="shared" si="0"/>
        <v>0</v>
      </c>
      <c r="AC231" s="2344"/>
      <c r="AD231" s="2344"/>
      <c r="AE231" s="2344"/>
      <c r="AF231" s="2344"/>
      <c r="AG231" s="2344"/>
      <c r="AH231" s="605"/>
      <c r="AI231" s="605"/>
      <c r="AJ231" s="605"/>
      <c r="AK231" s="402"/>
    </row>
    <row r="232" spans="1:37">
      <c r="A232" s="1198"/>
      <c r="B232" s="2396" t="s">
        <v>1027</v>
      </c>
      <c r="C232" s="2396"/>
      <c r="D232" s="2396"/>
      <c r="E232" s="2396"/>
      <c r="F232" s="2396"/>
      <c r="G232" s="2396"/>
      <c r="I232" s="2349"/>
      <c r="J232" s="2349"/>
      <c r="K232" s="2349"/>
      <c r="L232" s="750"/>
      <c r="N232" s="2347"/>
      <c r="O232" s="2347"/>
      <c r="P232" s="2347"/>
      <c r="Q232" s="2347"/>
      <c r="R232" s="2347"/>
      <c r="T232" s="2346"/>
      <c r="U232" s="2346"/>
      <c r="V232" s="2346"/>
      <c r="W232" s="2346"/>
      <c r="X232" s="2346"/>
      <c r="Y232" s="2346"/>
      <c r="Z232" s="626"/>
      <c r="AA232" s="626"/>
      <c r="AB232" s="2344">
        <f t="shared" si="0"/>
        <v>0</v>
      </c>
      <c r="AC232" s="2344"/>
      <c r="AD232" s="2344"/>
      <c r="AE232" s="2344"/>
      <c r="AF232" s="2344"/>
      <c r="AG232" s="2344"/>
      <c r="AH232" s="605"/>
      <c r="AI232" s="605"/>
      <c r="AJ232" s="605"/>
      <c r="AK232" s="402"/>
    </row>
    <row r="233" spans="1:37">
      <c r="A233" s="1198"/>
      <c r="B233" s="2396" t="s">
        <v>1027</v>
      </c>
      <c r="C233" s="2396"/>
      <c r="D233" s="2396"/>
      <c r="E233" s="2396"/>
      <c r="F233" s="2396"/>
      <c r="G233" s="2396"/>
      <c r="I233" s="2531"/>
      <c r="J233" s="2531"/>
      <c r="K233" s="2531"/>
      <c r="L233" s="750"/>
      <c r="N233" s="2347"/>
      <c r="O233" s="2347"/>
      <c r="P233" s="2347"/>
      <c r="Q233" s="2347"/>
      <c r="R233" s="2347"/>
      <c r="T233" s="2346"/>
      <c r="U233" s="2346"/>
      <c r="V233" s="2346"/>
      <c r="W233" s="2346"/>
      <c r="X233" s="2346"/>
      <c r="Y233" s="2346"/>
      <c r="Z233" s="626"/>
      <c r="AA233" s="626"/>
      <c r="AB233" s="2350">
        <f t="shared" si="0"/>
        <v>0</v>
      </c>
      <c r="AC233" s="2350"/>
      <c r="AD233" s="2350"/>
      <c r="AE233" s="2350"/>
      <c r="AF233" s="2350"/>
      <c r="AG233" s="2350"/>
      <c r="AH233" s="605"/>
      <c r="AI233" s="605"/>
      <c r="AJ233" s="605"/>
      <c r="AK233" s="402"/>
    </row>
    <row r="234" spans="1:37">
      <c r="A234" s="1198"/>
      <c r="B234" s="286"/>
      <c r="C234" s="627"/>
      <c r="D234" s="286"/>
      <c r="K234" s="336"/>
      <c r="L234" s="336"/>
      <c r="M234" s="336"/>
      <c r="N234" s="336"/>
      <c r="O234" s="336"/>
      <c r="P234" s="336"/>
      <c r="Q234" s="336"/>
      <c r="R234" s="336"/>
      <c r="S234" s="336"/>
      <c r="T234" s="336"/>
      <c r="U234" s="336"/>
      <c r="V234" s="336"/>
      <c r="W234" s="336"/>
      <c r="X234" s="336"/>
      <c r="Y234" s="1196" t="s">
        <v>2268</v>
      </c>
      <c r="AA234" s="1196"/>
      <c r="AB234" s="2344">
        <f>SUM(AB224:AB233)</f>
        <v>0</v>
      </c>
      <c r="AC234" s="2344"/>
      <c r="AD234" s="2344"/>
      <c r="AE234" s="2344"/>
      <c r="AF234" s="2344"/>
      <c r="AG234" s="2344"/>
      <c r="AH234" s="605"/>
      <c r="AI234" s="605"/>
      <c r="AJ234" s="605"/>
      <c r="AK234" s="402"/>
    </row>
    <row r="235" spans="1:37">
      <c r="A235" s="1198"/>
      <c r="B235" s="1198"/>
      <c r="C235" s="451"/>
      <c r="D235" s="605"/>
      <c r="E235" s="605"/>
      <c r="F235" s="605"/>
      <c r="G235" s="605"/>
      <c r="H235" s="605"/>
      <c r="I235" s="605"/>
      <c r="J235" s="605"/>
      <c r="K235" s="349"/>
      <c r="L235" s="349"/>
      <c r="M235" s="349"/>
      <c r="N235" s="349"/>
      <c r="O235" s="349"/>
      <c r="P235" s="349"/>
      <c r="Q235" s="349"/>
      <c r="R235" s="349"/>
      <c r="S235" s="349"/>
      <c r="T235" s="349"/>
      <c r="U235" s="349"/>
      <c r="V235" s="349"/>
      <c r="W235" s="349"/>
      <c r="X235" s="349"/>
      <c r="Y235" s="1202"/>
      <c r="Z235" s="1202"/>
      <c r="AA235" s="1202"/>
      <c r="AB235" s="1202"/>
      <c r="AC235" s="349"/>
      <c r="AD235" s="349"/>
      <c r="AE235" s="402"/>
      <c r="AF235" s="402"/>
      <c r="AG235" s="402"/>
      <c r="AH235" s="402"/>
      <c r="AI235" s="402"/>
      <c r="AJ235" s="402"/>
      <c r="AK235" s="402"/>
    </row>
    <row r="236" spans="1:37">
      <c r="A236" s="855" t="s">
        <v>2269</v>
      </c>
      <c r="C236" s="451"/>
      <c r="D236" s="605"/>
      <c r="E236" s="605"/>
      <c r="F236" s="605"/>
      <c r="G236" s="605"/>
      <c r="H236" s="605"/>
      <c r="I236" s="605"/>
      <c r="J236" s="605"/>
      <c r="K236" s="336"/>
      <c r="L236" s="336"/>
      <c r="M236" s="336"/>
      <c r="N236" s="336"/>
      <c r="O236" s="336"/>
      <c r="P236" s="336"/>
      <c r="Q236" s="336"/>
      <c r="R236" s="336"/>
      <c r="S236" s="336"/>
      <c r="T236" s="336"/>
      <c r="U236" s="336"/>
      <c r="V236" s="336"/>
      <c r="W236" s="336"/>
      <c r="X236" s="336"/>
      <c r="Y236" s="1202"/>
      <c r="Z236" s="1202"/>
      <c r="AA236" s="1202"/>
      <c r="AB236" s="1202"/>
      <c r="AC236" s="336"/>
      <c r="AD236" s="336"/>
      <c r="AE236" s="402"/>
      <c r="AF236" s="402"/>
      <c r="AG236" s="402"/>
      <c r="AH236" s="402"/>
      <c r="AI236" s="402"/>
      <c r="AJ236" s="402"/>
      <c r="AK236" s="402"/>
    </row>
    <row r="237" spans="1:37">
      <c r="A237" s="1198"/>
      <c r="B237" s="286" t="s">
        <v>2270</v>
      </c>
      <c r="C237" s="451"/>
      <c r="D237" s="605"/>
      <c r="E237" s="605"/>
      <c r="F237" s="605"/>
      <c r="G237" s="605"/>
      <c r="H237" s="605"/>
      <c r="I237" s="605"/>
      <c r="J237" s="605"/>
      <c r="K237" s="336"/>
      <c r="L237" s="336"/>
      <c r="M237" s="336"/>
      <c r="N237" s="336"/>
      <c r="O237" s="336"/>
      <c r="P237" s="336"/>
      <c r="Q237" s="336"/>
      <c r="R237" s="336"/>
      <c r="S237" s="336"/>
      <c r="T237" s="336"/>
      <c r="U237" s="336"/>
      <c r="V237" s="336"/>
      <c r="W237" s="336"/>
      <c r="X237" s="336"/>
      <c r="Y237" s="1202"/>
      <c r="Z237" s="1202"/>
      <c r="AA237" s="1202"/>
      <c r="AB237" s="1202"/>
      <c r="AC237" s="336"/>
      <c r="AD237" s="336"/>
      <c r="AE237" s="402"/>
      <c r="AF237" s="402"/>
      <c r="AG237" s="402"/>
      <c r="AH237" s="402"/>
      <c r="AI237" s="402"/>
      <c r="AJ237" s="402"/>
      <c r="AK237" s="402"/>
    </row>
    <row r="238" spans="1:37">
      <c r="A238" s="1198"/>
      <c r="B238" s="286"/>
      <c r="C238" s="451"/>
      <c r="D238" s="605"/>
      <c r="E238" s="605"/>
      <c r="F238" s="605"/>
      <c r="G238" s="605"/>
      <c r="H238" s="605"/>
      <c r="I238" s="605"/>
      <c r="J238" s="605"/>
      <c r="K238" s="336"/>
      <c r="L238" s="336"/>
      <c r="M238" s="336"/>
      <c r="N238" s="336"/>
      <c r="O238" s="336"/>
      <c r="P238" s="336"/>
      <c r="Q238" s="336"/>
      <c r="R238" s="336"/>
      <c r="S238" s="336"/>
      <c r="T238" s="336"/>
      <c r="U238" s="336"/>
      <c r="V238" s="336"/>
      <c r="W238" s="336"/>
      <c r="X238" s="336"/>
      <c r="Y238" s="1202"/>
      <c r="Z238" s="1202"/>
      <c r="AA238" s="1202"/>
      <c r="AB238" s="1202"/>
      <c r="AC238" s="336"/>
      <c r="AD238" s="336"/>
      <c r="AE238" s="402"/>
      <c r="AF238" s="402"/>
      <c r="AG238" s="402"/>
      <c r="AH238" s="402"/>
      <c r="AI238" s="402"/>
      <c r="AJ238" s="402"/>
      <c r="AK238" s="402"/>
    </row>
    <row r="239" spans="1:37">
      <c r="A239" s="1198"/>
      <c r="B239" s="612" t="s">
        <v>2271</v>
      </c>
      <c r="C239" s="451"/>
      <c r="D239" s="605"/>
      <c r="E239" s="605"/>
      <c r="F239" s="605"/>
      <c r="G239" s="605"/>
      <c r="H239" s="605"/>
      <c r="I239" s="605"/>
      <c r="J239" s="605"/>
      <c r="K239" s="336"/>
      <c r="L239" s="336"/>
      <c r="M239" s="336"/>
      <c r="N239" s="336"/>
      <c r="O239" s="336"/>
      <c r="P239" s="336"/>
      <c r="Q239" s="336"/>
      <c r="R239" s="336"/>
      <c r="S239" s="336"/>
      <c r="T239" s="336"/>
      <c r="U239" s="336"/>
      <c r="V239" s="336"/>
      <c r="W239" s="336"/>
      <c r="X239" s="336"/>
      <c r="Y239" s="1202"/>
      <c r="Z239" s="1202"/>
      <c r="AA239" s="1202"/>
      <c r="AB239" s="1202"/>
      <c r="AC239" s="336"/>
      <c r="AD239" s="336"/>
      <c r="AE239" s="402"/>
      <c r="AF239" s="402"/>
      <c r="AG239" s="402"/>
      <c r="AH239" s="402"/>
      <c r="AI239" s="402"/>
      <c r="AJ239" s="402"/>
      <c r="AK239" s="402"/>
    </row>
    <row r="240" spans="1:37">
      <c r="A240" s="1198"/>
      <c r="B240" s="612" t="s">
        <v>2272</v>
      </c>
      <c r="C240" s="451"/>
      <c r="D240" s="605"/>
      <c r="E240" s="605"/>
      <c r="F240" s="605"/>
      <c r="G240" s="605"/>
      <c r="H240" s="605"/>
      <c r="I240" s="605"/>
      <c r="J240" s="605"/>
      <c r="K240" s="336"/>
      <c r="L240" s="336"/>
      <c r="M240" s="336"/>
      <c r="N240" s="336"/>
      <c r="O240" s="336"/>
      <c r="P240" s="336"/>
      <c r="Q240" s="336"/>
      <c r="R240" s="336"/>
      <c r="S240" s="336"/>
      <c r="T240" s="336"/>
      <c r="U240" s="336"/>
      <c r="V240" s="336"/>
      <c r="W240" s="336"/>
      <c r="X240" s="336"/>
      <c r="Y240" s="1202"/>
      <c r="Z240" s="1202"/>
      <c r="AA240" s="1202"/>
      <c r="AB240" s="2381"/>
      <c r="AC240" s="2381"/>
      <c r="AD240" s="2381"/>
      <c r="AE240" s="2381"/>
      <c r="AF240" s="2381"/>
      <c r="AG240" s="2381"/>
      <c r="AH240" s="402"/>
      <c r="AI240" s="402"/>
      <c r="AJ240" s="402"/>
      <c r="AK240" s="402"/>
    </row>
    <row r="241" spans="1:37">
      <c r="A241" s="1198"/>
      <c r="B241" s="613" t="s">
        <v>2273</v>
      </c>
      <c r="C241" s="407"/>
      <c r="D241" s="611"/>
      <c r="E241" s="605"/>
      <c r="F241" s="605"/>
      <c r="G241" s="605"/>
      <c r="H241" s="605"/>
      <c r="I241" s="605"/>
      <c r="J241" s="605"/>
      <c r="K241" s="336"/>
      <c r="L241" s="336"/>
      <c r="M241" s="336"/>
      <c r="N241" s="336"/>
      <c r="O241" s="336"/>
      <c r="P241" s="336"/>
      <c r="Q241" s="336"/>
      <c r="R241" s="336"/>
      <c r="S241" s="336"/>
      <c r="T241" s="336"/>
      <c r="U241" s="336"/>
      <c r="V241" s="336"/>
      <c r="W241" s="336"/>
      <c r="X241" s="336"/>
      <c r="Y241" s="1202"/>
      <c r="Z241" s="1202"/>
      <c r="AA241" s="1202"/>
      <c r="AB241" s="1202"/>
      <c r="AC241" s="336"/>
      <c r="AD241" s="336"/>
      <c r="AE241" s="402"/>
      <c r="AF241" s="402"/>
      <c r="AG241" s="402"/>
      <c r="AH241" s="402"/>
      <c r="AI241" s="402"/>
      <c r="AJ241" s="402"/>
      <c r="AK241" s="402"/>
    </row>
    <row r="242" spans="1:37">
      <c r="A242" s="1198"/>
      <c r="B242" s="614" t="s">
        <v>2274</v>
      </c>
      <c r="C242" s="451"/>
      <c r="D242" s="605"/>
      <c r="E242" s="605"/>
      <c r="F242" s="605"/>
      <c r="G242" s="605"/>
      <c r="H242" s="605"/>
      <c r="I242" s="605"/>
      <c r="J242" s="605"/>
      <c r="K242" s="336"/>
      <c r="L242" s="336"/>
      <c r="M242" s="336"/>
      <c r="N242" s="336"/>
      <c r="O242" s="336"/>
      <c r="P242" s="336"/>
      <c r="Q242" s="336"/>
      <c r="R242" s="336"/>
      <c r="S242" s="336"/>
      <c r="T242" s="336"/>
      <c r="U242" s="336"/>
      <c r="V242" s="336"/>
      <c r="W242" s="336"/>
      <c r="X242" s="336"/>
      <c r="Y242" s="1202"/>
      <c r="Z242" s="1202"/>
      <c r="AA242" s="1202"/>
      <c r="AB242" s="1202"/>
      <c r="AC242" s="336"/>
      <c r="AD242" s="336"/>
      <c r="AE242" s="402"/>
      <c r="AF242" s="402"/>
      <c r="AG242" s="402"/>
      <c r="AH242" s="402"/>
      <c r="AI242" s="402"/>
      <c r="AJ242" s="402"/>
      <c r="AK242" s="402"/>
    </row>
    <row r="243" spans="1:37">
      <c r="A243" s="1198"/>
      <c r="B243" s="614" t="s">
        <v>2275</v>
      </c>
      <c r="C243" s="451"/>
      <c r="D243" s="605"/>
      <c r="E243" s="605"/>
      <c r="F243" s="605"/>
      <c r="G243" s="605"/>
      <c r="H243" s="605"/>
      <c r="I243" s="605"/>
      <c r="J243" s="605"/>
      <c r="K243" s="336"/>
      <c r="L243" s="336"/>
      <c r="M243" s="336"/>
      <c r="N243" s="336"/>
      <c r="O243" s="336"/>
      <c r="P243" s="336"/>
      <c r="Q243" s="336"/>
      <c r="R243" s="336"/>
      <c r="S243" s="336"/>
      <c r="T243" s="336"/>
      <c r="U243" s="336"/>
      <c r="V243" s="336"/>
      <c r="W243" s="336"/>
      <c r="X243" s="336"/>
      <c r="Y243" s="1202"/>
      <c r="Z243" s="1202"/>
      <c r="AA243" s="1202"/>
      <c r="AB243" s="2381"/>
      <c r="AC243" s="2381"/>
      <c r="AD243" s="2381"/>
      <c r="AE243" s="2381"/>
      <c r="AF243" s="2381"/>
      <c r="AG243" s="2381"/>
      <c r="AH243" s="402"/>
      <c r="AI243" s="402"/>
      <c r="AJ243" s="402"/>
      <c r="AK243" s="402"/>
    </row>
    <row r="244" spans="1:37">
      <c r="A244" s="1198"/>
      <c r="B244" s="614" t="s">
        <v>2276</v>
      </c>
      <c r="C244" s="451"/>
      <c r="D244" s="605"/>
      <c r="E244" s="605"/>
      <c r="F244" s="605"/>
      <c r="G244" s="605"/>
      <c r="H244" s="605"/>
      <c r="I244" s="605"/>
      <c r="J244" s="605"/>
      <c r="K244" s="336"/>
      <c r="L244" s="336"/>
      <c r="M244" s="336"/>
      <c r="N244" s="336"/>
      <c r="O244" s="336"/>
      <c r="P244" s="336"/>
      <c r="Q244" s="336"/>
      <c r="R244" s="336"/>
      <c r="S244" s="336"/>
      <c r="T244" s="336"/>
      <c r="U244" s="336"/>
      <c r="V244" s="336"/>
      <c r="W244" s="336"/>
      <c r="X244" s="336"/>
      <c r="Y244" s="1202"/>
      <c r="Z244" s="1202"/>
      <c r="AA244" s="1202"/>
      <c r="AB244" s="2343"/>
      <c r="AC244" s="2343"/>
      <c r="AD244" s="2343"/>
      <c r="AE244" s="2343"/>
      <c r="AF244" s="2343"/>
      <c r="AG244" s="2343"/>
      <c r="AH244" s="402"/>
      <c r="AI244" s="402"/>
      <c r="AJ244" s="402"/>
      <c r="AK244" s="402"/>
    </row>
    <row r="245" spans="1:37">
      <c r="A245" s="1198"/>
      <c r="B245" s="614" t="s">
        <v>2277</v>
      </c>
      <c r="C245" s="451"/>
      <c r="D245" s="605"/>
      <c r="E245" s="605"/>
      <c r="F245" s="605"/>
      <c r="G245" s="605"/>
      <c r="H245" s="605"/>
      <c r="I245" s="605"/>
      <c r="J245" s="605"/>
      <c r="K245" s="336"/>
      <c r="L245" s="336"/>
      <c r="M245" s="336"/>
      <c r="N245" s="336"/>
      <c r="O245" s="336"/>
      <c r="P245" s="336"/>
      <c r="Q245" s="336"/>
      <c r="R245" s="336"/>
      <c r="S245" s="336"/>
      <c r="T245" s="336"/>
      <c r="U245" s="336"/>
      <c r="V245" s="336"/>
      <c r="W245" s="336"/>
      <c r="X245" s="336"/>
      <c r="Y245" s="1202"/>
      <c r="Z245" s="1202"/>
      <c r="AA245" s="1202"/>
      <c r="AB245" s="2351">
        <f>IFERROR(AB243/AB244,0)</f>
        <v>0</v>
      </c>
      <c r="AC245" s="2351"/>
      <c r="AD245" s="2351"/>
      <c r="AE245" s="2351"/>
      <c r="AF245" s="2351"/>
      <c r="AG245" s="2351"/>
      <c r="AH245" s="402"/>
      <c r="AI245" s="402"/>
      <c r="AJ245" s="402"/>
      <c r="AK245" s="402"/>
    </row>
    <row r="246" spans="1:37">
      <c r="A246" s="1198"/>
      <c r="B246" s="286"/>
      <c r="C246" s="451"/>
      <c r="D246" s="605"/>
      <c r="E246" s="605"/>
      <c r="F246" s="605"/>
      <c r="G246" s="605"/>
      <c r="H246" s="605"/>
      <c r="I246" s="605"/>
      <c r="J246" s="605"/>
      <c r="K246" s="336"/>
      <c r="L246" s="336"/>
      <c r="M246" s="336"/>
      <c r="N246" s="336"/>
      <c r="O246" s="336"/>
      <c r="P246" s="336"/>
      <c r="Q246" s="336"/>
      <c r="R246" s="336"/>
      <c r="S246" s="336"/>
      <c r="T246" s="336"/>
      <c r="U246" s="336"/>
      <c r="V246" s="336"/>
      <c r="W246" s="336"/>
      <c r="X246" s="336"/>
      <c r="Y246" s="1202"/>
      <c r="Z246" s="1202"/>
      <c r="AA246" s="1202"/>
      <c r="AB246" s="1202"/>
      <c r="AC246" s="336"/>
      <c r="AD246" s="336"/>
      <c r="AE246" s="402"/>
      <c r="AF246" s="402"/>
      <c r="AG246" s="402"/>
      <c r="AH246" s="402"/>
      <c r="AI246" s="402"/>
      <c r="AJ246" s="402"/>
      <c r="AK246" s="402"/>
    </row>
    <row r="247" spans="1:37">
      <c r="A247" s="1198"/>
      <c r="B247" s="286" t="s">
        <v>2278</v>
      </c>
      <c r="C247" s="451"/>
      <c r="D247" s="605"/>
      <c r="E247" s="605"/>
      <c r="F247" s="605"/>
      <c r="G247" s="605"/>
      <c r="H247" s="605"/>
      <c r="I247" s="605"/>
      <c r="J247" s="605"/>
      <c r="K247" s="336"/>
      <c r="L247" s="336"/>
      <c r="M247" s="336"/>
      <c r="N247" s="336"/>
      <c r="O247" s="336"/>
      <c r="P247" s="336"/>
      <c r="Q247" s="336"/>
      <c r="R247" s="336"/>
      <c r="S247" s="336"/>
      <c r="T247" s="336"/>
      <c r="U247" s="336"/>
      <c r="V247" s="336"/>
      <c r="W247" s="336"/>
      <c r="X247" s="336"/>
      <c r="Y247" s="1202"/>
      <c r="Z247" s="1202"/>
      <c r="AA247" s="1202"/>
      <c r="AB247" s="2350">
        <f>MAX(AB240,AB245)</f>
        <v>0</v>
      </c>
      <c r="AC247" s="2350"/>
      <c r="AD247" s="2350"/>
      <c r="AE247" s="2350"/>
      <c r="AF247" s="2350"/>
      <c r="AG247" s="2350"/>
      <c r="AH247" s="402"/>
      <c r="AI247" s="402"/>
      <c r="AJ247" s="402"/>
      <c r="AK247" s="402"/>
    </row>
    <row r="248" spans="1:37">
      <c r="A248" s="1198"/>
      <c r="B248" s="286"/>
      <c r="C248" s="451"/>
      <c r="D248" s="605"/>
      <c r="E248" s="605"/>
      <c r="F248" s="605"/>
      <c r="G248" s="605"/>
      <c r="H248" s="605"/>
      <c r="I248" s="605"/>
      <c r="J248" s="605"/>
      <c r="K248" s="336"/>
      <c r="L248" s="336"/>
      <c r="M248" s="336"/>
      <c r="N248" s="336"/>
      <c r="O248" s="336"/>
      <c r="P248" s="336"/>
      <c r="Q248" s="336"/>
      <c r="R248" s="336"/>
      <c r="S248" s="336"/>
      <c r="T248" s="336"/>
      <c r="U248" s="336"/>
      <c r="V248" s="336"/>
      <c r="W248" s="336"/>
      <c r="X248" s="336"/>
      <c r="Y248" s="1202"/>
      <c r="Z248" s="1202"/>
      <c r="AA248" s="1202"/>
      <c r="AB248" s="1202"/>
      <c r="AC248" s="336"/>
      <c r="AD248" s="336"/>
      <c r="AE248" s="402"/>
      <c r="AF248" s="402"/>
      <c r="AG248" s="402"/>
      <c r="AH248" s="402"/>
      <c r="AI248" s="402"/>
      <c r="AJ248" s="402"/>
      <c r="AK248" s="402"/>
    </row>
    <row r="249" spans="1:37">
      <c r="A249" s="1198"/>
      <c r="B249" s="286"/>
      <c r="C249" s="451"/>
      <c r="D249" s="605"/>
      <c r="E249" s="605"/>
      <c r="F249" s="605"/>
      <c r="G249" s="605"/>
      <c r="H249" s="605"/>
      <c r="I249" s="605"/>
      <c r="J249" s="605"/>
      <c r="K249" s="336"/>
      <c r="L249" s="336"/>
      <c r="M249" s="336"/>
      <c r="N249" s="336"/>
      <c r="O249" s="336"/>
      <c r="P249" s="336"/>
      <c r="Q249" s="336"/>
      <c r="R249" s="336"/>
      <c r="S249" s="336"/>
      <c r="T249" s="336"/>
      <c r="U249" s="336"/>
      <c r="V249" s="336"/>
      <c r="W249" s="336"/>
      <c r="X249" s="336"/>
      <c r="Y249" s="1202"/>
      <c r="Z249" s="1202"/>
      <c r="AA249" s="1202"/>
      <c r="AB249" s="1202"/>
      <c r="AC249" s="336"/>
      <c r="AD249" s="336"/>
      <c r="AE249" s="402"/>
      <c r="AF249" s="402"/>
      <c r="AG249" s="402"/>
      <c r="AH249" s="402"/>
      <c r="AI249" s="402"/>
      <c r="AJ249" s="402"/>
      <c r="AK249" s="402"/>
    </row>
    <row r="250" spans="1:37">
      <c r="A250" s="1198"/>
      <c r="B250" s="286" t="s">
        <v>2279</v>
      </c>
      <c r="C250" s="451"/>
      <c r="D250" s="605"/>
      <c r="E250" s="605"/>
      <c r="F250" s="605"/>
      <c r="G250" s="605"/>
      <c r="H250" s="605"/>
      <c r="I250" s="605"/>
      <c r="J250" s="605"/>
      <c r="K250" s="336"/>
      <c r="L250" s="336"/>
      <c r="M250" s="336"/>
      <c r="N250" s="336"/>
      <c r="O250" s="336"/>
      <c r="P250" s="336"/>
      <c r="Q250" s="336"/>
      <c r="R250" s="336"/>
      <c r="S250" s="336"/>
      <c r="U250" s="615"/>
      <c r="V250" s="615"/>
      <c r="W250" s="615"/>
      <c r="X250" s="615"/>
      <c r="Y250" s="615"/>
      <c r="Z250" s="1202"/>
      <c r="AA250" s="1202"/>
      <c r="AB250" s="2344">
        <f>AB234+AB247</f>
        <v>0</v>
      </c>
      <c r="AC250" s="2344"/>
      <c r="AD250" s="2344"/>
      <c r="AE250" s="2344"/>
      <c r="AF250" s="2344"/>
      <c r="AG250" s="2344"/>
      <c r="AH250" s="402"/>
      <c r="AI250" s="402"/>
      <c r="AJ250" s="402"/>
      <c r="AK250" s="402"/>
    </row>
    <row r="251" spans="1:37">
      <c r="A251" s="1198"/>
      <c r="B251" s="286" t="s">
        <v>2280</v>
      </c>
      <c r="C251" s="451"/>
      <c r="D251" s="605"/>
      <c r="E251" s="605"/>
      <c r="F251" s="605"/>
      <c r="G251" s="605"/>
      <c r="H251" s="605"/>
      <c r="I251" s="605"/>
      <c r="J251" s="605"/>
      <c r="K251" s="336"/>
      <c r="L251" s="336"/>
      <c r="M251" s="336"/>
      <c r="N251" s="336"/>
      <c r="O251" s="336"/>
      <c r="P251" s="336"/>
      <c r="Q251" s="336"/>
      <c r="R251" s="336"/>
      <c r="S251" s="336"/>
      <c r="U251" s="616"/>
      <c r="V251" s="616"/>
      <c r="W251" s="616"/>
      <c r="X251" s="616"/>
      <c r="Y251" s="616"/>
      <c r="Z251" s="1202"/>
      <c r="AA251" s="1202"/>
      <c r="AB251" s="2515">
        <v>0.05</v>
      </c>
      <c r="AC251" s="2515"/>
      <c r="AD251" s="2515"/>
      <c r="AE251" s="2515"/>
      <c r="AF251" s="2515"/>
      <c r="AG251" s="2515"/>
      <c r="AH251" s="402"/>
      <c r="AI251" s="402"/>
      <c r="AJ251" s="402"/>
      <c r="AK251" s="402"/>
    </row>
    <row r="252" spans="1:37">
      <c r="A252" s="1198"/>
      <c r="B252" s="286" t="s">
        <v>2281</v>
      </c>
      <c r="C252" s="451"/>
      <c r="D252" s="605"/>
      <c r="E252" s="605"/>
      <c r="F252" s="605"/>
      <c r="G252" s="605"/>
      <c r="H252" s="605"/>
      <c r="I252" s="605"/>
      <c r="J252" s="605"/>
      <c r="K252" s="336"/>
      <c r="L252" s="336"/>
      <c r="M252" s="336"/>
      <c r="N252" s="336"/>
      <c r="O252" s="336"/>
      <c r="P252" s="336"/>
      <c r="Q252" s="336"/>
      <c r="R252" s="336"/>
      <c r="S252" s="336"/>
      <c r="U252" s="615"/>
      <c r="V252" s="615"/>
      <c r="W252" s="615"/>
      <c r="X252" s="615"/>
      <c r="Y252" s="615"/>
      <c r="Z252" s="1202"/>
      <c r="AA252" s="1202"/>
      <c r="AB252" s="2516">
        <f>AB250-(AB250*AB251)</f>
        <v>0</v>
      </c>
      <c r="AC252" s="2516"/>
      <c r="AD252" s="2516"/>
      <c r="AE252" s="2516"/>
      <c r="AF252" s="2516"/>
      <c r="AG252" s="2516"/>
      <c r="AH252" s="402"/>
      <c r="AI252" s="402"/>
      <c r="AJ252" s="402"/>
      <c r="AK252" s="402"/>
    </row>
    <row r="253" spans="1:37">
      <c r="A253" s="1198"/>
      <c r="B253" s="286" t="s">
        <v>2282</v>
      </c>
      <c r="C253" s="451"/>
      <c r="D253" s="605"/>
      <c r="E253" s="605"/>
      <c r="F253" s="605"/>
      <c r="G253" s="605"/>
      <c r="H253" s="605"/>
      <c r="I253" s="605"/>
      <c r="J253" s="605"/>
      <c r="K253" s="336"/>
      <c r="L253" s="336"/>
      <c r="M253" s="336"/>
      <c r="N253" s="336"/>
      <c r="O253" s="336"/>
      <c r="P253" s="336"/>
      <c r="Q253" s="336"/>
      <c r="R253" s="336"/>
      <c r="S253" s="336"/>
      <c r="U253" s="336"/>
      <c r="V253" s="336"/>
      <c r="W253" s="336"/>
      <c r="X253" s="336"/>
      <c r="Y253" s="1201"/>
      <c r="Z253" s="1202"/>
      <c r="AA253" s="1202"/>
      <c r="AB253" s="336"/>
      <c r="AC253" s="336"/>
      <c r="AD253" s="336"/>
      <c r="AE253" s="402"/>
      <c r="AF253" s="402"/>
      <c r="AG253" s="402"/>
      <c r="AH253" s="402"/>
      <c r="AI253" s="402"/>
      <c r="AJ253" s="402"/>
      <c r="AK253" s="402"/>
    </row>
    <row r="254" spans="1:37">
      <c r="A254" s="1198"/>
      <c r="B254" s="286" t="s">
        <v>2283</v>
      </c>
      <c r="C254" s="451"/>
      <c r="D254" s="605"/>
      <c r="E254" s="605"/>
      <c r="F254" s="605"/>
      <c r="G254" s="605"/>
      <c r="H254" s="605"/>
      <c r="I254" s="605"/>
      <c r="J254" s="605"/>
      <c r="K254" s="336"/>
      <c r="L254" s="336"/>
      <c r="M254" s="336"/>
      <c r="N254" s="336"/>
      <c r="O254" s="336"/>
      <c r="P254" s="336"/>
      <c r="Q254" s="336"/>
      <c r="R254" s="336"/>
      <c r="S254" s="336"/>
      <c r="U254" s="615"/>
      <c r="V254" s="615"/>
      <c r="W254" s="615"/>
      <c r="X254" s="615"/>
      <c r="Y254" s="615"/>
      <c r="Z254" s="1202"/>
      <c r="AA254" s="1202"/>
      <c r="AB254" s="2344">
        <f>AB252/AB258</f>
        <v>0</v>
      </c>
      <c r="AC254" s="2344"/>
      <c r="AD254" s="2344"/>
      <c r="AE254" s="2344"/>
      <c r="AF254" s="2344"/>
      <c r="AG254" s="2344"/>
      <c r="AH254" s="402"/>
      <c r="AI254" s="402"/>
      <c r="AJ254" s="402"/>
      <c r="AK254" s="402"/>
    </row>
    <row r="255" spans="1:37">
      <c r="A255" s="1198"/>
      <c r="B255" s="286"/>
      <c r="C255" s="451"/>
      <c r="D255" s="605"/>
      <c r="E255" s="605"/>
      <c r="F255" s="605"/>
      <c r="G255" s="605"/>
      <c r="H255" s="605"/>
      <c r="I255" s="605"/>
      <c r="J255" s="605"/>
      <c r="K255" s="336"/>
      <c r="L255" s="336"/>
      <c r="M255" s="336"/>
      <c r="N255" s="336"/>
      <c r="O255" s="336"/>
      <c r="P255" s="336"/>
      <c r="Q255" s="336"/>
      <c r="R255" s="336"/>
      <c r="S255" s="336"/>
      <c r="U255" s="336"/>
      <c r="V255" s="336"/>
      <c r="W255" s="336"/>
      <c r="X255" s="336"/>
      <c r="Y255" s="286"/>
      <c r="Z255" s="1202"/>
      <c r="AA255" s="1202"/>
      <c r="AB255" s="336"/>
      <c r="AC255" s="336"/>
      <c r="AD255" s="336"/>
      <c r="AE255" s="402"/>
      <c r="AF255" s="402"/>
      <c r="AG255" s="402"/>
      <c r="AH255" s="402"/>
      <c r="AI255" s="402"/>
      <c r="AJ255" s="402"/>
      <c r="AK255" s="402"/>
    </row>
    <row r="256" spans="1:37">
      <c r="A256" s="1198"/>
      <c r="B256" s="286" t="s">
        <v>2284</v>
      </c>
      <c r="C256" s="451"/>
      <c r="D256" s="605"/>
      <c r="E256" s="605"/>
      <c r="F256" s="605"/>
      <c r="G256" s="605"/>
      <c r="H256" s="605"/>
      <c r="I256" s="605"/>
      <c r="J256" s="605"/>
      <c r="K256" s="336"/>
      <c r="L256" s="336"/>
      <c r="M256" s="336"/>
      <c r="N256" s="336"/>
      <c r="O256" s="336"/>
      <c r="P256" s="336"/>
      <c r="Q256" s="336"/>
      <c r="R256" s="336"/>
      <c r="S256" s="336"/>
      <c r="U256" s="286"/>
      <c r="V256" s="286"/>
      <c r="W256" s="286"/>
      <c r="X256" s="286"/>
      <c r="Y256" s="286"/>
      <c r="Z256" s="1202"/>
      <c r="AA256" s="1202"/>
      <c r="AB256" s="2527">
        <v>15</v>
      </c>
      <c r="AC256" s="2527"/>
      <c r="AD256" s="2527"/>
      <c r="AE256" s="2527"/>
      <c r="AF256" s="2527"/>
      <c r="AG256" s="2527"/>
      <c r="AH256" s="402"/>
      <c r="AI256" s="402"/>
      <c r="AJ256" s="402"/>
      <c r="AK256" s="402"/>
    </row>
    <row r="257" spans="1:37">
      <c r="A257" s="1198"/>
      <c r="B257" s="286" t="s">
        <v>2285</v>
      </c>
      <c r="C257" s="451"/>
      <c r="D257" s="605"/>
      <c r="E257" s="605"/>
      <c r="F257" s="605"/>
      <c r="G257" s="605"/>
      <c r="H257" s="605"/>
      <c r="I257" s="605"/>
      <c r="J257" s="605"/>
      <c r="K257" s="336"/>
      <c r="L257" s="336"/>
      <c r="M257" s="336"/>
      <c r="N257" s="336"/>
      <c r="O257" s="336"/>
      <c r="P257" s="336"/>
      <c r="Q257" s="336"/>
      <c r="R257" s="336"/>
      <c r="S257" s="336"/>
      <c r="U257" s="616"/>
      <c r="V257" s="616"/>
      <c r="W257" s="616"/>
      <c r="X257" s="616"/>
      <c r="Y257" s="616"/>
      <c r="Z257" s="1202"/>
      <c r="AA257" s="1202"/>
      <c r="AB257" s="2518">
        <v>0.04</v>
      </c>
      <c r="AC257" s="2518"/>
      <c r="AD257" s="2518"/>
      <c r="AE257" s="2518"/>
      <c r="AF257" s="2518"/>
      <c r="AG257" s="2518"/>
      <c r="AH257" s="402"/>
      <c r="AI257" s="402"/>
      <c r="AJ257" s="402"/>
      <c r="AK257" s="402"/>
    </row>
    <row r="258" spans="1:37">
      <c r="A258" s="1198"/>
      <c r="B258" s="286" t="s">
        <v>2286</v>
      </c>
      <c r="C258" s="451"/>
      <c r="D258" s="605"/>
      <c r="E258" s="605"/>
      <c r="F258" s="605"/>
      <c r="G258" s="605"/>
      <c r="H258" s="605"/>
      <c r="I258" s="605"/>
      <c r="J258" s="605"/>
      <c r="K258" s="336"/>
      <c r="L258" s="336"/>
      <c r="M258" s="336"/>
      <c r="N258" s="336"/>
      <c r="O258" s="336"/>
      <c r="P258" s="336"/>
      <c r="Q258" s="336"/>
      <c r="R258" s="336"/>
      <c r="S258" s="336"/>
      <c r="U258" s="617"/>
      <c r="V258" s="617"/>
      <c r="W258" s="617"/>
      <c r="X258" s="617"/>
      <c r="Y258" s="617"/>
      <c r="Z258" s="1202"/>
      <c r="AA258" s="1202"/>
      <c r="AB258" s="2519">
        <v>1.1499999999999999</v>
      </c>
      <c r="AC258" s="2519"/>
      <c r="AD258" s="2519"/>
      <c r="AE258" s="2519"/>
      <c r="AF258" s="2519"/>
      <c r="AG258" s="2519"/>
      <c r="AH258" s="402"/>
      <c r="AI258" s="402"/>
      <c r="AJ258" s="402"/>
      <c r="AK258" s="402"/>
    </row>
    <row r="259" spans="1:37">
      <c r="A259" s="1198"/>
      <c r="B259" s="286"/>
      <c r="C259" s="451"/>
      <c r="D259" s="605"/>
      <c r="E259" s="605"/>
      <c r="F259" s="605"/>
      <c r="G259" s="605"/>
      <c r="H259" s="605"/>
      <c r="I259" s="605"/>
      <c r="J259" s="605"/>
      <c r="K259" s="336"/>
      <c r="L259" s="336"/>
      <c r="M259" s="336"/>
      <c r="N259" s="336"/>
      <c r="O259" s="336"/>
      <c r="P259" s="336"/>
      <c r="Q259" s="336"/>
      <c r="R259" s="336"/>
      <c r="S259" s="336"/>
      <c r="U259" s="336"/>
      <c r="V259" s="336"/>
      <c r="W259" s="336"/>
      <c r="X259" s="336"/>
      <c r="Y259" s="296"/>
      <c r="Z259" s="1202"/>
      <c r="AA259" s="1202"/>
      <c r="AB259" s="336"/>
      <c r="AC259" s="336"/>
      <c r="AD259" s="336"/>
      <c r="AE259" s="402"/>
      <c r="AF259" s="402"/>
      <c r="AG259" s="402"/>
      <c r="AH259" s="402"/>
      <c r="AI259" s="402"/>
      <c r="AJ259" s="402"/>
      <c r="AK259" s="402"/>
    </row>
    <row r="260" spans="1:37">
      <c r="A260" s="1198"/>
      <c r="B260" s="619" t="s">
        <v>2287</v>
      </c>
      <c r="C260" s="451"/>
      <c r="D260" s="605"/>
      <c r="E260" s="605"/>
      <c r="F260" s="605"/>
      <c r="G260" s="605"/>
      <c r="H260" s="605"/>
      <c r="I260" s="605"/>
      <c r="J260" s="605"/>
      <c r="K260" s="336"/>
      <c r="L260" s="336"/>
      <c r="M260" s="336"/>
      <c r="N260" s="336"/>
      <c r="O260" s="336"/>
      <c r="P260" s="336"/>
      <c r="Q260" s="336"/>
      <c r="R260" s="336"/>
      <c r="S260" s="336"/>
      <c r="U260" s="618"/>
      <c r="V260" s="618"/>
      <c r="W260" s="618"/>
      <c r="X260" s="618"/>
      <c r="Y260" s="618"/>
      <c r="Z260" s="1202"/>
      <c r="AA260" s="1202"/>
      <c r="AB260" s="2508">
        <f>PV(AB257/12,AB256*12,-AB254/12, ,0)</f>
        <v>0</v>
      </c>
      <c r="AC260" s="2509"/>
      <c r="AD260" s="2509"/>
      <c r="AE260" s="2509"/>
      <c r="AF260" s="2509"/>
      <c r="AG260" s="2510"/>
      <c r="AH260" s="402"/>
      <c r="AI260" s="402"/>
      <c r="AJ260" s="402"/>
      <c r="AK260" s="402"/>
    </row>
    <row r="261" spans="1:37">
      <c r="A261" s="1198"/>
      <c r="B261" s="619"/>
      <c r="C261" s="451"/>
      <c r="D261" s="605"/>
      <c r="E261" s="605"/>
      <c r="F261" s="605"/>
      <c r="G261" s="605"/>
      <c r="H261" s="605"/>
      <c r="I261" s="605"/>
      <c r="J261" s="605"/>
      <c r="K261" s="336"/>
      <c r="L261" s="336"/>
      <c r="M261" s="336"/>
      <c r="N261" s="336"/>
      <c r="O261" s="336"/>
      <c r="P261" s="336"/>
      <c r="Q261" s="336"/>
      <c r="R261" s="336"/>
      <c r="S261" s="336"/>
      <c r="U261" s="618"/>
      <c r="V261" s="618"/>
      <c r="W261" s="618"/>
      <c r="X261" s="618"/>
      <c r="Y261" s="618"/>
      <c r="Z261" s="1202"/>
      <c r="AA261" s="1202"/>
      <c r="AB261" s="629"/>
      <c r="AC261" s="629"/>
      <c r="AD261" s="629"/>
      <c r="AE261" s="629"/>
      <c r="AF261" s="629"/>
      <c r="AG261" s="629"/>
      <c r="AH261" s="402"/>
      <c r="AI261" s="402"/>
      <c r="AJ261" s="402"/>
      <c r="AK261" s="402"/>
    </row>
    <row r="262" spans="1:37">
      <c r="A262" s="1198"/>
      <c r="B262" s="619"/>
      <c r="C262" s="451"/>
      <c r="D262" s="605"/>
      <c r="E262" s="605"/>
      <c r="F262" s="605"/>
      <c r="G262" s="605"/>
      <c r="H262" s="605"/>
      <c r="I262" s="605"/>
      <c r="J262" s="605"/>
      <c r="K262" s="336"/>
      <c r="L262" s="336"/>
      <c r="M262" s="336"/>
      <c r="N262" s="336"/>
      <c r="O262" s="336"/>
      <c r="P262" s="336"/>
      <c r="Q262" s="336"/>
      <c r="R262" s="336"/>
      <c r="S262" s="336"/>
      <c r="U262" s="618"/>
      <c r="V262" s="618"/>
      <c r="W262" s="618"/>
      <c r="X262" s="618"/>
      <c r="Y262" s="618"/>
      <c r="Z262" s="1202"/>
      <c r="AA262" s="1202"/>
      <c r="AB262" s="629"/>
      <c r="AC262" s="629"/>
      <c r="AD262" s="629"/>
      <c r="AE262" s="629"/>
      <c r="AF262" s="629"/>
      <c r="AG262" s="629"/>
      <c r="AH262" s="402"/>
      <c r="AI262" s="402"/>
      <c r="AJ262" s="402"/>
      <c r="AK262" s="402"/>
    </row>
    <row r="263" spans="1:37">
      <c r="A263" s="1198"/>
      <c r="B263" s="622" t="s">
        <v>2288</v>
      </c>
      <c r="C263" s="622"/>
      <c r="D263" s="605"/>
      <c r="E263" s="605"/>
      <c r="F263" s="605"/>
      <c r="G263" s="605"/>
      <c r="H263" s="605"/>
      <c r="I263" s="605"/>
      <c r="J263" s="605"/>
      <c r="K263" s="336"/>
      <c r="L263" s="336"/>
      <c r="M263" s="336"/>
      <c r="N263" s="336"/>
      <c r="O263" s="336"/>
      <c r="P263" s="336"/>
      <c r="Q263" s="336"/>
      <c r="R263" s="336"/>
      <c r="S263" s="336"/>
      <c r="T263" s="336"/>
      <c r="U263" s="336"/>
      <c r="V263" s="336"/>
      <c r="W263" s="336"/>
      <c r="X263" s="336"/>
      <c r="Y263" s="1202"/>
      <c r="Z263" s="1202"/>
      <c r="AA263" s="1202"/>
      <c r="AB263" s="1202"/>
      <c r="AC263" s="336"/>
      <c r="AD263" s="336"/>
      <c r="AE263" s="402"/>
      <c r="AF263" s="402"/>
      <c r="AG263" s="402"/>
      <c r="AH263" s="402"/>
      <c r="AI263" s="402"/>
      <c r="AJ263" s="402"/>
      <c r="AK263" s="402"/>
    </row>
    <row r="264" spans="1:37">
      <c r="A264" s="1198"/>
      <c r="B264" s="1198" t="s">
        <v>2289</v>
      </c>
      <c r="C264" s="451"/>
      <c r="D264" s="605"/>
      <c r="E264" s="605"/>
      <c r="F264" s="605"/>
      <c r="G264" s="605"/>
      <c r="H264" s="605"/>
      <c r="I264" s="605"/>
      <c r="J264" s="605"/>
      <c r="K264" s="336"/>
      <c r="L264" s="336"/>
      <c r="M264" s="336"/>
      <c r="N264" s="336"/>
      <c r="O264" s="336"/>
      <c r="P264" s="336"/>
      <c r="Q264" s="336"/>
      <c r="R264" s="336"/>
      <c r="S264" s="336"/>
      <c r="T264" s="336"/>
      <c r="U264" s="336"/>
      <c r="V264" s="336"/>
      <c r="W264" s="336"/>
      <c r="X264" s="336"/>
      <c r="Y264" s="1202"/>
      <c r="Z264" s="1202"/>
      <c r="AA264" s="1202"/>
      <c r="AB264" s="1202"/>
      <c r="AC264" s="336"/>
      <c r="AD264" s="336"/>
      <c r="AE264" s="402"/>
      <c r="AF264" s="402"/>
      <c r="AG264" s="402"/>
      <c r="AH264" s="402"/>
      <c r="AI264" s="402"/>
      <c r="AJ264" s="402"/>
      <c r="AK264" s="402"/>
    </row>
    <row r="265" spans="1:37">
      <c r="A265" s="1198"/>
      <c r="B265" s="1198" t="s">
        <v>2290</v>
      </c>
      <c r="C265" s="451"/>
      <c r="D265" s="605"/>
      <c r="E265" s="605"/>
      <c r="F265" s="605"/>
      <c r="G265" s="605"/>
      <c r="H265" s="605"/>
      <c r="I265" s="605"/>
      <c r="J265" s="605"/>
      <c r="K265" s="336"/>
      <c r="L265" s="336"/>
      <c r="M265" s="336"/>
      <c r="N265" s="336"/>
      <c r="O265" s="336"/>
      <c r="P265" s="336"/>
      <c r="Q265" s="336"/>
      <c r="R265" s="336"/>
      <c r="S265" s="336"/>
      <c r="T265" s="336"/>
      <c r="U265" s="336"/>
      <c r="V265" s="336"/>
      <c r="W265" s="336"/>
      <c r="X265" s="336"/>
      <c r="Y265" s="1202"/>
      <c r="Z265" s="1202"/>
      <c r="AA265" s="1202"/>
      <c r="AB265" s="1202"/>
      <c r="AC265" s="336"/>
      <c r="AD265" s="336"/>
      <c r="AE265" s="402"/>
      <c r="AF265" s="402"/>
      <c r="AG265" s="402"/>
      <c r="AH265" s="402"/>
      <c r="AI265" s="402"/>
      <c r="AJ265" s="402"/>
      <c r="AK265" s="402"/>
    </row>
    <row r="266" spans="1:37">
      <c r="A266" s="1198"/>
      <c r="B266" s="1198" t="s">
        <v>2291</v>
      </c>
      <c r="C266" s="451"/>
      <c r="D266" s="605"/>
      <c r="E266" s="605"/>
      <c r="F266" s="605"/>
      <c r="G266" s="605"/>
      <c r="H266" s="605"/>
      <c r="I266" s="605"/>
      <c r="J266" s="605"/>
      <c r="K266" s="336"/>
      <c r="L266" s="336"/>
      <c r="M266" s="336"/>
      <c r="N266" s="336"/>
      <c r="O266" s="336"/>
      <c r="P266" s="336"/>
      <c r="Q266" s="336"/>
      <c r="R266" s="336"/>
      <c r="S266" s="336"/>
      <c r="T266" s="336"/>
      <c r="U266" s="336"/>
      <c r="V266" s="336"/>
      <c r="W266" s="336"/>
      <c r="X266" s="336"/>
      <c r="Y266" s="1202"/>
      <c r="Z266" s="1202"/>
      <c r="AA266" s="1202"/>
      <c r="AB266" s="2512">
        <f>IFERROR(('Sources and Uses Budget'!D105/'Sources and Uses Budget'!B105),0)</f>
        <v>0</v>
      </c>
      <c r="AC266" s="2513"/>
      <c r="AD266" s="2513"/>
      <c r="AE266" s="2513"/>
      <c r="AF266" s="2513"/>
      <c r="AG266" s="2514"/>
      <c r="AH266" s="630"/>
      <c r="AI266" s="630"/>
      <c r="AJ266" s="630"/>
      <c r="AK266" s="402"/>
    </row>
    <row r="267" spans="1:37">
      <c r="A267" s="1198"/>
      <c r="B267" s="286"/>
      <c r="C267" s="451"/>
      <c r="D267" s="605"/>
      <c r="E267" s="605"/>
      <c r="F267" s="605"/>
      <c r="G267" s="605"/>
      <c r="H267" s="605"/>
      <c r="I267" s="605"/>
      <c r="J267" s="605"/>
      <c r="K267" s="336"/>
      <c r="L267" s="336"/>
      <c r="M267" s="336"/>
      <c r="N267" s="336"/>
      <c r="O267" s="336"/>
      <c r="P267" s="336"/>
      <c r="Q267" s="336"/>
      <c r="R267" s="336"/>
      <c r="S267" s="336"/>
      <c r="T267" s="336"/>
      <c r="U267" s="336"/>
      <c r="V267" s="336"/>
      <c r="W267" s="336"/>
      <c r="X267" s="336"/>
      <c r="Y267" s="1202"/>
      <c r="Z267" s="1202"/>
      <c r="AA267" s="1202"/>
      <c r="AB267" s="1202"/>
      <c r="AC267" s="336"/>
      <c r="AD267" s="336"/>
      <c r="AE267" s="402"/>
      <c r="AF267" s="402"/>
      <c r="AG267" s="402"/>
      <c r="AH267" s="402"/>
      <c r="AI267" s="402"/>
      <c r="AJ267" s="402"/>
      <c r="AK267" s="402"/>
    </row>
    <row r="268" spans="1:37">
      <c r="A268" s="413"/>
      <c r="B268" s="1140" t="s">
        <v>2292</v>
      </c>
      <c r="C268" s="414"/>
      <c r="D268" s="414"/>
      <c r="E268" s="414"/>
      <c r="F268" s="414"/>
      <c r="H268" s="415"/>
      <c r="I268" s="415"/>
      <c r="J268" s="415"/>
      <c r="K268" s="415"/>
      <c r="L268" s="415"/>
      <c r="M268" s="415"/>
      <c r="N268" s="415"/>
      <c r="O268" s="415"/>
      <c r="P268" s="415"/>
      <c r="Q268" s="415"/>
      <c r="R268" s="415"/>
      <c r="Y268" s="415"/>
      <c r="Z268" s="415"/>
      <c r="AA268" s="415"/>
      <c r="AB268" s="413"/>
      <c r="AC268" s="413"/>
      <c r="AD268" s="413"/>
      <c r="AE268" s="413"/>
      <c r="AG268" s="2358">
        <f>AD211*(1-AB266)</f>
        <v>8000000</v>
      </c>
      <c r="AH268" s="2358"/>
      <c r="AI268" s="2358"/>
      <c r="AJ268" s="2358"/>
      <c r="AK268" s="2358"/>
    </row>
    <row r="269" spans="1:37">
      <c r="A269" s="413"/>
      <c r="B269" s="416" t="s">
        <v>2293</v>
      </c>
      <c r="C269" s="417"/>
      <c r="D269" s="415"/>
      <c r="E269" s="415"/>
      <c r="F269" s="417"/>
      <c r="G269" s="417"/>
      <c r="H269" s="417"/>
      <c r="I269" s="417"/>
      <c r="J269" s="417"/>
      <c r="K269" s="417"/>
      <c r="L269" s="417"/>
      <c r="M269" s="415"/>
      <c r="N269" s="417"/>
      <c r="O269" s="417"/>
      <c r="P269" s="417"/>
      <c r="Q269" s="417"/>
      <c r="R269" s="417"/>
      <c r="Y269" s="415"/>
      <c r="Z269" s="415"/>
      <c r="AA269" s="415"/>
      <c r="AB269" s="413"/>
      <c r="AC269" s="413"/>
      <c r="AD269" s="413"/>
      <c r="AE269" s="413"/>
      <c r="AG269" s="2358">
        <f>'Sources and Uses Budget'!C105</f>
        <v>88469408</v>
      </c>
      <c r="AH269" s="2358"/>
      <c r="AI269" s="2358"/>
      <c r="AJ269" s="2358"/>
      <c r="AK269" s="2358"/>
    </row>
    <row r="270" spans="1:37">
      <c r="A270" s="413"/>
      <c r="B270" s="415" t="s">
        <v>1649</v>
      </c>
      <c r="C270" s="415"/>
      <c r="D270" s="415"/>
      <c r="E270" s="415"/>
      <c r="F270" s="415"/>
      <c r="G270" s="415"/>
      <c r="H270" s="415"/>
      <c r="I270" s="415"/>
      <c r="J270" s="415"/>
      <c r="K270" s="415"/>
      <c r="L270" s="415"/>
      <c r="M270" s="415"/>
      <c r="N270" s="415"/>
      <c r="O270" s="415"/>
      <c r="P270" s="415"/>
      <c r="Q270" s="415"/>
      <c r="R270" s="415"/>
      <c r="Y270" s="415"/>
      <c r="Z270" s="415"/>
      <c r="AA270" s="415"/>
      <c r="AB270" s="413"/>
      <c r="AC270" s="413"/>
      <c r="AD270" s="413"/>
      <c r="AE270" s="413"/>
      <c r="AG270" s="2504">
        <f>ROUNDDOWN(IF(AND(C292="Yes",AK84=10),((AG268*2)/AG269),AG268/AG269),2)</f>
        <v>0.18</v>
      </c>
      <c r="AH270" s="2504"/>
      <c r="AI270" s="2504"/>
      <c r="AJ270" s="2504"/>
      <c r="AK270" s="2504"/>
    </row>
    <row r="271" spans="1:37">
      <c r="A271" s="413"/>
      <c r="B271" s="726" t="s">
        <v>2294</v>
      </c>
      <c r="C271" s="415"/>
      <c r="D271" s="415"/>
      <c r="E271" s="415"/>
      <c r="F271" s="415"/>
      <c r="G271" s="415"/>
      <c r="H271" s="415"/>
      <c r="I271" s="415"/>
      <c r="J271" s="415"/>
      <c r="K271" s="415"/>
      <c r="L271" s="415"/>
      <c r="M271" s="415"/>
      <c r="N271" s="415"/>
      <c r="O271" s="415"/>
      <c r="P271" s="415"/>
      <c r="Q271" s="415"/>
      <c r="R271" s="415"/>
      <c r="Y271" s="415"/>
      <c r="Z271" s="415"/>
      <c r="AA271" s="415"/>
      <c r="AB271" s="413"/>
      <c r="AC271" s="413"/>
      <c r="AD271" s="413"/>
      <c r="AE271" s="413"/>
      <c r="AG271" s="725"/>
      <c r="AH271" s="725"/>
      <c r="AI271" s="725"/>
      <c r="AJ271" s="725"/>
      <c r="AK271" s="725"/>
    </row>
    <row r="272" spans="1:37">
      <c r="A272" s="418"/>
      <c r="B272" s="418"/>
      <c r="C272" s="418"/>
      <c r="D272" s="418"/>
      <c r="E272" s="418"/>
      <c r="F272" s="418"/>
      <c r="G272" s="418"/>
      <c r="H272" s="418"/>
      <c r="I272" s="418"/>
      <c r="J272" s="418"/>
      <c r="K272" s="418"/>
      <c r="L272" s="418"/>
      <c r="M272" s="418"/>
      <c r="N272" s="418"/>
      <c r="O272" s="418"/>
      <c r="P272" s="418"/>
      <c r="Q272" s="418"/>
      <c r="R272" s="418"/>
      <c r="S272" s="418"/>
      <c r="T272" s="418"/>
      <c r="U272" s="418"/>
      <c r="V272" s="418"/>
      <c r="W272" s="418"/>
      <c r="X272" s="418"/>
      <c r="Y272" s="418"/>
      <c r="Z272" s="418"/>
      <c r="AA272" s="418"/>
      <c r="AB272" s="418"/>
      <c r="AC272" s="418"/>
      <c r="AD272" s="418"/>
      <c r="AE272" s="418"/>
      <c r="AF272" s="418"/>
      <c r="AG272" s="418"/>
      <c r="AH272" s="418"/>
      <c r="AI272" s="418"/>
      <c r="AJ272" s="418"/>
    </row>
    <row r="273" spans="1:52">
      <c r="A273" s="419"/>
      <c r="B273" s="419"/>
      <c r="C273" s="419"/>
      <c r="D273" s="419"/>
      <c r="E273" s="419"/>
      <c r="F273" s="419"/>
      <c r="G273" s="419"/>
      <c r="H273" s="419"/>
      <c r="I273" s="419"/>
      <c r="J273" s="419"/>
      <c r="K273" s="419"/>
      <c r="L273" s="419"/>
      <c r="M273" s="419"/>
      <c r="N273" s="419"/>
      <c r="O273" s="419"/>
      <c r="P273" s="419"/>
      <c r="Q273" s="419"/>
      <c r="R273" s="419"/>
      <c r="S273" s="419"/>
      <c r="T273" s="419"/>
      <c r="U273" s="419"/>
      <c r="V273" s="419"/>
      <c r="W273" s="419"/>
      <c r="X273" s="419"/>
      <c r="Y273" s="419"/>
      <c r="Z273" s="419"/>
      <c r="AA273" s="419"/>
      <c r="AB273" s="419"/>
      <c r="AC273" s="419"/>
      <c r="AD273" s="419"/>
      <c r="AE273" s="419"/>
      <c r="AF273" s="419"/>
      <c r="AG273" s="419"/>
      <c r="AH273" s="420"/>
      <c r="AI273" s="362"/>
      <c r="AJ273" s="362" t="s">
        <v>2295</v>
      </c>
      <c r="AK273" s="2493">
        <f>IFERROR(IF(AG270=0,0,IF((AG270*100)&gt;8,8,(AG270*100))),0)</f>
        <v>8</v>
      </c>
      <c r="AL273" s="2493"/>
      <c r="AM273" s="2494"/>
    </row>
    <row r="274" spans="1:52" ht="13.8" thickBot="1"/>
    <row r="275" spans="1:52" s="349" customFormat="1" ht="12.75" customHeight="1" thickTop="1">
      <c r="A275" s="404"/>
      <c r="B275" s="421"/>
      <c r="C275" s="421"/>
      <c r="D275" s="421"/>
      <c r="E275" s="421"/>
      <c r="F275" s="421"/>
      <c r="G275" s="421"/>
      <c r="H275" s="421"/>
      <c r="I275" s="421"/>
      <c r="J275" s="421"/>
      <c r="K275" s="421"/>
      <c r="L275" s="421"/>
      <c r="M275" s="421"/>
      <c r="N275" s="421"/>
      <c r="O275" s="421"/>
      <c r="P275" s="421"/>
      <c r="Q275" s="421"/>
      <c r="R275" s="421"/>
      <c r="S275" s="421"/>
      <c r="T275" s="421"/>
      <c r="U275" s="421"/>
      <c r="V275" s="421"/>
      <c r="W275" s="421"/>
      <c r="X275" s="421"/>
      <c r="Y275" s="421"/>
      <c r="Z275" s="421"/>
      <c r="AA275" s="421"/>
      <c r="AB275" s="421"/>
      <c r="AC275" s="422"/>
      <c r="AD275" s="421"/>
      <c r="AE275" s="421"/>
      <c r="AF275" s="421"/>
      <c r="AG275" s="421"/>
      <c r="AH275" s="404"/>
      <c r="AI275" s="423"/>
      <c r="AJ275" s="423"/>
      <c r="AK275" s="424"/>
      <c r="AL275" s="424"/>
      <c r="AM275" s="425"/>
      <c r="AN275" s="390"/>
      <c r="AP275" s="336"/>
      <c r="AQ275" s="336"/>
      <c r="AR275" s="336"/>
      <c r="AS275" s="336"/>
      <c r="AT275" s="336"/>
      <c r="AU275" s="336"/>
      <c r="AV275" s="336"/>
      <c r="AW275" s="336"/>
      <c r="AX275" s="336"/>
      <c r="AY275" s="336"/>
      <c r="AZ275" s="336"/>
    </row>
    <row r="276" spans="1:52">
      <c r="A276" s="338" t="s">
        <v>2296</v>
      </c>
      <c r="B276" s="338" t="s">
        <v>2297</v>
      </c>
      <c r="C276" s="339"/>
      <c r="D276" s="349"/>
      <c r="E276" s="349"/>
      <c r="F276" s="349"/>
      <c r="G276" s="349"/>
      <c r="H276" s="349"/>
      <c r="I276" s="349"/>
      <c r="J276" s="349"/>
      <c r="K276" s="349"/>
      <c r="L276" s="349"/>
      <c r="M276" s="349"/>
      <c r="N276" s="349"/>
      <c r="O276" s="349"/>
      <c r="P276" s="349"/>
      <c r="Q276" s="349"/>
      <c r="R276" s="349"/>
      <c r="S276" s="349"/>
      <c r="T276" s="349"/>
      <c r="U276" s="349"/>
      <c r="V276" s="349"/>
      <c r="W276" s="349"/>
      <c r="X276" s="349"/>
      <c r="Y276" s="349"/>
      <c r="Z276" s="349"/>
      <c r="AA276" s="349"/>
      <c r="AB276" s="349"/>
      <c r="AC276" s="349"/>
      <c r="AD276" s="349"/>
      <c r="AE276" s="349"/>
      <c r="AF276" s="349"/>
      <c r="AG276" s="349"/>
      <c r="AH276" s="1206" t="s">
        <v>2162</v>
      </c>
      <c r="AI276" s="349"/>
      <c r="AJ276" s="349"/>
      <c r="AK276" s="349"/>
      <c r="AL276" s="349"/>
      <c r="AM276" s="349"/>
      <c r="AO276" s="349"/>
    </row>
    <row r="277" spans="1:52" ht="14.25" customHeight="1">
      <c r="A277" s="1206"/>
      <c r="AI277" s="350"/>
      <c r="AJ277" s="349"/>
      <c r="AK277" s="349"/>
      <c r="AL277" s="349"/>
      <c r="AM277" s="349"/>
      <c r="AO277" s="349"/>
    </row>
    <row r="278" spans="1:52" ht="13.65" customHeight="1">
      <c r="A278" s="349"/>
      <c r="B278" s="389"/>
      <c r="C278" s="2375" t="s">
        <v>694</v>
      </c>
      <c r="D278" s="2375"/>
      <c r="E278" s="346"/>
      <c r="F278" s="2327" t="s">
        <v>2298</v>
      </c>
      <c r="G278" s="2328"/>
      <c r="H278" s="2328"/>
      <c r="I278" s="2328"/>
      <c r="J278" s="2328"/>
      <c r="K278" s="2328"/>
      <c r="L278" s="2328"/>
      <c r="M278" s="2328"/>
      <c r="N278" s="2328"/>
      <c r="O278" s="2328"/>
      <c r="P278" s="2328"/>
      <c r="Q278" s="2328"/>
      <c r="R278" s="2328"/>
      <c r="S278" s="2328"/>
      <c r="T278" s="2328"/>
      <c r="U278" s="2328"/>
      <c r="V278" s="2328"/>
      <c r="W278" s="2328"/>
      <c r="X278" s="2328"/>
      <c r="Y278" s="2328"/>
      <c r="Z278" s="2328"/>
      <c r="AA278" s="2328"/>
      <c r="AB278" s="2328"/>
      <c r="AC278" s="2328"/>
      <c r="AD278" s="2329"/>
      <c r="AE278" s="349"/>
      <c r="AF278" s="426"/>
      <c r="AG278" s="2502" t="s">
        <v>2237</v>
      </c>
      <c r="AH278" s="2502"/>
      <c r="AI278" s="2502"/>
      <c r="AJ278" s="2502"/>
      <c r="AK278" s="349"/>
      <c r="AL278" s="349"/>
      <c r="AM278" s="349"/>
      <c r="AO278" s="349"/>
    </row>
    <row r="279" spans="1:52" ht="13.65" customHeight="1">
      <c r="A279" s="349"/>
      <c r="B279" s="389"/>
      <c r="C279" s="427"/>
      <c r="D279" s="349"/>
      <c r="E279" s="346"/>
      <c r="F279" s="2330"/>
      <c r="G279" s="2331"/>
      <c r="H279" s="2331"/>
      <c r="I279" s="2331"/>
      <c r="J279" s="2331"/>
      <c r="K279" s="2331"/>
      <c r="L279" s="2331"/>
      <c r="M279" s="2331"/>
      <c r="N279" s="2331"/>
      <c r="O279" s="2331"/>
      <c r="P279" s="2331"/>
      <c r="Q279" s="2331"/>
      <c r="R279" s="2331"/>
      <c r="S279" s="2331"/>
      <c r="T279" s="2331"/>
      <c r="U279" s="2331"/>
      <c r="V279" s="2331"/>
      <c r="W279" s="2331"/>
      <c r="X279" s="2331"/>
      <c r="Y279" s="2331"/>
      <c r="Z279" s="2331"/>
      <c r="AA279" s="2331"/>
      <c r="AB279" s="2331"/>
      <c r="AC279" s="2331"/>
      <c r="AD279" s="2332"/>
      <c r="AE279" s="349"/>
      <c r="AF279" s="426"/>
      <c r="AG279" s="426"/>
      <c r="AH279" s="426"/>
      <c r="AI279" s="426"/>
      <c r="AJ279" s="349"/>
      <c r="AK279" s="349"/>
      <c r="AL279" s="349"/>
      <c r="AM279" s="349"/>
      <c r="AO279" s="349"/>
    </row>
    <row r="280" spans="1:52">
      <c r="A280" s="349"/>
      <c r="B280" s="389"/>
      <c r="C280" s="427"/>
      <c r="D280" s="349"/>
      <c r="E280" s="346"/>
      <c r="F280" s="2330"/>
      <c r="G280" s="2331"/>
      <c r="H280" s="2331"/>
      <c r="I280" s="2331"/>
      <c r="J280" s="2331"/>
      <c r="K280" s="2331"/>
      <c r="L280" s="2331"/>
      <c r="M280" s="2331"/>
      <c r="N280" s="2331"/>
      <c r="O280" s="2331"/>
      <c r="P280" s="2331"/>
      <c r="Q280" s="2331"/>
      <c r="R280" s="2331"/>
      <c r="S280" s="2331"/>
      <c r="T280" s="2331"/>
      <c r="U280" s="2331"/>
      <c r="V280" s="2331"/>
      <c r="W280" s="2331"/>
      <c r="X280" s="2331"/>
      <c r="Y280" s="2331"/>
      <c r="Z280" s="2331"/>
      <c r="AA280" s="2331"/>
      <c r="AB280" s="2331"/>
      <c r="AC280" s="2331"/>
      <c r="AD280" s="2332"/>
      <c r="AE280" s="349"/>
      <c r="AF280" s="426"/>
      <c r="AG280" s="426"/>
      <c r="AH280" s="426"/>
      <c r="AI280" s="426"/>
      <c r="AJ280" s="349"/>
      <c r="AK280" s="349"/>
      <c r="AL280" s="349"/>
      <c r="AM280" s="349"/>
      <c r="AO280" s="349"/>
      <c r="AP280" s="428"/>
    </row>
    <row r="281" spans="1:52">
      <c r="A281" s="349"/>
      <c r="B281" s="389"/>
      <c r="C281" s="427"/>
      <c r="D281" s="349"/>
      <c r="E281" s="346"/>
      <c r="F281" s="2330"/>
      <c r="G281" s="2331"/>
      <c r="H281" s="2331"/>
      <c r="I281" s="2331"/>
      <c r="J281" s="2331"/>
      <c r="K281" s="2331"/>
      <c r="L281" s="2331"/>
      <c r="M281" s="2331"/>
      <c r="N281" s="2331"/>
      <c r="O281" s="2331"/>
      <c r="P281" s="2331"/>
      <c r="Q281" s="2331"/>
      <c r="R281" s="2331"/>
      <c r="S281" s="2331"/>
      <c r="T281" s="2331"/>
      <c r="U281" s="2331"/>
      <c r="V281" s="2331"/>
      <c r="W281" s="2331"/>
      <c r="X281" s="2331"/>
      <c r="Y281" s="2331"/>
      <c r="Z281" s="2331"/>
      <c r="AA281" s="2331"/>
      <c r="AB281" s="2331"/>
      <c r="AC281" s="2331"/>
      <c r="AD281" s="2332"/>
      <c r="AE281" s="349"/>
      <c r="AF281" s="426"/>
      <c r="AG281" s="426"/>
      <c r="AH281" s="426"/>
      <c r="AI281" s="426"/>
      <c r="AJ281" s="349"/>
      <c r="AK281" s="349"/>
      <c r="AL281" s="349"/>
      <c r="AM281" s="349"/>
      <c r="AO281" s="349"/>
      <c r="AP281" s="428"/>
    </row>
    <row r="282" spans="1:52" ht="13.65" customHeight="1">
      <c r="A282" s="349"/>
      <c r="B282" s="389"/>
      <c r="C282" s="2503"/>
      <c r="D282" s="2503"/>
      <c r="E282" s="346"/>
      <c r="F282" s="2333"/>
      <c r="G282" s="2334"/>
      <c r="H282" s="2334"/>
      <c r="I282" s="2334"/>
      <c r="J282" s="2334"/>
      <c r="K282" s="2334"/>
      <c r="L282" s="2334"/>
      <c r="M282" s="2334"/>
      <c r="N282" s="2334"/>
      <c r="O282" s="2334"/>
      <c r="P282" s="2334"/>
      <c r="Q282" s="2334"/>
      <c r="R282" s="2334"/>
      <c r="S282" s="2334"/>
      <c r="T282" s="2334"/>
      <c r="U282" s="2334"/>
      <c r="V282" s="2334"/>
      <c r="W282" s="2334"/>
      <c r="X282" s="2334"/>
      <c r="Y282" s="2334"/>
      <c r="Z282" s="2334"/>
      <c r="AA282" s="2334"/>
      <c r="AB282" s="2334"/>
      <c r="AC282" s="2334"/>
      <c r="AD282" s="2335"/>
      <c r="AE282" s="349"/>
      <c r="AF282" s="426"/>
      <c r="AG282" s="2502"/>
      <c r="AH282" s="2502"/>
      <c r="AI282" s="2502"/>
      <c r="AJ282" s="2502"/>
      <c r="AK282" s="349"/>
      <c r="AL282" s="349"/>
      <c r="AM282" s="349"/>
    </row>
    <row r="283" spans="1:52" ht="13.65" hidden="1" customHeight="1">
      <c r="A283" s="349"/>
      <c r="C283" s="396"/>
      <c r="D283" s="396"/>
      <c r="E283" s="396"/>
      <c r="F283" s="755"/>
      <c r="G283" s="756"/>
      <c r="H283" s="756"/>
      <c r="I283" s="756"/>
      <c r="J283" s="756"/>
      <c r="K283" s="756"/>
      <c r="L283" s="756"/>
      <c r="M283" s="756"/>
      <c r="N283" s="756"/>
      <c r="O283" s="756"/>
      <c r="P283" s="756"/>
      <c r="Q283" s="756"/>
      <c r="R283" s="756"/>
      <c r="S283" s="756"/>
      <c r="T283" s="756"/>
      <c r="U283" s="756"/>
      <c r="V283" s="756"/>
      <c r="W283" s="756"/>
      <c r="X283" s="756"/>
      <c r="Y283" s="756"/>
      <c r="Z283" s="756"/>
      <c r="AA283" s="756"/>
      <c r="AB283" s="756"/>
      <c r="AC283" s="756"/>
      <c r="AD283" s="757"/>
      <c r="AE283" s="396"/>
      <c r="AF283" s="396"/>
      <c r="AG283" s="396"/>
      <c r="AH283" s="396"/>
      <c r="AI283" s="426"/>
      <c r="AJ283" s="349"/>
      <c r="AK283" s="349"/>
      <c r="AL283" s="349"/>
      <c r="AM283" s="349"/>
    </row>
    <row r="284" spans="1:52">
      <c r="A284" s="349"/>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49"/>
      <c r="AM284" s="349"/>
      <c r="AN284" s="44"/>
    </row>
    <row r="285" spans="1:52">
      <c r="A285" s="398"/>
      <c r="B285" s="361"/>
      <c r="C285" s="361"/>
      <c r="D285" s="361"/>
      <c r="E285" s="361"/>
      <c r="F285" s="361"/>
      <c r="G285" s="361"/>
      <c r="H285" s="361"/>
      <c r="I285" s="361"/>
      <c r="J285" s="361"/>
      <c r="K285" s="361"/>
      <c r="L285" s="361"/>
      <c r="M285" s="361"/>
      <c r="N285" s="361"/>
      <c r="O285" s="361"/>
      <c r="P285" s="361"/>
      <c r="Q285" s="361"/>
      <c r="R285" s="361"/>
      <c r="S285" s="361"/>
      <c r="T285" s="361"/>
      <c r="U285" s="361"/>
      <c r="V285" s="361"/>
      <c r="W285" s="361"/>
      <c r="X285" s="361"/>
      <c r="Y285" s="361"/>
      <c r="Z285" s="361"/>
      <c r="AA285" s="361"/>
      <c r="AB285" s="361"/>
      <c r="AC285" s="361"/>
      <c r="AD285" s="361"/>
      <c r="AE285" s="361"/>
      <c r="AF285" s="361"/>
      <c r="AG285" s="361"/>
      <c r="AH285" s="361"/>
      <c r="AI285" s="362"/>
      <c r="AJ285" s="362" t="s">
        <v>2299</v>
      </c>
      <c r="AK285" s="2493">
        <f>IF($C$278="yes",10,0)</f>
        <v>10</v>
      </c>
      <c r="AL285" s="2493"/>
      <c r="AM285" s="2494"/>
      <c r="AN285" s="44"/>
    </row>
    <row r="286" spans="1:52" ht="13.8" thickBot="1"/>
    <row r="287" spans="1:52" ht="13.8" thickTop="1">
      <c r="A287" s="429"/>
      <c r="B287" s="429"/>
      <c r="C287" s="429"/>
      <c r="D287" s="429"/>
      <c r="E287" s="429"/>
      <c r="F287" s="429"/>
      <c r="G287" s="429"/>
      <c r="H287" s="429"/>
      <c r="I287" s="429"/>
      <c r="J287" s="429"/>
      <c r="K287" s="429"/>
      <c r="L287" s="429"/>
      <c r="M287" s="429"/>
      <c r="N287" s="429"/>
      <c r="O287" s="429"/>
      <c r="P287" s="429"/>
      <c r="Q287" s="429"/>
      <c r="R287" s="429"/>
      <c r="S287" s="429"/>
      <c r="T287" s="429"/>
      <c r="U287" s="429"/>
      <c r="V287" s="429"/>
      <c r="W287" s="429"/>
      <c r="X287" s="429"/>
      <c r="Y287" s="429"/>
      <c r="Z287" s="429"/>
      <c r="AA287" s="429"/>
      <c r="AB287" s="429"/>
      <c r="AC287" s="429"/>
      <c r="AD287" s="429"/>
      <c r="AE287" s="429"/>
      <c r="AF287" s="429"/>
      <c r="AG287" s="429"/>
      <c r="AH287" s="429"/>
      <c r="AI287" s="429"/>
      <c r="AJ287" s="429"/>
      <c r="AK287" s="429"/>
      <c r="AL287" s="429"/>
      <c r="AM287" s="430"/>
    </row>
    <row r="288" spans="1:52">
      <c r="A288" s="338" t="s">
        <v>2300</v>
      </c>
      <c r="B288" s="338" t="s">
        <v>2301</v>
      </c>
      <c r="AH288" s="1206" t="s">
        <v>2162</v>
      </c>
    </row>
    <row r="289" spans="1:49" ht="15" customHeight="1">
      <c r="B289" s="339"/>
    </row>
    <row r="290" spans="1:49" ht="15" customHeight="1">
      <c r="B290" s="339" t="s">
        <v>2163</v>
      </c>
    </row>
    <row r="291" spans="1:49">
      <c r="B291" s="349"/>
      <c r="C291" s="1199"/>
      <c r="D291" s="349"/>
      <c r="E291" s="349"/>
      <c r="F291" s="349"/>
      <c r="G291" s="349"/>
      <c r="H291" s="349"/>
      <c r="I291" s="349"/>
      <c r="J291" s="349"/>
      <c r="K291" s="349"/>
      <c r="L291" s="349"/>
      <c r="M291" s="349"/>
      <c r="N291" s="349"/>
      <c r="O291" s="349"/>
      <c r="P291" s="349"/>
      <c r="Q291" s="349"/>
      <c r="R291" s="349"/>
      <c r="S291" s="349"/>
      <c r="T291" s="349"/>
      <c r="U291" s="349"/>
      <c r="V291" s="349"/>
      <c r="W291" s="349"/>
      <c r="X291" s="349"/>
      <c r="Y291" s="349"/>
      <c r="Z291" s="349"/>
      <c r="AA291" s="349"/>
      <c r="AB291" s="349"/>
      <c r="AC291" s="349"/>
      <c r="AD291" s="349"/>
      <c r="AG291" s="349"/>
      <c r="AI291" s="349"/>
      <c r="AJ291" s="349"/>
      <c r="AK291" s="349"/>
      <c r="AL291" s="349"/>
      <c r="AM291" s="349"/>
      <c r="AN291" s="44"/>
      <c r="AO291" s="11"/>
      <c r="AP291" s="367"/>
      <c r="AQ291" s="431"/>
      <c r="AR291" s="367"/>
      <c r="AS291" s="367"/>
      <c r="AT291" s="367"/>
      <c r="AU291" s="367"/>
      <c r="AV291" s="25"/>
      <c r="AW291" s="25"/>
    </row>
    <row r="292" spans="1:49" ht="12.75" customHeight="1">
      <c r="A292" s="1580" t="s">
        <v>2302</v>
      </c>
      <c r="B292" s="1580"/>
      <c r="C292" s="2326" t="s">
        <v>694</v>
      </c>
      <c r="D292" s="2375"/>
      <c r="E292" s="346"/>
      <c r="F292" s="2495" t="s">
        <v>2303</v>
      </c>
      <c r="G292" s="2496"/>
      <c r="H292" s="2496"/>
      <c r="I292" s="2496"/>
      <c r="J292" s="2496"/>
      <c r="K292" s="2496"/>
      <c r="L292" s="2496"/>
      <c r="M292" s="2496"/>
      <c r="N292" s="2496"/>
      <c r="O292" s="2496"/>
      <c r="P292" s="2496"/>
      <c r="Q292" s="2496"/>
      <c r="R292" s="2496"/>
      <c r="S292" s="2496"/>
      <c r="T292" s="2496"/>
      <c r="U292" s="2496"/>
      <c r="V292" s="2496"/>
      <c r="W292" s="2496"/>
      <c r="X292" s="2496"/>
      <c r="Y292" s="2496"/>
      <c r="Z292" s="2496"/>
      <c r="AA292" s="2496"/>
      <c r="AB292" s="2496"/>
      <c r="AC292" s="2496"/>
      <c r="AD292" s="2497"/>
      <c r="AE292" s="432"/>
      <c r="AF292" s="349"/>
      <c r="AG292" s="2498" t="s">
        <v>2304</v>
      </c>
      <c r="AH292" s="2498"/>
      <c r="AI292" s="2498"/>
      <c r="AJ292" s="2498"/>
      <c r="AK292" s="2498"/>
      <c r="AL292" s="349"/>
      <c r="AM292" s="349"/>
      <c r="AN292" s="44"/>
      <c r="AO292" s="11"/>
      <c r="AP292" s="23"/>
      <c r="AS292" s="367"/>
      <c r="AT292" s="367"/>
      <c r="AU292" s="367"/>
      <c r="AV292" s="25"/>
      <c r="AW292" s="25"/>
    </row>
    <row r="293" spans="1:49">
      <c r="A293" s="1199"/>
      <c r="B293" s="389"/>
      <c r="F293" s="2353"/>
      <c r="G293" s="2354"/>
      <c r="H293" s="2354"/>
      <c r="I293" s="2354"/>
      <c r="J293" s="2354"/>
      <c r="K293" s="2354"/>
      <c r="L293" s="2354"/>
      <c r="M293" s="2354"/>
      <c r="N293" s="2354"/>
      <c r="O293" s="2354"/>
      <c r="P293" s="2354"/>
      <c r="Q293" s="2354"/>
      <c r="R293" s="2354"/>
      <c r="S293" s="2354"/>
      <c r="T293" s="2354"/>
      <c r="U293" s="2354"/>
      <c r="V293" s="2354"/>
      <c r="W293" s="2354"/>
      <c r="X293" s="2354"/>
      <c r="Y293" s="2354"/>
      <c r="Z293" s="2354"/>
      <c r="AA293" s="2354"/>
      <c r="AB293" s="2354"/>
      <c r="AC293" s="2354"/>
      <c r="AD293" s="2355"/>
      <c r="AE293" s="432"/>
      <c r="AF293" s="350"/>
      <c r="AH293" s="350"/>
      <c r="AI293" s="350"/>
      <c r="AJ293" s="349"/>
      <c r="AK293" s="349"/>
      <c r="AL293" s="349"/>
      <c r="AM293" s="349"/>
      <c r="AN293" s="44"/>
      <c r="AO293" s="11"/>
      <c r="AP293" s="349">
        <f>IF($C$292="yes",10,IF(C292="50% Met",9,0))</f>
        <v>10</v>
      </c>
      <c r="AS293" s="367"/>
      <c r="AT293" s="367"/>
      <c r="AU293" s="367"/>
      <c r="AV293" s="25"/>
      <c r="AW293" s="25"/>
    </row>
    <row r="294" spans="1:49" ht="15" customHeight="1">
      <c r="A294" s="1199"/>
      <c r="B294" s="389"/>
      <c r="F294" s="2353"/>
      <c r="G294" s="2354"/>
      <c r="H294" s="2354"/>
      <c r="I294" s="2354"/>
      <c r="J294" s="2354"/>
      <c r="K294" s="2354"/>
      <c r="L294" s="2354"/>
      <c r="M294" s="2354"/>
      <c r="N294" s="2354"/>
      <c r="O294" s="2354"/>
      <c r="P294" s="2354"/>
      <c r="Q294" s="2354"/>
      <c r="R294" s="2354"/>
      <c r="S294" s="2354"/>
      <c r="T294" s="2354"/>
      <c r="U294" s="2354"/>
      <c r="V294" s="2354"/>
      <c r="W294" s="2354"/>
      <c r="X294" s="2354"/>
      <c r="Y294" s="2354"/>
      <c r="Z294" s="2354"/>
      <c r="AA294" s="2354"/>
      <c r="AB294" s="2354"/>
      <c r="AC294" s="2354"/>
      <c r="AD294" s="2355"/>
      <c r="AE294" s="432"/>
      <c r="AF294" s="350"/>
      <c r="AH294" s="350"/>
      <c r="AI294" s="350"/>
      <c r="AJ294" s="349"/>
      <c r="AK294" s="349"/>
      <c r="AL294" s="349"/>
      <c r="AM294" s="349"/>
      <c r="AN294" s="44"/>
      <c r="AO294" s="11"/>
      <c r="AP294" s="349">
        <f>IF($C$302="yes",9,0)</f>
        <v>0</v>
      </c>
      <c r="AS294" s="367"/>
      <c r="AT294" s="367"/>
      <c r="AU294" s="367"/>
      <c r="AV294" s="25"/>
      <c r="AW294" s="25"/>
    </row>
    <row r="295" spans="1:49" ht="12.75" customHeight="1">
      <c r="A295" s="1199"/>
      <c r="B295" s="389"/>
      <c r="F295" s="2353" t="s">
        <v>2305</v>
      </c>
      <c r="G295" s="2354"/>
      <c r="H295" s="2354"/>
      <c r="I295" s="2354"/>
      <c r="J295" s="2354"/>
      <c r="K295" s="2354"/>
      <c r="L295" s="2354"/>
      <c r="M295" s="2354"/>
      <c r="N295" s="2354"/>
      <c r="O295" s="2354"/>
      <c r="P295" s="2354"/>
      <c r="Q295" s="2354"/>
      <c r="R295" s="2354"/>
      <c r="S295" s="2354"/>
      <c r="T295" s="2354"/>
      <c r="U295" s="2354"/>
      <c r="V295" s="2354"/>
      <c r="W295" s="2354"/>
      <c r="X295" s="2354"/>
      <c r="Y295" s="2354"/>
      <c r="Z295" s="2354"/>
      <c r="AA295" s="2354"/>
      <c r="AB295" s="2354"/>
      <c r="AC295" s="2354"/>
      <c r="AD295" s="2355"/>
      <c r="AE295" s="432"/>
      <c r="AF295" s="350"/>
      <c r="AH295" s="350"/>
      <c r="AI295" s="350"/>
      <c r="AJ295" s="349"/>
      <c r="AK295" s="349"/>
      <c r="AL295" s="349"/>
      <c r="AM295" s="349"/>
      <c r="AN295" s="44"/>
      <c r="AO295" s="11"/>
      <c r="AP295" s="403">
        <f>MAX(AP293,AP294)</f>
        <v>10</v>
      </c>
      <c r="AQ295" s="370" t="s">
        <v>2166</v>
      </c>
      <c r="AS295" s="367"/>
      <c r="AT295" s="367"/>
      <c r="AU295" s="367"/>
      <c r="AV295" s="25"/>
      <c r="AW295" s="25"/>
    </row>
    <row r="296" spans="1:49">
      <c r="A296" s="1199"/>
      <c r="B296" s="389"/>
      <c r="F296" s="2353"/>
      <c r="G296" s="2354"/>
      <c r="H296" s="2354"/>
      <c r="I296" s="2354"/>
      <c r="J296" s="2354"/>
      <c r="K296" s="2354"/>
      <c r="L296" s="2354"/>
      <c r="M296" s="2354"/>
      <c r="N296" s="2354"/>
      <c r="O296" s="2354"/>
      <c r="P296" s="2354"/>
      <c r="Q296" s="2354"/>
      <c r="R296" s="2354"/>
      <c r="S296" s="2354"/>
      <c r="T296" s="2354"/>
      <c r="U296" s="2354"/>
      <c r="V296" s="2354"/>
      <c r="W296" s="2354"/>
      <c r="X296" s="2354"/>
      <c r="Y296" s="2354"/>
      <c r="Z296" s="2354"/>
      <c r="AA296" s="2354"/>
      <c r="AB296" s="2354"/>
      <c r="AC296" s="2354"/>
      <c r="AD296" s="2355"/>
      <c r="AE296" s="432"/>
      <c r="AF296" s="350"/>
      <c r="AH296" s="350"/>
      <c r="AI296" s="350"/>
      <c r="AJ296" s="349"/>
      <c r="AK296" s="349"/>
      <c r="AL296" s="349"/>
      <c r="AM296" s="349"/>
      <c r="AN296" s="44"/>
      <c r="AO296" s="11"/>
      <c r="AP296" s="349"/>
      <c r="AS296" s="367"/>
      <c r="AT296" s="367"/>
      <c r="AU296" s="367"/>
      <c r="AV296" s="25"/>
      <c r="AW296" s="25"/>
    </row>
    <row r="297" spans="1:49" ht="12.75" customHeight="1">
      <c r="A297" s="349"/>
      <c r="B297" s="350"/>
      <c r="C297" s="349"/>
      <c r="D297" s="350"/>
      <c r="E297" s="349"/>
      <c r="F297" s="2353" t="s">
        <v>2306</v>
      </c>
      <c r="G297" s="2354"/>
      <c r="H297" s="2354"/>
      <c r="I297" s="2354"/>
      <c r="J297" s="2354"/>
      <c r="K297" s="2354"/>
      <c r="L297" s="2354"/>
      <c r="M297" s="2354"/>
      <c r="N297" s="2354"/>
      <c r="O297" s="2354"/>
      <c r="P297" s="2354"/>
      <c r="Q297" s="2354"/>
      <c r="R297" s="2354"/>
      <c r="S297" s="2354"/>
      <c r="T297" s="2354"/>
      <c r="U297" s="2354"/>
      <c r="V297" s="2354"/>
      <c r="W297" s="2354"/>
      <c r="X297" s="2354"/>
      <c r="Y297" s="2354"/>
      <c r="Z297" s="2354"/>
      <c r="AA297" s="2354"/>
      <c r="AB297" s="2354"/>
      <c r="AC297" s="2354"/>
      <c r="AD297" s="2355"/>
      <c r="AE297" s="432"/>
      <c r="AF297" s="350"/>
      <c r="AG297" s="350"/>
      <c r="AH297" s="350"/>
      <c r="AI297" s="350"/>
      <c r="AJ297" s="349"/>
      <c r="AK297" s="349"/>
      <c r="AL297" s="349"/>
      <c r="AM297" s="349"/>
      <c r="AN297" s="44"/>
      <c r="AO297" s="11"/>
      <c r="AS297" s="367"/>
      <c r="AT297" s="367"/>
      <c r="AU297" s="367"/>
      <c r="AV297" s="25"/>
      <c r="AW297" s="25"/>
    </row>
    <row r="298" spans="1:49" ht="15" customHeight="1">
      <c r="A298" s="349"/>
      <c r="B298" s="350"/>
      <c r="C298" s="350"/>
      <c r="D298" s="350"/>
      <c r="E298" s="350"/>
      <c r="F298" s="2353"/>
      <c r="G298" s="2354"/>
      <c r="H298" s="2354"/>
      <c r="I298" s="2354"/>
      <c r="J298" s="2354"/>
      <c r="K298" s="2354"/>
      <c r="L298" s="2354"/>
      <c r="M298" s="2354"/>
      <c r="N298" s="2354"/>
      <c r="O298" s="2354"/>
      <c r="P298" s="2354"/>
      <c r="Q298" s="2354"/>
      <c r="R298" s="2354"/>
      <c r="S298" s="2354"/>
      <c r="T298" s="2354"/>
      <c r="U298" s="2354"/>
      <c r="V298" s="2354"/>
      <c r="W298" s="2354"/>
      <c r="X298" s="2354"/>
      <c r="Y298" s="2354"/>
      <c r="Z298" s="2354"/>
      <c r="AA298" s="2354"/>
      <c r="AB298" s="2354"/>
      <c r="AC298" s="2354"/>
      <c r="AD298" s="2355"/>
      <c r="AE298" s="432"/>
      <c r="AF298" s="350"/>
      <c r="AG298" s="350"/>
      <c r="AH298" s="350"/>
      <c r="AI298" s="350"/>
      <c r="AJ298" s="349"/>
      <c r="AK298" s="349"/>
      <c r="AL298" s="349"/>
      <c r="AM298" s="349"/>
      <c r="AN298" s="44"/>
      <c r="AO298" s="11"/>
      <c r="AS298" s="367"/>
      <c r="AT298" s="367"/>
      <c r="AU298" s="367"/>
      <c r="AV298" s="25"/>
      <c r="AW298" s="25"/>
    </row>
    <row r="299" spans="1:49" ht="12.75" customHeight="1">
      <c r="A299" s="349"/>
      <c r="B299" s="350"/>
      <c r="C299" s="350"/>
      <c r="D299" s="350"/>
      <c r="E299" s="350"/>
      <c r="F299" s="2353" t="s">
        <v>2307</v>
      </c>
      <c r="G299" s="2354"/>
      <c r="H299" s="2354"/>
      <c r="I299" s="2354"/>
      <c r="J299" s="2354"/>
      <c r="K299" s="2354"/>
      <c r="L299" s="2354"/>
      <c r="M299" s="2354"/>
      <c r="N299" s="2354"/>
      <c r="O299" s="2354"/>
      <c r="P299" s="2354"/>
      <c r="Q299" s="2354"/>
      <c r="R299" s="2354"/>
      <c r="S299" s="2354"/>
      <c r="T299" s="2354"/>
      <c r="U299" s="2354"/>
      <c r="V299" s="2354"/>
      <c r="W299" s="2354"/>
      <c r="X299" s="2354"/>
      <c r="Y299" s="2354"/>
      <c r="Z299" s="2354"/>
      <c r="AA299" s="2354"/>
      <c r="AB299" s="2354"/>
      <c r="AC299" s="2354"/>
      <c r="AD299" s="2355"/>
      <c r="AE299" s="1202"/>
      <c r="AF299" s="350"/>
      <c r="AG299" s="350"/>
      <c r="AH299" s="350"/>
      <c r="AI299" s="350"/>
      <c r="AJ299" s="349"/>
      <c r="AK299" s="349"/>
      <c r="AL299" s="349"/>
      <c r="AM299" s="349"/>
      <c r="AN299" s="44"/>
      <c r="AO299" s="11"/>
      <c r="AP299" s="349"/>
      <c r="AS299" s="367"/>
      <c r="AT299" s="367"/>
      <c r="AU299" s="367"/>
      <c r="AV299" s="25"/>
      <c r="AW299" s="25"/>
    </row>
    <row r="300" spans="1:49">
      <c r="A300" s="349"/>
      <c r="B300" s="350"/>
      <c r="C300" s="350"/>
      <c r="D300" s="350"/>
      <c r="E300" s="350"/>
      <c r="F300" s="2356"/>
      <c r="G300" s="2357"/>
      <c r="H300" s="2357"/>
      <c r="I300" s="2357"/>
      <c r="J300" s="2357"/>
      <c r="K300" s="2357"/>
      <c r="L300" s="2357"/>
      <c r="M300" s="2357"/>
      <c r="N300" s="2357"/>
      <c r="O300" s="2357"/>
      <c r="P300" s="2357"/>
      <c r="Q300" s="2357"/>
      <c r="R300" s="2357"/>
      <c r="S300" s="2357"/>
      <c r="T300" s="2357"/>
      <c r="U300" s="2357"/>
      <c r="V300" s="2357"/>
      <c r="W300" s="2357"/>
      <c r="X300" s="2357"/>
      <c r="Y300" s="2357"/>
      <c r="Z300" s="2357"/>
      <c r="AA300" s="2357"/>
      <c r="AB300" s="2357"/>
      <c r="AC300" s="2357"/>
      <c r="AD300" s="2492"/>
      <c r="AE300" s="1202"/>
      <c r="AF300" s="350"/>
      <c r="AG300" s="350"/>
      <c r="AH300" s="350"/>
      <c r="AI300" s="350"/>
      <c r="AJ300" s="349"/>
      <c r="AK300" s="349"/>
      <c r="AL300" s="349"/>
      <c r="AM300" s="349"/>
      <c r="AN300" s="44"/>
      <c r="AO300" s="11"/>
      <c r="AP300" s="349"/>
      <c r="AS300" s="367"/>
      <c r="AT300" s="367"/>
      <c r="AU300" s="367"/>
      <c r="AV300" s="25"/>
      <c r="AW300" s="25"/>
    </row>
    <row r="301" spans="1:49">
      <c r="A301" s="349"/>
      <c r="B301" s="350"/>
      <c r="C301" s="350"/>
      <c r="D301" s="350"/>
      <c r="E301" s="350"/>
      <c r="F301" s="1202"/>
      <c r="G301" s="1202"/>
      <c r="H301" s="1202"/>
      <c r="I301" s="1202"/>
      <c r="J301" s="1202"/>
      <c r="K301" s="1202"/>
      <c r="L301" s="1202"/>
      <c r="M301" s="1202"/>
      <c r="N301" s="1202"/>
      <c r="O301" s="1202"/>
      <c r="P301" s="1202"/>
      <c r="Q301" s="1202"/>
      <c r="R301" s="1202"/>
      <c r="S301" s="1202"/>
      <c r="T301" s="1202"/>
      <c r="U301" s="1202"/>
      <c r="V301" s="1202"/>
      <c r="W301" s="1202"/>
      <c r="X301" s="1202"/>
      <c r="Y301" s="1202"/>
      <c r="Z301" s="1202"/>
      <c r="AA301" s="1202"/>
      <c r="AB301" s="1202"/>
      <c r="AC301" s="1202"/>
      <c r="AD301" s="1202"/>
      <c r="AE301" s="350"/>
      <c r="AF301" s="350"/>
      <c r="AG301" s="350"/>
      <c r="AH301" s="350"/>
      <c r="AI301" s="350"/>
      <c r="AJ301" s="349"/>
      <c r="AK301" s="349"/>
      <c r="AL301" s="349"/>
      <c r="AM301" s="349"/>
      <c r="AN301" s="44"/>
      <c r="AO301" s="11"/>
      <c r="AS301" s="367"/>
      <c r="AT301" s="367"/>
      <c r="AU301" s="367"/>
      <c r="AV301" s="25"/>
      <c r="AW301" s="25"/>
    </row>
    <row r="302" spans="1:49" ht="15" customHeight="1">
      <c r="A302" s="1580" t="s">
        <v>2308</v>
      </c>
      <c r="B302" s="1580"/>
      <c r="C302" s="2375" t="s">
        <v>809</v>
      </c>
      <c r="D302" s="2375"/>
      <c r="E302" s="346"/>
      <c r="F302" s="433" t="s">
        <v>2309</v>
      </c>
      <c r="G302" s="434"/>
      <c r="H302" s="434"/>
      <c r="I302" s="434"/>
      <c r="J302" s="434"/>
      <c r="K302" s="434"/>
      <c r="L302" s="434"/>
      <c r="M302" s="434"/>
      <c r="N302" s="434"/>
      <c r="O302" s="434"/>
      <c r="P302" s="434"/>
      <c r="Q302" s="434"/>
      <c r="R302" s="434"/>
      <c r="S302" s="434"/>
      <c r="T302" s="434"/>
      <c r="U302" s="434"/>
      <c r="V302" s="434"/>
      <c r="W302" s="434"/>
      <c r="X302" s="434"/>
      <c r="Y302" s="434"/>
      <c r="Z302" s="434"/>
      <c r="AA302" s="434"/>
      <c r="AB302" s="434"/>
      <c r="AC302" s="434"/>
      <c r="AD302" s="435"/>
      <c r="AE302" s="350"/>
      <c r="AF302" s="350"/>
      <c r="AG302" s="339" t="s">
        <v>2310</v>
      </c>
      <c r="AH302" s="350"/>
      <c r="AI302" s="350"/>
      <c r="AJ302" s="349"/>
      <c r="AK302" s="349"/>
      <c r="AL302" s="349"/>
      <c r="AM302" s="349"/>
      <c r="AN302" s="436"/>
      <c r="AO302" s="11"/>
    </row>
    <row r="303" spans="1:49">
      <c r="A303" s="349"/>
      <c r="B303" s="350"/>
      <c r="C303" s="349"/>
      <c r="D303" s="350"/>
      <c r="E303" s="349"/>
      <c r="F303" s="2477" t="s">
        <v>2311</v>
      </c>
      <c r="G303" s="2478"/>
      <c r="H303" s="2478"/>
      <c r="I303" s="2478"/>
      <c r="J303" s="2478"/>
      <c r="K303" s="2478"/>
      <c r="L303" s="2478"/>
      <c r="M303" s="2478"/>
      <c r="N303" s="2478"/>
      <c r="O303" s="2478"/>
      <c r="P303" s="2478"/>
      <c r="Q303" s="2478"/>
      <c r="R303" s="2478"/>
      <c r="S303" s="2478"/>
      <c r="T303" s="2478"/>
      <c r="U303" s="2478"/>
      <c r="V303" s="2478"/>
      <c r="W303" s="2478"/>
      <c r="X303" s="2478"/>
      <c r="Y303" s="2478"/>
      <c r="Z303" s="2478"/>
      <c r="AA303" s="2478"/>
      <c r="AB303" s="2478"/>
      <c r="AC303" s="2478"/>
      <c r="AD303" s="2479"/>
      <c r="AE303" s="350"/>
      <c r="AF303" s="350"/>
      <c r="AG303" s="350"/>
      <c r="AH303" s="350"/>
      <c r="AI303" s="350"/>
      <c r="AJ303" s="349"/>
      <c r="AK303" s="349"/>
      <c r="AL303" s="349"/>
      <c r="AM303" s="349"/>
      <c r="AR303" s="437"/>
    </row>
    <row r="304" spans="1:49" ht="15" customHeight="1">
      <c r="A304" s="349"/>
      <c r="B304" s="350"/>
      <c r="C304" s="349"/>
      <c r="D304" s="350"/>
      <c r="E304" s="349"/>
      <c r="F304" s="2477"/>
      <c r="G304" s="2478"/>
      <c r="H304" s="2478"/>
      <c r="I304" s="2478"/>
      <c r="J304" s="2478"/>
      <c r="K304" s="2478"/>
      <c r="L304" s="2478"/>
      <c r="M304" s="2478"/>
      <c r="N304" s="2478"/>
      <c r="O304" s="2478"/>
      <c r="P304" s="2478"/>
      <c r="Q304" s="2478"/>
      <c r="R304" s="2478"/>
      <c r="S304" s="2478"/>
      <c r="T304" s="2478"/>
      <c r="U304" s="2478"/>
      <c r="V304" s="2478"/>
      <c r="W304" s="2478"/>
      <c r="X304" s="2478"/>
      <c r="Y304" s="2478"/>
      <c r="Z304" s="2478"/>
      <c r="AA304" s="2478"/>
      <c r="AB304" s="2478"/>
      <c r="AC304" s="2478"/>
      <c r="AD304" s="2479"/>
      <c r="AE304" s="350"/>
      <c r="AF304" s="350"/>
      <c r="AG304" s="350"/>
      <c r="AH304" s="350"/>
      <c r="AI304" s="350"/>
      <c r="AJ304" s="349"/>
      <c r="AK304" s="349"/>
      <c r="AL304" s="349"/>
      <c r="AM304" s="349"/>
      <c r="AR304" s="437"/>
    </row>
    <row r="305" spans="1:44">
      <c r="A305" s="349"/>
      <c r="B305" s="350"/>
      <c r="C305" s="349"/>
      <c r="D305" s="350"/>
      <c r="E305" s="349"/>
      <c r="F305" s="2477"/>
      <c r="G305" s="2478"/>
      <c r="H305" s="2478"/>
      <c r="I305" s="2478"/>
      <c r="J305" s="2478"/>
      <c r="K305" s="2478"/>
      <c r="L305" s="2478"/>
      <c r="M305" s="2478"/>
      <c r="N305" s="2478"/>
      <c r="O305" s="2478"/>
      <c r="P305" s="2478"/>
      <c r="Q305" s="2478"/>
      <c r="R305" s="2478"/>
      <c r="S305" s="2478"/>
      <c r="T305" s="2478"/>
      <c r="U305" s="2478"/>
      <c r="V305" s="2478"/>
      <c r="W305" s="2478"/>
      <c r="X305" s="2478"/>
      <c r="Y305" s="2478"/>
      <c r="Z305" s="2478"/>
      <c r="AA305" s="2478"/>
      <c r="AB305" s="2478"/>
      <c r="AC305" s="2478"/>
      <c r="AD305" s="2479"/>
      <c r="AE305" s="350"/>
      <c r="AF305" s="350"/>
      <c r="AG305" s="350"/>
      <c r="AH305" s="350"/>
      <c r="AI305" s="350"/>
      <c r="AJ305" s="349"/>
      <c r="AK305" s="349"/>
      <c r="AL305" s="349"/>
      <c r="AM305" s="349"/>
      <c r="AP305" s="403"/>
      <c r="AQ305" s="370"/>
      <c r="AR305" s="437"/>
    </row>
    <row r="306" spans="1:44" ht="15" customHeight="1">
      <c r="A306" s="349"/>
      <c r="B306" s="350"/>
      <c r="C306" s="349"/>
      <c r="D306" s="350"/>
      <c r="E306" s="349"/>
      <c r="F306" s="2499"/>
      <c r="G306" s="2500"/>
      <c r="H306" s="2500"/>
      <c r="I306" s="2500"/>
      <c r="J306" s="2500"/>
      <c r="K306" s="2500"/>
      <c r="L306" s="2500"/>
      <c r="M306" s="2500"/>
      <c r="N306" s="2500"/>
      <c r="O306" s="2500"/>
      <c r="P306" s="2500"/>
      <c r="Q306" s="2500"/>
      <c r="R306" s="2500"/>
      <c r="S306" s="2500"/>
      <c r="T306" s="2500"/>
      <c r="U306" s="2500"/>
      <c r="V306" s="2500"/>
      <c r="W306" s="2500"/>
      <c r="X306" s="2500"/>
      <c r="Y306" s="2500"/>
      <c r="Z306" s="2500"/>
      <c r="AA306" s="2500"/>
      <c r="AB306" s="2500"/>
      <c r="AC306" s="2500"/>
      <c r="AD306" s="2501"/>
      <c r="AE306" s="350"/>
      <c r="AF306" s="350"/>
      <c r="AG306" s="350"/>
      <c r="AH306" s="350"/>
      <c r="AI306" s="350"/>
      <c r="AJ306" s="349"/>
      <c r="AK306" s="349"/>
      <c r="AL306" s="349"/>
      <c r="AM306" s="349"/>
      <c r="AP306" s="403"/>
      <c r="AQ306" s="370"/>
      <c r="AR306" s="437"/>
    </row>
    <row r="307" spans="1:44">
      <c r="A307" s="349"/>
      <c r="B307" s="350"/>
      <c r="C307" s="350"/>
      <c r="D307" s="350"/>
      <c r="E307" s="350"/>
      <c r="F307" s="350"/>
      <c r="G307" s="350"/>
      <c r="H307" s="350"/>
      <c r="I307" s="350"/>
      <c r="J307" s="350"/>
      <c r="K307" s="350"/>
      <c r="L307" s="350"/>
      <c r="M307" s="350"/>
      <c r="N307" s="350"/>
      <c r="O307" s="350"/>
      <c r="P307" s="350"/>
      <c r="Q307" s="350"/>
      <c r="R307" s="350"/>
      <c r="S307" s="350"/>
      <c r="T307" s="350"/>
      <c r="U307" s="350"/>
      <c r="V307" s="350"/>
      <c r="W307" s="350"/>
      <c r="X307" s="350"/>
      <c r="Y307" s="350"/>
      <c r="Z307" s="350"/>
      <c r="AA307" s="350"/>
      <c r="AB307" s="350"/>
      <c r="AC307" s="350"/>
      <c r="AD307" s="350"/>
      <c r="AE307" s="350"/>
      <c r="AF307" s="350"/>
      <c r="AG307" s="350"/>
      <c r="AH307" s="350"/>
      <c r="AI307" s="350"/>
      <c r="AJ307" s="349"/>
      <c r="AK307" s="349"/>
      <c r="AL307" s="349"/>
      <c r="AM307" s="349"/>
      <c r="AP307" s="403"/>
      <c r="AQ307" s="370"/>
      <c r="AR307" s="437"/>
    </row>
    <row r="308" spans="1:44" hidden="1">
      <c r="A308" s="349"/>
      <c r="B308" s="350"/>
      <c r="C308" s="350"/>
      <c r="D308" s="350"/>
      <c r="E308" s="350"/>
      <c r="F308" s="350"/>
      <c r="G308" s="350"/>
      <c r="H308" s="350"/>
      <c r="I308" s="350"/>
      <c r="J308" s="350"/>
      <c r="K308" s="350"/>
      <c r="L308" s="350"/>
      <c r="M308" s="350"/>
      <c r="N308" s="350"/>
      <c r="O308" s="350"/>
      <c r="P308" s="350"/>
      <c r="Q308" s="350"/>
      <c r="R308" s="350"/>
      <c r="S308" s="350"/>
      <c r="T308" s="350"/>
      <c r="U308" s="350"/>
      <c r="V308" s="350"/>
      <c r="W308" s="350"/>
      <c r="X308" s="350"/>
      <c r="Y308" s="350"/>
      <c r="Z308" s="350"/>
      <c r="AA308" s="350"/>
      <c r="AB308" s="350"/>
      <c r="AC308" s="350"/>
      <c r="AD308" s="350"/>
      <c r="AE308" s="350"/>
      <c r="AF308" s="350"/>
      <c r="AG308" s="350"/>
      <c r="AH308" s="350"/>
      <c r="AI308" s="350"/>
      <c r="AJ308" s="349"/>
      <c r="AK308" s="349"/>
      <c r="AL308" s="349"/>
      <c r="AM308" s="349"/>
      <c r="AP308" s="403"/>
      <c r="AQ308" s="370"/>
      <c r="AR308" s="437"/>
    </row>
    <row r="309" spans="1:44" hidden="1">
      <c r="A309" s="349"/>
      <c r="B309" s="350"/>
      <c r="C309" s="350"/>
      <c r="D309" s="350"/>
      <c r="E309" s="350"/>
      <c r="F309" s="350"/>
      <c r="G309" s="350"/>
      <c r="H309" s="350"/>
      <c r="I309" s="350"/>
      <c r="J309" s="350"/>
      <c r="K309" s="350"/>
      <c r="L309" s="350"/>
      <c r="M309" s="350"/>
      <c r="N309" s="350"/>
      <c r="O309" s="350"/>
      <c r="P309" s="350"/>
      <c r="Q309" s="350"/>
      <c r="R309" s="350"/>
      <c r="S309" s="350"/>
      <c r="T309" s="350"/>
      <c r="U309" s="350"/>
      <c r="V309" s="350"/>
      <c r="W309" s="350"/>
      <c r="X309" s="350"/>
      <c r="Y309" s="350"/>
      <c r="Z309" s="350"/>
      <c r="AA309" s="350"/>
      <c r="AB309" s="350"/>
      <c r="AC309" s="350"/>
      <c r="AD309" s="350"/>
      <c r="AE309" s="350"/>
      <c r="AF309" s="350"/>
      <c r="AG309" s="350"/>
      <c r="AH309" s="350"/>
      <c r="AI309" s="350"/>
      <c r="AJ309" s="349"/>
      <c r="AK309" s="349"/>
      <c r="AL309" s="349"/>
      <c r="AM309" s="349"/>
      <c r="AN309" s="44"/>
      <c r="AO309" s="11"/>
    </row>
    <row r="310" spans="1:44" hidden="1">
      <c r="A310" s="1580" t="s">
        <v>2312</v>
      </c>
      <c r="B310" s="1580"/>
      <c r="C310" s="2375" t="s">
        <v>809</v>
      </c>
      <c r="D310" s="2375"/>
      <c r="E310" s="346"/>
      <c r="F310" s="433" t="s">
        <v>2313</v>
      </c>
      <c r="G310" s="438"/>
      <c r="H310" s="438"/>
      <c r="I310" s="438"/>
      <c r="J310" s="438"/>
      <c r="K310" s="438"/>
      <c r="L310" s="438"/>
      <c r="M310" s="438"/>
      <c r="N310" s="438"/>
      <c r="O310" s="438"/>
      <c r="P310" s="438"/>
      <c r="Q310" s="438"/>
      <c r="R310" s="438"/>
      <c r="S310" s="438"/>
      <c r="T310" s="438"/>
      <c r="U310" s="438"/>
      <c r="V310" s="438"/>
      <c r="W310" s="438"/>
      <c r="X310" s="438"/>
      <c r="Y310" s="438"/>
      <c r="Z310" s="438"/>
      <c r="AA310" s="438"/>
      <c r="AB310" s="438"/>
      <c r="AC310" s="438"/>
      <c r="AD310" s="439"/>
      <c r="AE310" s="350"/>
      <c r="AF310" s="350"/>
      <c r="AG310" s="339" t="s">
        <v>2310</v>
      </c>
      <c r="AH310" s="350"/>
      <c r="AI310" s="350"/>
      <c r="AJ310" s="349"/>
      <c r="AK310" s="349"/>
      <c r="AL310" s="349"/>
      <c r="AM310" s="349"/>
      <c r="AN310" s="44"/>
      <c r="AO310" s="11"/>
    </row>
    <row r="311" spans="1:44" hidden="1">
      <c r="A311" s="1171"/>
      <c r="B311" s="1171"/>
      <c r="C311" s="1221"/>
      <c r="D311" s="1221"/>
      <c r="E311" s="346"/>
      <c r="F311" s="2353" t="s">
        <v>2314</v>
      </c>
      <c r="G311" s="2354"/>
      <c r="H311" s="2354"/>
      <c r="I311" s="2354"/>
      <c r="J311" s="2354"/>
      <c r="K311" s="2354"/>
      <c r="L311" s="2354"/>
      <c r="M311" s="2354"/>
      <c r="N311" s="2354"/>
      <c r="O311" s="2354"/>
      <c r="P311" s="2354"/>
      <c r="Q311" s="2354"/>
      <c r="R311" s="2354"/>
      <c r="S311" s="2354"/>
      <c r="T311" s="2354"/>
      <c r="U311" s="2354"/>
      <c r="V311" s="2354"/>
      <c r="W311" s="2354"/>
      <c r="X311" s="2354"/>
      <c r="Y311" s="2354"/>
      <c r="Z311" s="2354"/>
      <c r="AA311" s="2354"/>
      <c r="AB311" s="2354"/>
      <c r="AC311" s="2354"/>
      <c r="AD311" s="2355"/>
      <c r="AE311" s="350"/>
      <c r="AF311" s="350"/>
      <c r="AG311" s="339"/>
      <c r="AH311" s="350"/>
      <c r="AI311" s="350"/>
      <c r="AJ311" s="349"/>
      <c r="AK311" s="349"/>
      <c r="AL311" s="349"/>
      <c r="AM311" s="349"/>
      <c r="AN311" s="44"/>
      <c r="AO311" s="11"/>
      <c r="AP311" s="354" t="s">
        <v>1027</v>
      </c>
    </row>
    <row r="312" spans="1:44" hidden="1">
      <c r="F312" s="2353"/>
      <c r="G312" s="2354"/>
      <c r="H312" s="2354"/>
      <c r="I312" s="2354"/>
      <c r="J312" s="2354"/>
      <c r="K312" s="2354"/>
      <c r="L312" s="2354"/>
      <c r="M312" s="2354"/>
      <c r="N312" s="2354"/>
      <c r="O312" s="2354"/>
      <c r="P312" s="2354"/>
      <c r="Q312" s="2354"/>
      <c r="R312" s="2354"/>
      <c r="S312" s="2354"/>
      <c r="T312" s="2354"/>
      <c r="U312" s="2354"/>
      <c r="V312" s="2354"/>
      <c r="W312" s="2354"/>
      <c r="X312" s="2354"/>
      <c r="Y312" s="2354"/>
      <c r="Z312" s="2354"/>
      <c r="AA312" s="2354"/>
      <c r="AB312" s="2354"/>
      <c r="AC312" s="2354"/>
      <c r="AD312" s="2355"/>
      <c r="AE312" s="350"/>
      <c r="AF312" s="350"/>
      <c r="AH312" s="350"/>
      <c r="AI312" s="350"/>
      <c r="AJ312" s="349"/>
      <c r="AK312" s="349"/>
      <c r="AL312" s="349"/>
      <c r="AM312" s="349"/>
      <c r="AN312" s="44"/>
      <c r="AO312" s="11"/>
      <c r="AP312" s="354" t="s">
        <v>2315</v>
      </c>
    </row>
    <row r="313" spans="1:44" hidden="1">
      <c r="A313" s="349"/>
      <c r="B313" s="350"/>
      <c r="C313" s="1221"/>
      <c r="D313" s="1221"/>
      <c r="E313" s="346"/>
      <c r="F313" s="440" t="s">
        <v>2316</v>
      </c>
      <c r="G313" s="451"/>
      <c r="H313" s="451"/>
      <c r="I313" s="451"/>
      <c r="J313" s="451"/>
      <c r="K313" s="451"/>
      <c r="L313" s="451"/>
      <c r="M313" s="451"/>
      <c r="N313" s="451"/>
      <c r="O313" s="451"/>
      <c r="P313" s="451"/>
      <c r="Q313" s="451"/>
      <c r="R313" s="451"/>
      <c r="S313" s="451"/>
      <c r="T313" s="451"/>
      <c r="U313" s="451"/>
      <c r="V313" s="451"/>
      <c r="W313" s="451"/>
      <c r="X313" s="451"/>
      <c r="Y313" s="451"/>
      <c r="Z313" s="451"/>
      <c r="AA313" s="451"/>
      <c r="AB313" s="451"/>
      <c r="AC313" s="451"/>
      <c r="AD313" s="753"/>
      <c r="AE313" s="350"/>
      <c r="AF313" s="350"/>
      <c r="AG313" s="339"/>
      <c r="AH313" s="350"/>
      <c r="AI313" s="350"/>
      <c r="AJ313" s="349"/>
      <c r="AK313" s="349"/>
      <c r="AL313" s="349"/>
      <c r="AM313" s="349"/>
      <c r="AN313" s="44"/>
      <c r="AO313" s="11"/>
      <c r="AP313" s="354" t="s">
        <v>2317</v>
      </c>
    </row>
    <row r="314" spans="1:44" hidden="1">
      <c r="A314" s="349"/>
      <c r="B314" s="350"/>
      <c r="C314" s="1221"/>
      <c r="D314" s="1221"/>
      <c r="E314" s="346"/>
      <c r="F314" s="440"/>
      <c r="G314" s="451"/>
      <c r="H314" s="451"/>
      <c r="I314" s="451"/>
      <c r="J314" s="451"/>
      <c r="K314" s="451"/>
      <c r="L314" s="451"/>
      <c r="M314" s="451"/>
      <c r="N314" s="451"/>
      <c r="O314" s="451"/>
      <c r="P314" s="451"/>
      <c r="Q314" s="451"/>
      <c r="R314" s="451"/>
      <c r="S314" s="451"/>
      <c r="T314" s="451"/>
      <c r="U314" s="451"/>
      <c r="V314" s="451"/>
      <c r="W314" s="451"/>
      <c r="X314" s="451"/>
      <c r="Y314" s="451"/>
      <c r="Z314" s="451"/>
      <c r="AA314" s="451"/>
      <c r="AB314" s="451"/>
      <c r="AC314" s="451"/>
      <c r="AD314" s="753"/>
      <c r="AE314" s="350"/>
      <c r="AF314" s="350"/>
      <c r="AG314" s="339"/>
      <c r="AH314" s="350"/>
      <c r="AI314" s="350"/>
      <c r="AJ314" s="349"/>
      <c r="AK314" s="349"/>
      <c r="AL314" s="349"/>
      <c r="AM314" s="349"/>
      <c r="AN314" s="44"/>
      <c r="AO314" s="11"/>
      <c r="AP314" s="354" t="s">
        <v>2318</v>
      </c>
    </row>
    <row r="315" spans="1:44" ht="12.75" hidden="1" customHeight="1">
      <c r="A315" s="349"/>
      <c r="B315" s="350"/>
      <c r="C315" s="1221"/>
      <c r="D315" s="1221"/>
      <c r="E315" s="346"/>
      <c r="F315" s="440"/>
      <c r="G315" s="432"/>
      <c r="H315" s="432"/>
      <c r="I315" s="432"/>
      <c r="J315" s="432"/>
      <c r="K315" s="432"/>
      <c r="L315" s="432"/>
      <c r="M315" s="432"/>
      <c r="N315" s="432"/>
      <c r="O315" s="432"/>
      <c r="P315" s="432"/>
      <c r="Q315" s="432"/>
      <c r="R315" s="432"/>
      <c r="S315" s="432"/>
      <c r="T315" s="432"/>
      <c r="U315" s="432"/>
      <c r="V315" s="432"/>
      <c r="W315" s="432"/>
      <c r="X315" s="432"/>
      <c r="Y315" s="432"/>
      <c r="Z315" s="432"/>
      <c r="AA315" s="432"/>
      <c r="AB315" s="432"/>
      <c r="AC315" s="432"/>
      <c r="AD315" s="441"/>
      <c r="AE315" s="350"/>
      <c r="AF315" s="350"/>
      <c r="AG315" s="339"/>
      <c r="AH315" s="350"/>
      <c r="AI315" s="350"/>
      <c r="AJ315" s="349"/>
      <c r="AK315" s="349"/>
      <c r="AL315" s="349"/>
      <c r="AM315" s="349"/>
      <c r="AN315" s="44"/>
      <c r="AO315" s="11"/>
      <c r="AP315" s="23"/>
    </row>
    <row r="316" spans="1:44" ht="12.75" hidden="1" customHeight="1">
      <c r="A316" s="349"/>
      <c r="B316" s="350"/>
      <c r="C316" s="1221"/>
      <c r="D316" s="1221"/>
      <c r="E316" s="346"/>
      <c r="F316" s="2480" t="s">
        <v>1027</v>
      </c>
      <c r="G316" s="2481"/>
      <c r="H316" s="2481"/>
      <c r="I316" s="2481"/>
      <c r="J316" s="2481"/>
      <c r="K316" s="2481"/>
      <c r="L316" s="2481"/>
      <c r="M316" s="2481"/>
      <c r="N316" s="2481"/>
      <c r="O316" s="2481"/>
      <c r="P316" s="2481"/>
      <c r="Q316" s="2481"/>
      <c r="R316" s="2481"/>
      <c r="S316" s="2481"/>
      <c r="T316" s="2481"/>
      <c r="U316" s="2481"/>
      <c r="V316" s="2481"/>
      <c r="W316" s="2481"/>
      <c r="X316" s="2481"/>
      <c r="Y316" s="2481"/>
      <c r="Z316" s="2481"/>
      <c r="AA316" s="2481"/>
      <c r="AB316" s="2481"/>
      <c r="AC316" s="2481"/>
      <c r="AD316" s="2482"/>
      <c r="AE316" s="432"/>
      <c r="AF316" s="432"/>
      <c r="AG316" s="432"/>
      <c r="AH316" s="432"/>
      <c r="AI316" s="432"/>
      <c r="AJ316" s="432"/>
      <c r="AK316" s="432"/>
      <c r="AL316" s="349"/>
      <c r="AM316" s="349"/>
      <c r="AN316" s="44"/>
      <c r="AO316" s="11"/>
      <c r="AP316" s="23"/>
    </row>
    <row r="317" spans="1:44" hidden="1">
      <c r="A317" s="349"/>
      <c r="B317" s="350"/>
      <c r="C317" s="1221"/>
      <c r="D317" s="1221"/>
      <c r="E317" s="346"/>
      <c r="F317" s="2480"/>
      <c r="G317" s="2481"/>
      <c r="H317" s="2481"/>
      <c r="I317" s="2481"/>
      <c r="J317" s="2481"/>
      <c r="K317" s="2481"/>
      <c r="L317" s="2481"/>
      <c r="M317" s="2481"/>
      <c r="N317" s="2481"/>
      <c r="O317" s="2481"/>
      <c r="P317" s="2481"/>
      <c r="Q317" s="2481"/>
      <c r="R317" s="2481"/>
      <c r="S317" s="2481"/>
      <c r="T317" s="2481"/>
      <c r="U317" s="2481"/>
      <c r="V317" s="2481"/>
      <c r="W317" s="2481"/>
      <c r="X317" s="2481"/>
      <c r="Y317" s="2481"/>
      <c r="Z317" s="2481"/>
      <c r="AA317" s="2481"/>
      <c r="AB317" s="2481"/>
      <c r="AC317" s="2481"/>
      <c r="AD317" s="2482"/>
      <c r="AE317" s="350"/>
      <c r="AF317" s="350"/>
      <c r="AG317" s="339"/>
      <c r="AH317" s="350"/>
      <c r="AI317" s="350"/>
      <c r="AJ317" s="349"/>
      <c r="AK317" s="349"/>
      <c r="AL317" s="349"/>
      <c r="AM317" s="349"/>
      <c r="AN317" s="44"/>
      <c r="AO317" s="11"/>
      <c r="AP317" s="23"/>
    </row>
    <row r="318" spans="1:44" hidden="1">
      <c r="A318" s="349"/>
      <c r="B318" s="350"/>
      <c r="C318" s="1221"/>
      <c r="D318" s="1221"/>
      <c r="E318" s="346"/>
      <c r="F318" s="2480"/>
      <c r="G318" s="2481"/>
      <c r="H318" s="2481"/>
      <c r="I318" s="2481"/>
      <c r="J318" s="2481"/>
      <c r="K318" s="2481"/>
      <c r="L318" s="2481"/>
      <c r="M318" s="2481"/>
      <c r="N318" s="2481"/>
      <c r="O318" s="2481"/>
      <c r="P318" s="2481"/>
      <c r="Q318" s="2481"/>
      <c r="R318" s="2481"/>
      <c r="S318" s="2481"/>
      <c r="T318" s="2481"/>
      <c r="U318" s="2481"/>
      <c r="V318" s="2481"/>
      <c r="W318" s="2481"/>
      <c r="X318" s="2481"/>
      <c r="Y318" s="2481"/>
      <c r="Z318" s="2481"/>
      <c r="AA318" s="2481"/>
      <c r="AB318" s="2481"/>
      <c r="AC318" s="2481"/>
      <c r="AD318" s="2482"/>
      <c r="AE318" s="350"/>
      <c r="AF318" s="350"/>
      <c r="AG318" s="339"/>
      <c r="AH318" s="350"/>
      <c r="AI318" s="350"/>
      <c r="AJ318" s="349"/>
      <c r="AK318" s="349"/>
      <c r="AL318" s="349"/>
      <c r="AM318" s="349"/>
      <c r="AN318" s="44"/>
      <c r="AO318" s="11"/>
      <c r="AP318" s="23"/>
    </row>
    <row r="319" spans="1:44" hidden="1">
      <c r="A319" s="349"/>
      <c r="B319" s="350"/>
      <c r="C319" s="1221"/>
      <c r="D319" s="1221"/>
      <c r="E319" s="346"/>
      <c r="F319" s="2480"/>
      <c r="G319" s="2481"/>
      <c r="H319" s="2481"/>
      <c r="I319" s="2481"/>
      <c r="J319" s="2481"/>
      <c r="K319" s="2481"/>
      <c r="L319" s="2481"/>
      <c r="M319" s="2481"/>
      <c r="N319" s="2481"/>
      <c r="O319" s="2481"/>
      <c r="P319" s="2481"/>
      <c r="Q319" s="2481"/>
      <c r="R319" s="2481"/>
      <c r="S319" s="2481"/>
      <c r="T319" s="2481"/>
      <c r="U319" s="2481"/>
      <c r="V319" s="2481"/>
      <c r="W319" s="2481"/>
      <c r="X319" s="2481"/>
      <c r="Y319" s="2481"/>
      <c r="Z319" s="2481"/>
      <c r="AA319" s="2481"/>
      <c r="AB319" s="2481"/>
      <c r="AC319" s="2481"/>
      <c r="AD319" s="2482"/>
      <c r="AE319" s="350"/>
      <c r="AF319" s="350"/>
      <c r="AG319" s="339"/>
      <c r="AH319" s="350"/>
      <c r="AI319" s="350"/>
      <c r="AJ319" s="349"/>
      <c r="AK319" s="349"/>
      <c r="AL319" s="349"/>
      <c r="AM319" s="349"/>
      <c r="AN319" s="44"/>
      <c r="AO319" s="11"/>
      <c r="AP319" s="23"/>
    </row>
    <row r="320" spans="1:44" hidden="1">
      <c r="A320" s="349"/>
      <c r="B320" s="350"/>
      <c r="C320" s="1221"/>
      <c r="D320" s="1221"/>
      <c r="E320" s="346"/>
      <c r="F320" s="2483"/>
      <c r="G320" s="2484"/>
      <c r="H320" s="2484"/>
      <c r="I320" s="2484"/>
      <c r="J320" s="2484"/>
      <c r="K320" s="2484"/>
      <c r="L320" s="2484"/>
      <c r="M320" s="2484"/>
      <c r="N320" s="2484"/>
      <c r="O320" s="2484"/>
      <c r="P320" s="2484"/>
      <c r="Q320" s="2484"/>
      <c r="R320" s="2484"/>
      <c r="S320" s="2484"/>
      <c r="T320" s="2484"/>
      <c r="U320" s="2484"/>
      <c r="V320" s="2484"/>
      <c r="W320" s="2484"/>
      <c r="X320" s="2484"/>
      <c r="Y320" s="2484"/>
      <c r="Z320" s="2484"/>
      <c r="AA320" s="2484"/>
      <c r="AB320" s="2484"/>
      <c r="AC320" s="2484"/>
      <c r="AD320" s="2485"/>
      <c r="AE320" s="350"/>
      <c r="AF320" s="350"/>
      <c r="AG320" s="339"/>
      <c r="AH320" s="350"/>
      <c r="AI320" s="350"/>
      <c r="AJ320" s="349"/>
      <c r="AK320" s="349"/>
      <c r="AL320" s="349"/>
      <c r="AM320" s="349"/>
      <c r="AN320" s="44"/>
      <c r="AO320" s="11"/>
      <c r="AP320" s="23"/>
    </row>
    <row r="321" spans="1:42" hidden="1">
      <c r="A321" s="349"/>
      <c r="B321" s="350"/>
      <c r="C321" s="1221"/>
      <c r="D321" s="1221"/>
      <c r="E321" s="346"/>
      <c r="F321" s="723"/>
      <c r="G321" s="432"/>
      <c r="H321" s="432"/>
      <c r="I321" s="432"/>
      <c r="J321" s="432"/>
      <c r="K321" s="432"/>
      <c r="L321" s="432"/>
      <c r="M321" s="432"/>
      <c r="N321" s="432"/>
      <c r="O321" s="432"/>
      <c r="P321" s="432"/>
      <c r="Q321" s="432"/>
      <c r="R321" s="432"/>
      <c r="S321" s="432"/>
      <c r="T321" s="432"/>
      <c r="U321" s="432"/>
      <c r="V321" s="432"/>
      <c r="W321" s="432"/>
      <c r="X321" s="432"/>
      <c r="Y321" s="432"/>
      <c r="Z321" s="432"/>
      <c r="AA321" s="432"/>
      <c r="AB321" s="432"/>
      <c r="AC321" s="432"/>
      <c r="AD321" s="441"/>
      <c r="AE321" s="350"/>
      <c r="AF321" s="350"/>
      <c r="AG321" s="339"/>
      <c r="AH321" s="350"/>
      <c r="AI321" s="350"/>
      <c r="AJ321" s="349"/>
      <c r="AK321" s="349"/>
      <c r="AL321" s="349"/>
      <c r="AM321" s="349"/>
      <c r="AN321" s="44"/>
      <c r="AO321" s="11"/>
      <c r="AP321" s="23"/>
    </row>
    <row r="322" spans="1:42" hidden="1">
      <c r="A322" s="349"/>
      <c r="B322" s="350"/>
      <c r="C322" s="1221"/>
      <c r="D322" s="1221"/>
      <c r="E322" s="346"/>
      <c r="F322" s="442" t="s">
        <v>2319</v>
      </c>
      <c r="G322" s="350"/>
      <c r="H322" s="350"/>
      <c r="I322" s="350"/>
      <c r="J322" s="350"/>
      <c r="K322" s="350"/>
      <c r="L322" s="350"/>
      <c r="M322" s="350"/>
      <c r="N322" s="350"/>
      <c r="O322" s="350"/>
      <c r="P322" s="350"/>
      <c r="Q322" s="350"/>
      <c r="R322" s="350"/>
      <c r="S322" s="350"/>
      <c r="T322" s="350"/>
      <c r="U322" s="350"/>
      <c r="V322" s="350"/>
      <c r="W322" s="350"/>
      <c r="X322" s="350"/>
      <c r="Y322" s="350"/>
      <c r="Z322" s="350"/>
      <c r="AA322" s="350"/>
      <c r="AB322" s="350"/>
      <c r="AC322" s="350"/>
      <c r="AD322" s="443"/>
      <c r="AE322" s="350"/>
      <c r="AF322" s="350"/>
      <c r="AG322" s="339"/>
      <c r="AH322" s="350"/>
      <c r="AI322" s="350"/>
      <c r="AJ322" s="349"/>
      <c r="AK322" s="349"/>
      <c r="AL322" s="349"/>
      <c r="AM322" s="349"/>
      <c r="AN322" s="44"/>
      <c r="AO322" s="11"/>
      <c r="AP322" s="23"/>
    </row>
    <row r="323" spans="1:42" hidden="1">
      <c r="A323" s="349"/>
      <c r="B323" s="350"/>
      <c r="C323" s="1221"/>
      <c r="D323" s="1221"/>
      <c r="E323" s="346"/>
      <c r="F323" s="442"/>
      <c r="G323" s="350"/>
      <c r="H323" s="350"/>
      <c r="I323" s="350"/>
      <c r="J323" s="350"/>
      <c r="K323" s="350"/>
      <c r="L323" s="350"/>
      <c r="M323" s="350"/>
      <c r="N323" s="350"/>
      <c r="O323" s="350"/>
      <c r="P323" s="350"/>
      <c r="Q323" s="350"/>
      <c r="R323" s="350"/>
      <c r="S323" s="350"/>
      <c r="T323" s="350"/>
      <c r="U323" s="350"/>
      <c r="V323" s="350"/>
      <c r="W323" s="350"/>
      <c r="X323" s="350"/>
      <c r="Y323" s="350"/>
      <c r="Z323" s="350"/>
      <c r="AA323" s="350"/>
      <c r="AB323" s="350"/>
      <c r="AC323" s="350"/>
      <c r="AD323" s="443"/>
      <c r="AE323" s="350"/>
      <c r="AF323" s="350"/>
      <c r="AG323" s="339"/>
      <c r="AH323" s="350"/>
      <c r="AI323" s="350"/>
      <c r="AJ323" s="349"/>
      <c r="AK323" s="349"/>
      <c r="AL323" s="349"/>
      <c r="AM323" s="349"/>
      <c r="AN323" s="44"/>
      <c r="AO323" s="11"/>
      <c r="AP323" s="354" t="s">
        <v>1027</v>
      </c>
    </row>
    <row r="324" spans="1:42" ht="12.75" hidden="1" customHeight="1">
      <c r="A324" s="349"/>
      <c r="B324" s="350"/>
      <c r="C324" s="1221"/>
      <c r="D324" s="1221"/>
      <c r="E324" s="346"/>
      <c r="F324" s="444"/>
      <c r="G324" s="371" t="s">
        <v>22</v>
      </c>
      <c r="H324" s="371"/>
      <c r="I324" s="2486" t="s">
        <v>1027</v>
      </c>
      <c r="J324" s="2486"/>
      <c r="K324" s="2486"/>
      <c r="L324" s="2486"/>
      <c r="M324" s="2486"/>
      <c r="N324" s="2486"/>
      <c r="O324" s="2486"/>
      <c r="P324" s="2486"/>
      <c r="Q324" s="2486"/>
      <c r="R324" s="2486"/>
      <c r="S324" s="2486"/>
      <c r="T324" s="2486"/>
      <c r="U324" s="2486"/>
      <c r="V324" s="2486"/>
      <c r="W324" s="2486"/>
      <c r="X324" s="2486"/>
      <c r="Y324" s="2486"/>
      <c r="Z324" s="2486"/>
      <c r="AA324" s="2486"/>
      <c r="AB324" s="2486"/>
      <c r="AC324" s="2486"/>
      <c r="AD324" s="2487"/>
      <c r="AE324" s="350"/>
      <c r="AF324" s="350"/>
      <c r="AG324" s="339"/>
      <c r="AH324" s="350"/>
      <c r="AI324" s="350"/>
      <c r="AJ324" s="349"/>
      <c r="AK324" s="349"/>
      <c r="AL324" s="349"/>
      <c r="AM324" s="349"/>
      <c r="AN324" s="44"/>
      <c r="AO324" s="11"/>
      <c r="AP324" s="354" t="s">
        <v>2320</v>
      </c>
    </row>
    <row r="325" spans="1:42" hidden="1">
      <c r="A325" s="349"/>
      <c r="B325" s="350"/>
      <c r="C325" s="1221"/>
      <c r="D325" s="1221"/>
      <c r="E325" s="346"/>
      <c r="F325" s="444"/>
      <c r="G325" s="371"/>
      <c r="H325" s="371"/>
      <c r="I325" s="2486"/>
      <c r="J325" s="2486"/>
      <c r="K325" s="2486"/>
      <c r="L325" s="2486"/>
      <c r="M325" s="2486"/>
      <c r="N325" s="2486"/>
      <c r="O325" s="2486"/>
      <c r="P325" s="2486"/>
      <c r="Q325" s="2486"/>
      <c r="R325" s="2486"/>
      <c r="S325" s="2486"/>
      <c r="T325" s="2486"/>
      <c r="U325" s="2486"/>
      <c r="V325" s="2486"/>
      <c r="W325" s="2486"/>
      <c r="X325" s="2486"/>
      <c r="Y325" s="2486"/>
      <c r="Z325" s="2486"/>
      <c r="AA325" s="2486"/>
      <c r="AB325" s="2486"/>
      <c r="AC325" s="2486"/>
      <c r="AD325" s="2487"/>
      <c r="AE325" s="350"/>
      <c r="AF325" s="350"/>
      <c r="AG325" s="339"/>
      <c r="AH325" s="350"/>
      <c r="AI325" s="350"/>
      <c r="AJ325" s="349"/>
      <c r="AK325" s="349"/>
      <c r="AL325" s="349"/>
      <c r="AM325" s="349"/>
      <c r="AN325" s="44"/>
      <c r="AO325" s="11"/>
      <c r="AP325" s="354" t="s">
        <v>2321</v>
      </c>
    </row>
    <row r="326" spans="1:42" hidden="1">
      <c r="A326" s="349"/>
      <c r="B326" s="350"/>
      <c r="C326" s="1200"/>
      <c r="D326" s="1200"/>
      <c r="E326" s="346"/>
      <c r="F326" s="444"/>
      <c r="G326" s="371"/>
      <c r="H326" s="371"/>
      <c r="I326" s="2486"/>
      <c r="J326" s="2486"/>
      <c r="K326" s="2486"/>
      <c r="L326" s="2486"/>
      <c r="M326" s="2486"/>
      <c r="N326" s="2486"/>
      <c r="O326" s="2486"/>
      <c r="P326" s="2486"/>
      <c r="Q326" s="2486"/>
      <c r="R326" s="2486"/>
      <c r="S326" s="2486"/>
      <c r="T326" s="2486"/>
      <c r="U326" s="2486"/>
      <c r="V326" s="2486"/>
      <c r="W326" s="2486"/>
      <c r="X326" s="2486"/>
      <c r="Y326" s="2486"/>
      <c r="Z326" s="2486"/>
      <c r="AA326" s="2486"/>
      <c r="AB326" s="2486"/>
      <c r="AC326" s="2486"/>
      <c r="AD326" s="2487"/>
      <c r="AE326" s="350"/>
      <c r="AF326" s="350"/>
      <c r="AG326" s="339"/>
      <c r="AH326" s="350"/>
      <c r="AI326" s="350"/>
      <c r="AJ326" s="349"/>
      <c r="AK326" s="349"/>
      <c r="AL326" s="349"/>
      <c r="AM326" s="349"/>
      <c r="AN326" s="44"/>
      <c r="AO326" s="11"/>
      <c r="AP326" s="354" t="s">
        <v>2322</v>
      </c>
    </row>
    <row r="327" spans="1:42" hidden="1">
      <c r="A327" s="349"/>
      <c r="B327" s="350"/>
      <c r="C327" s="1200"/>
      <c r="D327" s="1200"/>
      <c r="E327" s="346"/>
      <c r="F327" s="442"/>
      <c r="G327" s="350"/>
      <c r="H327" s="350"/>
      <c r="I327" s="2488"/>
      <c r="J327" s="2488"/>
      <c r="K327" s="2488"/>
      <c r="L327" s="2488"/>
      <c r="M327" s="2488"/>
      <c r="N327" s="2488"/>
      <c r="O327" s="2488"/>
      <c r="P327" s="2488"/>
      <c r="Q327" s="2488"/>
      <c r="R327" s="2488"/>
      <c r="S327" s="2488"/>
      <c r="T327" s="2488"/>
      <c r="U327" s="2488"/>
      <c r="V327" s="2488"/>
      <c r="W327" s="2488"/>
      <c r="X327" s="2488"/>
      <c r="Y327" s="2488"/>
      <c r="Z327" s="2488"/>
      <c r="AA327" s="2488"/>
      <c r="AB327" s="2488"/>
      <c r="AC327" s="2488"/>
      <c r="AD327" s="2489"/>
      <c r="AE327" s="350"/>
      <c r="AF327" s="350"/>
      <c r="AG327" s="339"/>
      <c r="AH327" s="350"/>
      <c r="AI327" s="350"/>
      <c r="AJ327" s="349"/>
      <c r="AK327" s="349"/>
      <c r="AL327" s="349"/>
      <c r="AM327" s="349"/>
      <c r="AN327" s="44"/>
      <c r="AO327" s="11"/>
      <c r="AP327" s="354" t="s">
        <v>2323</v>
      </c>
    </row>
    <row r="328" spans="1:42" hidden="1">
      <c r="A328" s="349"/>
      <c r="B328" s="350"/>
      <c r="C328" s="1200"/>
      <c r="D328" s="1200"/>
      <c r="E328" s="346"/>
      <c r="F328" s="442"/>
      <c r="G328" s="350"/>
      <c r="H328" s="350"/>
      <c r="I328" s="350"/>
      <c r="J328" s="350"/>
      <c r="K328" s="350"/>
      <c r="L328" s="350"/>
      <c r="M328" s="350"/>
      <c r="N328" s="350"/>
      <c r="O328" s="350"/>
      <c r="P328" s="350"/>
      <c r="Q328" s="350"/>
      <c r="R328" s="350"/>
      <c r="S328" s="350"/>
      <c r="T328" s="350"/>
      <c r="U328" s="350"/>
      <c r="V328" s="350"/>
      <c r="W328" s="350"/>
      <c r="X328" s="350"/>
      <c r="Y328" s="350"/>
      <c r="Z328" s="350"/>
      <c r="AA328" s="350"/>
      <c r="AB328" s="350"/>
      <c r="AC328" s="350"/>
      <c r="AD328" s="443"/>
      <c r="AE328" s="350"/>
      <c r="AF328" s="350"/>
      <c r="AG328" s="339"/>
      <c r="AH328" s="350"/>
      <c r="AI328" s="350"/>
      <c r="AJ328" s="349"/>
      <c r="AK328" s="349"/>
      <c r="AL328" s="349"/>
      <c r="AM328" s="349"/>
      <c r="AN328" s="44"/>
      <c r="AO328" s="11"/>
      <c r="AP328" s="23"/>
    </row>
    <row r="329" spans="1:42" hidden="1">
      <c r="A329" s="349"/>
      <c r="B329" s="350"/>
      <c r="C329" s="1200"/>
      <c r="D329" s="1200"/>
      <c r="E329" s="346"/>
      <c r="F329" s="442"/>
      <c r="G329" s="350" t="s">
        <v>27</v>
      </c>
      <c r="H329" s="350"/>
      <c r="I329" s="2486" t="s">
        <v>1027</v>
      </c>
      <c r="J329" s="2486"/>
      <c r="K329" s="2486"/>
      <c r="L329" s="2486"/>
      <c r="M329" s="2486"/>
      <c r="N329" s="2486"/>
      <c r="O329" s="2486"/>
      <c r="P329" s="2486"/>
      <c r="Q329" s="2486"/>
      <c r="R329" s="2486"/>
      <c r="S329" s="2486"/>
      <c r="T329" s="2486"/>
      <c r="U329" s="2486"/>
      <c r="V329" s="2486"/>
      <c r="W329" s="2486"/>
      <c r="X329" s="2486"/>
      <c r="Y329" s="2486"/>
      <c r="Z329" s="2486"/>
      <c r="AA329" s="2486"/>
      <c r="AB329" s="2486"/>
      <c r="AC329" s="2486"/>
      <c r="AD329" s="2487"/>
      <c r="AE329" s="350"/>
      <c r="AF329" s="350"/>
      <c r="AG329" s="339"/>
      <c r="AH329" s="350"/>
      <c r="AI329" s="350"/>
      <c r="AJ329" s="349"/>
      <c r="AK329" s="349"/>
      <c r="AL329" s="349"/>
      <c r="AM329" s="349"/>
      <c r="AN329" s="44"/>
      <c r="AO329" s="11"/>
    </row>
    <row r="330" spans="1:42" hidden="1">
      <c r="A330" s="349"/>
      <c r="B330" s="350"/>
      <c r="C330" s="1200"/>
      <c r="D330" s="1200"/>
      <c r="E330" s="346"/>
      <c r="F330" s="442"/>
      <c r="G330" s="350"/>
      <c r="H330" s="350"/>
      <c r="I330" s="2486"/>
      <c r="J330" s="2486"/>
      <c r="K330" s="2486"/>
      <c r="L330" s="2486"/>
      <c r="M330" s="2486"/>
      <c r="N330" s="2486"/>
      <c r="O330" s="2486"/>
      <c r="P330" s="2486"/>
      <c r="Q330" s="2486"/>
      <c r="R330" s="2486"/>
      <c r="S330" s="2486"/>
      <c r="T330" s="2486"/>
      <c r="U330" s="2486"/>
      <c r="V330" s="2486"/>
      <c r="W330" s="2486"/>
      <c r="X330" s="2486"/>
      <c r="Y330" s="2486"/>
      <c r="Z330" s="2486"/>
      <c r="AA330" s="2486"/>
      <c r="AB330" s="2486"/>
      <c r="AC330" s="2486"/>
      <c r="AD330" s="2487"/>
      <c r="AE330" s="350"/>
      <c r="AF330" s="350"/>
      <c r="AG330" s="339"/>
      <c r="AH330" s="350"/>
      <c r="AI330" s="350"/>
      <c r="AJ330" s="349"/>
      <c r="AK330" s="349"/>
      <c r="AL330" s="349"/>
      <c r="AM330" s="349"/>
      <c r="AN330" s="44"/>
      <c r="AO330" s="11"/>
      <c r="AP330" s="354" t="s">
        <v>1027</v>
      </c>
    </row>
    <row r="331" spans="1:42" hidden="1">
      <c r="A331" s="349"/>
      <c r="B331" s="350"/>
      <c r="C331" s="1200"/>
      <c r="D331" s="1200"/>
      <c r="E331" s="346"/>
      <c r="F331" s="445"/>
      <c r="G331" s="446"/>
      <c r="H331" s="446"/>
      <c r="I331" s="2488"/>
      <c r="J331" s="2488"/>
      <c r="K331" s="2488"/>
      <c r="L331" s="2488"/>
      <c r="M331" s="2488"/>
      <c r="N331" s="2488"/>
      <c r="O331" s="2488"/>
      <c r="P331" s="2488"/>
      <c r="Q331" s="2488"/>
      <c r="R331" s="2488"/>
      <c r="S331" s="2488"/>
      <c r="T331" s="2488"/>
      <c r="U331" s="2488"/>
      <c r="V331" s="2488"/>
      <c r="W331" s="2488"/>
      <c r="X331" s="2488"/>
      <c r="Y331" s="2488"/>
      <c r="Z331" s="2488"/>
      <c r="AA331" s="2488"/>
      <c r="AB331" s="2488"/>
      <c r="AC331" s="2488"/>
      <c r="AD331" s="2489"/>
      <c r="AE331" s="350"/>
      <c r="AF331" s="350"/>
      <c r="AG331" s="339"/>
      <c r="AH331" s="350"/>
      <c r="AI331" s="350"/>
      <c r="AJ331" s="349"/>
      <c r="AK331" s="349"/>
      <c r="AL331" s="349"/>
      <c r="AM331" s="349"/>
      <c r="AN331" s="44"/>
      <c r="AO331" s="11"/>
      <c r="AP331" s="354" t="s">
        <v>2324</v>
      </c>
    </row>
    <row r="332" spans="1:42" hidden="1">
      <c r="A332" s="349"/>
      <c r="B332" s="350"/>
      <c r="C332" s="349"/>
      <c r="D332" s="350"/>
      <c r="E332" s="349"/>
      <c r="F332" s="407"/>
      <c r="G332" s="350"/>
      <c r="H332" s="350"/>
      <c r="I332" s="350"/>
      <c r="J332" s="350"/>
      <c r="K332" s="350"/>
      <c r="L332" s="350"/>
      <c r="M332" s="350"/>
      <c r="N332" s="350"/>
      <c r="O332" s="350"/>
      <c r="P332" s="350"/>
      <c r="Q332" s="350"/>
      <c r="R332" s="350"/>
      <c r="S332" s="350"/>
      <c r="T332" s="350"/>
      <c r="U332" s="350"/>
      <c r="V332" s="350"/>
      <c r="W332" s="350"/>
      <c r="X332" s="350"/>
      <c r="Y332" s="350"/>
      <c r="Z332" s="350"/>
      <c r="AA332" s="350"/>
      <c r="AB332" s="350"/>
      <c r="AC332" s="350"/>
      <c r="AD332" s="350"/>
      <c r="AE332" s="350"/>
      <c r="AF332" s="350"/>
      <c r="AG332" s="350"/>
      <c r="AH332" s="350"/>
      <c r="AI332" s="350"/>
      <c r="AJ332" s="349"/>
      <c r="AK332" s="349"/>
      <c r="AL332" s="349"/>
      <c r="AM332" s="349"/>
      <c r="AN332" s="44"/>
      <c r="AO332" s="11"/>
      <c r="AP332" s="354" t="s">
        <v>2325</v>
      </c>
    </row>
    <row r="333" spans="1:42" ht="12.75" hidden="1" customHeight="1">
      <c r="A333" s="1580" t="s">
        <v>2326</v>
      </c>
      <c r="B333" s="1580"/>
      <c r="C333" s="2375" t="s">
        <v>809</v>
      </c>
      <c r="D333" s="2375"/>
      <c r="E333" s="346"/>
      <c r="F333" s="2474" t="s">
        <v>2327</v>
      </c>
      <c r="G333" s="2475"/>
      <c r="H333" s="2475"/>
      <c r="I333" s="2475"/>
      <c r="J333" s="2475"/>
      <c r="K333" s="2475"/>
      <c r="L333" s="2475"/>
      <c r="M333" s="2475"/>
      <c r="N333" s="2475"/>
      <c r="O333" s="2475"/>
      <c r="P333" s="2475"/>
      <c r="Q333" s="2475"/>
      <c r="R333" s="2475"/>
      <c r="S333" s="2475"/>
      <c r="T333" s="2475"/>
      <c r="U333" s="2475"/>
      <c r="V333" s="2475"/>
      <c r="W333" s="2475"/>
      <c r="X333" s="2475"/>
      <c r="Y333" s="2475"/>
      <c r="Z333" s="2475"/>
      <c r="AA333" s="2475"/>
      <c r="AB333" s="2475"/>
      <c r="AC333" s="2475"/>
      <c r="AD333" s="2476"/>
      <c r="AE333" s="350"/>
      <c r="AF333" s="350"/>
      <c r="AG333" s="339" t="s">
        <v>2310</v>
      </c>
      <c r="AH333" s="350"/>
      <c r="AI333" s="350"/>
      <c r="AJ333" s="349"/>
      <c r="AK333" s="349"/>
      <c r="AL333" s="349"/>
      <c r="AM333" s="349"/>
      <c r="AN333" s="44"/>
      <c r="AO333" s="11"/>
    </row>
    <row r="334" spans="1:42" ht="15" hidden="1" customHeight="1">
      <c r="A334" s="349"/>
      <c r="B334" s="350"/>
      <c r="C334" s="350"/>
      <c r="D334" s="350"/>
      <c r="E334" s="350"/>
      <c r="F334" s="2477"/>
      <c r="G334" s="2478"/>
      <c r="H334" s="2478"/>
      <c r="I334" s="2478"/>
      <c r="J334" s="2478"/>
      <c r="K334" s="2478"/>
      <c r="L334" s="2478"/>
      <c r="M334" s="2478"/>
      <c r="N334" s="2478"/>
      <c r="O334" s="2478"/>
      <c r="P334" s="2478"/>
      <c r="Q334" s="2478"/>
      <c r="R334" s="2478"/>
      <c r="S334" s="2478"/>
      <c r="T334" s="2478"/>
      <c r="U334" s="2478"/>
      <c r="V334" s="2478"/>
      <c r="W334" s="2478"/>
      <c r="X334" s="2478"/>
      <c r="Y334" s="2478"/>
      <c r="Z334" s="2478"/>
      <c r="AA334" s="2478"/>
      <c r="AB334" s="2478"/>
      <c r="AC334" s="2478"/>
      <c r="AD334" s="2479"/>
      <c r="AE334" s="350"/>
      <c r="AF334" s="350"/>
      <c r="AG334" s="350"/>
      <c r="AH334" s="350"/>
      <c r="AI334" s="350"/>
      <c r="AJ334" s="349"/>
      <c r="AK334" s="349"/>
      <c r="AL334" s="349"/>
      <c r="AM334" s="349"/>
      <c r="AN334" s="44"/>
      <c r="AO334" s="11"/>
    </row>
    <row r="335" spans="1:42" ht="15" hidden="1" customHeight="1">
      <c r="A335" s="349"/>
      <c r="B335" s="350"/>
      <c r="C335" s="350"/>
      <c r="D335" s="350"/>
      <c r="E335" s="350"/>
      <c r="F335" s="2477"/>
      <c r="G335" s="2478"/>
      <c r="H335" s="2478"/>
      <c r="I335" s="2478"/>
      <c r="J335" s="2478"/>
      <c r="K335" s="2478"/>
      <c r="L335" s="2478"/>
      <c r="M335" s="2478"/>
      <c r="N335" s="2478"/>
      <c r="O335" s="2478"/>
      <c r="P335" s="2478"/>
      <c r="Q335" s="2478"/>
      <c r="R335" s="2478"/>
      <c r="S335" s="2478"/>
      <c r="T335" s="2478"/>
      <c r="U335" s="2478"/>
      <c r="V335" s="2478"/>
      <c r="W335" s="2478"/>
      <c r="X335" s="2478"/>
      <c r="Y335" s="2478"/>
      <c r="Z335" s="2478"/>
      <c r="AA335" s="2478"/>
      <c r="AB335" s="2478"/>
      <c r="AC335" s="2478"/>
      <c r="AD335" s="2479"/>
      <c r="AE335" s="350"/>
      <c r="AF335" s="350"/>
      <c r="AG335" s="350"/>
      <c r="AH335" s="350"/>
      <c r="AI335" s="350"/>
      <c r="AJ335" s="349"/>
      <c r="AK335" s="349"/>
      <c r="AL335" s="349"/>
      <c r="AM335" s="447"/>
      <c r="AN335" s="11"/>
      <c r="AO335" s="11"/>
    </row>
    <row r="336" spans="1:42" hidden="1">
      <c r="A336" s="349"/>
      <c r="B336" s="350"/>
      <c r="C336" s="349"/>
      <c r="D336" s="350"/>
      <c r="E336" s="349"/>
      <c r="F336" s="448" t="s">
        <v>2328</v>
      </c>
      <c r="G336" s="449"/>
      <c r="H336" s="449"/>
      <c r="I336" s="449"/>
      <c r="J336" s="449"/>
      <c r="K336" s="449"/>
      <c r="L336" s="449"/>
      <c r="M336" s="449"/>
      <c r="N336" s="449"/>
      <c r="O336" s="449"/>
      <c r="P336" s="449"/>
      <c r="Q336" s="449"/>
      <c r="R336" s="449"/>
      <c r="S336" s="449"/>
      <c r="T336" s="449"/>
      <c r="U336" s="449"/>
      <c r="V336" s="449"/>
      <c r="W336" s="449"/>
      <c r="X336" s="449"/>
      <c r="Y336" s="449"/>
      <c r="Z336" s="449"/>
      <c r="AA336" s="449"/>
      <c r="AB336" s="449"/>
      <c r="AC336" s="449"/>
      <c r="AD336" s="450"/>
      <c r="AE336" s="350"/>
      <c r="AF336" s="350"/>
      <c r="AG336" s="350"/>
      <c r="AH336" s="350"/>
      <c r="AI336" s="350"/>
      <c r="AJ336" s="349"/>
      <c r="AK336" s="349"/>
      <c r="AL336" s="349"/>
      <c r="AM336" s="447"/>
      <c r="AN336" s="23"/>
    </row>
    <row r="337" spans="1:44" hidden="1">
      <c r="A337" s="349"/>
      <c r="B337" s="350"/>
      <c r="C337" s="349"/>
      <c r="D337" s="350"/>
      <c r="E337" s="349"/>
      <c r="F337" s="451"/>
      <c r="G337" s="451"/>
      <c r="H337" s="451"/>
      <c r="I337" s="451"/>
      <c r="J337" s="451"/>
      <c r="K337" s="451"/>
      <c r="L337" s="451"/>
      <c r="M337" s="451"/>
      <c r="N337" s="451"/>
      <c r="O337" s="451"/>
      <c r="P337" s="451"/>
      <c r="Q337" s="451"/>
      <c r="R337" s="451"/>
      <c r="S337" s="451"/>
      <c r="T337" s="451"/>
      <c r="U337" s="451"/>
      <c r="V337" s="451"/>
      <c r="W337" s="451"/>
      <c r="X337" s="451"/>
      <c r="Y337" s="451"/>
      <c r="Z337" s="451"/>
      <c r="AA337" s="451"/>
      <c r="AB337" s="451"/>
      <c r="AC337" s="451"/>
      <c r="AD337" s="451"/>
      <c r="AE337" s="350"/>
      <c r="AF337" s="350"/>
      <c r="AG337" s="350"/>
      <c r="AH337" s="350"/>
      <c r="AI337" s="350"/>
      <c r="AJ337" s="349"/>
      <c r="AK337" s="349"/>
      <c r="AL337" s="349"/>
      <c r="AM337" s="447"/>
      <c r="AN337" s="23"/>
    </row>
    <row r="338" spans="1:44">
      <c r="A338" s="398"/>
      <c r="B338" s="452"/>
      <c r="C338" s="452"/>
      <c r="D338" s="452"/>
      <c r="E338" s="452"/>
      <c r="F338" s="452"/>
      <c r="G338" s="452"/>
      <c r="H338" s="452"/>
      <c r="I338" s="452"/>
      <c r="J338" s="452"/>
      <c r="K338" s="452"/>
      <c r="L338" s="452"/>
      <c r="M338" s="452"/>
      <c r="N338" s="452"/>
      <c r="O338" s="452"/>
      <c r="P338" s="452"/>
      <c r="Q338" s="452"/>
      <c r="R338" s="452"/>
      <c r="S338" s="452"/>
      <c r="T338" s="452"/>
      <c r="U338" s="452"/>
      <c r="V338" s="452"/>
      <c r="W338" s="452"/>
      <c r="X338" s="452"/>
      <c r="Y338" s="452"/>
      <c r="Z338" s="452"/>
      <c r="AA338" s="452"/>
      <c r="AB338" s="452"/>
      <c r="AC338" s="453"/>
      <c r="AD338" s="452"/>
      <c r="AE338" s="361"/>
      <c r="AF338" s="361"/>
      <c r="AG338" s="361"/>
      <c r="AH338" s="361"/>
      <c r="AI338" s="362"/>
      <c r="AJ338" s="362" t="s">
        <v>2329</v>
      </c>
      <c r="AK338" s="2361">
        <f>IF(NOT(OR(Application!M355="Yes",Application!M356="Yes")),0,AP295)</f>
        <v>10</v>
      </c>
      <c r="AL338" s="2362"/>
      <c r="AM338" s="2363"/>
      <c r="AN338" s="23"/>
    </row>
    <row r="339" spans="1:44" s="349" customFormat="1" ht="12.75" customHeight="1" thickBot="1">
      <c r="A339" s="412"/>
      <c r="B339" s="412"/>
      <c r="C339" s="412"/>
      <c r="D339" s="412"/>
      <c r="E339" s="412"/>
      <c r="F339" s="412"/>
      <c r="G339" s="412"/>
      <c r="H339" s="412"/>
      <c r="I339" s="412"/>
      <c r="J339" s="412"/>
      <c r="K339" s="412"/>
      <c r="L339" s="412"/>
      <c r="M339" s="412"/>
      <c r="N339" s="412"/>
      <c r="O339" s="412"/>
      <c r="P339" s="412"/>
      <c r="Q339" s="412"/>
      <c r="R339" s="412"/>
      <c r="S339" s="412"/>
      <c r="T339" s="412"/>
      <c r="U339" s="412"/>
      <c r="V339" s="412"/>
      <c r="W339" s="412"/>
      <c r="X339" s="412"/>
      <c r="Y339" s="412"/>
      <c r="Z339" s="412"/>
      <c r="AA339" s="412"/>
      <c r="AB339" s="412"/>
      <c r="AC339" s="412"/>
      <c r="AD339" s="412"/>
      <c r="AE339" s="412"/>
      <c r="AF339" s="412"/>
      <c r="AG339" s="412"/>
      <c r="AH339" s="412"/>
      <c r="AI339" s="412"/>
      <c r="AJ339" s="412"/>
      <c r="AK339" s="412"/>
      <c r="AL339" s="412"/>
      <c r="AM339" s="412"/>
      <c r="AN339" s="390"/>
    </row>
    <row r="340" spans="1:44" s="349"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390"/>
    </row>
    <row r="341" spans="1:44" s="349" customFormat="1" ht="12.75" customHeight="1">
      <c r="A341" s="339" t="s">
        <v>2330</v>
      </c>
      <c r="B341" s="339" t="s">
        <v>2331</v>
      </c>
      <c r="C341" s="336"/>
      <c r="AC341" s="339"/>
      <c r="AE341" s="2394" t="s">
        <v>2162</v>
      </c>
      <c r="AF341" s="2394"/>
      <c r="AG341" s="2394"/>
      <c r="AH341" s="2394"/>
      <c r="AI341" s="2394"/>
      <c r="AJ341" s="2394"/>
      <c r="AK341" s="2394"/>
      <c r="AL341" s="339"/>
      <c r="AM341" s="339"/>
      <c r="AN341" s="386"/>
    </row>
    <row r="342" spans="1:44" s="349" customFormat="1" ht="12.75" customHeight="1">
      <c r="A342" s="339"/>
      <c r="B342" s="339"/>
      <c r="C342" s="336"/>
      <c r="AC342" s="339"/>
      <c r="AE342" s="1189"/>
      <c r="AF342" s="1189"/>
      <c r="AG342" s="1189"/>
      <c r="AH342" s="1189"/>
      <c r="AI342" s="1189"/>
      <c r="AJ342" s="1189"/>
      <c r="AK342" s="1189"/>
      <c r="AL342" s="339"/>
      <c r="AM342" s="339"/>
      <c r="AN342" s="386"/>
    </row>
    <row r="343" spans="1:44" s="349" customFormat="1" ht="12.75" customHeight="1">
      <c r="A343" s="396"/>
      <c r="B343" s="403"/>
      <c r="C343" s="2370" t="s">
        <v>2332</v>
      </c>
      <c r="D343" s="2370"/>
      <c r="E343" s="2370"/>
      <c r="F343" s="2370"/>
      <c r="G343" s="2370"/>
      <c r="H343" s="2370"/>
      <c r="I343" s="2370"/>
      <c r="J343" s="2370"/>
      <c r="K343" s="2370"/>
      <c r="L343" s="2370"/>
      <c r="M343" s="2370"/>
      <c r="N343" s="2370"/>
      <c r="O343" s="2370"/>
      <c r="P343" s="2370"/>
      <c r="Q343" s="2370"/>
      <c r="R343" s="2370"/>
      <c r="S343" s="2370"/>
      <c r="T343" s="2370"/>
      <c r="U343" s="2370"/>
      <c r="V343" s="2370"/>
      <c r="W343" s="2370"/>
      <c r="X343" s="2370"/>
      <c r="Y343" s="2370"/>
      <c r="Z343" s="2370"/>
      <c r="AA343" s="2370"/>
      <c r="AB343" s="2370"/>
      <c r="AC343" s="2370"/>
      <c r="AD343" s="2370"/>
      <c r="AE343" s="2370"/>
      <c r="AF343" s="2370"/>
      <c r="AG343" s="2370"/>
      <c r="AH343" s="2370"/>
      <c r="AI343" s="2370"/>
      <c r="AJ343" s="2370"/>
      <c r="AK343" s="396"/>
      <c r="AL343" s="396"/>
      <c r="AM343" s="396"/>
      <c r="AN343" s="390"/>
    </row>
    <row r="344" spans="1:44" s="349" customFormat="1" ht="12.75" customHeight="1">
      <c r="A344" s="396"/>
      <c r="B344" s="403"/>
      <c r="C344" s="2370"/>
      <c r="D344" s="2370"/>
      <c r="E344" s="2370"/>
      <c r="F344" s="2370"/>
      <c r="G344" s="2370"/>
      <c r="H344" s="2370"/>
      <c r="I344" s="2370"/>
      <c r="J344" s="2370"/>
      <c r="K344" s="2370"/>
      <c r="L344" s="2370"/>
      <c r="M344" s="2370"/>
      <c r="N344" s="2370"/>
      <c r="O344" s="2370"/>
      <c r="P344" s="2370"/>
      <c r="Q344" s="2370"/>
      <c r="R344" s="2370"/>
      <c r="S344" s="2370"/>
      <c r="T344" s="2370"/>
      <c r="U344" s="2370"/>
      <c r="V344" s="2370"/>
      <c r="W344" s="2370"/>
      <c r="X344" s="2370"/>
      <c r="Y344" s="2370"/>
      <c r="Z344" s="2370"/>
      <c r="AA344" s="2370"/>
      <c r="AB344" s="2370"/>
      <c r="AC344" s="2370"/>
      <c r="AD344" s="2370"/>
      <c r="AE344" s="2370"/>
      <c r="AF344" s="2370"/>
      <c r="AG344" s="2370"/>
      <c r="AH344" s="2370"/>
      <c r="AI344" s="2370"/>
      <c r="AJ344" s="2370"/>
      <c r="AK344" s="396"/>
      <c r="AL344" s="396"/>
      <c r="AM344" s="396"/>
      <c r="AN344" s="390"/>
    </row>
    <row r="345" spans="1:44" s="349" customFormat="1" ht="12.75" customHeight="1">
      <c r="A345" s="396"/>
      <c r="B345" s="403"/>
      <c r="C345" s="2370"/>
      <c r="D345" s="2370"/>
      <c r="E345" s="2370"/>
      <c r="F345" s="2370"/>
      <c r="G345" s="2370"/>
      <c r="H345" s="2370"/>
      <c r="I345" s="2370"/>
      <c r="J345" s="2370"/>
      <c r="K345" s="2370"/>
      <c r="L345" s="2370"/>
      <c r="M345" s="2370"/>
      <c r="N345" s="2370"/>
      <c r="O345" s="2370"/>
      <c r="P345" s="2370"/>
      <c r="Q345" s="2370"/>
      <c r="R345" s="2370"/>
      <c r="S345" s="2370"/>
      <c r="T345" s="2370"/>
      <c r="U345" s="2370"/>
      <c r="V345" s="2370"/>
      <c r="W345" s="2370"/>
      <c r="X345" s="2370"/>
      <c r="Y345" s="2370"/>
      <c r="Z345" s="2370"/>
      <c r="AA345" s="2370"/>
      <c r="AB345" s="2370"/>
      <c r="AC345" s="2370"/>
      <c r="AD345" s="2370"/>
      <c r="AE345" s="2370"/>
      <c r="AF345" s="2370"/>
      <c r="AG345" s="2370"/>
      <c r="AH345" s="2370"/>
      <c r="AI345" s="2370"/>
      <c r="AJ345" s="2370"/>
      <c r="AK345" s="396"/>
      <c r="AL345" s="396"/>
      <c r="AM345" s="396"/>
      <c r="AN345" s="390"/>
      <c r="AQ345" s="367"/>
    </row>
    <row r="346" spans="1:44" s="349" customFormat="1" ht="12.75" customHeight="1">
      <c r="A346" s="396"/>
      <c r="B346" s="403"/>
      <c r="C346" s="2370"/>
      <c r="D346" s="2370"/>
      <c r="E346" s="2370"/>
      <c r="F346" s="2370"/>
      <c r="G346" s="2370"/>
      <c r="H346" s="2370"/>
      <c r="I346" s="2370"/>
      <c r="J346" s="2370"/>
      <c r="K346" s="2370"/>
      <c r="L346" s="2370"/>
      <c r="M346" s="2370"/>
      <c r="N346" s="2370"/>
      <c r="O346" s="2370"/>
      <c r="P346" s="2370"/>
      <c r="Q346" s="2370"/>
      <c r="R346" s="2370"/>
      <c r="S346" s="2370"/>
      <c r="T346" s="2370"/>
      <c r="U346" s="2370"/>
      <c r="V346" s="2370"/>
      <c r="W346" s="2370"/>
      <c r="X346" s="2370"/>
      <c r="Y346" s="2370"/>
      <c r="Z346" s="2370"/>
      <c r="AA346" s="2370"/>
      <c r="AB346" s="2370"/>
      <c r="AC346" s="2370"/>
      <c r="AD346" s="2370"/>
      <c r="AE346" s="2370"/>
      <c r="AF346" s="2370"/>
      <c r="AG346" s="2370"/>
      <c r="AH346" s="2370"/>
      <c r="AI346" s="2370"/>
      <c r="AJ346" s="2370"/>
      <c r="AK346" s="396"/>
      <c r="AL346" s="396"/>
      <c r="AM346" s="396"/>
      <c r="AN346" s="390"/>
      <c r="AQ346" s="367"/>
    </row>
    <row r="347" spans="1:44" s="349" customFormat="1" ht="12.6" customHeight="1">
      <c r="A347" s="396"/>
      <c r="B347" s="403"/>
      <c r="C347" s="2370"/>
      <c r="D347" s="2370"/>
      <c r="E347" s="2370"/>
      <c r="F347" s="2370"/>
      <c r="G347" s="2370"/>
      <c r="H347" s="2370"/>
      <c r="I347" s="2370"/>
      <c r="J347" s="2370"/>
      <c r="K347" s="2370"/>
      <c r="L347" s="2370"/>
      <c r="M347" s="2370"/>
      <c r="N347" s="2370"/>
      <c r="O347" s="2370"/>
      <c r="P347" s="2370"/>
      <c r="Q347" s="2370"/>
      <c r="R347" s="2370"/>
      <c r="S347" s="2370"/>
      <c r="T347" s="2370"/>
      <c r="U347" s="2370"/>
      <c r="V347" s="2370"/>
      <c r="W347" s="2370"/>
      <c r="X347" s="2370"/>
      <c r="Y347" s="2370"/>
      <c r="Z347" s="2370"/>
      <c r="AA347" s="2370"/>
      <c r="AB347" s="2370"/>
      <c r="AC347" s="2370"/>
      <c r="AD347" s="2370"/>
      <c r="AE347" s="2370"/>
      <c r="AF347" s="2370"/>
      <c r="AG347" s="2370"/>
      <c r="AH347" s="2370"/>
      <c r="AI347" s="2370"/>
      <c r="AJ347" s="2370"/>
      <c r="AK347" s="396"/>
      <c r="AL347" s="396"/>
      <c r="AM347" s="396"/>
      <c r="AN347" s="390"/>
      <c r="AQ347" s="367"/>
      <c r="AR347" s="367"/>
    </row>
    <row r="348" spans="1:44" s="349" customFormat="1" ht="45.75" customHeight="1">
      <c r="A348" s="396"/>
      <c r="B348" s="403"/>
      <c r="C348" s="2370" t="s">
        <v>2333</v>
      </c>
      <c r="D348" s="2370"/>
      <c r="E348" s="2370"/>
      <c r="F348" s="2370"/>
      <c r="G348" s="2370"/>
      <c r="H348" s="2370"/>
      <c r="I348" s="2370"/>
      <c r="J348" s="2370"/>
      <c r="K348" s="2370"/>
      <c r="L348" s="2370"/>
      <c r="M348" s="2370"/>
      <c r="N348" s="2370"/>
      <c r="O348" s="2370"/>
      <c r="P348" s="2370"/>
      <c r="Q348" s="2370"/>
      <c r="R348" s="2370"/>
      <c r="S348" s="2370"/>
      <c r="T348" s="2370"/>
      <c r="U348" s="2370"/>
      <c r="V348" s="2370"/>
      <c r="W348" s="2370"/>
      <c r="X348" s="2370"/>
      <c r="Y348" s="2370"/>
      <c r="Z348" s="2370"/>
      <c r="AA348" s="2370"/>
      <c r="AB348" s="2370"/>
      <c r="AC348" s="2370"/>
      <c r="AD348" s="2370"/>
      <c r="AE348" s="2370"/>
      <c r="AF348" s="2370"/>
      <c r="AG348" s="2370"/>
      <c r="AH348" s="2370"/>
      <c r="AI348" s="2370"/>
      <c r="AJ348" s="2370"/>
      <c r="AK348" s="396"/>
      <c r="AL348" s="396"/>
      <c r="AM348" s="396"/>
      <c r="AN348" s="390"/>
      <c r="AQ348" s="367"/>
      <c r="AR348" s="367"/>
    </row>
    <row r="349" spans="1:44" s="349" customFormat="1" ht="12.6" customHeight="1">
      <c r="A349" s="396"/>
      <c r="B349" s="403"/>
      <c r="C349" s="1205"/>
      <c r="D349" s="1205"/>
      <c r="E349" s="1205"/>
      <c r="F349" s="1205"/>
      <c r="G349" s="1205"/>
      <c r="H349" s="1205"/>
      <c r="I349" s="1205"/>
      <c r="J349" s="1205"/>
      <c r="K349" s="1205"/>
      <c r="L349" s="1205"/>
      <c r="M349" s="1205"/>
      <c r="N349" s="1205"/>
      <c r="O349" s="1205"/>
      <c r="P349" s="1205"/>
      <c r="Q349" s="1205"/>
      <c r="R349" s="1205"/>
      <c r="S349" s="1205"/>
      <c r="T349" s="1205"/>
      <c r="U349" s="1205"/>
      <c r="V349" s="1205"/>
      <c r="W349" s="1205"/>
      <c r="X349" s="1205"/>
      <c r="Y349" s="1205"/>
      <c r="Z349" s="1205"/>
      <c r="AA349" s="1205"/>
      <c r="AB349" s="1205"/>
      <c r="AC349" s="1205"/>
      <c r="AD349" s="1205"/>
      <c r="AE349" s="1205"/>
      <c r="AF349" s="1205"/>
      <c r="AG349" s="1205"/>
      <c r="AH349" s="1205"/>
      <c r="AI349" s="1205"/>
      <c r="AJ349" s="1205"/>
      <c r="AK349" s="396"/>
      <c r="AL349" s="396"/>
      <c r="AM349" s="396"/>
      <c r="AN349" s="390"/>
      <c r="AQ349" s="367"/>
      <c r="AR349" s="367"/>
    </row>
    <row r="350" spans="1:44" s="349" customFormat="1" ht="12.75" customHeight="1">
      <c r="A350" s="396"/>
      <c r="B350" s="403"/>
      <c r="C350" s="2370" t="s">
        <v>2334</v>
      </c>
      <c r="D350" s="2370"/>
      <c r="E350" s="2370"/>
      <c r="F350" s="2370"/>
      <c r="G350" s="2370"/>
      <c r="H350" s="2370"/>
      <c r="I350" s="2370"/>
      <c r="J350" s="2370"/>
      <c r="K350" s="2370"/>
      <c r="L350" s="2370"/>
      <c r="M350" s="2370"/>
      <c r="N350" s="2370"/>
      <c r="O350" s="2370"/>
      <c r="P350" s="2370"/>
      <c r="Q350" s="2370"/>
      <c r="R350" s="2370"/>
      <c r="S350" s="2370"/>
      <c r="T350" s="2370"/>
      <c r="U350" s="2370"/>
      <c r="V350" s="2370"/>
      <c r="W350" s="2370"/>
      <c r="X350" s="2370"/>
      <c r="Y350" s="2370"/>
      <c r="Z350" s="2370"/>
      <c r="AA350" s="2370"/>
      <c r="AB350" s="2370"/>
      <c r="AC350" s="2370"/>
      <c r="AD350" s="2370"/>
      <c r="AE350" s="2370"/>
      <c r="AF350" s="2370"/>
      <c r="AG350" s="2370"/>
      <c r="AH350" s="2370"/>
      <c r="AI350" s="2370"/>
      <c r="AJ350" s="2370"/>
      <c r="AK350" s="396"/>
      <c r="AL350" s="396"/>
      <c r="AM350" s="396"/>
      <c r="AN350" s="390"/>
      <c r="AQ350" s="367"/>
      <c r="AR350" s="367"/>
    </row>
    <row r="351" spans="1:44" s="349" customFormat="1" ht="30" customHeight="1">
      <c r="A351" s="396"/>
      <c r="B351" s="403"/>
      <c r="C351" s="2370"/>
      <c r="D351" s="2370"/>
      <c r="E351" s="2370"/>
      <c r="F351" s="2370"/>
      <c r="G351" s="2370"/>
      <c r="H351" s="2370"/>
      <c r="I351" s="2370"/>
      <c r="J351" s="2370"/>
      <c r="K351" s="2370"/>
      <c r="L351" s="2370"/>
      <c r="M351" s="2370"/>
      <c r="N351" s="2370"/>
      <c r="O351" s="2370"/>
      <c r="P351" s="2370"/>
      <c r="Q351" s="2370"/>
      <c r="R351" s="2370"/>
      <c r="S351" s="2370"/>
      <c r="T351" s="2370"/>
      <c r="U351" s="2370"/>
      <c r="V351" s="2370"/>
      <c r="W351" s="2370"/>
      <c r="X351" s="2370"/>
      <c r="Y351" s="2370"/>
      <c r="Z351" s="2370"/>
      <c r="AA351" s="2370"/>
      <c r="AB351" s="2370"/>
      <c r="AC351" s="2370"/>
      <c r="AD351" s="2370"/>
      <c r="AE351" s="2370"/>
      <c r="AF351" s="2370"/>
      <c r="AG351" s="2370"/>
      <c r="AH351" s="2370"/>
      <c r="AI351" s="2370"/>
      <c r="AJ351" s="2370"/>
      <c r="AK351" s="396"/>
      <c r="AL351" s="396"/>
      <c r="AM351" s="396"/>
      <c r="AN351" s="390"/>
      <c r="AR351" s="367"/>
    </row>
    <row r="352" spans="1:44" s="349" customFormat="1" ht="12.75" customHeight="1">
      <c r="A352" s="396"/>
      <c r="B352" s="403"/>
      <c r="C352" s="2370"/>
      <c r="D352" s="2370"/>
      <c r="E352" s="2370"/>
      <c r="F352" s="2370"/>
      <c r="G352" s="2370"/>
      <c r="H352" s="2370"/>
      <c r="I352" s="2370"/>
      <c r="J352" s="2370"/>
      <c r="K352" s="2370"/>
      <c r="L352" s="2370"/>
      <c r="M352" s="2370"/>
      <c r="N352" s="2370"/>
      <c r="O352" s="2370"/>
      <c r="P352" s="2370"/>
      <c r="Q352" s="2370"/>
      <c r="R352" s="2370"/>
      <c r="S352" s="2370"/>
      <c r="T352" s="2370"/>
      <c r="U352" s="2370"/>
      <c r="V352" s="2370"/>
      <c r="W352" s="2370"/>
      <c r="X352" s="2370"/>
      <c r="Y352" s="2370"/>
      <c r="Z352" s="2370"/>
      <c r="AA352" s="2370"/>
      <c r="AB352" s="2370"/>
      <c r="AC352" s="2370"/>
      <c r="AD352" s="2370"/>
      <c r="AE352" s="2370"/>
      <c r="AF352" s="2370"/>
      <c r="AG352" s="2370"/>
      <c r="AH352" s="2370"/>
      <c r="AI352" s="2370"/>
      <c r="AJ352" s="2370"/>
      <c r="AK352" s="396"/>
      <c r="AL352" s="396"/>
      <c r="AM352" s="396"/>
      <c r="AN352" s="390"/>
      <c r="AR352" s="367"/>
    </row>
    <row r="353" spans="1:46" s="349" customFormat="1" ht="12.75" customHeight="1">
      <c r="A353" s="396"/>
      <c r="B353" s="403"/>
      <c r="C353" s="2370" t="s">
        <v>2335</v>
      </c>
      <c r="D353" s="2370"/>
      <c r="E353" s="2370"/>
      <c r="F353" s="2370"/>
      <c r="G353" s="2370"/>
      <c r="H353" s="2370"/>
      <c r="I353" s="2370"/>
      <c r="J353" s="2370"/>
      <c r="K353" s="2370"/>
      <c r="L353" s="2370"/>
      <c r="M353" s="2370"/>
      <c r="N353" s="2370"/>
      <c r="O353" s="2370"/>
      <c r="P353" s="2370"/>
      <c r="Q353" s="2370"/>
      <c r="R353" s="2370"/>
      <c r="S353" s="2370"/>
      <c r="T353" s="2370"/>
      <c r="U353" s="2370"/>
      <c r="V353" s="2370"/>
      <c r="W353" s="2370"/>
      <c r="X353" s="2370"/>
      <c r="Y353" s="2370"/>
      <c r="Z353" s="2370"/>
      <c r="AA353" s="2370"/>
      <c r="AB353" s="2370"/>
      <c r="AC353" s="2370"/>
      <c r="AD353" s="2370"/>
      <c r="AE353" s="2370"/>
      <c r="AF353" s="2370"/>
      <c r="AG353" s="2370"/>
      <c r="AH353" s="2370"/>
      <c r="AI353" s="2370"/>
      <c r="AJ353" s="2370"/>
      <c r="AK353" s="396"/>
      <c r="AL353" s="396"/>
      <c r="AM353" s="396"/>
      <c r="AN353" s="390"/>
      <c r="AQ353" s="367"/>
      <c r="AR353" s="367"/>
    </row>
    <row r="354" spans="1:46" s="349" customFormat="1" ht="12.75" customHeight="1">
      <c r="A354" s="396"/>
      <c r="B354" s="403"/>
      <c r="C354" s="2370"/>
      <c r="D354" s="2370"/>
      <c r="E354" s="2370"/>
      <c r="F354" s="2370"/>
      <c r="G354" s="2370"/>
      <c r="H354" s="2370"/>
      <c r="I354" s="2370"/>
      <c r="J354" s="2370"/>
      <c r="K354" s="2370"/>
      <c r="L354" s="2370"/>
      <c r="M354" s="2370"/>
      <c r="N354" s="2370"/>
      <c r="O354" s="2370"/>
      <c r="P354" s="2370"/>
      <c r="Q354" s="2370"/>
      <c r="R354" s="2370"/>
      <c r="S354" s="2370"/>
      <c r="T354" s="2370"/>
      <c r="U354" s="2370"/>
      <c r="V354" s="2370"/>
      <c r="W354" s="2370"/>
      <c r="X354" s="2370"/>
      <c r="Y354" s="2370"/>
      <c r="Z354" s="2370"/>
      <c r="AA354" s="2370"/>
      <c r="AB354" s="2370"/>
      <c r="AC354" s="2370"/>
      <c r="AD354" s="2370"/>
      <c r="AE354" s="2370"/>
      <c r="AF354" s="2370"/>
      <c r="AG354" s="2370"/>
      <c r="AH354" s="2370"/>
      <c r="AI354" s="2370"/>
      <c r="AJ354" s="2370"/>
      <c r="AK354" s="396"/>
      <c r="AL354" s="396"/>
      <c r="AM354" s="396"/>
      <c r="AN354" s="390"/>
      <c r="AQ354" s="367"/>
      <c r="AR354" s="367"/>
    </row>
    <row r="355" spans="1:46" s="349" customFormat="1" ht="13.35" customHeight="1">
      <c r="A355" s="396"/>
      <c r="B355" s="403"/>
      <c r="C355" s="2370"/>
      <c r="D355" s="2370"/>
      <c r="E355" s="2370"/>
      <c r="F355" s="2370"/>
      <c r="G355" s="2370"/>
      <c r="H355" s="2370"/>
      <c r="I355" s="2370"/>
      <c r="J355" s="2370"/>
      <c r="K355" s="2370"/>
      <c r="L355" s="2370"/>
      <c r="M355" s="2370"/>
      <c r="N355" s="2370"/>
      <c r="O355" s="2370"/>
      <c r="P355" s="2370"/>
      <c r="Q355" s="2370"/>
      <c r="R355" s="2370"/>
      <c r="S355" s="2370"/>
      <c r="T355" s="2370"/>
      <c r="U355" s="2370"/>
      <c r="V355" s="2370"/>
      <c r="W355" s="2370"/>
      <c r="X355" s="2370"/>
      <c r="Y355" s="2370"/>
      <c r="Z355" s="2370"/>
      <c r="AA355" s="2370"/>
      <c r="AB355" s="2370"/>
      <c r="AC355" s="2370"/>
      <c r="AD355" s="2370"/>
      <c r="AE355" s="2370"/>
      <c r="AF355" s="2370"/>
      <c r="AG355" s="2370"/>
      <c r="AH355" s="2370"/>
      <c r="AI355" s="2370"/>
      <c r="AJ355" s="2370"/>
      <c r="AK355" s="396"/>
      <c r="AL355" s="396"/>
      <c r="AM355" s="396"/>
      <c r="AN355" s="390"/>
      <c r="AQ355" s="367"/>
      <c r="AR355" s="367"/>
    </row>
    <row r="356" spans="1:46" s="349" customFormat="1" ht="12.75" customHeight="1">
      <c r="A356" s="396"/>
      <c r="B356" s="403"/>
      <c r="C356" s="2370"/>
      <c r="D356" s="2370"/>
      <c r="E356" s="2370"/>
      <c r="F356" s="2370"/>
      <c r="G356" s="2370"/>
      <c r="H356" s="2370"/>
      <c r="I356" s="2370"/>
      <c r="J356" s="2370"/>
      <c r="K356" s="2370"/>
      <c r="L356" s="2370"/>
      <c r="M356" s="2370"/>
      <c r="N356" s="2370"/>
      <c r="O356" s="2370"/>
      <c r="P356" s="2370"/>
      <c r="Q356" s="2370"/>
      <c r="R356" s="2370"/>
      <c r="S356" s="2370"/>
      <c r="T356" s="2370"/>
      <c r="U356" s="2370"/>
      <c r="V356" s="2370"/>
      <c r="W356" s="2370"/>
      <c r="X356" s="2370"/>
      <c r="Y356" s="2370"/>
      <c r="Z356" s="2370"/>
      <c r="AA356" s="2370"/>
      <c r="AB356" s="2370"/>
      <c r="AC356" s="2370"/>
      <c r="AD356" s="2370"/>
      <c r="AE356" s="2370"/>
      <c r="AF356" s="2370"/>
      <c r="AG356" s="2370"/>
      <c r="AH356" s="2370"/>
      <c r="AI356" s="2370"/>
      <c r="AJ356" s="2370"/>
      <c r="AK356" s="396"/>
      <c r="AL356" s="396"/>
      <c r="AM356" s="396"/>
      <c r="AN356" s="390"/>
      <c r="AO356" s="480"/>
      <c r="AP356" s="480"/>
      <c r="AQ356" s="367"/>
    </row>
    <row r="357" spans="1:46" s="349" customFormat="1" ht="11.85" customHeight="1">
      <c r="A357" s="396"/>
      <c r="B357" s="403"/>
      <c r="C357" s="2370"/>
      <c r="D357" s="2370"/>
      <c r="E357" s="2370"/>
      <c r="F357" s="2370"/>
      <c r="G357" s="2370"/>
      <c r="H357" s="2370"/>
      <c r="I357" s="2370"/>
      <c r="J357" s="2370"/>
      <c r="K357" s="2370"/>
      <c r="L357" s="2370"/>
      <c r="M357" s="2370"/>
      <c r="N357" s="2370"/>
      <c r="O357" s="2370"/>
      <c r="P357" s="2370"/>
      <c r="Q357" s="2370"/>
      <c r="R357" s="2370"/>
      <c r="S357" s="2370"/>
      <c r="T357" s="2370"/>
      <c r="U357" s="2370"/>
      <c r="V357" s="2370"/>
      <c r="W357" s="2370"/>
      <c r="X357" s="2370"/>
      <c r="Y357" s="2370"/>
      <c r="Z357" s="2370"/>
      <c r="AA357" s="2370"/>
      <c r="AB357" s="2370"/>
      <c r="AC357" s="2370"/>
      <c r="AD357" s="2370"/>
      <c r="AE357" s="2370"/>
      <c r="AF357" s="2370"/>
      <c r="AG357" s="2370"/>
      <c r="AH357" s="2370"/>
      <c r="AI357" s="2370"/>
      <c r="AJ357" s="2370"/>
      <c r="AK357" s="396"/>
      <c r="AL357" s="396"/>
      <c r="AM357" s="396"/>
      <c r="AN357" s="390"/>
      <c r="AO357" s="481" t="s">
        <v>18</v>
      </c>
      <c r="AP357" s="482">
        <f>IF(C381="Yes",5,0)</f>
        <v>5</v>
      </c>
      <c r="AS357" s="339" t="s">
        <v>2336</v>
      </c>
    </row>
    <row r="358" spans="1:46" s="349" customFormat="1" ht="12.75" customHeight="1">
      <c r="A358" s="396"/>
      <c r="B358" s="403"/>
      <c r="C358" s="2370"/>
      <c r="D358" s="2370"/>
      <c r="E358" s="2370"/>
      <c r="F358" s="2370"/>
      <c r="G358" s="2370"/>
      <c r="H358" s="2370"/>
      <c r="I358" s="2370"/>
      <c r="J358" s="2370"/>
      <c r="K358" s="2370"/>
      <c r="L358" s="2370"/>
      <c r="M358" s="2370"/>
      <c r="N358" s="2370"/>
      <c r="O358" s="2370"/>
      <c r="P358" s="2370"/>
      <c r="Q358" s="2370"/>
      <c r="R358" s="2370"/>
      <c r="S358" s="2370"/>
      <c r="T358" s="2370"/>
      <c r="U358" s="2370"/>
      <c r="V358" s="2370"/>
      <c r="W358" s="2370"/>
      <c r="X358" s="2370"/>
      <c r="Y358" s="2370"/>
      <c r="Z358" s="2370"/>
      <c r="AA358" s="2370"/>
      <c r="AB358" s="2370"/>
      <c r="AC358" s="2370"/>
      <c r="AD358" s="2370"/>
      <c r="AE358" s="2370"/>
      <c r="AF358" s="2370"/>
      <c r="AG358" s="2370"/>
      <c r="AH358" s="2370"/>
      <c r="AI358" s="2370"/>
      <c r="AJ358" s="2370"/>
      <c r="AK358" s="396"/>
      <c r="AL358" s="396"/>
      <c r="AM358" s="396"/>
      <c r="AN358" s="390"/>
      <c r="AO358" s="481" t="s">
        <v>31</v>
      </c>
      <c r="AP358" s="482">
        <f>IF(C389="Yes",5,0)</f>
        <v>5</v>
      </c>
      <c r="AS358" s="2336">
        <f>IF(Application!D211="Non-Targeted",(SUM(AQ366+AQ375)),AS362)</f>
        <v>10</v>
      </c>
      <c r="AT358" s="2336"/>
    </row>
    <row r="359" spans="1:46" s="349" customFormat="1" ht="12.75" customHeight="1">
      <c r="A359" s="396"/>
      <c r="B359" s="403"/>
      <c r="C359" s="2370"/>
      <c r="D359" s="2370"/>
      <c r="E359" s="2370"/>
      <c r="F359" s="2370"/>
      <c r="G359" s="2370"/>
      <c r="H359" s="2370"/>
      <c r="I359" s="2370"/>
      <c r="J359" s="2370"/>
      <c r="K359" s="2370"/>
      <c r="L359" s="2370"/>
      <c r="M359" s="2370"/>
      <c r="N359" s="2370"/>
      <c r="O359" s="2370"/>
      <c r="P359" s="2370"/>
      <c r="Q359" s="2370"/>
      <c r="R359" s="2370"/>
      <c r="S359" s="2370"/>
      <c r="T359" s="2370"/>
      <c r="U359" s="2370"/>
      <c r="V359" s="2370"/>
      <c r="W359" s="2370"/>
      <c r="X359" s="2370"/>
      <c r="Y359" s="2370"/>
      <c r="Z359" s="2370"/>
      <c r="AA359" s="2370"/>
      <c r="AB359" s="2370"/>
      <c r="AC359" s="2370"/>
      <c r="AD359" s="2370"/>
      <c r="AE359" s="2370"/>
      <c r="AF359" s="2370"/>
      <c r="AG359" s="2370"/>
      <c r="AH359" s="2370"/>
      <c r="AI359" s="2370"/>
      <c r="AJ359" s="2370"/>
      <c r="AK359" s="396"/>
      <c r="AL359" s="396"/>
      <c r="AM359" s="396"/>
      <c r="AN359" s="390"/>
      <c r="AO359" s="481" t="s">
        <v>39</v>
      </c>
      <c r="AP359" s="482">
        <f>IF(C397="Yes",7,0)</f>
        <v>0</v>
      </c>
      <c r="AS359" s="339" t="s">
        <v>2337</v>
      </c>
    </row>
    <row r="360" spans="1:46" s="349" customFormat="1" ht="12.75" customHeight="1">
      <c r="A360" s="396"/>
      <c r="B360" s="403"/>
      <c r="C360" s="2370"/>
      <c r="D360" s="2370"/>
      <c r="E360" s="2370"/>
      <c r="F360" s="2370"/>
      <c r="G360" s="2370"/>
      <c r="H360" s="2370"/>
      <c r="I360" s="2370"/>
      <c r="J360" s="2370"/>
      <c r="K360" s="2370"/>
      <c r="L360" s="2370"/>
      <c r="M360" s="2370"/>
      <c r="N360" s="2370"/>
      <c r="O360" s="2370"/>
      <c r="P360" s="2370"/>
      <c r="Q360" s="2370"/>
      <c r="R360" s="2370"/>
      <c r="S360" s="2370"/>
      <c r="T360" s="2370"/>
      <c r="U360" s="2370"/>
      <c r="V360" s="2370"/>
      <c r="W360" s="2370"/>
      <c r="X360" s="2370"/>
      <c r="Y360" s="2370"/>
      <c r="Z360" s="2370"/>
      <c r="AA360" s="2370"/>
      <c r="AB360" s="2370"/>
      <c r="AC360" s="2370"/>
      <c r="AD360" s="2370"/>
      <c r="AE360" s="2370"/>
      <c r="AF360" s="2370"/>
      <c r="AG360" s="2370"/>
      <c r="AH360" s="2370"/>
      <c r="AI360" s="2370"/>
      <c r="AJ360" s="2370"/>
      <c r="AK360" s="396"/>
      <c r="AL360" s="396"/>
      <c r="AM360" s="396"/>
      <c r="AN360" s="390"/>
      <c r="AO360" s="390"/>
      <c r="AP360" s="482">
        <f>IF(C399="Yes",5,0)</f>
        <v>0</v>
      </c>
      <c r="AS360" s="2336">
        <f>IF(AND(AQ366&gt;0,AQ375&gt;0),(AQ366+AQ375)/2,0)</f>
        <v>0</v>
      </c>
      <c r="AT360" s="2336"/>
    </row>
    <row r="361" spans="1:46" s="349" customFormat="1" ht="12.75" customHeight="1">
      <c r="A361" s="396"/>
      <c r="B361" s="403"/>
      <c r="C361" s="2370"/>
      <c r="D361" s="2370"/>
      <c r="E361" s="2370"/>
      <c r="F361" s="2370"/>
      <c r="G361" s="2370"/>
      <c r="H361" s="2370"/>
      <c r="I361" s="2370"/>
      <c r="J361" s="2370"/>
      <c r="K361" s="2370"/>
      <c r="L361" s="2370"/>
      <c r="M361" s="2370"/>
      <c r="N361" s="2370"/>
      <c r="O361" s="2370"/>
      <c r="P361" s="2370"/>
      <c r="Q361" s="2370"/>
      <c r="R361" s="2370"/>
      <c r="S361" s="2370"/>
      <c r="T361" s="2370"/>
      <c r="U361" s="2370"/>
      <c r="V361" s="2370"/>
      <c r="W361" s="2370"/>
      <c r="X361" s="2370"/>
      <c r="Y361" s="2370"/>
      <c r="Z361" s="2370"/>
      <c r="AA361" s="2370"/>
      <c r="AB361" s="2370"/>
      <c r="AC361" s="2370"/>
      <c r="AD361" s="2370"/>
      <c r="AE361" s="2370"/>
      <c r="AF361" s="2370"/>
      <c r="AG361" s="2370"/>
      <c r="AH361" s="2370"/>
      <c r="AI361" s="2370"/>
      <c r="AJ361" s="2370"/>
      <c r="AK361" s="396"/>
      <c r="AL361" s="396"/>
      <c r="AM361" s="396"/>
      <c r="AN361" s="390"/>
      <c r="AO361" s="481" t="s">
        <v>82</v>
      </c>
      <c r="AP361" s="482">
        <f>IF(C407="Yes",5,0)</f>
        <v>0</v>
      </c>
      <c r="AS361" s="339" t="s">
        <v>2338</v>
      </c>
    </row>
    <row r="362" spans="1:46" s="349" customFormat="1" ht="12.75" customHeight="1">
      <c r="A362" s="396"/>
      <c r="B362" s="403"/>
      <c r="C362" s="2464" t="s">
        <v>2339</v>
      </c>
      <c r="D362" s="2464"/>
      <c r="E362" s="2464"/>
      <c r="F362" s="2464"/>
      <c r="G362" s="2464"/>
      <c r="H362" s="2464"/>
      <c r="I362" s="2464"/>
      <c r="J362" s="2464"/>
      <c r="K362" s="2464"/>
      <c r="L362" s="2464"/>
      <c r="M362" s="2464"/>
      <c r="N362" s="2464"/>
      <c r="O362" s="2464"/>
      <c r="P362" s="2464"/>
      <c r="Q362" s="2464"/>
      <c r="R362" s="2464"/>
      <c r="S362" s="2464"/>
      <c r="T362" s="2464"/>
      <c r="U362" s="2464"/>
      <c r="V362" s="2464"/>
      <c r="W362" s="2464"/>
      <c r="X362" s="2464"/>
      <c r="Y362" s="2464"/>
      <c r="Z362" s="2464"/>
      <c r="AA362" s="2464"/>
      <c r="AB362" s="2464"/>
      <c r="AC362" s="2464"/>
      <c r="AD362" s="2464"/>
      <c r="AE362" s="2464"/>
      <c r="AF362" s="2464"/>
      <c r="AG362" s="2464"/>
      <c r="AH362" s="2464"/>
      <c r="AI362" s="2464"/>
      <c r="AJ362" s="2464"/>
      <c r="AK362" s="396"/>
      <c r="AL362" s="396"/>
      <c r="AM362" s="396"/>
      <c r="AN362" s="390"/>
      <c r="AO362" s="390"/>
      <c r="AP362" s="482">
        <f>IF(C409="Yes",3,0)</f>
        <v>0</v>
      </c>
      <c r="AS362" s="2336">
        <f>IF(AQ366=0,AQ375,AQ366)</f>
        <v>10</v>
      </c>
      <c r="AT362" s="2336"/>
    </row>
    <row r="363" spans="1:46" s="349" customFormat="1" ht="12.75" customHeight="1">
      <c r="A363" s="396"/>
      <c r="B363" s="403"/>
      <c r="C363" s="2464"/>
      <c r="D363" s="2464"/>
      <c r="E363" s="2464"/>
      <c r="F363" s="2464"/>
      <c r="G363" s="2464"/>
      <c r="H363" s="2464"/>
      <c r="I363" s="2464"/>
      <c r="J363" s="2464"/>
      <c r="K363" s="2464"/>
      <c r="L363" s="2464"/>
      <c r="M363" s="2464"/>
      <c r="N363" s="2464"/>
      <c r="O363" s="2464"/>
      <c r="P363" s="2464"/>
      <c r="Q363" s="2464"/>
      <c r="R363" s="2464"/>
      <c r="S363" s="2464"/>
      <c r="T363" s="2464"/>
      <c r="U363" s="2464"/>
      <c r="V363" s="2464"/>
      <c r="W363" s="2464"/>
      <c r="X363" s="2464"/>
      <c r="Y363" s="2464"/>
      <c r="Z363" s="2464"/>
      <c r="AA363" s="2464"/>
      <c r="AB363" s="2464"/>
      <c r="AC363" s="2464"/>
      <c r="AD363" s="2464"/>
      <c r="AE363" s="2464"/>
      <c r="AF363" s="2464"/>
      <c r="AG363" s="2464"/>
      <c r="AH363" s="2464"/>
      <c r="AI363" s="2464"/>
      <c r="AJ363" s="2464"/>
      <c r="AK363" s="396"/>
      <c r="AL363" s="396"/>
      <c r="AM363" s="396"/>
      <c r="AN363" s="390"/>
      <c r="AO363" s="481" t="s">
        <v>86</v>
      </c>
      <c r="AP363" s="482">
        <f>IF(C412="Yes",5,0)</f>
        <v>0</v>
      </c>
    </row>
    <row r="364" spans="1:46" s="349" customFormat="1" ht="12.75" customHeight="1">
      <c r="A364" s="396"/>
      <c r="B364" s="403"/>
      <c r="C364" s="2464"/>
      <c r="D364" s="2464"/>
      <c r="E364" s="2464"/>
      <c r="F364" s="2464"/>
      <c r="G364" s="2464"/>
      <c r="H364" s="2464"/>
      <c r="I364" s="2464"/>
      <c r="J364" s="2464"/>
      <c r="K364" s="2464"/>
      <c r="L364" s="2464"/>
      <c r="M364" s="2464"/>
      <c r="N364" s="2464"/>
      <c r="O364" s="2464"/>
      <c r="P364" s="2464"/>
      <c r="Q364" s="2464"/>
      <c r="R364" s="2464"/>
      <c r="S364" s="2464"/>
      <c r="T364" s="2464"/>
      <c r="U364" s="2464"/>
      <c r="V364" s="2464"/>
      <c r="W364" s="2464"/>
      <c r="X364" s="2464"/>
      <c r="Y364" s="2464"/>
      <c r="Z364" s="2464"/>
      <c r="AA364" s="2464"/>
      <c r="AB364" s="2464"/>
      <c r="AC364" s="2464"/>
      <c r="AD364" s="2464"/>
      <c r="AE364" s="2464"/>
      <c r="AF364" s="2464"/>
      <c r="AG364" s="2464"/>
      <c r="AH364" s="2464"/>
      <c r="AI364" s="2464"/>
      <c r="AJ364" s="2464"/>
      <c r="AK364" s="396"/>
      <c r="AL364" s="396"/>
      <c r="AM364" s="396"/>
      <c r="AN364" s="390"/>
      <c r="AO364" s="481" t="s">
        <v>1410</v>
      </c>
      <c r="AP364" s="482">
        <f>IF(C421="Yes",5,0)</f>
        <v>0</v>
      </c>
    </row>
    <row r="365" spans="1:46" s="349" customFormat="1" ht="11.85" customHeight="1">
      <c r="A365" s="396"/>
      <c r="B365" s="403"/>
      <c r="C365" s="2464"/>
      <c r="D365" s="2464"/>
      <c r="E365" s="2464"/>
      <c r="F365" s="2464"/>
      <c r="G365" s="2464"/>
      <c r="H365" s="2464"/>
      <c r="I365" s="2464"/>
      <c r="J365" s="2464"/>
      <c r="K365" s="2464"/>
      <c r="L365" s="2464"/>
      <c r="M365" s="2464"/>
      <c r="N365" s="2464"/>
      <c r="O365" s="2464"/>
      <c r="P365" s="2464"/>
      <c r="Q365" s="2464"/>
      <c r="R365" s="2464"/>
      <c r="S365" s="2464"/>
      <c r="T365" s="2464"/>
      <c r="U365" s="2464"/>
      <c r="V365" s="2464"/>
      <c r="W365" s="2464"/>
      <c r="X365" s="2464"/>
      <c r="Y365" s="2464"/>
      <c r="Z365" s="2464"/>
      <c r="AA365" s="2464"/>
      <c r="AB365" s="2464"/>
      <c r="AC365" s="2464"/>
      <c r="AD365" s="2464"/>
      <c r="AE365" s="2464"/>
      <c r="AF365" s="2464"/>
      <c r="AG365" s="2464"/>
      <c r="AH365" s="2464"/>
      <c r="AI365" s="2464"/>
      <c r="AJ365" s="2464"/>
      <c r="AK365" s="396"/>
      <c r="AL365" s="396"/>
      <c r="AM365" s="396"/>
      <c r="AN365" s="390"/>
      <c r="AO365" s="483"/>
      <c r="AP365" s="484">
        <f>IF(C423="Yes",3,0)</f>
        <v>0</v>
      </c>
    </row>
    <row r="366" spans="1:46" s="349" customFormat="1" ht="12.6" customHeight="1">
      <c r="A366" s="396"/>
      <c r="B366" s="403"/>
      <c r="C366" s="2464"/>
      <c r="D366" s="2464"/>
      <c r="E366" s="2464"/>
      <c r="F366" s="2464"/>
      <c r="G366" s="2464"/>
      <c r="H366" s="2464"/>
      <c r="I366" s="2464"/>
      <c r="J366" s="2464"/>
      <c r="K366" s="2464"/>
      <c r="L366" s="2464"/>
      <c r="M366" s="2464"/>
      <c r="N366" s="2464"/>
      <c r="O366" s="2464"/>
      <c r="P366" s="2464"/>
      <c r="Q366" s="2464"/>
      <c r="R366" s="2464"/>
      <c r="S366" s="2464"/>
      <c r="T366" s="2464"/>
      <c r="U366" s="2464"/>
      <c r="V366" s="2464"/>
      <c r="W366" s="2464"/>
      <c r="X366" s="2464"/>
      <c r="Y366" s="2464"/>
      <c r="Z366" s="2464"/>
      <c r="AA366" s="2464"/>
      <c r="AB366" s="2464"/>
      <c r="AC366" s="2464"/>
      <c r="AD366" s="2464"/>
      <c r="AE366" s="2464"/>
      <c r="AF366" s="2464"/>
      <c r="AG366" s="2464"/>
      <c r="AH366" s="2464"/>
      <c r="AI366" s="2464"/>
      <c r="AJ366" s="2464"/>
      <c r="AK366" s="396"/>
      <c r="AL366" s="396"/>
      <c r="AM366" s="396"/>
      <c r="AN366" s="390"/>
      <c r="AO366" s="485" t="s">
        <v>2340</v>
      </c>
      <c r="AP366" s="486">
        <f>SUM(AP357:AP365)</f>
        <v>10</v>
      </c>
      <c r="AQ366" s="2373">
        <f>IF(AP366&gt;0,AP366,0)</f>
        <v>10</v>
      </c>
      <c r="AR366" s="2373"/>
    </row>
    <row r="367" spans="1:46" s="349" customFormat="1" ht="12.75" customHeight="1">
      <c r="A367" s="396"/>
      <c r="B367" s="403"/>
      <c r="C367" s="2464"/>
      <c r="D367" s="2464"/>
      <c r="E367" s="2464"/>
      <c r="F367" s="2464"/>
      <c r="G367" s="2464"/>
      <c r="H367" s="2464"/>
      <c r="I367" s="2464"/>
      <c r="J367" s="2464"/>
      <c r="K367" s="2464"/>
      <c r="L367" s="2464"/>
      <c r="M367" s="2464"/>
      <c r="N367" s="2464"/>
      <c r="O367" s="2464"/>
      <c r="P367" s="2464"/>
      <c r="Q367" s="2464"/>
      <c r="R367" s="2464"/>
      <c r="S367" s="2464"/>
      <c r="T367" s="2464"/>
      <c r="U367" s="2464"/>
      <c r="V367" s="2464"/>
      <c r="W367" s="2464"/>
      <c r="X367" s="2464"/>
      <c r="Y367" s="2464"/>
      <c r="Z367" s="2464"/>
      <c r="AA367" s="2464"/>
      <c r="AB367" s="2464"/>
      <c r="AC367" s="2464"/>
      <c r="AD367" s="2464"/>
      <c r="AE367" s="2464"/>
      <c r="AF367" s="2464"/>
      <c r="AG367" s="2464"/>
      <c r="AH367" s="2464"/>
      <c r="AI367" s="2464"/>
      <c r="AJ367" s="2464"/>
      <c r="AK367" s="396"/>
      <c r="AL367" s="396"/>
      <c r="AM367" s="396"/>
      <c r="AN367" s="390"/>
      <c r="AP367" s="367"/>
    </row>
    <row r="368" spans="1:46" s="349" customFormat="1" ht="12.75" customHeight="1">
      <c r="A368" s="396"/>
      <c r="B368" s="403"/>
      <c r="C368" s="479"/>
      <c r="D368" s="479"/>
      <c r="E368" s="479"/>
      <c r="F368" s="479"/>
      <c r="G368" s="479"/>
      <c r="H368" s="479"/>
      <c r="I368" s="479"/>
      <c r="J368" s="479"/>
      <c r="K368" s="479"/>
      <c r="L368" s="479"/>
      <c r="M368" s="479"/>
      <c r="N368" s="479"/>
      <c r="O368" s="479"/>
      <c r="P368" s="479"/>
      <c r="Q368" s="479"/>
      <c r="R368" s="479"/>
      <c r="S368" s="479"/>
      <c r="T368" s="479"/>
      <c r="U368" s="479"/>
      <c r="V368" s="479"/>
      <c r="W368" s="479"/>
      <c r="X368" s="479"/>
      <c r="Y368" s="479"/>
      <c r="Z368" s="479"/>
      <c r="AA368" s="479"/>
      <c r="AB368" s="479"/>
      <c r="AC368" s="479"/>
      <c r="AD368" s="479"/>
      <c r="AE368" s="479"/>
      <c r="AF368" s="479"/>
      <c r="AG368" s="479"/>
      <c r="AH368" s="479"/>
      <c r="AI368" s="479"/>
      <c r="AJ368" s="479"/>
      <c r="AK368" s="396"/>
      <c r="AL368" s="396"/>
      <c r="AM368" s="396"/>
      <c r="AN368" s="390"/>
      <c r="AO368" s="481" t="s">
        <v>1412</v>
      </c>
      <c r="AP368" s="482">
        <f>IF(C430="Yes",5,0)</f>
        <v>0</v>
      </c>
    </row>
    <row r="369" spans="1:81" s="349" customFormat="1" ht="12.75" customHeight="1">
      <c r="A369" s="396"/>
      <c r="B369" s="403"/>
      <c r="C369" s="2370" t="s">
        <v>2341</v>
      </c>
      <c r="D369" s="2370"/>
      <c r="E369" s="2370"/>
      <c r="F369" s="2370"/>
      <c r="G369" s="2370"/>
      <c r="H369" s="2370"/>
      <c r="I369" s="2370"/>
      <c r="J369" s="2370"/>
      <c r="K369" s="2370"/>
      <c r="L369" s="2370"/>
      <c r="M369" s="2370"/>
      <c r="N369" s="2370"/>
      <c r="O369" s="2370"/>
      <c r="P369" s="2370"/>
      <c r="Q369" s="2370"/>
      <c r="R369" s="2370"/>
      <c r="S369" s="2370"/>
      <c r="T369" s="2370"/>
      <c r="U369" s="2370"/>
      <c r="V369" s="2370"/>
      <c r="W369" s="2370"/>
      <c r="X369" s="2370"/>
      <c r="Y369" s="2370"/>
      <c r="Z369" s="2370"/>
      <c r="AA369" s="2370"/>
      <c r="AB369" s="2370"/>
      <c r="AC369" s="2370"/>
      <c r="AD369" s="2370"/>
      <c r="AE369" s="2370"/>
      <c r="AF369" s="2370"/>
      <c r="AG369" s="2370"/>
      <c r="AH369" s="2370"/>
      <c r="AI369" s="2370"/>
      <c r="AJ369" s="2370"/>
      <c r="AK369" s="396"/>
      <c r="AL369" s="396"/>
      <c r="AM369" s="396"/>
      <c r="AN369" s="390"/>
      <c r="AO369" s="481" t="s">
        <v>1414</v>
      </c>
      <c r="AP369" s="482">
        <f>IF(C442="Yes",5,0)</f>
        <v>0</v>
      </c>
    </row>
    <row r="370" spans="1:81" s="349" customFormat="1" ht="12.75" customHeight="1">
      <c r="A370" s="396"/>
      <c r="B370" s="403"/>
      <c r="C370" s="2370"/>
      <c r="D370" s="2370"/>
      <c r="E370" s="2370"/>
      <c r="F370" s="2370"/>
      <c r="G370" s="2370"/>
      <c r="H370" s="2370"/>
      <c r="I370" s="2370"/>
      <c r="J370" s="2370"/>
      <c r="K370" s="2370"/>
      <c r="L370" s="2370"/>
      <c r="M370" s="2370"/>
      <c r="N370" s="2370"/>
      <c r="O370" s="2370"/>
      <c r="P370" s="2370"/>
      <c r="Q370" s="2370"/>
      <c r="R370" s="2370"/>
      <c r="S370" s="2370"/>
      <c r="T370" s="2370"/>
      <c r="U370" s="2370"/>
      <c r="V370" s="2370"/>
      <c r="W370" s="2370"/>
      <c r="X370" s="2370"/>
      <c r="Y370" s="2370"/>
      <c r="Z370" s="2370"/>
      <c r="AA370" s="2370"/>
      <c r="AB370" s="2370"/>
      <c r="AC370" s="2370"/>
      <c r="AD370" s="2370"/>
      <c r="AE370" s="2370"/>
      <c r="AF370" s="2370"/>
      <c r="AG370" s="2370"/>
      <c r="AH370" s="2370"/>
      <c r="AI370" s="2370"/>
      <c r="AJ370" s="2370"/>
      <c r="AK370" s="396"/>
      <c r="AL370" s="396"/>
      <c r="AM370" s="396"/>
      <c r="AN370" s="390"/>
      <c r="AO370" s="481" t="s">
        <v>1415</v>
      </c>
      <c r="AP370" s="482">
        <f>IF(C449="Yes",5,0)</f>
        <v>0</v>
      </c>
    </row>
    <row r="371" spans="1:81" s="349" customFormat="1" ht="68.099999999999994" customHeight="1">
      <c r="A371" s="396"/>
      <c r="B371" s="403"/>
      <c r="C371" s="2370"/>
      <c r="D371" s="2370"/>
      <c r="E371" s="2370"/>
      <c r="F371" s="2370"/>
      <c r="G371" s="2370"/>
      <c r="H371" s="2370"/>
      <c r="I371" s="2370"/>
      <c r="J371" s="2370"/>
      <c r="K371" s="2370"/>
      <c r="L371" s="2370"/>
      <c r="M371" s="2370"/>
      <c r="N371" s="2370"/>
      <c r="O371" s="2370"/>
      <c r="P371" s="2370"/>
      <c r="Q371" s="2370"/>
      <c r="R371" s="2370"/>
      <c r="S371" s="2370"/>
      <c r="T371" s="2370"/>
      <c r="U371" s="2370"/>
      <c r="V371" s="2370"/>
      <c r="W371" s="2370"/>
      <c r="X371" s="2370"/>
      <c r="Y371" s="2370"/>
      <c r="Z371" s="2370"/>
      <c r="AA371" s="2370"/>
      <c r="AB371" s="2370"/>
      <c r="AC371" s="2370"/>
      <c r="AD371" s="2370"/>
      <c r="AE371" s="2370"/>
      <c r="AF371" s="2370"/>
      <c r="AG371" s="2370"/>
      <c r="AH371" s="2370"/>
      <c r="AI371" s="2370"/>
      <c r="AJ371" s="2370"/>
      <c r="AK371" s="396"/>
      <c r="AL371" s="396"/>
      <c r="AM371" s="396"/>
      <c r="AN371" s="390"/>
      <c r="AO371" s="481" t="s">
        <v>1416</v>
      </c>
      <c r="AP371" s="487">
        <f>IF(C453="Yes",5,0)</f>
        <v>0</v>
      </c>
    </row>
    <row r="372" spans="1:81" s="349" customFormat="1" ht="12.6" customHeight="1">
      <c r="A372" s="396"/>
      <c r="B372" s="403"/>
      <c r="C372" s="349" t="s">
        <v>2342</v>
      </c>
      <c r="AF372" s="396"/>
      <c r="AG372" s="396"/>
      <c r="AH372" s="396"/>
      <c r="AI372" s="396"/>
      <c r="AJ372" s="396"/>
      <c r="AK372" s="396"/>
      <c r="AL372" s="396"/>
      <c r="AM372" s="396"/>
      <c r="AN372" s="390"/>
      <c r="AO372" s="481" t="s">
        <v>1417</v>
      </c>
      <c r="AP372" s="482">
        <f>IF(C457="Yes",5,0)</f>
        <v>0</v>
      </c>
    </row>
    <row r="373" spans="1:81" s="349" customFormat="1" ht="12.75" customHeight="1">
      <c r="A373" s="396"/>
      <c r="B373" s="403"/>
      <c r="C373" s="488" t="s">
        <v>2343</v>
      </c>
      <c r="D373" s="489"/>
      <c r="E373" s="489"/>
      <c r="F373" s="489"/>
      <c r="G373" s="489"/>
      <c r="H373" s="489"/>
      <c r="I373" s="489"/>
      <c r="J373" s="489"/>
      <c r="K373" s="489"/>
      <c r="L373" s="489"/>
      <c r="M373" s="455"/>
      <c r="N373" s="455"/>
      <c r="O373" s="490"/>
      <c r="P373" s="489"/>
      <c r="Q373" s="489"/>
      <c r="R373" s="455"/>
      <c r="S373" s="455"/>
      <c r="T373" s="489"/>
      <c r="U373" s="2371">
        <f>Application!DU802-U374</f>
        <v>232</v>
      </c>
      <c r="V373" s="2371"/>
      <c r="W373" s="2371"/>
      <c r="X373" s="489"/>
      <c r="Y373" s="489"/>
      <c r="Z373" s="489"/>
      <c r="AA373" s="491"/>
      <c r="AB373" s="492"/>
      <c r="AC373" s="492"/>
      <c r="AD373" s="492"/>
      <c r="AE373" s="396"/>
      <c r="AF373" s="396"/>
      <c r="AG373" s="396"/>
      <c r="AH373" s="396"/>
      <c r="AI373" s="396"/>
      <c r="AJ373" s="396"/>
      <c r="AK373" s="396"/>
      <c r="AL373" s="396"/>
      <c r="AM373" s="396"/>
      <c r="AN373" s="390"/>
      <c r="AO373" s="481" t="s">
        <v>1418</v>
      </c>
      <c r="AP373" s="482">
        <f>IF(C466="Yes",5,0)</f>
        <v>0</v>
      </c>
    </row>
    <row r="374" spans="1:81" s="349" customFormat="1" ht="12.75" customHeight="1">
      <c r="A374" s="396"/>
      <c r="B374" s="403"/>
      <c r="C374" s="493" t="s">
        <v>2344</v>
      </c>
      <c r="D374" s="480"/>
      <c r="E374" s="480"/>
      <c r="F374" s="480"/>
      <c r="G374" s="480"/>
      <c r="H374" s="480"/>
      <c r="I374" s="480"/>
      <c r="J374" s="480"/>
      <c r="K374" s="480"/>
      <c r="L374" s="480"/>
      <c r="M374" s="480"/>
      <c r="N374" s="480"/>
      <c r="O374" s="480"/>
      <c r="P374" s="480"/>
      <c r="Q374" s="480"/>
      <c r="R374" s="480"/>
      <c r="S374" s="480"/>
      <c r="T374" s="480"/>
      <c r="U374" s="2372">
        <f>IF(Application!D211="SRO",Application!DU755,Application!AG756)</f>
        <v>0</v>
      </c>
      <c r="V374" s="2372"/>
      <c r="W374" s="2372"/>
      <c r="X374" s="480"/>
      <c r="Y374" s="480"/>
      <c r="Z374" s="480"/>
      <c r="AA374" s="494"/>
      <c r="AC374" s="495"/>
      <c r="AD374" s="495"/>
      <c r="AE374" s="396"/>
      <c r="AF374" s="396"/>
      <c r="AG374" s="396"/>
      <c r="AH374" s="396"/>
      <c r="AI374" s="396"/>
      <c r="AJ374" s="396"/>
      <c r="AK374" s="396"/>
      <c r="AL374" s="396"/>
      <c r="AM374" s="396"/>
      <c r="AN374" s="390"/>
      <c r="AO374" s="483"/>
      <c r="AP374" s="484"/>
    </row>
    <row r="375" spans="1:81" s="349" customFormat="1" ht="12.75" customHeight="1">
      <c r="A375" s="396"/>
      <c r="B375" s="403"/>
      <c r="C375" s="389"/>
      <c r="U375" s="569"/>
      <c r="V375" s="569"/>
      <c r="W375" s="569"/>
      <c r="AC375" s="495"/>
      <c r="AD375" s="495"/>
      <c r="AE375" s="396"/>
      <c r="AF375" s="396"/>
      <c r="AG375" s="396"/>
      <c r="AH375" s="396"/>
      <c r="AI375" s="396"/>
      <c r="AJ375" s="396"/>
      <c r="AK375" s="396"/>
      <c r="AL375" s="396"/>
      <c r="AM375" s="396"/>
      <c r="AN375" s="390"/>
      <c r="AO375" s="496" t="s">
        <v>2340</v>
      </c>
      <c r="AP375" s="497">
        <f>SUM(AP368:AP373)</f>
        <v>0</v>
      </c>
      <c r="AQ375" s="2373">
        <f>IF(AP375&gt;0,AP375,0)</f>
        <v>0</v>
      </c>
      <c r="AR375" s="2373"/>
    </row>
    <row r="376" spans="1:81" s="349" customFormat="1" ht="12.75" customHeight="1">
      <c r="A376" s="396"/>
      <c r="B376" s="11"/>
      <c r="C376" s="498" t="s">
        <v>2345</v>
      </c>
      <c r="D376" s="396"/>
      <c r="E376" s="396"/>
      <c r="F376" s="396"/>
      <c r="G376" s="396"/>
      <c r="H376" s="396"/>
      <c r="I376" s="396"/>
      <c r="J376" s="396"/>
      <c r="K376" s="396"/>
      <c r="L376" s="396"/>
      <c r="M376" s="396"/>
      <c r="N376" s="396"/>
      <c r="O376" s="396"/>
      <c r="P376" s="396"/>
      <c r="Q376" s="396"/>
      <c r="R376" s="396"/>
      <c r="S376" s="396"/>
      <c r="T376" s="396"/>
      <c r="U376" s="396"/>
      <c r="V376" s="396"/>
      <c r="W376" s="396"/>
      <c r="X376" s="396"/>
      <c r="Y376" s="396"/>
      <c r="Z376" s="396"/>
      <c r="AA376" s="396"/>
      <c r="AB376" s="396"/>
      <c r="AC376" s="396"/>
      <c r="AD376" s="396"/>
      <c r="AE376" s="396"/>
      <c r="AF376" s="396"/>
      <c r="AG376" s="396"/>
      <c r="AH376" s="396"/>
      <c r="AI376" s="396"/>
      <c r="AJ376" s="396"/>
      <c r="AK376" s="396"/>
      <c r="AL376" s="396"/>
      <c r="AM376" s="396"/>
      <c r="AN376" s="390"/>
      <c r="BS376" s="23"/>
      <c r="BT376" s="23"/>
      <c r="BU376" s="11"/>
      <c r="BV376" s="11"/>
      <c r="BW376" s="11"/>
    </row>
    <row r="377" spans="1:81" s="349" customFormat="1" ht="12.75" customHeight="1">
      <c r="A377" s="336"/>
      <c r="B377" s="11"/>
      <c r="C377" s="499"/>
      <c r="D377" s="500"/>
      <c r="E377" s="501" t="s">
        <v>2164</v>
      </c>
      <c r="F377" s="2364" t="s">
        <v>2346</v>
      </c>
      <c r="G377" s="2364"/>
      <c r="H377" s="2364"/>
      <c r="I377" s="2364"/>
      <c r="J377" s="2364"/>
      <c r="K377" s="2364"/>
      <c r="L377" s="2364"/>
      <c r="M377" s="2364"/>
      <c r="N377" s="2364"/>
      <c r="O377" s="2364"/>
      <c r="P377" s="2364"/>
      <c r="Q377" s="2364"/>
      <c r="R377" s="2364"/>
      <c r="S377" s="2364"/>
      <c r="T377" s="2364"/>
      <c r="U377" s="2364"/>
      <c r="V377" s="2364"/>
      <c r="W377" s="2364"/>
      <c r="X377" s="2364"/>
      <c r="Y377" s="2364"/>
      <c r="Z377" s="2364"/>
      <c r="AA377" s="2364"/>
      <c r="AB377" s="2364"/>
      <c r="AC377" s="2364"/>
      <c r="AD377" s="2364"/>
      <c r="AE377" s="2364"/>
      <c r="AF377" s="2364"/>
      <c r="AG377" s="502"/>
      <c r="AH377" s="502"/>
      <c r="AI377" s="502"/>
      <c r="AJ377" s="502"/>
      <c r="AK377" s="502"/>
      <c r="AL377" s="503"/>
      <c r="AM377" s="367"/>
      <c r="AN377" s="390"/>
      <c r="AP377" s="367"/>
      <c r="BS377" s="23"/>
      <c r="BT377" s="23"/>
      <c r="BU377" s="11"/>
      <c r="BV377" s="11"/>
      <c r="BW377" s="11"/>
      <c r="BX377" s="11"/>
      <c r="BY377" s="11"/>
      <c r="BZ377" s="11"/>
      <c r="CA377" s="11"/>
      <c r="CB377" s="11"/>
      <c r="CC377" s="11"/>
    </row>
    <row r="378" spans="1:81" s="349" customFormat="1" ht="12.75" customHeight="1">
      <c r="A378" s="336"/>
      <c r="B378" s="11"/>
      <c r="C378" s="504"/>
      <c r="D378" s="336"/>
      <c r="E378" s="505"/>
      <c r="F378" s="2365"/>
      <c r="G378" s="2365"/>
      <c r="H378" s="2365"/>
      <c r="I378" s="2365"/>
      <c r="J378" s="2365"/>
      <c r="K378" s="2365"/>
      <c r="L378" s="2365"/>
      <c r="M378" s="2365"/>
      <c r="N378" s="2365"/>
      <c r="O378" s="2365"/>
      <c r="P378" s="2365"/>
      <c r="Q378" s="2365"/>
      <c r="R378" s="2365"/>
      <c r="S378" s="2365"/>
      <c r="T378" s="2365"/>
      <c r="U378" s="2365"/>
      <c r="V378" s="2365"/>
      <c r="W378" s="2365"/>
      <c r="X378" s="2365"/>
      <c r="Y378" s="2365"/>
      <c r="Z378" s="2365"/>
      <c r="AA378" s="2365"/>
      <c r="AB378" s="2365"/>
      <c r="AC378" s="2365"/>
      <c r="AD378" s="2365"/>
      <c r="AE378" s="2365"/>
      <c r="AF378" s="2365"/>
      <c r="AG378" s="339"/>
      <c r="AH378" s="339"/>
      <c r="AI378" s="339"/>
      <c r="AJ378" s="339"/>
      <c r="AK378" s="339"/>
      <c r="AL378" s="1207"/>
      <c r="AM378" s="367"/>
      <c r="AN378" s="390"/>
      <c r="AP378" s="367"/>
      <c r="BS378" s="23"/>
      <c r="BT378" s="23"/>
      <c r="BU378" s="11"/>
      <c r="BV378" s="11"/>
      <c r="BW378" s="11"/>
      <c r="BX378" s="11"/>
      <c r="BY378" s="11"/>
      <c r="BZ378" s="11"/>
      <c r="CA378" s="11"/>
      <c r="CB378" s="11"/>
      <c r="CC378" s="11"/>
    </row>
    <row r="379" spans="1:81" s="349" customFormat="1" ht="12.75" customHeight="1">
      <c r="A379" s="336"/>
      <c r="B379" s="11"/>
      <c r="C379" s="504"/>
      <c r="D379" s="336"/>
      <c r="E379" s="505"/>
      <c r="F379" s="2365"/>
      <c r="G379" s="2365"/>
      <c r="H379" s="2365"/>
      <c r="I379" s="2365"/>
      <c r="J379" s="2365"/>
      <c r="K379" s="2365"/>
      <c r="L379" s="2365"/>
      <c r="M379" s="2365"/>
      <c r="N379" s="2365"/>
      <c r="O379" s="2365"/>
      <c r="P379" s="2365"/>
      <c r="Q379" s="2365"/>
      <c r="R379" s="2365"/>
      <c r="S379" s="2365"/>
      <c r="T379" s="2365"/>
      <c r="U379" s="2365"/>
      <c r="V379" s="2365"/>
      <c r="W379" s="2365"/>
      <c r="X379" s="2365"/>
      <c r="Y379" s="2365"/>
      <c r="Z379" s="2365"/>
      <c r="AA379" s="2365"/>
      <c r="AB379" s="2365"/>
      <c r="AC379" s="2365"/>
      <c r="AD379" s="2365"/>
      <c r="AE379" s="2365"/>
      <c r="AF379" s="2365"/>
      <c r="AG379" s="339"/>
      <c r="AH379" s="339"/>
      <c r="AI379" s="339"/>
      <c r="AJ379" s="339"/>
      <c r="AK379" s="339"/>
      <c r="AL379" s="1207"/>
      <c r="AM379" s="367"/>
      <c r="AN379" s="390"/>
      <c r="BS379" s="23"/>
      <c r="BT379" s="23"/>
      <c r="BU379" s="11"/>
      <c r="BV379" s="11"/>
      <c r="BW379" s="11"/>
      <c r="BX379" s="11"/>
      <c r="BY379" s="11"/>
      <c r="BZ379" s="11"/>
      <c r="CA379" s="11"/>
      <c r="CB379" s="11"/>
      <c r="CC379" s="11"/>
    </row>
    <row r="380" spans="1:81" s="349" customFormat="1" ht="12.75" customHeight="1">
      <c r="A380" s="336"/>
      <c r="B380" s="11"/>
      <c r="C380" s="504"/>
      <c r="D380" s="336"/>
      <c r="E380" s="505"/>
      <c r="F380" s="2365"/>
      <c r="G380" s="2365"/>
      <c r="H380" s="2365"/>
      <c r="I380" s="2365"/>
      <c r="J380" s="2365"/>
      <c r="K380" s="2365"/>
      <c r="L380" s="2365"/>
      <c r="M380" s="2365"/>
      <c r="N380" s="2365"/>
      <c r="O380" s="2365"/>
      <c r="P380" s="2365"/>
      <c r="Q380" s="2365"/>
      <c r="R380" s="2365"/>
      <c r="S380" s="2365"/>
      <c r="T380" s="2365"/>
      <c r="U380" s="2365"/>
      <c r="V380" s="2365"/>
      <c r="W380" s="2365"/>
      <c r="X380" s="2365"/>
      <c r="Y380" s="2365"/>
      <c r="Z380" s="2365"/>
      <c r="AA380" s="2365"/>
      <c r="AB380" s="2365"/>
      <c r="AC380" s="2365"/>
      <c r="AD380" s="2365"/>
      <c r="AE380" s="2365"/>
      <c r="AF380" s="2365"/>
      <c r="AG380" s="339"/>
      <c r="AH380" s="339"/>
      <c r="AI380" s="339"/>
      <c r="AJ380" s="339"/>
      <c r="AK380" s="339"/>
      <c r="AL380" s="1207"/>
      <c r="AM380" s="367"/>
      <c r="AN380" s="390"/>
      <c r="BS380" s="23"/>
      <c r="BT380" s="23"/>
      <c r="BU380" s="11"/>
      <c r="BV380" s="11"/>
      <c r="BW380" s="11"/>
      <c r="BX380" s="11"/>
      <c r="BY380" s="11"/>
      <c r="BZ380" s="11"/>
      <c r="CA380" s="11"/>
      <c r="CB380" s="11"/>
      <c r="CC380" s="11"/>
    </row>
    <row r="381" spans="1:81" s="349" customFormat="1" ht="12.75" customHeight="1">
      <c r="A381" s="336"/>
      <c r="B381" s="11"/>
      <c r="C381" s="2374" t="s">
        <v>694</v>
      </c>
      <c r="D381" s="2375"/>
      <c r="E381" s="505"/>
      <c r="F381" s="506" t="s">
        <v>2347</v>
      </c>
      <c r="G381" s="396"/>
      <c r="H381" s="396"/>
      <c r="I381" s="396"/>
      <c r="J381" s="396"/>
      <c r="K381" s="396"/>
      <c r="L381" s="396"/>
      <c r="M381" s="396"/>
      <c r="N381" s="396"/>
      <c r="O381" s="396"/>
      <c r="P381" s="396"/>
      <c r="Q381" s="396"/>
      <c r="R381" s="396"/>
      <c r="S381" s="396"/>
      <c r="T381" s="396"/>
      <c r="U381" s="396"/>
      <c r="V381" s="396"/>
      <c r="W381" s="396"/>
      <c r="X381" s="396"/>
      <c r="Y381" s="396"/>
      <c r="Z381" s="396"/>
      <c r="AA381" s="396"/>
      <c r="AB381" s="396"/>
      <c r="AC381" s="396"/>
      <c r="AD381" s="396"/>
      <c r="AF381" s="2376" t="s">
        <v>2348</v>
      </c>
      <c r="AG381" s="2376"/>
      <c r="AH381" s="2376"/>
      <c r="AI381" s="2376"/>
      <c r="AJ381" s="2376"/>
      <c r="AK381" s="2376"/>
      <c r="AL381" s="2377"/>
      <c r="AM381" s="507"/>
      <c r="BS381" s="23"/>
      <c r="BT381" s="23"/>
      <c r="BU381" s="11"/>
      <c r="BV381" s="11"/>
      <c r="BW381" s="11"/>
      <c r="BX381" s="11"/>
      <c r="BY381" s="11"/>
      <c r="BZ381" s="11"/>
      <c r="CA381" s="11"/>
      <c r="CB381" s="11"/>
      <c r="CC381" s="11"/>
    </row>
    <row r="382" spans="1:81" s="349" customFormat="1" ht="12.75" customHeight="1">
      <c r="A382" s="336"/>
      <c r="B382" s="11"/>
      <c r="C382" s="538"/>
      <c r="D382" s="508"/>
      <c r="E382" s="509"/>
      <c r="F382" s="510"/>
      <c r="G382" s="511"/>
      <c r="H382" s="511"/>
      <c r="I382" s="511"/>
      <c r="J382" s="511"/>
      <c r="K382" s="511"/>
      <c r="L382" s="511"/>
      <c r="M382" s="511"/>
      <c r="N382" s="511"/>
      <c r="O382" s="511"/>
      <c r="P382" s="511"/>
      <c r="Q382" s="511"/>
      <c r="R382" s="511"/>
      <c r="S382" s="511"/>
      <c r="T382" s="511"/>
      <c r="U382" s="511"/>
      <c r="V382" s="511"/>
      <c r="W382" s="511"/>
      <c r="X382" s="511"/>
      <c r="Y382" s="511"/>
      <c r="Z382" s="511"/>
      <c r="AA382" s="511"/>
      <c r="AB382" s="511"/>
      <c r="AC382" s="511"/>
      <c r="AD382" s="511"/>
      <c r="AE382" s="512"/>
      <c r="AF382" s="512"/>
      <c r="AG382" s="512"/>
      <c r="AH382" s="512"/>
      <c r="AI382" s="512"/>
      <c r="AJ382" s="512"/>
      <c r="AK382" s="512"/>
      <c r="AL382" s="539"/>
      <c r="AM382" s="514"/>
      <c r="AN382" s="390"/>
      <c r="CC382" s="11"/>
    </row>
    <row r="383" spans="1:81" s="349" customFormat="1" ht="12.75" customHeight="1">
      <c r="A383" s="336"/>
      <c r="B383" s="11"/>
      <c r="C383" s="1221"/>
      <c r="D383" s="1221"/>
      <c r="E383" s="505"/>
      <c r="F383" s="464"/>
      <c r="G383" s="464"/>
      <c r="H383" s="464"/>
      <c r="I383" s="464"/>
      <c r="J383" s="464"/>
      <c r="K383" s="464"/>
      <c r="L383" s="464"/>
      <c r="M383" s="464"/>
      <c r="N383" s="464"/>
      <c r="O383" s="464"/>
      <c r="P383" s="464"/>
      <c r="Q383" s="464"/>
      <c r="R383" s="464"/>
      <c r="S383" s="464"/>
      <c r="T383" s="464"/>
      <c r="U383" s="464"/>
      <c r="V383" s="464"/>
      <c r="W383" s="464"/>
      <c r="X383" s="464"/>
      <c r="Y383" s="464"/>
      <c r="Z383" s="464"/>
      <c r="AA383" s="464"/>
      <c r="AB383" s="464"/>
      <c r="AC383" s="464"/>
      <c r="AD383" s="464"/>
      <c r="AE383" s="1206"/>
      <c r="AF383" s="1206"/>
      <c r="AG383" s="1206"/>
      <c r="AH383" s="1206"/>
      <c r="AI383" s="1206"/>
      <c r="AJ383" s="1206"/>
      <c r="AK383" s="1206"/>
      <c r="AL383" s="1206"/>
      <c r="AM383" s="367"/>
      <c r="AN383" s="390"/>
      <c r="BS383" s="23"/>
      <c r="BT383" s="23"/>
      <c r="BU383" s="11"/>
      <c r="BV383" s="11"/>
      <c r="BW383" s="11"/>
      <c r="BX383" s="11"/>
      <c r="BY383" s="11"/>
      <c r="BZ383" s="11"/>
      <c r="CA383" s="11"/>
      <c r="CB383" s="11"/>
      <c r="CC383" s="11"/>
    </row>
    <row r="384" spans="1:81" s="349" customFormat="1" ht="12.75" customHeight="1">
      <c r="A384" s="336"/>
      <c r="B384" s="11"/>
      <c r="C384" s="499"/>
      <c r="D384" s="500"/>
      <c r="E384" s="501" t="s">
        <v>2167</v>
      </c>
      <c r="F384" s="2364" t="s">
        <v>2349</v>
      </c>
      <c r="G384" s="2364"/>
      <c r="H384" s="2364"/>
      <c r="I384" s="2364"/>
      <c r="J384" s="2364"/>
      <c r="K384" s="2364"/>
      <c r="L384" s="2364"/>
      <c r="M384" s="2364"/>
      <c r="N384" s="2364"/>
      <c r="O384" s="2364"/>
      <c r="P384" s="2364"/>
      <c r="Q384" s="2364"/>
      <c r="R384" s="2364"/>
      <c r="S384" s="2364"/>
      <c r="T384" s="2364"/>
      <c r="U384" s="2364"/>
      <c r="V384" s="2364"/>
      <c r="W384" s="2364"/>
      <c r="X384" s="2364"/>
      <c r="Y384" s="2364"/>
      <c r="Z384" s="2364"/>
      <c r="AA384" s="2364"/>
      <c r="AB384" s="2364"/>
      <c r="AC384" s="2364"/>
      <c r="AD384" s="2364"/>
      <c r="AE384" s="2364"/>
      <c r="AF384" s="2364"/>
      <c r="AG384" s="502"/>
      <c r="AH384" s="502"/>
      <c r="AI384" s="502"/>
      <c r="AJ384" s="502"/>
      <c r="AK384" s="502"/>
      <c r="AL384" s="503"/>
      <c r="AM384" s="367"/>
      <c r="AN384" s="390"/>
      <c r="BS384" s="23"/>
      <c r="BT384" s="23"/>
      <c r="BU384" s="11"/>
      <c r="BV384" s="11"/>
      <c r="BW384" s="11"/>
      <c r="BX384" s="11"/>
      <c r="BY384" s="11"/>
      <c r="BZ384" s="11"/>
      <c r="CA384" s="11"/>
      <c r="CB384" s="11"/>
      <c r="CC384" s="11"/>
    </row>
    <row r="385" spans="1:81" s="349" customFormat="1" ht="12.75" customHeight="1">
      <c r="A385" s="336"/>
      <c r="B385" s="11"/>
      <c r="C385" s="515"/>
      <c r="D385" s="11"/>
      <c r="E385" s="478"/>
      <c r="F385" s="2365"/>
      <c r="G385" s="2365"/>
      <c r="H385" s="2365"/>
      <c r="I385" s="2365"/>
      <c r="J385" s="2365"/>
      <c r="K385" s="2365"/>
      <c r="L385" s="2365"/>
      <c r="M385" s="2365"/>
      <c r="N385" s="2365"/>
      <c r="O385" s="2365"/>
      <c r="P385" s="2365"/>
      <c r="Q385" s="2365"/>
      <c r="R385" s="2365"/>
      <c r="S385" s="2365"/>
      <c r="T385" s="2365"/>
      <c r="U385" s="2365"/>
      <c r="V385" s="2365"/>
      <c r="W385" s="2365"/>
      <c r="X385" s="2365"/>
      <c r="Y385" s="2365"/>
      <c r="Z385" s="2365"/>
      <c r="AA385" s="2365"/>
      <c r="AB385" s="2365"/>
      <c r="AC385" s="2365"/>
      <c r="AD385" s="2365"/>
      <c r="AE385" s="2365"/>
      <c r="AF385" s="2365"/>
      <c r="AG385" s="339"/>
      <c r="AH385" s="339"/>
      <c r="AI385" s="339"/>
      <c r="AJ385" s="339"/>
      <c r="AK385" s="339"/>
      <c r="AL385" s="1207"/>
      <c r="AM385" s="367"/>
      <c r="AN385" s="390"/>
      <c r="BS385" s="23"/>
      <c r="BT385" s="23"/>
      <c r="BU385" s="11"/>
      <c r="BV385" s="11"/>
      <c r="BW385" s="11"/>
      <c r="BX385" s="11"/>
      <c r="BY385" s="11"/>
      <c r="BZ385" s="11"/>
      <c r="CA385" s="11"/>
      <c r="CB385" s="11"/>
      <c r="CC385" s="11"/>
    </row>
    <row r="386" spans="1:81" s="349" customFormat="1" ht="12.75" customHeight="1">
      <c r="A386" s="336"/>
      <c r="B386" s="11"/>
      <c r="C386" s="515"/>
      <c r="D386" s="11"/>
      <c r="E386" s="478"/>
      <c r="F386" s="2365"/>
      <c r="G386" s="2365"/>
      <c r="H386" s="2365"/>
      <c r="I386" s="2365"/>
      <c r="J386" s="2365"/>
      <c r="K386" s="2365"/>
      <c r="L386" s="2365"/>
      <c r="M386" s="2365"/>
      <c r="N386" s="2365"/>
      <c r="O386" s="2365"/>
      <c r="P386" s="2365"/>
      <c r="Q386" s="2365"/>
      <c r="R386" s="2365"/>
      <c r="S386" s="2365"/>
      <c r="T386" s="2365"/>
      <c r="U386" s="2365"/>
      <c r="V386" s="2365"/>
      <c r="W386" s="2365"/>
      <c r="X386" s="2365"/>
      <c r="Y386" s="2365"/>
      <c r="Z386" s="2365"/>
      <c r="AA386" s="2365"/>
      <c r="AB386" s="2365"/>
      <c r="AC386" s="2365"/>
      <c r="AD386" s="2365"/>
      <c r="AE386" s="2365"/>
      <c r="AF386" s="2365"/>
      <c r="AG386" s="339"/>
      <c r="AH386" s="339"/>
      <c r="AI386" s="339"/>
      <c r="AJ386" s="339"/>
      <c r="AK386" s="339"/>
      <c r="AL386" s="1207"/>
      <c r="AM386" s="367"/>
      <c r="AN386" s="390"/>
      <c r="BS386" s="23"/>
      <c r="BT386" s="23"/>
      <c r="BU386" s="11"/>
      <c r="BV386" s="11"/>
      <c r="BW386" s="11"/>
      <c r="BX386" s="11"/>
      <c r="BY386" s="11"/>
      <c r="BZ386" s="11"/>
      <c r="CA386" s="11"/>
      <c r="CB386" s="11"/>
      <c r="CC386" s="11"/>
    </row>
    <row r="387" spans="1:81" s="349" customFormat="1" ht="12.75" customHeight="1">
      <c r="A387" s="336"/>
      <c r="B387" s="11"/>
      <c r="C387" s="515"/>
      <c r="D387" s="11"/>
      <c r="E387" s="478"/>
      <c r="F387" s="2365"/>
      <c r="G387" s="2365"/>
      <c r="H387" s="2365"/>
      <c r="I387" s="2365"/>
      <c r="J387" s="2365"/>
      <c r="K387" s="2365"/>
      <c r="L387" s="2365"/>
      <c r="M387" s="2365"/>
      <c r="N387" s="2365"/>
      <c r="O387" s="2365"/>
      <c r="P387" s="2365"/>
      <c r="Q387" s="2365"/>
      <c r="R387" s="2365"/>
      <c r="S387" s="2365"/>
      <c r="T387" s="2365"/>
      <c r="U387" s="2365"/>
      <c r="V387" s="2365"/>
      <c r="W387" s="2365"/>
      <c r="X387" s="2365"/>
      <c r="Y387" s="2365"/>
      <c r="Z387" s="2365"/>
      <c r="AA387" s="2365"/>
      <c r="AB387" s="2365"/>
      <c r="AC387" s="2365"/>
      <c r="AD387" s="2365"/>
      <c r="AE387" s="2365"/>
      <c r="AF387" s="2365"/>
      <c r="AG387" s="339"/>
      <c r="AH387" s="339"/>
      <c r="AI387" s="339"/>
      <c r="AJ387" s="339"/>
      <c r="AK387" s="339"/>
      <c r="AL387" s="1207"/>
      <c r="AM387" s="367"/>
      <c r="AN387" s="390"/>
      <c r="BS387" s="23"/>
      <c r="BT387" s="23"/>
      <c r="BU387" s="11"/>
      <c r="BV387" s="11"/>
      <c r="BW387" s="11"/>
      <c r="BX387" s="11"/>
      <c r="BY387" s="11"/>
      <c r="BZ387" s="11"/>
      <c r="CA387" s="11"/>
      <c r="CB387" s="11"/>
      <c r="CC387" s="11"/>
    </row>
    <row r="388" spans="1:81" s="349" customFormat="1" ht="12.75" customHeight="1">
      <c r="A388" s="336"/>
      <c r="B388" s="11"/>
      <c r="C388" s="515"/>
      <c r="D388" s="11"/>
      <c r="E388" s="478"/>
      <c r="F388" s="2365"/>
      <c r="G388" s="2365"/>
      <c r="H388" s="2365"/>
      <c r="I388" s="2365"/>
      <c r="J388" s="2365"/>
      <c r="K388" s="2365"/>
      <c r="L388" s="2365"/>
      <c r="M388" s="2365"/>
      <c r="N388" s="2365"/>
      <c r="O388" s="2365"/>
      <c r="P388" s="2365"/>
      <c r="Q388" s="2365"/>
      <c r="R388" s="2365"/>
      <c r="S388" s="2365"/>
      <c r="T388" s="2365"/>
      <c r="U388" s="2365"/>
      <c r="V388" s="2365"/>
      <c r="W388" s="2365"/>
      <c r="X388" s="2365"/>
      <c r="Y388" s="2365"/>
      <c r="Z388" s="2365"/>
      <c r="AA388" s="2365"/>
      <c r="AB388" s="2365"/>
      <c r="AC388" s="2365"/>
      <c r="AD388" s="2365"/>
      <c r="AE388" s="2365"/>
      <c r="AF388" s="2365"/>
      <c r="AL388" s="516"/>
      <c r="AN388" s="390"/>
      <c r="BS388" s="23"/>
      <c r="BT388" s="23"/>
      <c r="BU388" s="11"/>
      <c r="BV388" s="11"/>
      <c r="BW388" s="11"/>
      <c r="BX388" s="11"/>
      <c r="BY388" s="11"/>
      <c r="BZ388" s="11"/>
      <c r="CA388" s="11"/>
      <c r="CB388" s="11"/>
      <c r="CC388" s="11"/>
    </row>
    <row r="389" spans="1:81" s="349" customFormat="1" ht="12.75" customHeight="1">
      <c r="A389" s="336"/>
      <c r="B389" s="11"/>
      <c r="C389" s="2374" t="s">
        <v>694</v>
      </c>
      <c r="D389" s="2375"/>
      <c r="E389" s="478"/>
      <c r="F389" s="506" t="s">
        <v>2350</v>
      </c>
      <c r="G389" s="396"/>
      <c r="H389" s="396"/>
      <c r="I389" s="396"/>
      <c r="J389" s="396"/>
      <c r="K389" s="396"/>
      <c r="L389" s="396"/>
      <c r="M389" s="396"/>
      <c r="N389" s="396"/>
      <c r="O389" s="396"/>
      <c r="P389" s="396"/>
      <c r="Q389" s="396"/>
      <c r="R389" s="396"/>
      <c r="S389" s="396"/>
      <c r="T389" s="396"/>
      <c r="U389" s="396"/>
      <c r="V389" s="396"/>
      <c r="W389" s="396"/>
      <c r="X389" s="396"/>
      <c r="Y389" s="396"/>
      <c r="Z389" s="396"/>
      <c r="AA389" s="396"/>
      <c r="AB389" s="396"/>
      <c r="AC389" s="396"/>
      <c r="AD389" s="396"/>
      <c r="AF389" s="2376" t="s">
        <v>2348</v>
      </c>
      <c r="AG389" s="2376"/>
      <c r="AH389" s="2376"/>
      <c r="AI389" s="2376"/>
      <c r="AJ389" s="2376"/>
      <c r="AK389" s="2376"/>
      <c r="AL389" s="2377"/>
      <c r="AM389" s="514"/>
      <c r="AN389" s="390"/>
      <c r="BS389" s="23"/>
      <c r="BT389" s="23"/>
      <c r="BU389" s="11"/>
      <c r="BV389" s="11"/>
      <c r="BW389" s="11"/>
      <c r="BX389" s="11"/>
      <c r="BY389" s="11"/>
      <c r="BZ389" s="11"/>
      <c r="CA389" s="11"/>
      <c r="CB389" s="11"/>
      <c r="CC389" s="11"/>
    </row>
    <row r="390" spans="1:81" s="349" customFormat="1" ht="12.75" customHeight="1">
      <c r="A390" s="336"/>
      <c r="B390" s="11"/>
      <c r="C390" s="524"/>
      <c r="D390" s="517"/>
      <c r="E390" s="518"/>
      <c r="F390" s="519"/>
      <c r="G390" s="520"/>
      <c r="H390" s="520"/>
      <c r="I390" s="520"/>
      <c r="J390" s="520"/>
      <c r="K390" s="520"/>
      <c r="L390" s="520"/>
      <c r="M390" s="520"/>
      <c r="N390" s="520"/>
      <c r="O390" s="520"/>
      <c r="P390" s="520"/>
      <c r="Q390" s="520"/>
      <c r="R390" s="520"/>
      <c r="S390" s="520"/>
      <c r="T390" s="520"/>
      <c r="U390" s="520"/>
      <c r="V390" s="520"/>
      <c r="W390" s="520"/>
      <c r="X390" s="520"/>
      <c r="Y390" s="520"/>
      <c r="Z390" s="520"/>
      <c r="AA390" s="520"/>
      <c r="AB390" s="520"/>
      <c r="AC390" s="520"/>
      <c r="AD390" s="520"/>
      <c r="AE390" s="521"/>
      <c r="AF390" s="379"/>
      <c r="AG390" s="521"/>
      <c r="AH390" s="512"/>
      <c r="AI390" s="512"/>
      <c r="AJ390" s="512"/>
      <c r="AK390" s="512"/>
      <c r="AL390" s="526"/>
      <c r="AM390" s="514"/>
      <c r="AN390" s="390"/>
      <c r="BS390" s="23"/>
      <c r="BT390" s="23"/>
      <c r="BU390" s="11"/>
      <c r="BV390" s="11"/>
      <c r="BW390" s="11"/>
      <c r="BX390" s="11"/>
      <c r="BY390" s="11"/>
      <c r="BZ390" s="11"/>
      <c r="CA390" s="11"/>
      <c r="CB390" s="11"/>
      <c r="CC390" s="11"/>
    </row>
    <row r="391" spans="1:81" s="349" customFormat="1" ht="12.75" customHeight="1">
      <c r="A391" s="336"/>
      <c r="B391" s="11"/>
      <c r="C391" s="11"/>
      <c r="D391" s="11"/>
      <c r="E391" s="478"/>
      <c r="F391" s="464"/>
      <c r="G391" s="464"/>
      <c r="H391" s="464"/>
      <c r="I391" s="464"/>
      <c r="J391" s="464"/>
      <c r="K391" s="464"/>
      <c r="L391" s="464"/>
      <c r="M391" s="464"/>
      <c r="N391" s="464"/>
      <c r="O391" s="464"/>
      <c r="P391" s="464"/>
      <c r="Q391" s="464"/>
      <c r="R391" s="464"/>
      <c r="S391" s="464"/>
      <c r="T391" s="464"/>
      <c r="U391" s="464"/>
      <c r="V391" s="464"/>
      <c r="W391" s="464"/>
      <c r="X391" s="464"/>
      <c r="Y391" s="464"/>
      <c r="Z391" s="464"/>
      <c r="AA391" s="464"/>
      <c r="AB391" s="464"/>
      <c r="AC391" s="464"/>
      <c r="AD391" s="464"/>
      <c r="AE391" s="336"/>
      <c r="AF391" s="339"/>
      <c r="AG391" s="336"/>
      <c r="AM391" s="367"/>
      <c r="AN391" s="390"/>
      <c r="BS391" s="23"/>
      <c r="BT391" s="23"/>
      <c r="BU391" s="11"/>
      <c r="BV391" s="11"/>
      <c r="BW391" s="11"/>
      <c r="BX391" s="11"/>
      <c r="BY391" s="11"/>
      <c r="BZ391" s="11"/>
      <c r="CA391" s="11"/>
      <c r="CB391" s="11"/>
      <c r="CC391" s="11"/>
    </row>
    <row r="392" spans="1:81" s="349" customFormat="1" ht="12.75" customHeight="1">
      <c r="A392" s="336"/>
      <c r="B392" s="11"/>
      <c r="C392" s="499"/>
      <c r="D392" s="500"/>
      <c r="E392" s="501" t="s">
        <v>2173</v>
      </c>
      <c r="F392" s="2364" t="s">
        <v>2351</v>
      </c>
      <c r="G392" s="2364"/>
      <c r="H392" s="2364"/>
      <c r="I392" s="2364"/>
      <c r="J392" s="2364"/>
      <c r="K392" s="2364"/>
      <c r="L392" s="2364"/>
      <c r="M392" s="2364"/>
      <c r="N392" s="2364"/>
      <c r="O392" s="2364"/>
      <c r="P392" s="2364"/>
      <c r="Q392" s="2364"/>
      <c r="R392" s="2364"/>
      <c r="S392" s="2364"/>
      <c r="T392" s="2364"/>
      <c r="U392" s="2364"/>
      <c r="V392" s="2364"/>
      <c r="W392" s="2364"/>
      <c r="X392" s="2364"/>
      <c r="Y392" s="2364"/>
      <c r="Z392" s="2364"/>
      <c r="AA392" s="2364"/>
      <c r="AB392" s="2364"/>
      <c r="AC392" s="2364"/>
      <c r="AD392" s="2364"/>
      <c r="AE392" s="2364"/>
      <c r="AF392" s="2364"/>
      <c r="AG392" s="502"/>
      <c r="AH392" s="502"/>
      <c r="AI392" s="502"/>
      <c r="AJ392" s="502"/>
      <c r="AK392" s="502"/>
      <c r="AL392" s="503"/>
      <c r="AM392" s="367"/>
      <c r="AN392" s="390"/>
      <c r="BS392" s="367"/>
      <c r="BT392" s="367"/>
      <c r="BU392" s="367"/>
      <c r="BV392" s="367"/>
      <c r="BW392" s="367"/>
      <c r="BX392" s="367"/>
      <c r="BY392" s="367"/>
      <c r="BZ392" s="367"/>
      <c r="CA392" s="367"/>
      <c r="CB392" s="367"/>
      <c r="CC392" s="367"/>
    </row>
    <row r="393" spans="1:81" s="349" customFormat="1" ht="12.75" customHeight="1">
      <c r="A393" s="336"/>
      <c r="B393" s="11"/>
      <c r="C393" s="515"/>
      <c r="D393" s="11"/>
      <c r="E393" s="478"/>
      <c r="F393" s="2365"/>
      <c r="G393" s="2365"/>
      <c r="H393" s="2365"/>
      <c r="I393" s="2365"/>
      <c r="J393" s="2365"/>
      <c r="K393" s="2365"/>
      <c r="L393" s="2365"/>
      <c r="M393" s="2365"/>
      <c r="N393" s="2365"/>
      <c r="O393" s="2365"/>
      <c r="P393" s="2365"/>
      <c r="Q393" s="2365"/>
      <c r="R393" s="2365"/>
      <c r="S393" s="2365"/>
      <c r="T393" s="2365"/>
      <c r="U393" s="2365"/>
      <c r="V393" s="2365"/>
      <c r="W393" s="2365"/>
      <c r="X393" s="2365"/>
      <c r="Y393" s="2365"/>
      <c r="Z393" s="2365"/>
      <c r="AA393" s="2365"/>
      <c r="AB393" s="2365"/>
      <c r="AC393" s="2365"/>
      <c r="AD393" s="2365"/>
      <c r="AE393" s="2365"/>
      <c r="AF393" s="2365"/>
      <c r="AG393" s="339"/>
      <c r="AH393" s="339"/>
      <c r="AI393" s="339"/>
      <c r="AJ393" s="339"/>
      <c r="AK393" s="339"/>
      <c r="AL393" s="1207"/>
      <c r="AM393" s="367"/>
      <c r="AN393" s="390"/>
      <c r="BS393" s="367"/>
      <c r="BT393" s="367"/>
      <c r="BU393" s="367"/>
      <c r="BV393" s="367"/>
      <c r="BW393" s="367"/>
      <c r="BX393" s="367"/>
      <c r="BY393" s="367"/>
      <c r="BZ393" s="367"/>
      <c r="CA393" s="367"/>
      <c r="CB393" s="367"/>
      <c r="CC393" s="367"/>
    </row>
    <row r="394" spans="1:81" s="349" customFormat="1" ht="12.75" customHeight="1">
      <c r="A394" s="336"/>
      <c r="B394" s="11"/>
      <c r="C394" s="515"/>
      <c r="D394" s="11"/>
      <c r="E394" s="478"/>
      <c r="F394" s="2365"/>
      <c r="G394" s="2365"/>
      <c r="H394" s="2365"/>
      <c r="I394" s="2365"/>
      <c r="J394" s="2365"/>
      <c r="K394" s="2365"/>
      <c r="L394" s="2365"/>
      <c r="M394" s="2365"/>
      <c r="N394" s="2365"/>
      <c r="O394" s="2365"/>
      <c r="P394" s="2365"/>
      <c r="Q394" s="2365"/>
      <c r="R394" s="2365"/>
      <c r="S394" s="2365"/>
      <c r="T394" s="2365"/>
      <c r="U394" s="2365"/>
      <c r="V394" s="2365"/>
      <c r="W394" s="2365"/>
      <c r="X394" s="2365"/>
      <c r="Y394" s="2365"/>
      <c r="Z394" s="2365"/>
      <c r="AA394" s="2365"/>
      <c r="AB394" s="2365"/>
      <c r="AC394" s="2365"/>
      <c r="AD394" s="2365"/>
      <c r="AE394" s="2365"/>
      <c r="AF394" s="2365"/>
      <c r="AG394" s="339"/>
      <c r="AH394" s="339"/>
      <c r="AI394" s="339"/>
      <c r="AJ394" s="339"/>
      <c r="AK394" s="339"/>
      <c r="AL394" s="1207"/>
      <c r="AM394" s="367"/>
      <c r="AN394" s="390"/>
      <c r="BS394" s="367"/>
      <c r="BT394" s="367"/>
      <c r="BU394" s="367"/>
      <c r="BV394" s="367"/>
      <c r="BW394" s="367"/>
      <c r="BX394" s="367"/>
      <c r="BY394" s="367"/>
      <c r="BZ394" s="367"/>
      <c r="CA394" s="367"/>
      <c r="CB394" s="367"/>
      <c r="CC394" s="367"/>
    </row>
    <row r="395" spans="1:81" s="349" customFormat="1" ht="12.75" customHeight="1">
      <c r="A395" s="336"/>
      <c r="B395" s="11"/>
      <c r="C395" s="515"/>
      <c r="D395" s="11"/>
      <c r="E395" s="478"/>
      <c r="F395" s="2365"/>
      <c r="G395" s="2365"/>
      <c r="H395" s="2365"/>
      <c r="I395" s="2365"/>
      <c r="J395" s="2365"/>
      <c r="K395" s="2365"/>
      <c r="L395" s="2365"/>
      <c r="M395" s="2365"/>
      <c r="N395" s="2365"/>
      <c r="O395" s="2365"/>
      <c r="P395" s="2365"/>
      <c r="Q395" s="2365"/>
      <c r="R395" s="2365"/>
      <c r="S395" s="2365"/>
      <c r="T395" s="2365"/>
      <c r="U395" s="2365"/>
      <c r="V395" s="2365"/>
      <c r="W395" s="2365"/>
      <c r="X395" s="2365"/>
      <c r="Y395" s="2365"/>
      <c r="Z395" s="2365"/>
      <c r="AA395" s="2365"/>
      <c r="AB395" s="2365"/>
      <c r="AC395" s="2365"/>
      <c r="AD395" s="2365"/>
      <c r="AE395" s="2365"/>
      <c r="AF395" s="2365"/>
      <c r="AG395" s="339"/>
      <c r="AH395" s="339"/>
      <c r="AI395" s="339"/>
      <c r="AJ395" s="339"/>
      <c r="AK395" s="339"/>
      <c r="AL395" s="1207"/>
      <c r="AM395" s="367"/>
      <c r="AN395" s="390"/>
      <c r="BS395" s="367"/>
      <c r="BT395" s="367"/>
      <c r="BU395" s="367"/>
      <c r="BV395" s="367"/>
      <c r="BW395" s="367"/>
      <c r="BX395" s="367"/>
      <c r="BY395" s="367"/>
      <c r="BZ395" s="367"/>
      <c r="CA395" s="367"/>
      <c r="CB395" s="367"/>
      <c r="CC395" s="367"/>
    </row>
    <row r="396" spans="1:81" s="349" customFormat="1" ht="12.75" customHeight="1">
      <c r="A396" s="336"/>
      <c r="B396" s="11"/>
      <c r="C396" s="515"/>
      <c r="D396" s="11"/>
      <c r="E396" s="478"/>
      <c r="F396" s="2365"/>
      <c r="G396" s="2365"/>
      <c r="H396" s="2365"/>
      <c r="I396" s="2365"/>
      <c r="J396" s="2365"/>
      <c r="K396" s="2365"/>
      <c r="L396" s="2365"/>
      <c r="M396" s="2365"/>
      <c r="N396" s="2365"/>
      <c r="O396" s="2365"/>
      <c r="P396" s="2365"/>
      <c r="Q396" s="2365"/>
      <c r="R396" s="2365"/>
      <c r="S396" s="2365"/>
      <c r="T396" s="2365"/>
      <c r="U396" s="2365"/>
      <c r="V396" s="2365"/>
      <c r="W396" s="2365"/>
      <c r="X396" s="2365"/>
      <c r="Y396" s="2365"/>
      <c r="Z396" s="2365"/>
      <c r="AA396" s="2365"/>
      <c r="AB396" s="2365"/>
      <c r="AC396" s="2365"/>
      <c r="AD396" s="2365"/>
      <c r="AE396" s="2365"/>
      <c r="AF396" s="2365"/>
      <c r="AG396" s="339"/>
      <c r="AH396" s="339"/>
      <c r="AI396" s="339"/>
      <c r="AJ396" s="339"/>
      <c r="AK396" s="339"/>
      <c r="AL396" s="1207"/>
      <c r="AM396" s="367"/>
      <c r="AN396" s="390"/>
      <c r="BS396" s="367"/>
      <c r="BT396" s="367"/>
      <c r="BU396" s="367"/>
      <c r="BV396" s="367"/>
      <c r="BW396" s="367"/>
      <c r="BX396" s="367"/>
      <c r="BY396" s="367"/>
      <c r="BZ396" s="367"/>
      <c r="CA396" s="367"/>
      <c r="CB396" s="367"/>
      <c r="CC396" s="367"/>
    </row>
    <row r="397" spans="1:81" s="349" customFormat="1" ht="12.75" customHeight="1">
      <c r="A397" s="336"/>
      <c r="B397" s="11"/>
      <c r="C397" s="2374" t="s">
        <v>809</v>
      </c>
      <c r="D397" s="2375"/>
      <c r="E397" s="478"/>
      <c r="F397" s="506" t="s">
        <v>2352</v>
      </c>
      <c r="G397" s="396"/>
      <c r="H397" s="396"/>
      <c r="I397" s="396"/>
      <c r="J397" s="396"/>
      <c r="K397" s="396"/>
      <c r="L397" s="396"/>
      <c r="M397" s="396"/>
      <c r="N397" s="396"/>
      <c r="O397" s="396"/>
      <c r="P397" s="396"/>
      <c r="Q397" s="396"/>
      <c r="R397" s="396"/>
      <c r="S397" s="396"/>
      <c r="T397" s="396"/>
      <c r="U397" s="396"/>
      <c r="V397" s="396"/>
      <c r="W397" s="396"/>
      <c r="X397" s="396"/>
      <c r="Y397" s="396"/>
      <c r="Z397" s="396"/>
      <c r="AA397" s="396"/>
      <c r="AB397" s="396"/>
      <c r="AC397" s="396"/>
      <c r="AD397" s="396"/>
      <c r="AF397" s="2376" t="s">
        <v>2353</v>
      </c>
      <c r="AG397" s="2376"/>
      <c r="AH397" s="2376"/>
      <c r="AI397" s="2376"/>
      <c r="AJ397" s="2376"/>
      <c r="AK397" s="2376"/>
      <c r="AL397" s="2377"/>
      <c r="AM397" s="507"/>
      <c r="BS397" s="367"/>
      <c r="BT397" s="367"/>
      <c r="BU397" s="367"/>
      <c r="BV397" s="367"/>
      <c r="BW397" s="367"/>
      <c r="BX397" s="367"/>
      <c r="BY397" s="367"/>
      <c r="BZ397" s="367"/>
      <c r="CA397" s="367"/>
      <c r="CB397" s="367"/>
      <c r="CC397" s="367"/>
    </row>
    <row r="398" spans="1:81" s="349" customFormat="1" ht="12.75" customHeight="1">
      <c r="A398" s="336"/>
      <c r="B398" s="11"/>
      <c r="C398" s="515"/>
      <c r="D398" s="11"/>
      <c r="E398" s="478"/>
      <c r="F398" s="1209"/>
      <c r="G398" s="1209"/>
      <c r="H398" s="1209"/>
      <c r="I398" s="1209"/>
      <c r="J398" s="1209"/>
      <c r="K398" s="1209"/>
      <c r="L398" s="1209"/>
      <c r="M398" s="1209"/>
      <c r="N398" s="1209"/>
      <c r="O398" s="1209"/>
      <c r="P398" s="1209"/>
      <c r="Q398" s="1209"/>
      <c r="R398" s="1209"/>
      <c r="S398" s="1209"/>
      <c r="T398" s="1209"/>
      <c r="U398" s="1209"/>
      <c r="V398" s="1209"/>
      <c r="W398" s="1209"/>
      <c r="X398" s="1209"/>
      <c r="Y398" s="1209"/>
      <c r="Z398" s="1209"/>
      <c r="AA398" s="1209"/>
      <c r="AB398" s="1209"/>
      <c r="AC398" s="1209"/>
      <c r="AD398" s="1209"/>
      <c r="AL398" s="516"/>
      <c r="AM398" s="367"/>
      <c r="AN398" s="390"/>
      <c r="BS398" s="367"/>
      <c r="BT398" s="367"/>
      <c r="BU398" s="367"/>
      <c r="BV398" s="367"/>
      <c r="BW398" s="367"/>
      <c r="BX398" s="367"/>
      <c r="BY398" s="367"/>
      <c r="BZ398" s="367"/>
      <c r="CA398" s="367"/>
      <c r="CB398" s="367"/>
      <c r="CC398" s="367"/>
    </row>
    <row r="399" spans="1:81" s="349" customFormat="1" ht="12.75" customHeight="1">
      <c r="A399" s="336"/>
      <c r="B399" s="11"/>
      <c r="C399" s="2374" t="s">
        <v>809</v>
      </c>
      <c r="D399" s="2375"/>
      <c r="E399" s="478"/>
      <c r="F399" s="522" t="s">
        <v>2354</v>
      </c>
      <c r="G399" s="1209"/>
      <c r="H399" s="1209"/>
      <c r="I399" s="1209"/>
      <c r="J399" s="1209"/>
      <c r="K399" s="1209"/>
      <c r="L399" s="1209"/>
      <c r="M399" s="1209"/>
      <c r="N399" s="1209"/>
      <c r="O399" s="1209"/>
      <c r="P399" s="1209"/>
      <c r="Q399" s="1209"/>
      <c r="R399" s="1209"/>
      <c r="S399" s="1209"/>
      <c r="T399" s="1209"/>
      <c r="U399" s="1209"/>
      <c r="V399" s="1209"/>
      <c r="W399" s="1209"/>
      <c r="X399" s="1209"/>
      <c r="Y399" s="1209"/>
      <c r="Z399" s="1209"/>
      <c r="AA399" s="1209"/>
      <c r="AB399" s="1209"/>
      <c r="AC399" s="1209"/>
      <c r="AD399" s="1209"/>
      <c r="AF399" s="2376" t="s">
        <v>2348</v>
      </c>
      <c r="AG399" s="2376"/>
      <c r="AH399" s="2376"/>
      <c r="AI399" s="2376"/>
      <c r="AJ399" s="2376"/>
      <c r="AK399" s="2376"/>
      <c r="AL399" s="2377"/>
      <c r="AM399" s="367"/>
      <c r="AN399" s="390"/>
      <c r="BS399" s="367"/>
      <c r="BT399" s="367"/>
      <c r="BU399" s="367"/>
    </row>
    <row r="400" spans="1:81" s="349" customFormat="1" ht="12.75" customHeight="1">
      <c r="A400" s="336"/>
      <c r="B400" s="11"/>
      <c r="C400" s="523"/>
      <c r="E400" s="478"/>
      <c r="G400" s="1209"/>
      <c r="H400" s="1209"/>
      <c r="I400" s="1209"/>
      <c r="J400" s="1209"/>
      <c r="K400" s="1209"/>
      <c r="L400" s="1209"/>
      <c r="M400" s="1209"/>
      <c r="N400" s="1209"/>
      <c r="O400" s="1209"/>
      <c r="P400" s="1209"/>
      <c r="Q400" s="1209"/>
      <c r="R400" s="1209"/>
      <c r="S400" s="1209"/>
      <c r="T400" s="1209"/>
      <c r="U400" s="1209"/>
      <c r="V400" s="1209"/>
      <c r="W400" s="1209"/>
      <c r="X400" s="1209"/>
      <c r="Y400" s="1209"/>
      <c r="Z400" s="1209"/>
      <c r="AA400" s="1209"/>
      <c r="AB400" s="1209"/>
      <c r="AC400" s="1209"/>
      <c r="AD400" s="1209"/>
      <c r="AL400" s="516"/>
      <c r="AM400" s="367"/>
      <c r="AN400" s="390"/>
      <c r="BS400" s="367"/>
      <c r="BT400" s="367"/>
      <c r="BU400" s="367"/>
    </row>
    <row r="401" spans="1:81" s="349" customFormat="1" ht="12.75" customHeight="1">
      <c r="A401" s="336"/>
      <c r="B401" s="11"/>
      <c r="C401" s="524"/>
      <c r="D401" s="517"/>
      <c r="E401" s="518"/>
      <c r="F401" s="525" t="s">
        <v>2355</v>
      </c>
      <c r="G401" s="519"/>
      <c r="H401" s="519"/>
      <c r="I401" s="519"/>
      <c r="J401" s="519"/>
      <c r="K401" s="519"/>
      <c r="L401" s="519"/>
      <c r="M401" s="519"/>
      <c r="N401" s="519"/>
      <c r="O401" s="519"/>
      <c r="P401" s="519"/>
      <c r="Q401" s="519"/>
      <c r="R401" s="519"/>
      <c r="S401" s="519"/>
      <c r="T401" s="519"/>
      <c r="U401" s="519"/>
      <c r="V401" s="519"/>
      <c r="W401" s="519"/>
      <c r="X401" s="519"/>
      <c r="Y401" s="519"/>
      <c r="Z401" s="519"/>
      <c r="AA401" s="519"/>
      <c r="AB401" s="519"/>
      <c r="AC401" s="519"/>
      <c r="AD401" s="519"/>
      <c r="AE401" s="521"/>
      <c r="AF401" s="379"/>
      <c r="AG401" s="521"/>
      <c r="AH401" s="512"/>
      <c r="AI401" s="512"/>
      <c r="AJ401" s="512"/>
      <c r="AK401" s="512"/>
      <c r="AL401" s="526"/>
      <c r="AM401" s="367"/>
      <c r="AN401" s="390"/>
      <c r="BS401" s="367"/>
      <c r="BT401" s="367"/>
      <c r="BU401" s="367"/>
    </row>
    <row r="402" spans="1:81" s="349" customFormat="1" ht="12.75" customHeight="1">
      <c r="A402" s="336"/>
      <c r="B402" s="11"/>
      <c r="C402" s="11"/>
      <c r="D402" s="11"/>
      <c r="E402" s="478"/>
      <c r="F402" s="464"/>
      <c r="G402" s="464"/>
      <c r="H402" s="464"/>
      <c r="I402" s="464"/>
      <c r="J402" s="464"/>
      <c r="K402" s="464"/>
      <c r="L402" s="464"/>
      <c r="M402" s="464"/>
      <c r="N402" s="464"/>
      <c r="O402" s="464"/>
      <c r="P402" s="464"/>
      <c r="Q402" s="464"/>
      <c r="R402" s="464"/>
      <c r="S402" s="464"/>
      <c r="T402" s="464"/>
      <c r="U402" s="464"/>
      <c r="V402" s="464"/>
      <c r="W402" s="464"/>
      <c r="X402" s="464"/>
      <c r="Y402" s="464"/>
      <c r="Z402" s="464"/>
      <c r="AA402" s="464"/>
      <c r="AB402" s="464"/>
      <c r="AC402" s="464"/>
      <c r="AD402" s="464"/>
      <c r="AE402" s="336"/>
      <c r="AF402" s="339"/>
      <c r="AG402" s="336"/>
      <c r="AM402" s="367"/>
      <c r="AN402" s="390"/>
      <c r="BS402" s="367"/>
      <c r="BT402" s="367"/>
      <c r="BU402" s="367"/>
    </row>
    <row r="403" spans="1:81" s="349" customFormat="1" ht="12.75" customHeight="1">
      <c r="A403" s="336"/>
      <c r="B403" s="11"/>
      <c r="C403" s="499"/>
      <c r="D403" s="500"/>
      <c r="E403" s="501" t="s">
        <v>2356</v>
      </c>
      <c r="F403" s="2364" t="s">
        <v>2357</v>
      </c>
      <c r="G403" s="2364"/>
      <c r="H403" s="2364"/>
      <c r="I403" s="2364"/>
      <c r="J403" s="2364"/>
      <c r="K403" s="2364"/>
      <c r="L403" s="2364"/>
      <c r="M403" s="2364"/>
      <c r="N403" s="2364"/>
      <c r="O403" s="2364"/>
      <c r="P403" s="2364"/>
      <c r="Q403" s="2364"/>
      <c r="R403" s="2364"/>
      <c r="S403" s="2364"/>
      <c r="T403" s="2364"/>
      <c r="U403" s="2364"/>
      <c r="V403" s="2364"/>
      <c r="W403" s="2364"/>
      <c r="X403" s="2364"/>
      <c r="Y403" s="2364"/>
      <c r="Z403" s="2364"/>
      <c r="AA403" s="2364"/>
      <c r="AB403" s="2364"/>
      <c r="AC403" s="2364"/>
      <c r="AD403" s="2364"/>
      <c r="AE403" s="2364"/>
      <c r="AF403" s="2364"/>
      <c r="AG403" s="502"/>
      <c r="AH403" s="502"/>
      <c r="AI403" s="502"/>
      <c r="AJ403" s="502"/>
      <c r="AK403" s="502"/>
      <c r="AL403" s="503"/>
      <c r="AM403" s="367"/>
      <c r="AN403" s="390"/>
      <c r="BS403" s="367"/>
      <c r="BT403" s="367"/>
      <c r="BU403" s="367"/>
      <c r="BV403" s="367"/>
      <c r="BW403" s="367"/>
      <c r="BX403" s="367"/>
      <c r="BY403" s="367"/>
      <c r="BZ403" s="367"/>
      <c r="CA403" s="367"/>
      <c r="CB403" s="367"/>
      <c r="CC403" s="367"/>
    </row>
    <row r="404" spans="1:81" s="349" customFormat="1" ht="12.75" customHeight="1">
      <c r="A404" s="336"/>
      <c r="B404" s="11"/>
      <c r="C404" s="515"/>
      <c r="D404" s="11"/>
      <c r="E404" s="478"/>
      <c r="F404" s="2365"/>
      <c r="G404" s="2365"/>
      <c r="H404" s="2365"/>
      <c r="I404" s="2365"/>
      <c r="J404" s="2365"/>
      <c r="K404" s="2365"/>
      <c r="L404" s="2365"/>
      <c r="M404" s="2365"/>
      <c r="N404" s="2365"/>
      <c r="O404" s="2365"/>
      <c r="P404" s="2365"/>
      <c r="Q404" s="2365"/>
      <c r="R404" s="2365"/>
      <c r="S404" s="2365"/>
      <c r="T404" s="2365"/>
      <c r="U404" s="2365"/>
      <c r="V404" s="2365"/>
      <c r="W404" s="2365"/>
      <c r="X404" s="2365"/>
      <c r="Y404" s="2365"/>
      <c r="Z404" s="2365"/>
      <c r="AA404" s="2365"/>
      <c r="AB404" s="2365"/>
      <c r="AC404" s="2365"/>
      <c r="AD404" s="2365"/>
      <c r="AE404" s="2365"/>
      <c r="AF404" s="2365"/>
      <c r="AG404" s="339"/>
      <c r="AH404" s="339"/>
      <c r="AI404" s="339"/>
      <c r="AJ404" s="339"/>
      <c r="AK404" s="339"/>
      <c r="AL404" s="1207"/>
      <c r="AM404" s="367"/>
      <c r="AN404" s="390"/>
      <c r="BS404" s="367"/>
      <c r="BT404" s="367"/>
      <c r="BU404" s="367"/>
      <c r="BV404" s="367"/>
      <c r="BW404" s="367"/>
      <c r="BX404" s="367"/>
      <c r="BY404" s="367"/>
      <c r="BZ404" s="367"/>
      <c r="CA404" s="367"/>
      <c r="CB404" s="367"/>
      <c r="CC404" s="367"/>
    </row>
    <row r="405" spans="1:81">
      <c r="A405" s="336"/>
      <c r="C405" s="515"/>
      <c r="E405" s="478"/>
      <c r="F405" s="2365"/>
      <c r="G405" s="2365"/>
      <c r="H405" s="2365"/>
      <c r="I405" s="2365"/>
      <c r="J405" s="2365"/>
      <c r="K405" s="2365"/>
      <c r="L405" s="2365"/>
      <c r="M405" s="2365"/>
      <c r="N405" s="2365"/>
      <c r="O405" s="2365"/>
      <c r="P405" s="2365"/>
      <c r="Q405" s="2365"/>
      <c r="R405" s="2365"/>
      <c r="S405" s="2365"/>
      <c r="T405" s="2365"/>
      <c r="U405" s="2365"/>
      <c r="V405" s="2365"/>
      <c r="W405" s="2365"/>
      <c r="X405" s="2365"/>
      <c r="Y405" s="2365"/>
      <c r="Z405" s="2365"/>
      <c r="AA405" s="2365"/>
      <c r="AB405" s="2365"/>
      <c r="AC405" s="2365"/>
      <c r="AD405" s="2365"/>
      <c r="AE405" s="2365"/>
      <c r="AF405" s="2365"/>
      <c r="AG405" s="339"/>
      <c r="AH405" s="339"/>
      <c r="AI405" s="339"/>
      <c r="AJ405" s="339"/>
      <c r="AK405" s="339"/>
      <c r="AL405" s="1207"/>
      <c r="AM405" s="367"/>
      <c r="BS405" s="367"/>
      <c r="BT405" s="367"/>
      <c r="BU405" s="367"/>
      <c r="BV405" s="367"/>
      <c r="BW405" s="367"/>
      <c r="BX405" s="367"/>
      <c r="BY405" s="367"/>
      <c r="BZ405" s="367"/>
      <c r="CA405" s="367"/>
      <c r="CB405" s="367"/>
      <c r="CC405" s="367"/>
    </row>
    <row r="406" spans="1:81" s="349" customFormat="1" ht="12.75" customHeight="1">
      <c r="A406" s="336"/>
      <c r="B406" s="11"/>
      <c r="C406" s="515"/>
      <c r="D406" s="11"/>
      <c r="E406" s="478"/>
      <c r="F406" s="2365"/>
      <c r="G406" s="2365"/>
      <c r="H406" s="2365"/>
      <c r="I406" s="2365"/>
      <c r="J406" s="2365"/>
      <c r="K406" s="2365"/>
      <c r="L406" s="2365"/>
      <c r="M406" s="2365"/>
      <c r="N406" s="2365"/>
      <c r="O406" s="2365"/>
      <c r="P406" s="2365"/>
      <c r="Q406" s="2365"/>
      <c r="R406" s="2365"/>
      <c r="S406" s="2365"/>
      <c r="T406" s="2365"/>
      <c r="U406" s="2365"/>
      <c r="V406" s="2365"/>
      <c r="W406" s="2365"/>
      <c r="X406" s="2365"/>
      <c r="Y406" s="2365"/>
      <c r="Z406" s="2365"/>
      <c r="AA406" s="2365"/>
      <c r="AB406" s="2365"/>
      <c r="AC406" s="2365"/>
      <c r="AD406" s="2365"/>
      <c r="AE406" s="2365"/>
      <c r="AF406" s="2365"/>
      <c r="AG406" s="339"/>
      <c r="AH406" s="339"/>
      <c r="AI406" s="339"/>
      <c r="AJ406" s="339"/>
      <c r="AK406" s="339"/>
      <c r="AL406" s="1207"/>
      <c r="AM406" s="367"/>
      <c r="AN406" s="390"/>
      <c r="BS406" s="367"/>
      <c r="BT406" s="367"/>
      <c r="BY406" s="367"/>
      <c r="BZ406" s="367"/>
      <c r="CA406" s="367"/>
      <c r="CB406" s="367"/>
      <c r="CC406" s="367"/>
    </row>
    <row r="407" spans="1:81" s="349" customFormat="1" ht="12.75" customHeight="1">
      <c r="A407" s="336"/>
      <c r="B407" s="11"/>
      <c r="C407" s="2374" t="s">
        <v>809</v>
      </c>
      <c r="D407" s="2375"/>
      <c r="E407" s="478"/>
      <c r="F407" s="506" t="s">
        <v>2358</v>
      </c>
      <c r="G407" s="396"/>
      <c r="H407" s="396"/>
      <c r="I407" s="396"/>
      <c r="J407" s="396"/>
      <c r="K407" s="396"/>
      <c r="L407" s="396"/>
      <c r="M407" s="396"/>
      <c r="N407" s="396"/>
      <c r="O407" s="396"/>
      <c r="P407" s="396"/>
      <c r="Q407" s="396"/>
      <c r="R407" s="396"/>
      <c r="S407" s="396"/>
      <c r="T407" s="396"/>
      <c r="U407" s="396"/>
      <c r="V407" s="396"/>
      <c r="W407" s="396"/>
      <c r="X407" s="396"/>
      <c r="Y407" s="396"/>
      <c r="Z407" s="396"/>
      <c r="AA407" s="396"/>
      <c r="AB407" s="396"/>
      <c r="AC407" s="396"/>
      <c r="AD407" s="396"/>
      <c r="AF407" s="2376" t="s">
        <v>2348</v>
      </c>
      <c r="AG407" s="2376"/>
      <c r="AH407" s="2376"/>
      <c r="AI407" s="2376"/>
      <c r="AJ407" s="2376"/>
      <c r="AK407" s="2376"/>
      <c r="AL407" s="2377"/>
      <c r="AM407" s="367"/>
      <c r="AN407" s="390"/>
      <c r="BS407" s="367"/>
      <c r="BT407" s="367"/>
      <c r="BY407" s="367"/>
      <c r="BZ407" s="367"/>
      <c r="CA407" s="367"/>
      <c r="CB407" s="367"/>
      <c r="CC407" s="367"/>
    </row>
    <row r="408" spans="1:81" s="349" customFormat="1" ht="12.75" customHeight="1">
      <c r="A408" s="336"/>
      <c r="B408" s="11"/>
      <c r="C408" s="515"/>
      <c r="D408" s="11"/>
      <c r="E408" s="478"/>
      <c r="G408" s="396"/>
      <c r="H408" s="396"/>
      <c r="I408" s="396"/>
      <c r="J408" s="396"/>
      <c r="K408" s="396"/>
      <c r="L408" s="396"/>
      <c r="M408" s="396"/>
      <c r="N408" s="396"/>
      <c r="O408" s="396"/>
      <c r="P408" s="396"/>
      <c r="Q408" s="396"/>
      <c r="R408" s="396"/>
      <c r="S408" s="396"/>
      <c r="T408" s="396"/>
      <c r="U408" s="396"/>
      <c r="V408" s="396"/>
      <c r="W408" s="396"/>
      <c r="X408" s="396"/>
      <c r="Y408" s="396"/>
      <c r="Z408" s="396"/>
      <c r="AA408" s="396"/>
      <c r="AB408" s="396"/>
      <c r="AC408" s="396"/>
      <c r="AD408" s="396"/>
      <c r="AL408" s="516"/>
      <c r="AM408" s="367"/>
      <c r="AN408" s="390"/>
      <c r="BS408" s="367"/>
      <c r="BT408" s="367"/>
      <c r="BY408" s="367"/>
      <c r="BZ408" s="367"/>
      <c r="CA408" s="367"/>
      <c r="CB408" s="367"/>
      <c r="CC408" s="367"/>
    </row>
    <row r="409" spans="1:81" s="349" customFormat="1" ht="12.75" customHeight="1">
      <c r="A409" s="336"/>
      <c r="B409" s="11"/>
      <c r="C409" s="2374" t="s">
        <v>809</v>
      </c>
      <c r="D409" s="2375"/>
      <c r="E409" s="505"/>
      <c r="F409" s="506" t="s">
        <v>2359</v>
      </c>
      <c r="G409" s="396"/>
      <c r="H409" s="396"/>
      <c r="I409" s="396"/>
      <c r="J409" s="396"/>
      <c r="K409" s="396"/>
      <c r="L409" s="396"/>
      <c r="M409" s="396"/>
      <c r="N409" s="396"/>
      <c r="O409" s="396"/>
      <c r="P409" s="396"/>
      <c r="Q409" s="396"/>
      <c r="R409" s="396"/>
      <c r="S409" s="396"/>
      <c r="T409" s="396"/>
      <c r="U409" s="396"/>
      <c r="V409" s="396"/>
      <c r="W409" s="396"/>
      <c r="X409" s="396"/>
      <c r="Y409" s="396"/>
      <c r="Z409" s="396"/>
      <c r="AA409" s="396"/>
      <c r="AB409" s="396"/>
      <c r="AC409" s="396"/>
      <c r="AD409" s="396"/>
      <c r="AF409" s="2376" t="s">
        <v>2360</v>
      </c>
      <c r="AG409" s="2376"/>
      <c r="AH409" s="2376"/>
      <c r="AI409" s="2376"/>
      <c r="AJ409" s="2376"/>
      <c r="AK409" s="2376"/>
      <c r="AL409" s="2377"/>
      <c r="AM409" s="367"/>
      <c r="AN409" s="390"/>
      <c r="BS409" s="367"/>
      <c r="BT409" s="367"/>
      <c r="BY409" s="367"/>
      <c r="BZ409" s="367"/>
      <c r="CA409" s="367"/>
      <c r="CB409" s="367"/>
      <c r="CC409" s="367"/>
    </row>
    <row r="410" spans="1:81" s="349" customFormat="1" ht="12.75" customHeight="1">
      <c r="A410" s="336"/>
      <c r="B410" s="11"/>
      <c r="C410" s="527"/>
      <c r="D410" s="512"/>
      <c r="E410" s="509"/>
      <c r="F410" s="512"/>
      <c r="G410" s="511"/>
      <c r="H410" s="511"/>
      <c r="I410" s="511"/>
      <c r="J410" s="511"/>
      <c r="K410" s="511"/>
      <c r="L410" s="511"/>
      <c r="M410" s="511"/>
      <c r="N410" s="511"/>
      <c r="O410" s="511"/>
      <c r="P410" s="511"/>
      <c r="Q410" s="511"/>
      <c r="R410" s="511"/>
      <c r="S410" s="511"/>
      <c r="T410" s="511"/>
      <c r="U410" s="511"/>
      <c r="V410" s="511"/>
      <c r="W410" s="511"/>
      <c r="X410" s="511"/>
      <c r="Y410" s="511"/>
      <c r="Z410" s="511"/>
      <c r="AA410" s="511"/>
      <c r="AB410" s="511"/>
      <c r="AC410" s="511"/>
      <c r="AD410" s="511"/>
      <c r="AE410" s="512"/>
      <c r="AF410" s="512"/>
      <c r="AG410" s="512"/>
      <c r="AH410" s="512"/>
      <c r="AI410" s="512"/>
      <c r="AJ410" s="512"/>
      <c r="AK410" s="512"/>
      <c r="AL410" s="526"/>
      <c r="AM410" s="367"/>
      <c r="AN410" s="390"/>
      <c r="BS410" s="367"/>
      <c r="BT410" s="367"/>
      <c r="BY410" s="367"/>
      <c r="BZ410" s="367"/>
      <c r="CA410" s="367"/>
      <c r="CB410" s="367"/>
      <c r="CC410" s="367"/>
    </row>
    <row r="411" spans="1:81" s="349" customFormat="1" ht="12.75" customHeight="1">
      <c r="A411" s="336"/>
      <c r="B411" s="11"/>
      <c r="C411" s="11"/>
      <c r="D411" s="11"/>
      <c r="E411" s="478"/>
      <c r="G411" s="396"/>
      <c r="H411" s="396"/>
      <c r="I411" s="396"/>
      <c r="J411" s="396"/>
      <c r="K411" s="396"/>
      <c r="L411" s="396"/>
      <c r="M411" s="396"/>
      <c r="N411" s="396"/>
      <c r="O411" s="396"/>
      <c r="P411" s="396"/>
      <c r="Q411" s="396"/>
      <c r="R411" s="396"/>
      <c r="S411" s="396"/>
      <c r="T411" s="396"/>
      <c r="U411" s="396"/>
      <c r="V411" s="396"/>
      <c r="W411" s="396"/>
      <c r="X411" s="396"/>
      <c r="Y411" s="396"/>
      <c r="Z411" s="396"/>
      <c r="AA411" s="396"/>
      <c r="AB411" s="396"/>
      <c r="AC411" s="396"/>
      <c r="AD411" s="396"/>
      <c r="AE411" s="336"/>
      <c r="AF411" s="339"/>
      <c r="AG411" s="336"/>
      <c r="AM411" s="367"/>
      <c r="AN411" s="390"/>
      <c r="BS411" s="367"/>
      <c r="BT411" s="367"/>
      <c r="BY411" s="367"/>
      <c r="BZ411" s="367"/>
      <c r="CA411" s="367"/>
      <c r="CB411" s="367"/>
      <c r="CC411" s="367"/>
    </row>
    <row r="412" spans="1:81" s="349" customFormat="1" ht="12.75" customHeight="1">
      <c r="A412" s="336"/>
      <c r="B412" s="11"/>
      <c r="C412" s="2374" t="s">
        <v>809</v>
      </c>
      <c r="D412" s="2375"/>
      <c r="E412" s="501" t="s">
        <v>2361</v>
      </c>
      <c r="F412" s="2364" t="s">
        <v>2362</v>
      </c>
      <c r="G412" s="2364"/>
      <c r="H412" s="2364"/>
      <c r="I412" s="2364"/>
      <c r="J412" s="2364"/>
      <c r="K412" s="2364"/>
      <c r="L412" s="2364"/>
      <c r="M412" s="2364"/>
      <c r="N412" s="2364"/>
      <c r="O412" s="2364"/>
      <c r="P412" s="2364"/>
      <c r="Q412" s="2364"/>
      <c r="R412" s="2364"/>
      <c r="S412" s="2364"/>
      <c r="T412" s="2364"/>
      <c r="U412" s="2364"/>
      <c r="V412" s="2364"/>
      <c r="W412" s="2364"/>
      <c r="X412" s="2364"/>
      <c r="Y412" s="2364"/>
      <c r="Z412" s="2364"/>
      <c r="AA412" s="2364"/>
      <c r="AB412" s="2364"/>
      <c r="AC412" s="2364"/>
      <c r="AD412" s="2364"/>
      <c r="AE412" s="2364"/>
      <c r="AF412" s="502"/>
      <c r="AG412" s="528"/>
      <c r="AH412" s="500"/>
      <c r="AI412" s="500"/>
      <c r="AJ412" s="500"/>
      <c r="AK412" s="500"/>
      <c r="AL412" s="529"/>
      <c r="AM412" s="367"/>
      <c r="AN412" s="390"/>
      <c r="BS412" s="367"/>
      <c r="BT412" s="367"/>
      <c r="BY412" s="367"/>
      <c r="BZ412" s="367"/>
      <c r="CA412" s="367"/>
      <c r="CB412" s="367"/>
      <c r="CC412" s="367"/>
    </row>
    <row r="413" spans="1:81" s="349" customFormat="1" ht="12.75" customHeight="1">
      <c r="A413" s="336"/>
      <c r="B413" s="11"/>
      <c r="C413" s="523"/>
      <c r="F413" s="2365"/>
      <c r="G413" s="2365"/>
      <c r="H413" s="2365"/>
      <c r="I413" s="2365"/>
      <c r="J413" s="2365"/>
      <c r="K413" s="2365"/>
      <c r="L413" s="2365"/>
      <c r="M413" s="2365"/>
      <c r="N413" s="2365"/>
      <c r="O413" s="2365"/>
      <c r="P413" s="2365"/>
      <c r="Q413" s="2365"/>
      <c r="R413" s="2365"/>
      <c r="S413" s="2365"/>
      <c r="T413" s="2365"/>
      <c r="U413" s="2365"/>
      <c r="V413" s="2365"/>
      <c r="W413" s="2365"/>
      <c r="X413" s="2365"/>
      <c r="Y413" s="2365"/>
      <c r="Z413" s="2365"/>
      <c r="AA413" s="2365"/>
      <c r="AB413" s="2365"/>
      <c r="AC413" s="2365"/>
      <c r="AD413" s="2365"/>
      <c r="AE413" s="2365"/>
      <c r="AF413" s="2454" t="s">
        <v>2348</v>
      </c>
      <c r="AG413" s="2454"/>
      <c r="AH413" s="2454"/>
      <c r="AI413" s="2454"/>
      <c r="AJ413" s="2454"/>
      <c r="AK413" s="2454"/>
      <c r="AL413" s="2463"/>
      <c r="AM413" s="367"/>
      <c r="AN413" s="390"/>
      <c r="BS413" s="367"/>
      <c r="BT413" s="367"/>
      <c r="BY413" s="367"/>
      <c r="BZ413" s="367"/>
      <c r="CA413" s="367"/>
      <c r="CB413" s="367"/>
      <c r="CC413" s="367"/>
    </row>
    <row r="414" spans="1:81" s="349" customFormat="1" ht="12.75" customHeight="1">
      <c r="A414" s="336"/>
      <c r="B414" s="11"/>
      <c r="C414" s="515"/>
      <c r="D414" s="11"/>
      <c r="E414" s="478"/>
      <c r="F414" s="2365"/>
      <c r="G414" s="2365"/>
      <c r="H414" s="2365"/>
      <c r="I414" s="2365"/>
      <c r="J414" s="2365"/>
      <c r="K414" s="2365"/>
      <c r="L414" s="2365"/>
      <c r="M414" s="2365"/>
      <c r="N414" s="2365"/>
      <c r="O414" s="2365"/>
      <c r="P414" s="2365"/>
      <c r="Q414" s="2365"/>
      <c r="R414" s="2365"/>
      <c r="S414" s="2365"/>
      <c r="T414" s="2365"/>
      <c r="U414" s="2365"/>
      <c r="V414" s="2365"/>
      <c r="W414" s="2365"/>
      <c r="X414" s="2365"/>
      <c r="Y414" s="2365"/>
      <c r="Z414" s="2365"/>
      <c r="AA414" s="2365"/>
      <c r="AB414" s="2365"/>
      <c r="AC414" s="2365"/>
      <c r="AD414" s="2365"/>
      <c r="AE414" s="2365"/>
      <c r="AL414" s="516"/>
      <c r="AM414" s="367"/>
      <c r="AN414" s="390"/>
      <c r="BS414" s="367"/>
      <c r="BT414" s="367"/>
      <c r="BU414" s="367"/>
      <c r="BV414" s="367"/>
      <c r="BW414" s="367"/>
      <c r="BX414" s="367"/>
      <c r="BY414" s="367"/>
      <c r="BZ414" s="367"/>
      <c r="CA414" s="367"/>
      <c r="CB414" s="367"/>
      <c r="CC414" s="367"/>
    </row>
    <row r="415" spans="1:81" s="349" customFormat="1" ht="12.75" customHeight="1">
      <c r="A415" s="336"/>
      <c r="B415" s="11"/>
      <c r="C415" s="524"/>
      <c r="D415" s="517"/>
      <c r="E415" s="518"/>
      <c r="F415" s="2366"/>
      <c r="G415" s="2366"/>
      <c r="H415" s="2366"/>
      <c r="I415" s="2366"/>
      <c r="J415" s="2366"/>
      <c r="K415" s="2366"/>
      <c r="L415" s="2366"/>
      <c r="M415" s="2366"/>
      <c r="N415" s="2366"/>
      <c r="O415" s="2366"/>
      <c r="P415" s="2366"/>
      <c r="Q415" s="2366"/>
      <c r="R415" s="2366"/>
      <c r="S415" s="2366"/>
      <c r="T415" s="2366"/>
      <c r="U415" s="2366"/>
      <c r="V415" s="2366"/>
      <c r="W415" s="2366"/>
      <c r="X415" s="2366"/>
      <c r="Y415" s="2366"/>
      <c r="Z415" s="2366"/>
      <c r="AA415" s="2366"/>
      <c r="AB415" s="2366"/>
      <c r="AC415" s="2366"/>
      <c r="AD415" s="2366"/>
      <c r="AE415" s="2366"/>
      <c r="AF415" s="379"/>
      <c r="AG415" s="521"/>
      <c r="AH415" s="512"/>
      <c r="AI415" s="512"/>
      <c r="AJ415" s="512"/>
      <c r="AK415" s="512"/>
      <c r="AL415" s="526"/>
      <c r="AM415" s="367"/>
      <c r="AN415" s="390"/>
    </row>
    <row r="416" spans="1:81">
      <c r="A416" s="336"/>
      <c r="E416" s="478"/>
      <c r="F416" s="396"/>
      <c r="G416" s="396"/>
      <c r="H416" s="396"/>
      <c r="I416" s="396"/>
      <c r="J416" s="396"/>
      <c r="K416" s="396"/>
      <c r="L416" s="396"/>
      <c r="M416" s="396"/>
      <c r="N416" s="396"/>
      <c r="O416" s="396"/>
      <c r="P416" s="396"/>
      <c r="Q416" s="396"/>
      <c r="R416" s="396"/>
      <c r="S416" s="396"/>
      <c r="T416" s="396"/>
      <c r="U416" s="396"/>
      <c r="V416" s="396"/>
      <c r="W416" s="396"/>
      <c r="X416" s="396"/>
      <c r="Y416" s="396"/>
      <c r="Z416" s="396"/>
      <c r="AA416" s="396"/>
      <c r="AB416" s="396"/>
      <c r="AC416" s="396"/>
      <c r="AD416" s="396"/>
      <c r="AE416" s="336"/>
      <c r="AF416" s="339"/>
      <c r="AG416" s="336"/>
      <c r="AH416" s="349"/>
      <c r="AI416" s="349"/>
      <c r="AJ416" s="349"/>
      <c r="AK416" s="349"/>
      <c r="AL416" s="349"/>
      <c r="AM416" s="367"/>
    </row>
    <row r="417" spans="1:55" ht="12.75" customHeight="1">
      <c r="A417" s="336"/>
      <c r="C417" s="530"/>
      <c r="D417" s="531"/>
      <c r="E417" s="501" t="s">
        <v>2363</v>
      </c>
      <c r="F417" s="2364" t="s">
        <v>2364</v>
      </c>
      <c r="G417" s="2364"/>
      <c r="H417" s="2364"/>
      <c r="I417" s="2364"/>
      <c r="J417" s="2364"/>
      <c r="K417" s="2364"/>
      <c r="L417" s="2364"/>
      <c r="M417" s="2364"/>
      <c r="N417" s="2364"/>
      <c r="O417" s="2364"/>
      <c r="P417" s="2364"/>
      <c r="Q417" s="2364"/>
      <c r="R417" s="2364"/>
      <c r="S417" s="2364"/>
      <c r="T417" s="2364"/>
      <c r="U417" s="2364"/>
      <c r="V417" s="2364"/>
      <c r="W417" s="2364"/>
      <c r="X417" s="2364"/>
      <c r="Y417" s="2364"/>
      <c r="Z417" s="2364"/>
      <c r="AA417" s="2364"/>
      <c r="AB417" s="2364"/>
      <c r="AC417" s="2364"/>
      <c r="AD417" s="2364"/>
      <c r="AE417" s="2364"/>
      <c r="AF417" s="531"/>
      <c r="AG417" s="531"/>
      <c r="AH417" s="531"/>
      <c r="AI417" s="531"/>
      <c r="AJ417" s="531"/>
      <c r="AK417" s="531"/>
      <c r="AL417" s="532"/>
      <c r="AM417" s="367"/>
    </row>
    <row r="418" spans="1:55">
      <c r="A418" s="336"/>
      <c r="C418" s="515"/>
      <c r="E418" s="478"/>
      <c r="F418" s="2365"/>
      <c r="G418" s="2365"/>
      <c r="H418" s="2365"/>
      <c r="I418" s="2365"/>
      <c r="J418" s="2365"/>
      <c r="K418" s="2365"/>
      <c r="L418" s="2365"/>
      <c r="M418" s="2365"/>
      <c r="N418" s="2365"/>
      <c r="O418" s="2365"/>
      <c r="P418" s="2365"/>
      <c r="Q418" s="2365"/>
      <c r="R418" s="2365"/>
      <c r="S418" s="2365"/>
      <c r="T418" s="2365"/>
      <c r="U418" s="2365"/>
      <c r="V418" s="2365"/>
      <c r="W418" s="2365"/>
      <c r="X418" s="2365"/>
      <c r="Y418" s="2365"/>
      <c r="Z418" s="2365"/>
      <c r="AA418" s="2365"/>
      <c r="AB418" s="2365"/>
      <c r="AC418" s="2365"/>
      <c r="AD418" s="2365"/>
      <c r="AE418" s="2365"/>
      <c r="AF418" s="339"/>
      <c r="AG418" s="336"/>
      <c r="AH418" s="349"/>
      <c r="AI418" s="349"/>
      <c r="AJ418" s="349"/>
      <c r="AK418" s="349"/>
      <c r="AL418" s="516"/>
      <c r="AM418" s="367"/>
    </row>
    <row r="419" spans="1:55" s="349" customFormat="1" ht="12.75" customHeight="1">
      <c r="A419" s="336"/>
      <c r="B419" s="11"/>
      <c r="C419" s="515"/>
      <c r="D419" s="11"/>
      <c r="E419" s="478"/>
      <c r="F419" s="2365"/>
      <c r="G419" s="2365"/>
      <c r="H419" s="2365"/>
      <c r="I419" s="2365"/>
      <c r="J419" s="2365"/>
      <c r="K419" s="2365"/>
      <c r="L419" s="2365"/>
      <c r="M419" s="2365"/>
      <c r="N419" s="2365"/>
      <c r="O419" s="2365"/>
      <c r="P419" s="2365"/>
      <c r="Q419" s="2365"/>
      <c r="R419" s="2365"/>
      <c r="S419" s="2365"/>
      <c r="T419" s="2365"/>
      <c r="U419" s="2365"/>
      <c r="V419" s="2365"/>
      <c r="W419" s="2365"/>
      <c r="X419" s="2365"/>
      <c r="Y419" s="2365"/>
      <c r="Z419" s="2365"/>
      <c r="AA419" s="2365"/>
      <c r="AB419" s="2365"/>
      <c r="AC419" s="2365"/>
      <c r="AD419" s="2365"/>
      <c r="AE419" s="2365"/>
      <c r="AL419" s="516"/>
      <c r="AM419" s="367"/>
      <c r="AN419" s="390"/>
    </row>
    <row r="420" spans="1:55" s="349" customFormat="1" ht="12.75" customHeight="1">
      <c r="A420" s="336"/>
      <c r="B420" s="11"/>
      <c r="C420" s="523"/>
      <c r="F420" s="2365"/>
      <c r="G420" s="2365"/>
      <c r="H420" s="2365"/>
      <c r="I420" s="2365"/>
      <c r="J420" s="2365"/>
      <c r="K420" s="2365"/>
      <c r="L420" s="2365"/>
      <c r="M420" s="2365"/>
      <c r="N420" s="2365"/>
      <c r="O420" s="2365"/>
      <c r="P420" s="2365"/>
      <c r="Q420" s="2365"/>
      <c r="R420" s="2365"/>
      <c r="S420" s="2365"/>
      <c r="T420" s="2365"/>
      <c r="U420" s="2365"/>
      <c r="V420" s="2365"/>
      <c r="W420" s="2365"/>
      <c r="X420" s="2365"/>
      <c r="Y420" s="2365"/>
      <c r="Z420" s="2365"/>
      <c r="AA420" s="2365"/>
      <c r="AB420" s="2365"/>
      <c r="AC420" s="2365"/>
      <c r="AD420" s="2365"/>
      <c r="AE420" s="2365"/>
      <c r="AL420" s="516"/>
      <c r="AM420" s="367"/>
      <c r="AN420" s="390"/>
    </row>
    <row r="421" spans="1:55" s="349" customFormat="1" ht="12.75" customHeight="1">
      <c r="A421" s="336"/>
      <c r="B421" s="11"/>
      <c r="C421" s="2374" t="s">
        <v>809</v>
      </c>
      <c r="D421" s="2375"/>
      <c r="E421" s="478"/>
      <c r="F421" s="506" t="s">
        <v>2365</v>
      </c>
      <c r="G421" s="396"/>
      <c r="H421" s="396"/>
      <c r="I421" s="396"/>
      <c r="J421" s="396"/>
      <c r="K421" s="396"/>
      <c r="L421" s="396"/>
      <c r="M421" s="396"/>
      <c r="N421" s="396"/>
      <c r="O421" s="396"/>
      <c r="P421" s="396"/>
      <c r="Q421" s="396"/>
      <c r="R421" s="396"/>
      <c r="S421" s="396"/>
      <c r="T421" s="396"/>
      <c r="U421" s="396"/>
      <c r="V421" s="396"/>
      <c r="W421" s="396"/>
      <c r="X421" s="396"/>
      <c r="Y421" s="396"/>
      <c r="Z421" s="396"/>
      <c r="AA421" s="396"/>
      <c r="AB421" s="396"/>
      <c r="AC421" s="396"/>
      <c r="AD421" s="396"/>
      <c r="AF421" s="2454" t="s">
        <v>2348</v>
      </c>
      <c r="AG421" s="2454"/>
      <c r="AH421" s="2454"/>
      <c r="AI421" s="2454"/>
      <c r="AJ421" s="2454"/>
      <c r="AK421" s="2454"/>
      <c r="AL421" s="2463"/>
      <c r="AM421" s="367"/>
      <c r="AN421" s="390"/>
    </row>
    <row r="422" spans="1:55" s="349" customFormat="1" ht="12.75" customHeight="1">
      <c r="A422" s="336"/>
      <c r="B422" s="11"/>
      <c r="C422" s="523"/>
      <c r="AL422" s="516"/>
      <c r="AM422" s="367"/>
      <c r="AN422" s="390"/>
    </row>
    <row r="423" spans="1:55" s="349" customFormat="1" ht="12.75" customHeight="1">
      <c r="A423" s="336"/>
      <c r="B423" s="11"/>
      <c r="C423" s="2374" t="s">
        <v>809</v>
      </c>
      <c r="D423" s="2375"/>
      <c r="E423" s="505"/>
      <c r="F423" s="506" t="s">
        <v>2366</v>
      </c>
      <c r="G423" s="396"/>
      <c r="H423" s="396"/>
      <c r="I423" s="396"/>
      <c r="J423" s="396"/>
      <c r="K423" s="396"/>
      <c r="L423" s="396"/>
      <c r="M423" s="396"/>
      <c r="N423" s="396"/>
      <c r="O423" s="396"/>
      <c r="P423" s="396"/>
      <c r="Q423" s="396"/>
      <c r="R423" s="396"/>
      <c r="S423" s="396"/>
      <c r="T423" s="396"/>
      <c r="U423" s="396"/>
      <c r="V423" s="396"/>
      <c r="W423" s="396"/>
      <c r="X423" s="396"/>
      <c r="Y423" s="396"/>
      <c r="Z423" s="396"/>
      <c r="AA423" s="396"/>
      <c r="AB423" s="396"/>
      <c r="AC423" s="396"/>
      <c r="AD423" s="396"/>
      <c r="AF423" s="2454" t="s">
        <v>2360</v>
      </c>
      <c r="AG423" s="2454"/>
      <c r="AH423" s="2454"/>
      <c r="AI423" s="2454"/>
      <c r="AJ423" s="2454"/>
      <c r="AK423" s="2454"/>
      <c r="AL423" s="2463"/>
      <c r="AM423" s="367"/>
      <c r="AN423" s="390"/>
      <c r="AO423" s="389"/>
      <c r="AP423" s="389"/>
      <c r="BC423" s="11"/>
    </row>
    <row r="424" spans="1:55" s="349" customFormat="1" ht="12.75" customHeight="1">
      <c r="A424" s="336"/>
      <c r="B424" s="11"/>
      <c r="C424" s="517"/>
      <c r="D424" s="517"/>
      <c r="E424" s="518"/>
      <c r="F424" s="510"/>
      <c r="G424" s="511"/>
      <c r="H424" s="511"/>
      <c r="I424" s="511"/>
      <c r="J424" s="511"/>
      <c r="K424" s="511"/>
      <c r="L424" s="511"/>
      <c r="M424" s="511"/>
      <c r="N424" s="511"/>
      <c r="O424" s="511"/>
      <c r="P424" s="511"/>
      <c r="Q424" s="511"/>
      <c r="R424" s="511"/>
      <c r="S424" s="511"/>
      <c r="T424" s="511"/>
      <c r="U424" s="511"/>
      <c r="V424" s="511"/>
      <c r="W424" s="511"/>
      <c r="X424" s="511"/>
      <c r="Y424" s="511"/>
      <c r="Z424" s="511"/>
      <c r="AA424" s="511"/>
      <c r="AB424" s="511"/>
      <c r="AC424" s="511"/>
      <c r="AD424" s="511"/>
      <c r="AE424" s="521"/>
      <c r="AF424" s="379"/>
      <c r="AG424" s="521"/>
      <c r="AH424" s="512"/>
      <c r="AI424" s="512"/>
      <c r="AJ424" s="512"/>
      <c r="AK424" s="512"/>
      <c r="AL424" s="526"/>
      <c r="AM424" s="367"/>
      <c r="AN424" s="390"/>
    </row>
    <row r="425" spans="1:55" s="349" customFormat="1" ht="12.75" customHeight="1">
      <c r="A425" s="336"/>
      <c r="B425" s="11"/>
      <c r="C425" s="11"/>
      <c r="D425" s="11"/>
      <c r="E425" s="478"/>
      <c r="F425" s="506"/>
      <c r="G425" s="396"/>
      <c r="H425" s="396"/>
      <c r="I425" s="396"/>
      <c r="J425" s="396"/>
      <c r="K425" s="396"/>
      <c r="L425" s="396"/>
      <c r="M425" s="396"/>
      <c r="N425" s="396"/>
      <c r="O425" s="396"/>
      <c r="P425" s="396"/>
      <c r="Q425" s="396"/>
      <c r="R425" s="396"/>
      <c r="S425" s="396"/>
      <c r="T425" s="396"/>
      <c r="U425" s="396"/>
      <c r="V425" s="396"/>
      <c r="W425" s="396"/>
      <c r="X425" s="396"/>
      <c r="Y425" s="396"/>
      <c r="Z425" s="396"/>
      <c r="AA425" s="396"/>
      <c r="AB425" s="396"/>
      <c r="AC425" s="396"/>
      <c r="AD425" s="396"/>
      <c r="AE425" s="336"/>
      <c r="AF425" s="339"/>
      <c r="AG425" s="336"/>
      <c r="AM425" s="367"/>
      <c r="AN425" s="390"/>
    </row>
    <row r="426" spans="1:55" s="349" customFormat="1" ht="12.75" customHeight="1">
      <c r="A426" s="336"/>
      <c r="B426" s="11"/>
      <c r="C426" s="498" t="s">
        <v>2367</v>
      </c>
      <c r="D426" s="11"/>
      <c r="E426" s="478"/>
      <c r="F426" s="396"/>
      <c r="G426" s="396"/>
      <c r="H426" s="396"/>
      <c r="I426" s="396"/>
      <c r="J426" s="396"/>
      <c r="K426" s="396"/>
      <c r="L426" s="396"/>
      <c r="M426" s="396"/>
      <c r="N426" s="396"/>
      <c r="O426" s="396"/>
      <c r="P426" s="396"/>
      <c r="Q426" s="396"/>
      <c r="R426" s="396"/>
      <c r="S426" s="396"/>
      <c r="T426" s="396"/>
      <c r="U426" s="396"/>
      <c r="V426" s="396"/>
      <c r="W426" s="396"/>
      <c r="X426" s="396"/>
      <c r="Y426" s="396"/>
      <c r="Z426" s="396"/>
      <c r="AA426" s="396"/>
      <c r="AB426" s="396"/>
      <c r="AC426" s="396"/>
      <c r="AD426" s="396"/>
      <c r="AE426" s="336"/>
      <c r="AF426" s="339"/>
      <c r="AG426" s="336"/>
      <c r="AM426" s="367"/>
      <c r="AN426" s="390"/>
    </row>
    <row r="427" spans="1:55" s="349" customFormat="1" ht="12.75" customHeight="1">
      <c r="A427" s="336"/>
      <c r="B427" s="11"/>
      <c r="C427" s="499"/>
      <c r="D427" s="500"/>
      <c r="E427" s="501" t="s">
        <v>2368</v>
      </c>
      <c r="F427" s="2364" t="s">
        <v>2369</v>
      </c>
      <c r="G427" s="2364"/>
      <c r="H427" s="2364"/>
      <c r="I427" s="2364"/>
      <c r="J427" s="2364"/>
      <c r="K427" s="2364"/>
      <c r="L427" s="2364"/>
      <c r="M427" s="2364"/>
      <c r="N427" s="2364"/>
      <c r="O427" s="2364"/>
      <c r="P427" s="2364"/>
      <c r="Q427" s="2364"/>
      <c r="R427" s="2364"/>
      <c r="S427" s="2364"/>
      <c r="T427" s="2364"/>
      <c r="U427" s="2364"/>
      <c r="V427" s="2364"/>
      <c r="W427" s="2364"/>
      <c r="X427" s="2364"/>
      <c r="Y427" s="2364"/>
      <c r="Z427" s="2364"/>
      <c r="AA427" s="2364"/>
      <c r="AB427" s="2364"/>
      <c r="AC427" s="2364"/>
      <c r="AD427" s="2364"/>
      <c r="AE427" s="2364"/>
      <c r="AF427" s="500"/>
      <c r="AG427" s="500"/>
      <c r="AH427" s="500"/>
      <c r="AI427" s="500"/>
      <c r="AJ427" s="500"/>
      <c r="AK427" s="500"/>
      <c r="AL427" s="529"/>
      <c r="AM427" s="367"/>
      <c r="AN427" s="390"/>
    </row>
    <row r="428" spans="1:55" s="349" customFormat="1" ht="12.75" customHeight="1">
      <c r="A428" s="336"/>
      <c r="B428" s="11"/>
      <c r="C428" s="515"/>
      <c r="D428" s="11"/>
      <c r="E428" s="478"/>
      <c r="F428" s="2365"/>
      <c r="G428" s="2365"/>
      <c r="H428" s="2365"/>
      <c r="I428" s="2365"/>
      <c r="J428" s="2365"/>
      <c r="K428" s="2365"/>
      <c r="L428" s="2365"/>
      <c r="M428" s="2365"/>
      <c r="N428" s="2365"/>
      <c r="O428" s="2365"/>
      <c r="P428" s="2365"/>
      <c r="Q428" s="2365"/>
      <c r="R428" s="2365"/>
      <c r="S428" s="2365"/>
      <c r="T428" s="2365"/>
      <c r="U428" s="2365"/>
      <c r="V428" s="2365"/>
      <c r="W428" s="2365"/>
      <c r="X428" s="2365"/>
      <c r="Y428" s="2365"/>
      <c r="Z428" s="2365"/>
      <c r="AA428" s="2365"/>
      <c r="AB428" s="2365"/>
      <c r="AC428" s="2365"/>
      <c r="AD428" s="2365"/>
      <c r="AE428" s="2365"/>
      <c r="AF428" s="339"/>
      <c r="AG428" s="336"/>
      <c r="AL428" s="516"/>
      <c r="AM428" s="367"/>
      <c r="AN428" s="390"/>
    </row>
    <row r="429" spans="1:55" s="349" customFormat="1" ht="12.6" customHeight="1">
      <c r="A429" s="336"/>
      <c r="B429" s="11"/>
      <c r="C429" s="515"/>
      <c r="D429" s="11"/>
      <c r="E429" s="478"/>
      <c r="F429" s="2365"/>
      <c r="G429" s="2365"/>
      <c r="H429" s="2365"/>
      <c r="I429" s="2365"/>
      <c r="J429" s="2365"/>
      <c r="K429" s="2365"/>
      <c r="L429" s="2365"/>
      <c r="M429" s="2365"/>
      <c r="N429" s="2365"/>
      <c r="O429" s="2365"/>
      <c r="P429" s="2365"/>
      <c r="Q429" s="2365"/>
      <c r="R429" s="2365"/>
      <c r="S429" s="2365"/>
      <c r="T429" s="2365"/>
      <c r="U429" s="2365"/>
      <c r="V429" s="2365"/>
      <c r="W429" s="2365"/>
      <c r="X429" s="2365"/>
      <c r="Y429" s="2365"/>
      <c r="Z429" s="2365"/>
      <c r="AA429" s="2365"/>
      <c r="AB429" s="2365"/>
      <c r="AC429" s="2365"/>
      <c r="AD429" s="2365"/>
      <c r="AE429" s="2365"/>
      <c r="AL429" s="516"/>
      <c r="AM429" s="367"/>
      <c r="AN429" s="390"/>
    </row>
    <row r="430" spans="1:55" s="349" customFormat="1" ht="12.75" customHeight="1">
      <c r="A430" s="336"/>
      <c r="B430" s="11"/>
      <c r="C430" s="2374" t="s">
        <v>809</v>
      </c>
      <c r="D430" s="2375"/>
      <c r="E430" s="478"/>
      <c r="F430" s="506" t="s">
        <v>2370</v>
      </c>
      <c r="G430" s="533"/>
      <c r="H430" s="533"/>
      <c r="I430" s="533"/>
      <c r="J430" s="533"/>
      <c r="K430" s="533"/>
      <c r="L430" s="533"/>
      <c r="M430" s="533"/>
      <c r="N430" s="533"/>
      <c r="O430" s="533"/>
      <c r="P430" s="533"/>
      <c r="Q430" s="533"/>
      <c r="R430" s="533"/>
      <c r="S430" s="533"/>
      <c r="T430" s="533"/>
      <c r="U430" s="533"/>
      <c r="V430" s="533"/>
      <c r="W430" s="533"/>
      <c r="X430" s="533"/>
      <c r="Y430" s="533"/>
      <c r="Z430" s="533"/>
      <c r="AA430" s="533"/>
      <c r="AB430" s="533"/>
      <c r="AC430" s="533"/>
      <c r="AD430" s="533"/>
      <c r="AF430" s="2454" t="s">
        <v>2348</v>
      </c>
      <c r="AG430" s="2454"/>
      <c r="AH430" s="2454"/>
      <c r="AI430" s="2454"/>
      <c r="AJ430" s="2454"/>
      <c r="AK430" s="2454"/>
      <c r="AL430" s="2463"/>
      <c r="AM430" s="367"/>
      <c r="AN430" s="390"/>
    </row>
    <row r="431" spans="1:55" s="349" customFormat="1" ht="12.75" customHeight="1">
      <c r="A431" s="336"/>
      <c r="B431" s="11"/>
      <c r="C431" s="527"/>
      <c r="D431" s="512"/>
      <c r="E431" s="509"/>
      <c r="F431" s="525"/>
      <c r="G431" s="511"/>
      <c r="H431" s="511"/>
      <c r="I431" s="511"/>
      <c r="J431" s="511"/>
      <c r="K431" s="511"/>
      <c r="L431" s="511"/>
      <c r="M431" s="511"/>
      <c r="N431" s="511"/>
      <c r="O431" s="511"/>
      <c r="P431" s="511"/>
      <c r="Q431" s="511"/>
      <c r="R431" s="511"/>
      <c r="S431" s="511"/>
      <c r="T431" s="511"/>
      <c r="U431" s="511"/>
      <c r="V431" s="511"/>
      <c r="W431" s="511"/>
      <c r="X431" s="511"/>
      <c r="Y431" s="511"/>
      <c r="Z431" s="511"/>
      <c r="AA431" s="511"/>
      <c r="AB431" s="511"/>
      <c r="AC431" s="511"/>
      <c r="AD431" s="511"/>
      <c r="AE431" s="512"/>
      <c r="AF431" s="512"/>
      <c r="AG431" s="512"/>
      <c r="AH431" s="512"/>
      <c r="AI431" s="512"/>
      <c r="AJ431" s="512"/>
      <c r="AK431" s="512"/>
      <c r="AL431" s="526"/>
      <c r="AM431" s="367"/>
      <c r="AN431" s="390"/>
    </row>
    <row r="432" spans="1:55" s="349" customFormat="1" ht="12.75" customHeight="1">
      <c r="A432" s="336"/>
      <c r="B432" s="11"/>
      <c r="C432" s="1221"/>
      <c r="D432" s="1221"/>
      <c r="E432" s="505"/>
      <c r="F432" s="506"/>
      <c r="G432" s="396"/>
      <c r="H432" s="396"/>
      <c r="I432" s="396"/>
      <c r="J432" s="396"/>
      <c r="K432" s="396"/>
      <c r="L432" s="396"/>
      <c r="M432" s="396"/>
      <c r="N432" s="396"/>
      <c r="O432" s="396"/>
      <c r="P432" s="396"/>
      <c r="Q432" s="396"/>
      <c r="R432" s="396"/>
      <c r="S432" s="396"/>
      <c r="T432" s="396"/>
      <c r="U432" s="396"/>
      <c r="V432" s="396"/>
      <c r="W432" s="396"/>
      <c r="X432" s="396"/>
      <c r="Y432" s="396"/>
      <c r="Z432" s="396"/>
      <c r="AA432" s="396"/>
      <c r="AB432" s="396"/>
      <c r="AC432" s="396"/>
      <c r="AD432" s="396"/>
      <c r="AE432" s="336"/>
      <c r="AM432" s="367"/>
      <c r="AN432" s="390"/>
    </row>
    <row r="433" spans="1:60" ht="13.35" customHeight="1">
      <c r="A433" s="336"/>
      <c r="C433" s="530"/>
      <c r="D433" s="531"/>
      <c r="E433" s="501" t="s">
        <v>2371</v>
      </c>
      <c r="F433" s="2364" t="s">
        <v>2372</v>
      </c>
      <c r="G433" s="2364"/>
      <c r="H433" s="2364"/>
      <c r="I433" s="2364"/>
      <c r="J433" s="2364"/>
      <c r="K433" s="2364"/>
      <c r="L433" s="2364"/>
      <c r="M433" s="2364"/>
      <c r="N433" s="2364"/>
      <c r="O433" s="2364"/>
      <c r="P433" s="2364"/>
      <c r="Q433" s="2364"/>
      <c r="R433" s="2364"/>
      <c r="S433" s="2364"/>
      <c r="T433" s="2364"/>
      <c r="U433" s="2364"/>
      <c r="V433" s="2364"/>
      <c r="W433" s="2364"/>
      <c r="X433" s="2364"/>
      <c r="Y433" s="2364"/>
      <c r="Z433" s="2364"/>
      <c r="AA433" s="2364"/>
      <c r="AB433" s="2364"/>
      <c r="AC433" s="2364"/>
      <c r="AD433" s="2364"/>
      <c r="AE433" s="2364"/>
      <c r="AF433" s="531"/>
      <c r="AG433" s="531"/>
      <c r="AH433" s="531"/>
      <c r="AI433" s="531"/>
      <c r="AJ433" s="531"/>
      <c r="AK433" s="531"/>
      <c r="AL433" s="532"/>
      <c r="AM433" s="367"/>
      <c r="AO433" s="349"/>
      <c r="AP433" s="349"/>
      <c r="BD433" s="11"/>
      <c r="BE433" s="11"/>
      <c r="BF433" s="11"/>
      <c r="BG433" s="11"/>
      <c r="BH433" s="11"/>
    </row>
    <row r="434" spans="1:60">
      <c r="A434" s="336"/>
      <c r="C434" s="515"/>
      <c r="E434" s="478"/>
      <c r="F434" s="2365"/>
      <c r="G434" s="2365"/>
      <c r="H434" s="2365"/>
      <c r="I434" s="2365"/>
      <c r="J434" s="2365"/>
      <c r="K434" s="2365"/>
      <c r="L434" s="2365"/>
      <c r="M434" s="2365"/>
      <c r="N434" s="2365"/>
      <c r="O434" s="2365"/>
      <c r="P434" s="2365"/>
      <c r="Q434" s="2365"/>
      <c r="R434" s="2365"/>
      <c r="S434" s="2365"/>
      <c r="T434" s="2365"/>
      <c r="U434" s="2365"/>
      <c r="V434" s="2365"/>
      <c r="W434" s="2365"/>
      <c r="X434" s="2365"/>
      <c r="Y434" s="2365"/>
      <c r="Z434" s="2365"/>
      <c r="AA434" s="2365"/>
      <c r="AB434" s="2365"/>
      <c r="AC434" s="2365"/>
      <c r="AD434" s="2365"/>
      <c r="AE434" s="2365"/>
      <c r="AF434" s="1195"/>
      <c r="AG434" s="1195"/>
      <c r="AH434" s="1195"/>
      <c r="AI434" s="1195"/>
      <c r="AJ434" s="1195"/>
      <c r="AK434" s="1195"/>
      <c r="AL434" s="1210"/>
      <c r="AM434" s="367"/>
      <c r="AO434" s="349"/>
      <c r="AP434" s="349"/>
    </row>
    <row r="435" spans="1:60" s="349" customFormat="1" ht="12.75" customHeight="1">
      <c r="A435" s="336"/>
      <c r="B435" s="11"/>
      <c r="C435" s="515"/>
      <c r="D435" s="11"/>
      <c r="E435" s="478"/>
      <c r="F435" s="2365"/>
      <c r="G435" s="2365"/>
      <c r="H435" s="2365"/>
      <c r="I435" s="2365"/>
      <c r="J435" s="2365"/>
      <c r="K435" s="2365"/>
      <c r="L435" s="2365"/>
      <c r="M435" s="2365"/>
      <c r="N435" s="2365"/>
      <c r="O435" s="2365"/>
      <c r="P435" s="2365"/>
      <c r="Q435" s="2365"/>
      <c r="R435" s="2365"/>
      <c r="S435" s="2365"/>
      <c r="T435" s="2365"/>
      <c r="U435" s="2365"/>
      <c r="V435" s="2365"/>
      <c r="W435" s="2365"/>
      <c r="X435" s="2365"/>
      <c r="Y435" s="2365"/>
      <c r="Z435" s="2365"/>
      <c r="AA435" s="2365"/>
      <c r="AB435" s="2365"/>
      <c r="AC435" s="2365"/>
      <c r="AD435" s="2365"/>
      <c r="AE435" s="2365"/>
      <c r="AF435" s="1195"/>
      <c r="AG435" s="1195"/>
      <c r="AH435" s="1195"/>
      <c r="AI435" s="1195"/>
      <c r="AJ435" s="1195"/>
      <c r="AK435" s="1195"/>
      <c r="AL435" s="1210"/>
      <c r="AM435" s="367"/>
      <c r="AN435" s="390"/>
    </row>
    <row r="436" spans="1:60" s="349" customFormat="1" ht="12.75" customHeight="1">
      <c r="A436" s="336"/>
      <c r="B436" s="11"/>
      <c r="C436" s="1220"/>
      <c r="D436" s="1221"/>
      <c r="E436" s="505"/>
      <c r="F436" s="2365"/>
      <c r="G436" s="2365"/>
      <c r="H436" s="2365"/>
      <c r="I436" s="2365"/>
      <c r="J436" s="2365"/>
      <c r="K436" s="2365"/>
      <c r="L436" s="2365"/>
      <c r="M436" s="2365"/>
      <c r="N436" s="2365"/>
      <c r="O436" s="2365"/>
      <c r="P436" s="2365"/>
      <c r="Q436" s="2365"/>
      <c r="R436" s="2365"/>
      <c r="S436" s="2365"/>
      <c r="T436" s="2365"/>
      <c r="U436" s="2365"/>
      <c r="V436" s="2365"/>
      <c r="W436" s="2365"/>
      <c r="X436" s="2365"/>
      <c r="Y436" s="2365"/>
      <c r="Z436" s="2365"/>
      <c r="AA436" s="2365"/>
      <c r="AB436" s="2365"/>
      <c r="AC436" s="2365"/>
      <c r="AD436" s="2365"/>
      <c r="AE436" s="2365"/>
      <c r="AF436" s="1195"/>
      <c r="AG436" s="1195"/>
      <c r="AH436" s="1195"/>
      <c r="AI436" s="1195"/>
      <c r="AJ436" s="1195"/>
      <c r="AK436" s="1195"/>
      <c r="AL436" s="1210"/>
      <c r="AM436" s="367"/>
      <c r="AN436" s="390"/>
      <c r="AO436" s="23"/>
      <c r="AP436" s="11"/>
    </row>
    <row r="437" spans="1:60" s="349" customFormat="1" ht="12.75" customHeight="1">
      <c r="A437" s="336"/>
      <c r="B437" s="11"/>
      <c r="C437" s="1220"/>
      <c r="D437" s="1221"/>
      <c r="E437" s="505"/>
      <c r="F437" s="2365"/>
      <c r="G437" s="2365"/>
      <c r="H437" s="2365"/>
      <c r="I437" s="2365"/>
      <c r="J437" s="2365"/>
      <c r="K437" s="2365"/>
      <c r="L437" s="2365"/>
      <c r="M437" s="2365"/>
      <c r="N437" s="2365"/>
      <c r="O437" s="2365"/>
      <c r="P437" s="2365"/>
      <c r="Q437" s="2365"/>
      <c r="R437" s="2365"/>
      <c r="S437" s="2365"/>
      <c r="T437" s="2365"/>
      <c r="U437" s="2365"/>
      <c r="V437" s="2365"/>
      <c r="W437" s="2365"/>
      <c r="X437" s="2365"/>
      <c r="Y437" s="2365"/>
      <c r="Z437" s="2365"/>
      <c r="AA437" s="2365"/>
      <c r="AB437" s="2365"/>
      <c r="AC437" s="2365"/>
      <c r="AD437" s="2365"/>
      <c r="AE437" s="2365"/>
      <c r="AF437" s="1195"/>
      <c r="AG437" s="1195"/>
      <c r="AH437" s="1195"/>
      <c r="AI437" s="1195"/>
      <c r="AJ437" s="1195"/>
      <c r="AK437" s="1195"/>
      <c r="AL437" s="1210"/>
      <c r="AM437" s="367"/>
      <c r="AN437" s="390"/>
    </row>
    <row r="438" spans="1:60" s="349" customFormat="1" ht="12.75" customHeight="1">
      <c r="A438" s="336"/>
      <c r="B438" s="11"/>
      <c r="C438" s="1220"/>
      <c r="D438" s="1221"/>
      <c r="E438" s="505"/>
      <c r="F438" s="2365"/>
      <c r="G438" s="2365"/>
      <c r="H438" s="2365"/>
      <c r="I438" s="2365"/>
      <c r="J438" s="2365"/>
      <c r="K438" s="2365"/>
      <c r="L438" s="2365"/>
      <c r="M438" s="2365"/>
      <c r="N438" s="2365"/>
      <c r="O438" s="2365"/>
      <c r="P438" s="2365"/>
      <c r="Q438" s="2365"/>
      <c r="R438" s="2365"/>
      <c r="S438" s="2365"/>
      <c r="T438" s="2365"/>
      <c r="U438" s="2365"/>
      <c r="V438" s="2365"/>
      <c r="W438" s="2365"/>
      <c r="X438" s="2365"/>
      <c r="Y438" s="2365"/>
      <c r="Z438" s="2365"/>
      <c r="AA438" s="2365"/>
      <c r="AB438" s="2365"/>
      <c r="AC438" s="2365"/>
      <c r="AD438" s="2365"/>
      <c r="AE438" s="2365"/>
      <c r="AF438" s="1195"/>
      <c r="AG438" s="1195"/>
      <c r="AH438" s="1195"/>
      <c r="AI438" s="1195"/>
      <c r="AJ438" s="1195"/>
      <c r="AK438" s="1195"/>
      <c r="AL438" s="1210"/>
      <c r="AM438" s="367"/>
      <c r="AN438" s="390"/>
    </row>
    <row r="439" spans="1:60" s="349" customFormat="1" ht="12.75" customHeight="1">
      <c r="A439" s="336"/>
      <c r="B439" s="11"/>
      <c r="C439" s="1220"/>
      <c r="D439" s="1221"/>
      <c r="E439" s="505"/>
      <c r="F439" s="2365"/>
      <c r="G439" s="2365"/>
      <c r="H439" s="2365"/>
      <c r="I439" s="2365"/>
      <c r="J439" s="2365"/>
      <c r="K439" s="2365"/>
      <c r="L439" s="2365"/>
      <c r="M439" s="2365"/>
      <c r="N439" s="2365"/>
      <c r="O439" s="2365"/>
      <c r="P439" s="2365"/>
      <c r="Q439" s="2365"/>
      <c r="R439" s="2365"/>
      <c r="S439" s="2365"/>
      <c r="T439" s="2365"/>
      <c r="U439" s="2365"/>
      <c r="V439" s="2365"/>
      <c r="W439" s="2365"/>
      <c r="X439" s="2365"/>
      <c r="Y439" s="2365"/>
      <c r="Z439" s="2365"/>
      <c r="AA439" s="2365"/>
      <c r="AB439" s="2365"/>
      <c r="AC439" s="2365"/>
      <c r="AD439" s="2365"/>
      <c r="AE439" s="2365"/>
      <c r="AF439" s="1195"/>
      <c r="AG439" s="1195"/>
      <c r="AH439" s="1195"/>
      <c r="AI439" s="1195"/>
      <c r="AJ439" s="1195"/>
      <c r="AK439" s="1195"/>
      <c r="AL439" s="1210"/>
      <c r="AM439" s="367"/>
      <c r="AN439" s="390"/>
    </row>
    <row r="440" spans="1:60" s="349" customFormat="1" ht="12.75" customHeight="1">
      <c r="A440" s="336"/>
      <c r="B440" s="11"/>
      <c r="C440" s="1220"/>
      <c r="D440" s="1221"/>
      <c r="E440" s="505"/>
      <c r="F440" s="2365"/>
      <c r="G440" s="2365"/>
      <c r="H440" s="2365"/>
      <c r="I440" s="2365"/>
      <c r="J440" s="2365"/>
      <c r="K440" s="2365"/>
      <c r="L440" s="2365"/>
      <c r="M440" s="2365"/>
      <c r="N440" s="2365"/>
      <c r="O440" s="2365"/>
      <c r="P440" s="2365"/>
      <c r="Q440" s="2365"/>
      <c r="R440" s="2365"/>
      <c r="S440" s="2365"/>
      <c r="T440" s="2365"/>
      <c r="U440" s="2365"/>
      <c r="V440" s="2365"/>
      <c r="W440" s="2365"/>
      <c r="X440" s="2365"/>
      <c r="Y440" s="2365"/>
      <c r="Z440" s="2365"/>
      <c r="AA440" s="2365"/>
      <c r="AB440" s="2365"/>
      <c r="AC440" s="2365"/>
      <c r="AD440" s="2365"/>
      <c r="AE440" s="2365"/>
      <c r="AF440" s="1195"/>
      <c r="AG440" s="1195"/>
      <c r="AH440" s="1195"/>
      <c r="AI440" s="1195"/>
      <c r="AJ440" s="1195"/>
      <c r="AK440" s="1195"/>
      <c r="AL440" s="1210"/>
      <c r="AM440" s="367"/>
      <c r="AN440" s="390"/>
    </row>
    <row r="441" spans="1:60" s="349" customFormat="1" ht="17.25" customHeight="1">
      <c r="A441" s="336"/>
      <c r="B441" s="11"/>
      <c r="C441" s="1220"/>
      <c r="D441" s="1221"/>
      <c r="E441" s="505"/>
      <c r="F441" s="2365"/>
      <c r="G441" s="2365"/>
      <c r="H441" s="2365"/>
      <c r="I441" s="2365"/>
      <c r="J441" s="2365"/>
      <c r="K441" s="2365"/>
      <c r="L441" s="2365"/>
      <c r="M441" s="2365"/>
      <c r="N441" s="2365"/>
      <c r="O441" s="2365"/>
      <c r="P441" s="2365"/>
      <c r="Q441" s="2365"/>
      <c r="R441" s="2365"/>
      <c r="S441" s="2365"/>
      <c r="T441" s="2365"/>
      <c r="U441" s="2365"/>
      <c r="V441" s="2365"/>
      <c r="W441" s="2365"/>
      <c r="X441" s="2365"/>
      <c r="Y441" s="2365"/>
      <c r="Z441" s="2365"/>
      <c r="AA441" s="2365"/>
      <c r="AB441" s="2365"/>
      <c r="AC441" s="2365"/>
      <c r="AD441" s="2365"/>
      <c r="AE441" s="2365"/>
      <c r="AL441" s="516"/>
      <c r="AM441" s="367"/>
      <c r="AN441" s="390"/>
    </row>
    <row r="442" spans="1:60" s="349" customFormat="1" ht="12.75" customHeight="1">
      <c r="A442" s="336"/>
      <c r="B442" s="11"/>
      <c r="C442" s="2374" t="s">
        <v>809</v>
      </c>
      <c r="D442" s="2375"/>
      <c r="E442" s="505"/>
      <c r="F442" s="389" t="s">
        <v>2373</v>
      </c>
      <c r="G442" s="464"/>
      <c r="H442" s="464"/>
      <c r="I442" s="464"/>
      <c r="J442" s="464"/>
      <c r="K442" s="464"/>
      <c r="L442" s="464"/>
      <c r="M442" s="464"/>
      <c r="N442" s="464"/>
      <c r="O442" s="464"/>
      <c r="P442" s="464"/>
      <c r="Q442" s="464"/>
      <c r="R442" s="464"/>
      <c r="S442" s="464"/>
      <c r="T442" s="464"/>
      <c r="U442" s="464"/>
      <c r="V442" s="464"/>
      <c r="W442" s="464"/>
      <c r="X442" s="464"/>
      <c r="Y442" s="464"/>
      <c r="Z442" s="464"/>
      <c r="AA442" s="464"/>
      <c r="AB442" s="464"/>
      <c r="AC442" s="464"/>
      <c r="AD442" s="464"/>
      <c r="AF442" s="2454" t="s">
        <v>2348</v>
      </c>
      <c r="AG442" s="2454"/>
      <c r="AH442" s="2454"/>
      <c r="AI442" s="2454"/>
      <c r="AJ442" s="2454"/>
      <c r="AK442" s="2454"/>
      <c r="AL442" s="2463"/>
      <c r="AM442" s="367"/>
      <c r="AN442" s="390"/>
    </row>
    <row r="443" spans="1:60" s="349" customFormat="1" ht="12.75" customHeight="1">
      <c r="A443" s="336"/>
      <c r="B443" s="11"/>
      <c r="C443" s="527"/>
      <c r="D443" s="512"/>
      <c r="E443" s="509"/>
      <c r="F443" s="525"/>
      <c r="G443" s="511"/>
      <c r="H443" s="511"/>
      <c r="I443" s="511"/>
      <c r="J443" s="511"/>
      <c r="K443" s="511"/>
      <c r="L443" s="511"/>
      <c r="M443" s="511"/>
      <c r="N443" s="511"/>
      <c r="O443" s="511"/>
      <c r="P443" s="511"/>
      <c r="Q443" s="511"/>
      <c r="R443" s="511"/>
      <c r="S443" s="511"/>
      <c r="T443" s="511"/>
      <c r="U443" s="511"/>
      <c r="V443" s="511"/>
      <c r="W443" s="511"/>
      <c r="X443" s="511"/>
      <c r="Y443" s="511"/>
      <c r="Z443" s="511"/>
      <c r="AA443" s="511"/>
      <c r="AB443" s="511"/>
      <c r="AC443" s="511"/>
      <c r="AD443" s="511"/>
      <c r="AE443" s="512"/>
      <c r="AF443" s="512"/>
      <c r="AG443" s="512"/>
      <c r="AH443" s="512"/>
      <c r="AI443" s="512"/>
      <c r="AJ443" s="512"/>
      <c r="AK443" s="512"/>
      <c r="AL443" s="526"/>
      <c r="AM443" s="367"/>
      <c r="AN443" s="390"/>
    </row>
    <row r="444" spans="1:60" s="349" customFormat="1" ht="12.75" customHeight="1">
      <c r="A444" s="336"/>
      <c r="B444" s="11"/>
      <c r="C444" s="1221"/>
      <c r="D444" s="1221"/>
      <c r="E444" s="505"/>
      <c r="F444" s="506"/>
      <c r="G444" s="396"/>
      <c r="H444" s="396"/>
      <c r="I444" s="396"/>
      <c r="J444" s="396"/>
      <c r="K444" s="396"/>
      <c r="L444" s="396"/>
      <c r="M444" s="396"/>
      <c r="N444" s="396"/>
      <c r="O444" s="396"/>
      <c r="P444" s="396"/>
      <c r="Q444" s="396"/>
      <c r="R444" s="396"/>
      <c r="S444" s="396"/>
      <c r="T444" s="396"/>
      <c r="U444" s="396"/>
      <c r="V444" s="396"/>
      <c r="W444" s="396"/>
      <c r="X444" s="396"/>
      <c r="Y444" s="396"/>
      <c r="Z444" s="396"/>
      <c r="AA444" s="396"/>
      <c r="AB444" s="396"/>
      <c r="AC444" s="396"/>
      <c r="AD444" s="396"/>
      <c r="AE444" s="1206"/>
      <c r="AF444" s="1206"/>
      <c r="AG444" s="1206"/>
      <c r="AH444" s="1206"/>
      <c r="AI444" s="1206"/>
      <c r="AJ444" s="1206"/>
      <c r="AK444" s="1206"/>
      <c r="AL444" s="1206"/>
      <c r="AM444" s="367"/>
      <c r="AN444" s="390"/>
    </row>
    <row r="445" spans="1:60" s="349" customFormat="1" ht="12.75" customHeight="1">
      <c r="A445" s="336"/>
      <c r="B445" s="11"/>
      <c r="C445" s="499"/>
      <c r="D445" s="500"/>
      <c r="E445" s="501" t="s">
        <v>2374</v>
      </c>
      <c r="F445" s="2364" t="s">
        <v>2375</v>
      </c>
      <c r="G445" s="2364"/>
      <c r="H445" s="2364"/>
      <c r="I445" s="2364"/>
      <c r="J445" s="2364"/>
      <c r="K445" s="2364"/>
      <c r="L445" s="2364"/>
      <c r="M445" s="2364"/>
      <c r="N445" s="2364"/>
      <c r="O445" s="2364"/>
      <c r="P445" s="2364"/>
      <c r="Q445" s="2364"/>
      <c r="R445" s="2364"/>
      <c r="S445" s="2364"/>
      <c r="T445" s="2364"/>
      <c r="U445" s="2364"/>
      <c r="V445" s="2364"/>
      <c r="W445" s="2364"/>
      <c r="X445" s="2364"/>
      <c r="Y445" s="2364"/>
      <c r="Z445" s="2364"/>
      <c r="AA445" s="2364"/>
      <c r="AB445" s="2364"/>
      <c r="AC445" s="2364"/>
      <c r="AD445" s="2364"/>
      <c r="AE445" s="2364"/>
      <c r="AF445" s="500"/>
      <c r="AG445" s="500"/>
      <c r="AH445" s="500"/>
      <c r="AI445" s="500"/>
      <c r="AJ445" s="500"/>
      <c r="AK445" s="500"/>
      <c r="AL445" s="529"/>
      <c r="AM445" s="367"/>
      <c r="AN445" s="390"/>
    </row>
    <row r="446" spans="1:60" s="349" customFormat="1" ht="12.75" customHeight="1">
      <c r="A446" s="336"/>
      <c r="B446" s="11"/>
      <c r="C446" s="1220"/>
      <c r="D446" s="1221"/>
      <c r="E446" s="505"/>
      <c r="F446" s="2365"/>
      <c r="G446" s="2365"/>
      <c r="H446" s="2365"/>
      <c r="I446" s="2365"/>
      <c r="J446" s="2365"/>
      <c r="K446" s="2365"/>
      <c r="L446" s="2365"/>
      <c r="M446" s="2365"/>
      <c r="N446" s="2365"/>
      <c r="O446" s="2365"/>
      <c r="P446" s="2365"/>
      <c r="Q446" s="2365"/>
      <c r="R446" s="2365"/>
      <c r="S446" s="2365"/>
      <c r="T446" s="2365"/>
      <c r="U446" s="2365"/>
      <c r="V446" s="2365"/>
      <c r="W446" s="2365"/>
      <c r="X446" s="2365"/>
      <c r="Y446" s="2365"/>
      <c r="Z446" s="2365"/>
      <c r="AA446" s="2365"/>
      <c r="AB446" s="2365"/>
      <c r="AC446" s="2365"/>
      <c r="AD446" s="2365"/>
      <c r="AE446" s="2365"/>
      <c r="AF446" s="1206"/>
      <c r="AG446" s="1206"/>
      <c r="AH446" s="1206"/>
      <c r="AI446" s="1206"/>
      <c r="AJ446" s="1206"/>
      <c r="AK446" s="1206"/>
      <c r="AL446" s="1207"/>
      <c r="AM446" s="367"/>
      <c r="AN446" s="390"/>
    </row>
    <row r="447" spans="1:60" s="349" customFormat="1" ht="12.75" customHeight="1">
      <c r="A447" s="336"/>
      <c r="B447" s="11"/>
      <c r="C447" s="1220"/>
      <c r="D447" s="1221"/>
      <c r="E447" s="505"/>
      <c r="F447" s="2365"/>
      <c r="G447" s="2365"/>
      <c r="H447" s="2365"/>
      <c r="I447" s="2365"/>
      <c r="J447" s="2365"/>
      <c r="K447" s="2365"/>
      <c r="L447" s="2365"/>
      <c r="M447" s="2365"/>
      <c r="N447" s="2365"/>
      <c r="O447" s="2365"/>
      <c r="P447" s="2365"/>
      <c r="Q447" s="2365"/>
      <c r="R447" s="2365"/>
      <c r="S447" s="2365"/>
      <c r="T447" s="2365"/>
      <c r="U447" s="2365"/>
      <c r="V447" s="2365"/>
      <c r="W447" s="2365"/>
      <c r="X447" s="2365"/>
      <c r="Y447" s="2365"/>
      <c r="Z447" s="2365"/>
      <c r="AA447" s="2365"/>
      <c r="AB447" s="2365"/>
      <c r="AC447" s="2365"/>
      <c r="AD447" s="2365"/>
      <c r="AE447" s="2365"/>
      <c r="AF447" s="1206"/>
      <c r="AG447" s="1206"/>
      <c r="AH447" s="1206"/>
      <c r="AI447" s="1206"/>
      <c r="AJ447" s="1206"/>
      <c r="AK447" s="1206"/>
      <c r="AL447" s="1207"/>
      <c r="AM447" s="367"/>
      <c r="AN447" s="390"/>
    </row>
    <row r="448" spans="1:60" s="349" customFormat="1" ht="12.75" customHeight="1">
      <c r="A448" s="336"/>
      <c r="B448" s="11"/>
      <c r="C448" s="1220"/>
      <c r="D448" s="1221"/>
      <c r="E448" s="505"/>
      <c r="F448" s="2365"/>
      <c r="G448" s="2365"/>
      <c r="H448" s="2365"/>
      <c r="I448" s="2365"/>
      <c r="J448" s="2365"/>
      <c r="K448" s="2365"/>
      <c r="L448" s="2365"/>
      <c r="M448" s="2365"/>
      <c r="N448" s="2365"/>
      <c r="O448" s="2365"/>
      <c r="P448" s="2365"/>
      <c r="Q448" s="2365"/>
      <c r="R448" s="2365"/>
      <c r="S448" s="2365"/>
      <c r="T448" s="2365"/>
      <c r="U448" s="2365"/>
      <c r="V448" s="2365"/>
      <c r="W448" s="2365"/>
      <c r="X448" s="2365"/>
      <c r="Y448" s="2365"/>
      <c r="Z448" s="2365"/>
      <c r="AA448" s="2365"/>
      <c r="AB448" s="2365"/>
      <c r="AC448" s="2365"/>
      <c r="AD448" s="2365"/>
      <c r="AE448" s="2365"/>
      <c r="AL448" s="516"/>
      <c r="AM448" s="367"/>
      <c r="AN448" s="390"/>
    </row>
    <row r="449" spans="1:40" s="349" customFormat="1" ht="12.75" customHeight="1">
      <c r="A449" s="336"/>
      <c r="B449" s="11"/>
      <c r="C449" s="2374" t="s">
        <v>809</v>
      </c>
      <c r="D449" s="2375"/>
      <c r="E449" s="505"/>
      <c r="F449" s="506" t="s">
        <v>2376</v>
      </c>
      <c r="G449" s="396"/>
      <c r="H449" s="396"/>
      <c r="I449" s="396"/>
      <c r="J449" s="396"/>
      <c r="K449" s="396"/>
      <c r="L449" s="396"/>
      <c r="M449" s="396"/>
      <c r="N449" s="396"/>
      <c r="O449" s="396"/>
      <c r="P449" s="396"/>
      <c r="Q449" s="396"/>
      <c r="R449" s="396"/>
      <c r="S449" s="396"/>
      <c r="T449" s="396"/>
      <c r="U449" s="396"/>
      <c r="V449" s="396"/>
      <c r="W449" s="396"/>
      <c r="X449" s="396"/>
      <c r="Y449" s="396"/>
      <c r="Z449" s="396"/>
      <c r="AA449" s="396"/>
      <c r="AB449" s="396"/>
      <c r="AC449" s="396"/>
      <c r="AD449" s="396"/>
      <c r="AF449" s="2454" t="s">
        <v>2348</v>
      </c>
      <c r="AG449" s="2454"/>
      <c r="AH449" s="2454"/>
      <c r="AI449" s="2454"/>
      <c r="AJ449" s="2454"/>
      <c r="AK449" s="2454"/>
      <c r="AL449" s="2463"/>
      <c r="AM449" s="367"/>
      <c r="AN449" s="535"/>
    </row>
    <row r="450" spans="1:40" s="349" customFormat="1" ht="12.75" customHeight="1">
      <c r="A450" s="336"/>
      <c r="B450" s="11"/>
      <c r="C450" s="1220"/>
      <c r="D450" s="1221"/>
      <c r="E450" s="505"/>
      <c r="F450" s="506"/>
      <c r="G450" s="396"/>
      <c r="H450" s="396"/>
      <c r="I450" s="396"/>
      <c r="J450" s="396"/>
      <c r="K450" s="396"/>
      <c r="L450" s="396"/>
      <c r="M450" s="396"/>
      <c r="N450" s="396"/>
      <c r="O450" s="396"/>
      <c r="P450" s="396"/>
      <c r="Q450" s="396"/>
      <c r="R450" s="396"/>
      <c r="S450" s="396"/>
      <c r="T450" s="396"/>
      <c r="U450" s="396"/>
      <c r="V450" s="396"/>
      <c r="W450" s="396"/>
      <c r="X450" s="396"/>
      <c r="Y450" s="396"/>
      <c r="Z450" s="396"/>
      <c r="AA450" s="396"/>
      <c r="AB450" s="396"/>
      <c r="AC450" s="396"/>
      <c r="AD450" s="396"/>
      <c r="AE450" s="1206"/>
      <c r="AL450" s="516"/>
      <c r="AM450" s="367"/>
      <c r="AN450" s="535"/>
    </row>
    <row r="451" spans="1:40" s="349" customFormat="1" ht="12.75" customHeight="1">
      <c r="A451" s="336"/>
      <c r="B451" s="11"/>
      <c r="C451" s="524"/>
      <c r="D451" s="517"/>
      <c r="E451" s="518"/>
      <c r="F451" s="512" t="s">
        <v>2355</v>
      </c>
      <c r="G451" s="519"/>
      <c r="H451" s="519"/>
      <c r="I451" s="519"/>
      <c r="J451" s="519"/>
      <c r="K451" s="519"/>
      <c r="L451" s="519"/>
      <c r="M451" s="519"/>
      <c r="N451" s="519"/>
      <c r="O451" s="519"/>
      <c r="P451" s="519"/>
      <c r="Q451" s="519"/>
      <c r="R451" s="519"/>
      <c r="S451" s="519"/>
      <c r="T451" s="519"/>
      <c r="U451" s="519"/>
      <c r="V451" s="519"/>
      <c r="W451" s="519"/>
      <c r="X451" s="519"/>
      <c r="Y451" s="519"/>
      <c r="Z451" s="519"/>
      <c r="AA451" s="519"/>
      <c r="AB451" s="519"/>
      <c r="AC451" s="519"/>
      <c r="AD451" s="519"/>
      <c r="AE451" s="521"/>
      <c r="AF451" s="379"/>
      <c r="AG451" s="521"/>
      <c r="AH451" s="512"/>
      <c r="AI451" s="512"/>
      <c r="AJ451" s="512"/>
      <c r="AK451" s="512"/>
      <c r="AL451" s="526"/>
      <c r="AM451" s="367"/>
      <c r="AN451" s="535"/>
    </row>
    <row r="452" spans="1:40" s="349" customFormat="1" ht="12.75" customHeight="1">
      <c r="A452" s="336"/>
      <c r="B452" s="11"/>
      <c r="C452" s="1221"/>
      <c r="D452" s="1221"/>
      <c r="E452" s="505"/>
      <c r="F452" s="506"/>
      <c r="G452" s="396"/>
      <c r="H452" s="396"/>
      <c r="I452" s="396"/>
      <c r="J452" s="396"/>
      <c r="K452" s="396"/>
      <c r="L452" s="396"/>
      <c r="M452" s="396"/>
      <c r="N452" s="396"/>
      <c r="O452" s="396"/>
      <c r="P452" s="396"/>
      <c r="Q452" s="396"/>
      <c r="R452" s="396"/>
      <c r="S452" s="396"/>
      <c r="T452" s="396"/>
      <c r="U452" s="396"/>
      <c r="V452" s="396"/>
      <c r="W452" s="396"/>
      <c r="X452" s="396"/>
      <c r="Y452" s="396"/>
      <c r="Z452" s="396"/>
      <c r="AA452" s="396"/>
      <c r="AB452" s="396"/>
      <c r="AC452" s="396"/>
      <c r="AD452" s="396"/>
      <c r="AE452" s="1206"/>
      <c r="AM452" s="367"/>
      <c r="AN452" s="535"/>
    </row>
    <row r="453" spans="1:40" s="349" customFormat="1" ht="12.75" customHeight="1">
      <c r="A453" s="336"/>
      <c r="B453" s="11"/>
      <c r="C453" s="2490" t="s">
        <v>809</v>
      </c>
      <c r="D453" s="2491"/>
      <c r="E453" s="501" t="s">
        <v>2377</v>
      </c>
      <c r="F453" s="2364" t="s">
        <v>2378</v>
      </c>
      <c r="G453" s="2364"/>
      <c r="H453" s="2364"/>
      <c r="I453" s="2364"/>
      <c r="J453" s="2364"/>
      <c r="K453" s="2364"/>
      <c r="L453" s="2364"/>
      <c r="M453" s="2364"/>
      <c r="N453" s="2364"/>
      <c r="O453" s="2364"/>
      <c r="P453" s="2364"/>
      <c r="Q453" s="2364"/>
      <c r="R453" s="2364"/>
      <c r="S453" s="2364"/>
      <c r="T453" s="2364"/>
      <c r="U453" s="2364"/>
      <c r="V453" s="2364"/>
      <c r="W453" s="2364"/>
      <c r="X453" s="2364"/>
      <c r="Y453" s="2364"/>
      <c r="Z453" s="2364"/>
      <c r="AA453" s="2364"/>
      <c r="AB453" s="2364"/>
      <c r="AC453" s="2364"/>
      <c r="AD453" s="2364"/>
      <c r="AE453" s="2364"/>
      <c r="AF453" s="2392" t="s">
        <v>2348</v>
      </c>
      <c r="AG453" s="2392"/>
      <c r="AH453" s="2392"/>
      <c r="AI453" s="2392"/>
      <c r="AJ453" s="2392"/>
      <c r="AK453" s="2392"/>
      <c r="AL453" s="2393"/>
      <c r="AM453" s="367"/>
      <c r="AN453" s="535"/>
    </row>
    <row r="454" spans="1:40" s="349" customFormat="1" ht="12.75" customHeight="1">
      <c r="A454" s="336"/>
      <c r="B454" s="11"/>
      <c r="C454" s="1220"/>
      <c r="D454" s="1221"/>
      <c r="E454" s="505"/>
      <c r="F454" s="2365"/>
      <c r="G454" s="2365"/>
      <c r="H454" s="2365"/>
      <c r="I454" s="2365"/>
      <c r="J454" s="2365"/>
      <c r="K454" s="2365"/>
      <c r="L454" s="2365"/>
      <c r="M454" s="2365"/>
      <c r="N454" s="2365"/>
      <c r="O454" s="2365"/>
      <c r="P454" s="2365"/>
      <c r="Q454" s="2365"/>
      <c r="R454" s="2365"/>
      <c r="S454" s="2365"/>
      <c r="T454" s="2365"/>
      <c r="U454" s="2365"/>
      <c r="V454" s="2365"/>
      <c r="W454" s="2365"/>
      <c r="X454" s="2365"/>
      <c r="Y454" s="2365"/>
      <c r="Z454" s="2365"/>
      <c r="AA454" s="2365"/>
      <c r="AB454" s="2365"/>
      <c r="AC454" s="2365"/>
      <c r="AD454" s="2365"/>
      <c r="AE454" s="2365"/>
      <c r="AF454" s="1206"/>
      <c r="AG454" s="1206"/>
      <c r="AH454" s="1206"/>
      <c r="AI454" s="1206"/>
      <c r="AJ454" s="1206"/>
      <c r="AK454" s="1206"/>
      <c r="AL454" s="1207"/>
      <c r="AM454" s="367"/>
      <c r="AN454" s="536"/>
    </row>
    <row r="455" spans="1:40" s="349" customFormat="1" ht="17.850000000000001" customHeight="1">
      <c r="A455" s="336"/>
      <c r="B455" s="11"/>
      <c r="C455" s="538"/>
      <c r="D455" s="508"/>
      <c r="E455" s="509"/>
      <c r="F455" s="2366"/>
      <c r="G455" s="2366"/>
      <c r="H455" s="2366"/>
      <c r="I455" s="2366"/>
      <c r="J455" s="2366"/>
      <c r="K455" s="2366"/>
      <c r="L455" s="2366"/>
      <c r="M455" s="2366"/>
      <c r="N455" s="2366"/>
      <c r="O455" s="2366"/>
      <c r="P455" s="2366"/>
      <c r="Q455" s="2366"/>
      <c r="R455" s="2366"/>
      <c r="S455" s="2366"/>
      <c r="T455" s="2366"/>
      <c r="U455" s="2366"/>
      <c r="V455" s="2366"/>
      <c r="W455" s="2366"/>
      <c r="X455" s="2366"/>
      <c r="Y455" s="2366"/>
      <c r="Z455" s="2366"/>
      <c r="AA455" s="2366"/>
      <c r="AB455" s="2366"/>
      <c r="AC455" s="2366"/>
      <c r="AD455" s="2366"/>
      <c r="AE455" s="2366"/>
      <c r="AF455" s="513"/>
      <c r="AG455" s="513"/>
      <c r="AH455" s="513"/>
      <c r="AI455" s="513"/>
      <c r="AJ455" s="513"/>
      <c r="AK455" s="513"/>
      <c r="AL455" s="539"/>
      <c r="AM455" s="367"/>
      <c r="AN455" s="335"/>
    </row>
    <row r="456" spans="1:40" s="349" customFormat="1" ht="12.75" customHeight="1">
      <c r="A456" s="336"/>
      <c r="B456" s="11"/>
      <c r="C456" s="1221"/>
      <c r="D456" s="1221"/>
      <c r="E456" s="505"/>
      <c r="F456" s="506"/>
      <c r="G456" s="396"/>
      <c r="H456" s="396"/>
      <c r="I456" s="396"/>
      <c r="J456" s="396"/>
      <c r="K456" s="396"/>
      <c r="L456" s="396"/>
      <c r="M456" s="396"/>
      <c r="N456" s="396"/>
      <c r="O456" s="396"/>
      <c r="P456" s="396"/>
      <c r="Q456" s="396"/>
      <c r="R456" s="396"/>
      <c r="S456" s="396"/>
      <c r="T456" s="396"/>
      <c r="U456" s="396"/>
      <c r="V456" s="396"/>
      <c r="W456" s="396"/>
      <c r="X456" s="396"/>
      <c r="Y456" s="396"/>
      <c r="Z456" s="396"/>
      <c r="AA456" s="396"/>
      <c r="AB456" s="396"/>
      <c r="AC456" s="396"/>
      <c r="AD456" s="396"/>
      <c r="AE456" s="1206"/>
      <c r="AM456" s="367"/>
      <c r="AN456" s="335"/>
    </row>
    <row r="457" spans="1:40" s="349" customFormat="1" ht="12.75" customHeight="1">
      <c r="A457" s="336"/>
      <c r="B457" s="11"/>
      <c r="C457" s="2374" t="s">
        <v>809</v>
      </c>
      <c r="D457" s="2375"/>
      <c r="E457" s="501" t="s">
        <v>2379</v>
      </c>
      <c r="F457" s="2364" t="s">
        <v>2380</v>
      </c>
      <c r="G457" s="2364"/>
      <c r="H457" s="2364"/>
      <c r="I457" s="2364"/>
      <c r="J457" s="2364"/>
      <c r="K457" s="2364"/>
      <c r="L457" s="2364"/>
      <c r="M457" s="2364"/>
      <c r="N457" s="2364"/>
      <c r="O457" s="2364"/>
      <c r="P457" s="2364"/>
      <c r="Q457" s="2364"/>
      <c r="R457" s="2364"/>
      <c r="S457" s="2364"/>
      <c r="T457" s="2364"/>
      <c r="U457" s="2364"/>
      <c r="V457" s="2364"/>
      <c r="W457" s="2364"/>
      <c r="X457" s="2364"/>
      <c r="Y457" s="2364"/>
      <c r="Z457" s="2364"/>
      <c r="AA457" s="2364"/>
      <c r="AB457" s="2364"/>
      <c r="AC457" s="2364"/>
      <c r="AD457" s="2364"/>
      <c r="AE457" s="2364"/>
      <c r="AF457" s="2392" t="s">
        <v>2348</v>
      </c>
      <c r="AG457" s="2392"/>
      <c r="AH457" s="2392"/>
      <c r="AI457" s="2392"/>
      <c r="AJ457" s="2392"/>
      <c r="AK457" s="2392"/>
      <c r="AL457" s="2393"/>
      <c r="AM457" s="367"/>
      <c r="AN457" s="335"/>
    </row>
    <row r="458" spans="1:40" s="349" customFormat="1" ht="12.75" customHeight="1">
      <c r="A458" s="336"/>
      <c r="B458" s="11"/>
      <c r="C458" s="515"/>
      <c r="D458" s="11"/>
      <c r="E458" s="478"/>
      <c r="F458" s="2365"/>
      <c r="G458" s="2365"/>
      <c r="H458" s="2365"/>
      <c r="I458" s="2365"/>
      <c r="J458" s="2365"/>
      <c r="K458" s="2365"/>
      <c r="L458" s="2365"/>
      <c r="M458" s="2365"/>
      <c r="N458" s="2365"/>
      <c r="O458" s="2365"/>
      <c r="P458" s="2365"/>
      <c r="Q458" s="2365"/>
      <c r="R458" s="2365"/>
      <c r="S458" s="2365"/>
      <c r="T458" s="2365"/>
      <c r="U458" s="2365"/>
      <c r="V458" s="2365"/>
      <c r="W458" s="2365"/>
      <c r="X458" s="2365"/>
      <c r="Y458" s="2365"/>
      <c r="Z458" s="2365"/>
      <c r="AA458" s="2365"/>
      <c r="AB458" s="2365"/>
      <c r="AC458" s="2365"/>
      <c r="AD458" s="2365"/>
      <c r="AE458" s="2365"/>
      <c r="AF458" s="339"/>
      <c r="AG458" s="336"/>
      <c r="AL458" s="516"/>
      <c r="AM458" s="367"/>
      <c r="AN458" s="335"/>
    </row>
    <row r="459" spans="1:40" s="349" customFormat="1" ht="12.75" customHeight="1">
      <c r="A459" s="336"/>
      <c r="B459" s="11"/>
      <c r="C459" s="515"/>
      <c r="D459" s="11"/>
      <c r="E459" s="478"/>
      <c r="F459" s="2365"/>
      <c r="G459" s="2365"/>
      <c r="H459" s="2365"/>
      <c r="I459" s="2365"/>
      <c r="J459" s="2365"/>
      <c r="K459" s="2365"/>
      <c r="L459" s="2365"/>
      <c r="M459" s="2365"/>
      <c r="N459" s="2365"/>
      <c r="O459" s="2365"/>
      <c r="P459" s="2365"/>
      <c r="Q459" s="2365"/>
      <c r="R459" s="2365"/>
      <c r="S459" s="2365"/>
      <c r="T459" s="2365"/>
      <c r="U459" s="2365"/>
      <c r="V459" s="2365"/>
      <c r="W459" s="2365"/>
      <c r="X459" s="2365"/>
      <c r="Y459" s="2365"/>
      <c r="Z459" s="2365"/>
      <c r="AA459" s="2365"/>
      <c r="AB459" s="2365"/>
      <c r="AC459" s="2365"/>
      <c r="AD459" s="2365"/>
      <c r="AE459" s="2365"/>
      <c r="AF459" s="339"/>
      <c r="AG459" s="336"/>
      <c r="AL459" s="516"/>
      <c r="AM459" s="367"/>
      <c r="AN459" s="335"/>
    </row>
    <row r="460" spans="1:40" s="349" customFormat="1" ht="12.75" customHeight="1">
      <c r="A460" s="336"/>
      <c r="B460" s="11"/>
      <c r="C460" s="538"/>
      <c r="D460" s="508"/>
      <c r="E460" s="509"/>
      <c r="F460" s="2366"/>
      <c r="G460" s="2366"/>
      <c r="H460" s="2366"/>
      <c r="I460" s="2366"/>
      <c r="J460" s="2366"/>
      <c r="K460" s="2366"/>
      <c r="L460" s="2366"/>
      <c r="M460" s="2366"/>
      <c r="N460" s="2366"/>
      <c r="O460" s="2366"/>
      <c r="P460" s="2366"/>
      <c r="Q460" s="2366"/>
      <c r="R460" s="2366"/>
      <c r="S460" s="2366"/>
      <c r="T460" s="2366"/>
      <c r="U460" s="2366"/>
      <c r="V460" s="2366"/>
      <c r="W460" s="2366"/>
      <c r="X460" s="2366"/>
      <c r="Y460" s="2366"/>
      <c r="Z460" s="2366"/>
      <c r="AA460" s="2366"/>
      <c r="AB460" s="2366"/>
      <c r="AC460" s="2366"/>
      <c r="AD460" s="2366"/>
      <c r="AE460" s="2366"/>
      <c r="AF460" s="513"/>
      <c r="AG460" s="513"/>
      <c r="AH460" s="513"/>
      <c r="AI460" s="513"/>
      <c r="AJ460" s="513"/>
      <c r="AK460" s="513"/>
      <c r="AL460" s="539"/>
      <c r="AM460" s="367"/>
      <c r="AN460" s="390"/>
    </row>
    <row r="461" spans="1:40" s="349" customFormat="1" ht="12.75" customHeight="1">
      <c r="A461" s="336"/>
      <c r="B461" s="11"/>
      <c r="G461" s="396"/>
      <c r="H461" s="396"/>
      <c r="I461" s="396"/>
      <c r="J461" s="396"/>
      <c r="K461" s="396"/>
      <c r="L461" s="396"/>
      <c r="M461" s="396"/>
      <c r="N461" s="396"/>
      <c r="O461" s="396"/>
      <c r="P461" s="396"/>
      <c r="Q461" s="396"/>
      <c r="R461" s="396"/>
      <c r="S461" s="396"/>
      <c r="T461" s="396"/>
      <c r="U461" s="396"/>
      <c r="V461" s="396"/>
      <c r="W461" s="396"/>
      <c r="X461" s="396"/>
      <c r="Y461" s="396"/>
      <c r="Z461" s="396"/>
      <c r="AA461" s="396"/>
      <c r="AB461" s="396"/>
      <c r="AC461" s="396"/>
      <c r="AD461" s="396"/>
      <c r="AM461" s="367"/>
      <c r="AN461" s="390"/>
    </row>
    <row r="462" spans="1:40" s="349" customFormat="1" ht="12.75" customHeight="1">
      <c r="A462" s="336"/>
      <c r="B462" s="11"/>
      <c r="C462" s="499"/>
      <c r="D462" s="500"/>
      <c r="E462" s="501" t="s">
        <v>2381</v>
      </c>
      <c r="F462" s="2364" t="s">
        <v>2382</v>
      </c>
      <c r="G462" s="2364"/>
      <c r="H462" s="2364"/>
      <c r="I462" s="2364"/>
      <c r="J462" s="2364"/>
      <c r="K462" s="2364"/>
      <c r="L462" s="2364"/>
      <c r="M462" s="2364"/>
      <c r="N462" s="2364"/>
      <c r="O462" s="2364"/>
      <c r="P462" s="2364"/>
      <c r="Q462" s="2364"/>
      <c r="R462" s="2364"/>
      <c r="S462" s="2364"/>
      <c r="T462" s="2364"/>
      <c r="U462" s="2364"/>
      <c r="V462" s="2364"/>
      <c r="W462" s="2364"/>
      <c r="X462" s="2364"/>
      <c r="Y462" s="2364"/>
      <c r="Z462" s="2364"/>
      <c r="AA462" s="2364"/>
      <c r="AB462" s="2364"/>
      <c r="AC462" s="2364"/>
      <c r="AD462" s="2364"/>
      <c r="AE462" s="2364"/>
      <c r="AF462" s="2364"/>
      <c r="AG462" s="528"/>
      <c r="AH462" s="500"/>
      <c r="AI462" s="500"/>
      <c r="AJ462" s="500"/>
      <c r="AK462" s="500"/>
      <c r="AL462" s="529"/>
      <c r="AM462" s="367"/>
      <c r="AN462" s="390"/>
    </row>
    <row r="463" spans="1:40" s="349" customFormat="1" ht="12.75" customHeight="1">
      <c r="A463" s="336"/>
      <c r="B463" s="11"/>
      <c r="C463" s="515"/>
      <c r="D463" s="11"/>
      <c r="E463" s="478"/>
      <c r="F463" s="2365"/>
      <c r="G463" s="2365"/>
      <c r="H463" s="2365"/>
      <c r="I463" s="2365"/>
      <c r="J463" s="2365"/>
      <c r="K463" s="2365"/>
      <c r="L463" s="2365"/>
      <c r="M463" s="2365"/>
      <c r="N463" s="2365"/>
      <c r="O463" s="2365"/>
      <c r="P463" s="2365"/>
      <c r="Q463" s="2365"/>
      <c r="R463" s="2365"/>
      <c r="S463" s="2365"/>
      <c r="T463" s="2365"/>
      <c r="U463" s="2365"/>
      <c r="V463" s="2365"/>
      <c r="W463" s="2365"/>
      <c r="X463" s="2365"/>
      <c r="Y463" s="2365"/>
      <c r="Z463" s="2365"/>
      <c r="AA463" s="2365"/>
      <c r="AB463" s="2365"/>
      <c r="AC463" s="2365"/>
      <c r="AD463" s="2365"/>
      <c r="AE463" s="2365"/>
      <c r="AF463" s="2365"/>
      <c r="AL463" s="516"/>
      <c r="AM463" s="367"/>
      <c r="AN463" s="390"/>
    </row>
    <row r="464" spans="1:40" s="349" customFormat="1" ht="12.75" customHeight="1">
      <c r="A464" s="336"/>
      <c r="B464" s="11"/>
      <c r="C464" s="523"/>
      <c r="F464" s="2365"/>
      <c r="G464" s="2365"/>
      <c r="H464" s="2365"/>
      <c r="I464" s="2365"/>
      <c r="J464" s="2365"/>
      <c r="K464" s="2365"/>
      <c r="L464" s="2365"/>
      <c r="M464" s="2365"/>
      <c r="N464" s="2365"/>
      <c r="O464" s="2365"/>
      <c r="P464" s="2365"/>
      <c r="Q464" s="2365"/>
      <c r="R464" s="2365"/>
      <c r="S464" s="2365"/>
      <c r="T464" s="2365"/>
      <c r="U464" s="2365"/>
      <c r="V464" s="2365"/>
      <c r="W464" s="2365"/>
      <c r="X464" s="2365"/>
      <c r="Y464" s="2365"/>
      <c r="Z464" s="2365"/>
      <c r="AA464" s="2365"/>
      <c r="AB464" s="2365"/>
      <c r="AC464" s="2365"/>
      <c r="AD464" s="2365"/>
      <c r="AE464" s="2365"/>
      <c r="AF464" s="2365"/>
      <c r="AL464" s="516"/>
      <c r="AM464" s="367"/>
      <c r="AN464" s="390"/>
    </row>
    <row r="465" spans="1:58" s="349" customFormat="1" ht="12.75" customHeight="1">
      <c r="A465" s="336"/>
      <c r="B465" s="11"/>
      <c r="C465" s="523"/>
      <c r="F465" s="2365"/>
      <c r="G465" s="2365"/>
      <c r="H465" s="2365"/>
      <c r="I465" s="2365"/>
      <c r="J465" s="2365"/>
      <c r="K465" s="2365"/>
      <c r="L465" s="2365"/>
      <c r="M465" s="2365"/>
      <c r="N465" s="2365"/>
      <c r="O465" s="2365"/>
      <c r="P465" s="2365"/>
      <c r="Q465" s="2365"/>
      <c r="R465" s="2365"/>
      <c r="S465" s="2365"/>
      <c r="T465" s="2365"/>
      <c r="U465" s="2365"/>
      <c r="V465" s="2365"/>
      <c r="W465" s="2365"/>
      <c r="X465" s="2365"/>
      <c r="Y465" s="2365"/>
      <c r="Z465" s="2365"/>
      <c r="AA465" s="2365"/>
      <c r="AB465" s="2365"/>
      <c r="AC465" s="2365"/>
      <c r="AD465" s="2365"/>
      <c r="AE465" s="2365"/>
      <c r="AF465" s="2365"/>
      <c r="AL465" s="516"/>
      <c r="AM465" s="367"/>
      <c r="AN465" s="390"/>
    </row>
    <row r="466" spans="1:58" s="349" customFormat="1" ht="12.75" customHeight="1">
      <c r="A466" s="336"/>
      <c r="B466" s="11"/>
      <c r="C466" s="2374" t="s">
        <v>809</v>
      </c>
      <c r="D466" s="2375"/>
      <c r="E466" s="505"/>
      <c r="F466" s="506" t="s">
        <v>2365</v>
      </c>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c r="AC466" s="396"/>
      <c r="AD466" s="396"/>
      <c r="AF466" s="2376" t="s">
        <v>2348</v>
      </c>
      <c r="AG466" s="2376"/>
      <c r="AH466" s="2376"/>
      <c r="AI466" s="2376"/>
      <c r="AJ466" s="2376"/>
      <c r="AK466" s="2376"/>
      <c r="AL466" s="2377"/>
      <c r="AM466" s="367"/>
      <c r="AN466" s="390"/>
    </row>
    <row r="467" spans="1:58" s="349" customFormat="1" ht="12.75" customHeight="1">
      <c r="A467" s="336"/>
      <c r="B467" s="11"/>
      <c r="C467" s="524"/>
      <c r="D467" s="517"/>
      <c r="E467" s="518"/>
      <c r="F467" s="512"/>
      <c r="G467" s="512"/>
      <c r="H467" s="512"/>
      <c r="I467" s="512"/>
      <c r="J467" s="512"/>
      <c r="K467" s="512"/>
      <c r="L467" s="512"/>
      <c r="M467" s="512"/>
      <c r="N467" s="512"/>
      <c r="O467" s="512"/>
      <c r="P467" s="512"/>
      <c r="Q467" s="512"/>
      <c r="R467" s="512"/>
      <c r="S467" s="512"/>
      <c r="T467" s="512"/>
      <c r="U467" s="512"/>
      <c r="V467" s="512"/>
      <c r="W467" s="512"/>
      <c r="X467" s="512"/>
      <c r="Y467" s="512"/>
      <c r="Z467" s="512"/>
      <c r="AA467" s="512"/>
      <c r="AB467" s="512"/>
      <c r="AC467" s="512"/>
      <c r="AD467" s="512"/>
      <c r="AE467" s="512"/>
      <c r="AF467" s="512"/>
      <c r="AG467" s="512"/>
      <c r="AH467" s="512"/>
      <c r="AI467" s="512"/>
      <c r="AJ467" s="512"/>
      <c r="AK467" s="512"/>
      <c r="AL467" s="526"/>
      <c r="AN467" s="390"/>
    </row>
    <row r="468" spans="1:58" s="349" customFormat="1" ht="12.75" customHeight="1">
      <c r="A468" s="336"/>
      <c r="B468" s="11"/>
      <c r="C468" s="751"/>
      <c r="D468" s="367"/>
      <c r="F468" s="506"/>
      <c r="G468" s="396"/>
      <c r="H468" s="396"/>
      <c r="I468" s="396"/>
      <c r="J468" s="396"/>
      <c r="K468" s="396"/>
      <c r="L468" s="396"/>
      <c r="M468" s="396"/>
      <c r="N468" s="396"/>
      <c r="O468" s="396"/>
      <c r="P468" s="396"/>
      <c r="Q468" s="396"/>
      <c r="R468" s="396"/>
      <c r="S468" s="396"/>
      <c r="T468" s="396"/>
      <c r="U468" s="396"/>
      <c r="V468" s="396"/>
      <c r="W468" s="396"/>
      <c r="X468" s="396"/>
      <c r="Y468" s="396"/>
      <c r="Z468" s="396"/>
      <c r="AA468" s="396"/>
      <c r="AB468" s="396"/>
      <c r="AC468" s="396"/>
      <c r="AD468" s="396"/>
      <c r="AF468" s="405"/>
      <c r="AG468" s="405"/>
      <c r="AH468" s="405"/>
      <c r="AI468" s="405"/>
      <c r="AJ468" s="405"/>
      <c r="AK468" s="405"/>
      <c r="AL468" s="405"/>
      <c r="AN468" s="390"/>
    </row>
    <row r="469" spans="1:58" s="349" customFormat="1" ht="12.75" customHeight="1">
      <c r="A469" s="393"/>
      <c r="B469" s="631" t="s">
        <v>2383</v>
      </c>
      <c r="D469" s="465"/>
      <c r="E469" s="394"/>
      <c r="F469" s="394"/>
      <c r="G469" s="394"/>
      <c r="H469" s="394"/>
      <c r="I469" s="394"/>
      <c r="J469" s="394"/>
      <c r="K469" s="394"/>
      <c r="L469" s="394"/>
      <c r="M469" s="394"/>
      <c r="N469" s="394"/>
      <c r="O469" s="394"/>
      <c r="P469" s="394"/>
      <c r="Q469" s="394"/>
      <c r="R469" s="394"/>
      <c r="S469" s="394"/>
      <c r="T469" s="394"/>
      <c r="U469" s="394"/>
      <c r="V469" s="394"/>
      <c r="W469" s="394"/>
      <c r="X469" s="394"/>
      <c r="Y469" s="394"/>
      <c r="Z469" s="394"/>
      <c r="AA469" s="394"/>
      <c r="AB469" s="394"/>
      <c r="AC469" s="394"/>
      <c r="AD469" s="394"/>
      <c r="AE469" s="361"/>
      <c r="AF469" s="361"/>
      <c r="AG469" s="361"/>
      <c r="AH469" s="361"/>
      <c r="AI469" s="362"/>
      <c r="AJ469" s="362" t="s">
        <v>2384</v>
      </c>
      <c r="AK469" s="2361">
        <f>IF(Application!D214="N/A",AS358,AS360)</f>
        <v>10</v>
      </c>
      <c r="AL469" s="2362"/>
      <c r="AM469" s="2363"/>
      <c r="AN469" s="390"/>
    </row>
    <row r="470" spans="1:58" s="349" customFormat="1" ht="12.75" customHeight="1" thickBot="1">
      <c r="A470" s="541"/>
      <c r="B470" s="541"/>
      <c r="C470" s="541"/>
      <c r="D470" s="541"/>
      <c r="E470" s="541"/>
      <c r="F470" s="541"/>
      <c r="G470" s="541"/>
      <c r="H470" s="541"/>
      <c r="I470" s="541"/>
      <c r="J470" s="541"/>
      <c r="K470" s="541"/>
      <c r="L470" s="541"/>
      <c r="M470" s="541"/>
      <c r="N470" s="541"/>
      <c r="O470" s="541"/>
      <c r="P470" s="541"/>
      <c r="Q470" s="541"/>
      <c r="R470" s="541"/>
      <c r="S470" s="541"/>
      <c r="T470" s="541"/>
      <c r="U470" s="541"/>
      <c r="V470" s="541"/>
      <c r="W470" s="541"/>
      <c r="X470" s="541"/>
      <c r="Y470" s="541"/>
      <c r="Z470" s="541"/>
      <c r="AA470" s="541"/>
      <c r="AB470" s="541"/>
      <c r="AC470" s="541"/>
      <c r="AD470" s="541"/>
      <c r="AE470" s="541"/>
      <c r="AF470" s="541"/>
      <c r="AG470" s="541"/>
      <c r="AH470" s="541"/>
      <c r="AI470" s="541"/>
      <c r="AJ470" s="541"/>
      <c r="AK470" s="541"/>
      <c r="AL470" s="541"/>
      <c r="AM470" s="542"/>
      <c r="AN470" s="390"/>
    </row>
    <row r="471" spans="1:58" s="349" customFormat="1" ht="12.75" hidden="1" customHeight="1" thickTop="1">
      <c r="A471" s="49"/>
      <c r="B471" s="368"/>
      <c r="C471" s="369"/>
      <c r="D471" s="369"/>
      <c r="E471" s="369"/>
      <c r="F471" s="369"/>
      <c r="G471" s="369"/>
      <c r="H471" s="369"/>
      <c r="I471" s="1209"/>
      <c r="J471" s="1209"/>
      <c r="K471" s="1209"/>
      <c r="L471" s="1209"/>
      <c r="M471" s="1209"/>
      <c r="N471" s="1209"/>
      <c r="O471" s="1209"/>
      <c r="P471" s="1209"/>
      <c r="Q471" s="1209"/>
      <c r="R471" s="367"/>
      <c r="S471" s="339"/>
      <c r="T471" s="339"/>
      <c r="U471" s="339"/>
      <c r="V471" s="339"/>
      <c r="W471" s="339"/>
      <c r="X471" s="339"/>
      <c r="Y471" s="339"/>
      <c r="Z471" s="339"/>
      <c r="AA471" s="339"/>
      <c r="AB471" s="339"/>
      <c r="AC471" s="339"/>
      <c r="AD471" s="339"/>
      <c r="AE471" s="339"/>
      <c r="AF471" s="367"/>
      <c r="AG471" s="339"/>
      <c r="AH471" s="339"/>
      <c r="AI471" s="339"/>
      <c r="AJ471" s="339"/>
      <c r="AM471" s="11"/>
      <c r="AN471" s="390"/>
      <c r="AO471" s="349" t="s">
        <v>809</v>
      </c>
      <c r="AP471" s="349">
        <v>0</v>
      </c>
      <c r="AT471" s="349" t="s">
        <v>809</v>
      </c>
      <c r="AU471" s="349">
        <v>0</v>
      </c>
      <c r="AV471" s="534"/>
    </row>
    <row r="472" spans="1:58" s="349" customFormat="1" ht="12.75" hidden="1" customHeight="1">
      <c r="A472" s="339" t="s">
        <v>2385</v>
      </c>
      <c r="C472" s="339"/>
      <c r="E472" s="389"/>
      <c r="AE472" s="2376" t="s">
        <v>2386</v>
      </c>
      <c r="AF472" s="2376"/>
      <c r="AG472" s="2376"/>
      <c r="AH472" s="2376"/>
      <c r="AI472" s="2376"/>
      <c r="AJ472" s="2376"/>
      <c r="AK472" s="2376"/>
      <c r="AL472" s="1206"/>
      <c r="AN472" s="390"/>
      <c r="AO472" s="349" t="s">
        <v>2387</v>
      </c>
      <c r="AP472" s="349">
        <v>5</v>
      </c>
      <c r="AT472" s="349" t="s">
        <v>2387</v>
      </c>
      <c r="AU472" s="349">
        <v>5</v>
      </c>
      <c r="AV472" s="534"/>
    </row>
    <row r="473" spans="1:58" s="349" customFormat="1" ht="12.75" hidden="1" customHeight="1">
      <c r="A473" s="339"/>
      <c r="B473" s="336" t="s">
        <v>2388</v>
      </c>
      <c r="C473" s="339"/>
      <c r="E473" s="389"/>
      <c r="AE473" s="1206"/>
      <c r="AF473" s="1206"/>
      <c r="AG473" s="1206"/>
      <c r="AH473" s="1206"/>
      <c r="AI473" s="1206"/>
      <c r="AJ473" s="1206"/>
      <c r="AK473" s="1206"/>
      <c r="AL473" s="1206"/>
      <c r="AN473" s="390"/>
      <c r="AO473" s="349" t="s">
        <v>2389</v>
      </c>
      <c r="AP473" s="349">
        <v>5</v>
      </c>
      <c r="AT473" s="349" t="s">
        <v>2390</v>
      </c>
      <c r="AU473" s="349">
        <v>5</v>
      </c>
      <c r="AV473" s="534"/>
    </row>
    <row r="474" spans="1:58" s="349" customFormat="1" ht="12.75" hidden="1" customHeight="1">
      <c r="A474" s="339"/>
      <c r="B474" s="339" t="s">
        <v>2391</v>
      </c>
      <c r="C474" s="339"/>
      <c r="E474" s="389"/>
      <c r="AE474" s="1206"/>
      <c r="AF474" s="1206"/>
      <c r="AG474" s="1206"/>
      <c r="AH474" s="1206"/>
      <c r="AI474" s="1206"/>
      <c r="AJ474" s="1206"/>
      <c r="AK474" s="1206"/>
      <c r="AL474" s="1206"/>
      <c r="AN474" s="390"/>
      <c r="AO474" s="349" t="s">
        <v>2392</v>
      </c>
      <c r="AP474" s="349">
        <v>5</v>
      </c>
      <c r="AQ474" s="339"/>
      <c r="AR474" s="339"/>
      <c r="AS474" s="537"/>
      <c r="AT474" s="349" t="s">
        <v>2392</v>
      </c>
      <c r="AU474" s="349">
        <v>5</v>
      </c>
      <c r="AV474" s="336"/>
    </row>
    <row r="475" spans="1:58" s="349" customFormat="1" ht="12.75" hidden="1" customHeight="1">
      <c r="A475" s="339"/>
      <c r="B475" s="339" t="s">
        <v>2393</v>
      </c>
      <c r="C475" s="339"/>
      <c r="E475" s="389"/>
      <c r="AE475" s="1206"/>
      <c r="AF475" s="1206"/>
      <c r="AG475" s="1206"/>
      <c r="AH475" s="1206"/>
      <c r="AI475" s="1206"/>
      <c r="AJ475" s="1206"/>
      <c r="AK475" s="1206"/>
      <c r="AL475" s="1206"/>
      <c r="AN475" s="390"/>
      <c r="AO475" s="349" t="s">
        <v>2394</v>
      </c>
      <c r="AP475" s="349">
        <v>5</v>
      </c>
      <c r="AQ475" s="339"/>
      <c r="AR475" s="339"/>
      <c r="AT475" s="349" t="s">
        <v>2394</v>
      </c>
      <c r="AU475" s="349">
        <v>5</v>
      </c>
    </row>
    <row r="476" spans="1:58" s="349" customFormat="1" ht="12.75" hidden="1" customHeight="1">
      <c r="A476" s="339"/>
      <c r="C476" s="339"/>
      <c r="E476" s="389"/>
      <c r="AE476" s="1206"/>
      <c r="AF476" s="1206"/>
      <c r="AG476" s="1206"/>
      <c r="AH476" s="1206"/>
      <c r="AI476" s="1206"/>
      <c r="AJ476" s="1206"/>
      <c r="AK476" s="1206"/>
      <c r="AL476" s="1206"/>
      <c r="AN476" s="390"/>
      <c r="AO476" s="349" t="s">
        <v>2395</v>
      </c>
      <c r="AP476" s="349">
        <v>5</v>
      </c>
      <c r="AQ476" s="339"/>
      <c r="AR476" s="339"/>
      <c r="AT476" s="349" t="s">
        <v>2395</v>
      </c>
      <c r="AU476" s="349">
        <v>5</v>
      </c>
    </row>
    <row r="477" spans="1:58" s="349" customFormat="1" ht="12.75" hidden="1" customHeight="1">
      <c r="A477" s="339"/>
      <c r="C477" s="498" t="s">
        <v>2396</v>
      </c>
      <c r="D477" s="367"/>
      <c r="AE477" s="1206"/>
      <c r="AF477" s="1206"/>
      <c r="AG477" s="389"/>
      <c r="AH477" s="389"/>
      <c r="AI477" s="389"/>
      <c r="AJ477" s="389"/>
      <c r="AK477" s="389"/>
      <c r="AL477" s="389"/>
      <c r="AN477" s="390"/>
      <c r="AO477" s="349" t="s">
        <v>2397</v>
      </c>
      <c r="AP477" s="349">
        <v>5</v>
      </c>
      <c r="AT477" s="349" t="s">
        <v>2397</v>
      </c>
      <c r="AU477" s="349">
        <v>5</v>
      </c>
    </row>
    <row r="478" spans="1:58" s="349" customFormat="1" ht="12.75" hidden="1" customHeight="1">
      <c r="A478" s="339"/>
      <c r="C478" s="2383" t="s">
        <v>809</v>
      </c>
      <c r="D478" s="2384"/>
      <c r="E478" s="543" t="s">
        <v>51</v>
      </c>
      <c r="F478" s="2461" t="s">
        <v>2398</v>
      </c>
      <c r="G478" s="2461"/>
      <c r="H478" s="2461"/>
      <c r="I478" s="2461"/>
      <c r="J478" s="2461"/>
      <c r="K478" s="2461"/>
      <c r="L478" s="2461"/>
      <c r="M478" s="2461"/>
      <c r="N478" s="2461"/>
      <c r="O478" s="2461"/>
      <c r="P478" s="2461"/>
      <c r="Q478" s="2461"/>
      <c r="R478" s="2461"/>
      <c r="S478" s="2461"/>
      <c r="T478" s="2461"/>
      <c r="U478" s="2461"/>
      <c r="V478" s="2461"/>
      <c r="W478" s="2461"/>
      <c r="X478" s="2461"/>
      <c r="Y478" s="2461"/>
      <c r="Z478" s="2461"/>
      <c r="AA478" s="2461"/>
      <c r="AB478" s="2461"/>
      <c r="AC478" s="2461"/>
      <c r="AD478" s="2461"/>
      <c r="AE478" s="2461"/>
      <c r="AF478" s="500"/>
      <c r="AG478" s="500"/>
      <c r="AH478" s="500"/>
      <c r="AI478" s="500"/>
      <c r="AJ478" s="500"/>
      <c r="AK478" s="529"/>
      <c r="AN478" s="390"/>
      <c r="AO478" s="349" t="s">
        <v>2399</v>
      </c>
      <c r="AP478" s="349">
        <v>5</v>
      </c>
      <c r="AS478" s="540"/>
      <c r="AT478" s="349" t="s">
        <v>2400</v>
      </c>
      <c r="AU478" s="349">
        <v>5</v>
      </c>
    </row>
    <row r="479" spans="1:58" s="349" customFormat="1" ht="12.75" hidden="1" customHeight="1">
      <c r="C479" s="544"/>
      <c r="E479" s="545"/>
      <c r="F479" s="2462"/>
      <c r="G479" s="2462"/>
      <c r="H479" s="2462"/>
      <c r="I479" s="2462"/>
      <c r="J479" s="2462"/>
      <c r="K479" s="2462"/>
      <c r="L479" s="2462"/>
      <c r="M479" s="2462"/>
      <c r="N479" s="2462"/>
      <c r="O479" s="2462"/>
      <c r="P479" s="2462"/>
      <c r="Q479" s="2462"/>
      <c r="R479" s="2462"/>
      <c r="S479" s="2462"/>
      <c r="T479" s="2462"/>
      <c r="U479" s="2462"/>
      <c r="V479" s="2462"/>
      <c r="W479" s="2462"/>
      <c r="X479" s="2462"/>
      <c r="Y479" s="2462"/>
      <c r="Z479" s="2462"/>
      <c r="AA479" s="2462"/>
      <c r="AB479" s="2462"/>
      <c r="AC479" s="2462"/>
      <c r="AD479" s="2462"/>
      <c r="AE479" s="2462"/>
      <c r="AG479" s="350"/>
      <c r="AH479" s="350"/>
      <c r="AI479" s="350"/>
      <c r="AJ479" s="350"/>
      <c r="AK479" s="516"/>
      <c r="AN479" s="390"/>
      <c r="AO479" s="349" t="s">
        <v>2401</v>
      </c>
      <c r="AP479" s="349">
        <v>1</v>
      </c>
      <c r="AT479" s="349" t="s">
        <v>2401</v>
      </c>
      <c r="AU479" s="349">
        <v>1</v>
      </c>
    </row>
    <row r="480" spans="1:58" s="349" customFormat="1" ht="12.75" hidden="1" customHeight="1">
      <c r="C480" s="546"/>
      <c r="D480" s="512"/>
      <c r="E480" s="547"/>
      <c r="F480" s="2389" t="s">
        <v>809</v>
      </c>
      <c r="G480" s="2389"/>
      <c r="H480" s="2389"/>
      <c r="I480" s="2389"/>
      <c r="J480" s="2389"/>
      <c r="K480" s="2389"/>
      <c r="L480" s="2389"/>
      <c r="M480" s="2389"/>
      <c r="N480" s="2389"/>
      <c r="O480" s="2389"/>
      <c r="P480" s="2389"/>
      <c r="Q480" s="2389"/>
      <c r="R480" s="2389"/>
      <c r="S480" s="2389"/>
      <c r="T480" s="2389"/>
      <c r="U480" s="2389"/>
      <c r="V480" s="2389"/>
      <c r="W480" s="2389"/>
      <c r="X480" s="2389"/>
      <c r="Y480" s="2389"/>
      <c r="Z480" s="2389"/>
      <c r="AA480" s="548"/>
      <c r="AB480" s="446"/>
      <c r="AC480" s="446"/>
      <c r="AD480" s="512"/>
      <c r="AE480" s="512"/>
      <c r="AF480" s="512"/>
      <c r="AG480" s="549">
        <f>IF($C$478="Yes",(VLOOKUP($F$480,$AT$471:$AU$479,2,FALSE)),0)</f>
        <v>0</v>
      </c>
      <c r="AH480" s="550" t="s">
        <v>2182</v>
      </c>
      <c r="AI480" s="549"/>
      <c r="AJ480" s="549"/>
      <c r="AK480" s="526"/>
      <c r="AN480" s="390"/>
      <c r="AS480" s="537"/>
      <c r="AX480" s="537"/>
      <c r="BB480" s="537" t="s">
        <v>2402</v>
      </c>
      <c r="BF480" s="537" t="s">
        <v>2403</v>
      </c>
    </row>
    <row r="481" spans="1:81" s="349" customFormat="1" ht="12.75" hidden="1" customHeight="1">
      <c r="C481" s="350"/>
      <c r="E481" s="545"/>
      <c r="F481" s="387"/>
      <c r="G481" s="387"/>
      <c r="H481" s="387"/>
      <c r="I481" s="387"/>
      <c r="J481" s="387"/>
      <c r="K481" s="387"/>
      <c r="L481" s="387"/>
      <c r="M481" s="387"/>
      <c r="N481" s="387"/>
      <c r="O481" s="387"/>
      <c r="P481" s="387"/>
      <c r="Q481" s="387"/>
      <c r="R481" s="387"/>
      <c r="S481" s="387"/>
      <c r="T481" s="387"/>
      <c r="U481" s="387"/>
      <c r="V481" s="387"/>
      <c r="W481" s="387"/>
      <c r="X481" s="387"/>
      <c r="Y481" s="387"/>
      <c r="Z481" s="387"/>
      <c r="AA481" s="367"/>
      <c r="AB481" s="350"/>
      <c r="AC481" s="350"/>
      <c r="AG481" s="350"/>
      <c r="AH481" s="350"/>
      <c r="AI481" s="350"/>
      <c r="AJ481" s="350"/>
      <c r="AN481" s="390"/>
      <c r="AO481" s="349" t="s">
        <v>809</v>
      </c>
      <c r="AP481" s="428">
        <v>0</v>
      </c>
      <c r="AT481" s="349" t="s">
        <v>809</v>
      </c>
      <c r="AU481" s="428">
        <v>0</v>
      </c>
      <c r="AW481" s="349" t="s">
        <v>809</v>
      </c>
      <c r="AX481" s="428">
        <v>0</v>
      </c>
      <c r="AY481" s="387"/>
      <c r="BB481" s="349" t="s">
        <v>809</v>
      </c>
      <c r="BC481" s="387">
        <v>0</v>
      </c>
      <c r="BF481" s="349" t="s">
        <v>809</v>
      </c>
      <c r="BG481" s="387">
        <v>0</v>
      </c>
    </row>
    <row r="482" spans="1:81" s="349" customFormat="1" ht="12.75" hidden="1" customHeight="1">
      <c r="C482" s="2390" t="s">
        <v>694</v>
      </c>
      <c r="D482" s="2391"/>
      <c r="E482" s="543" t="s">
        <v>53</v>
      </c>
      <c r="F482" s="551" t="s">
        <v>2404</v>
      </c>
      <c r="G482" s="438"/>
      <c r="H482" s="438"/>
      <c r="I482" s="438"/>
      <c r="J482" s="438"/>
      <c r="K482" s="438"/>
      <c r="L482" s="438"/>
      <c r="M482" s="438"/>
      <c r="N482" s="438"/>
      <c r="O482" s="438"/>
      <c r="P482" s="438"/>
      <c r="Q482" s="438"/>
      <c r="R482" s="438"/>
      <c r="S482" s="438"/>
      <c r="T482" s="438"/>
      <c r="U482" s="438"/>
      <c r="V482" s="438"/>
      <c r="W482" s="438"/>
      <c r="X482" s="438"/>
      <c r="Y482" s="438"/>
      <c r="Z482" s="438"/>
      <c r="AA482" s="438"/>
      <c r="AB482" s="438"/>
      <c r="AC482" s="438"/>
      <c r="AD482" s="500"/>
      <c r="AE482" s="500"/>
      <c r="AF482" s="500"/>
      <c r="AG482" s="438"/>
      <c r="AH482" s="438"/>
      <c r="AI482" s="438"/>
      <c r="AJ482" s="438"/>
      <c r="AK482" s="529"/>
      <c r="AN482" s="390"/>
      <c r="AO482" s="540">
        <v>0.15</v>
      </c>
      <c r="AP482" s="428">
        <v>3</v>
      </c>
      <c r="AT482" s="540">
        <v>7.0000000000000007E-2</v>
      </c>
      <c r="AU482" s="428">
        <v>3</v>
      </c>
      <c r="AW482" s="349" t="s">
        <v>2405</v>
      </c>
      <c r="AX482" s="428">
        <v>3</v>
      </c>
      <c r="AY482" s="387"/>
      <c r="BB482" s="540">
        <v>0.4</v>
      </c>
      <c r="BC482" s="387">
        <v>3</v>
      </c>
      <c r="BF482" s="540">
        <v>0.4</v>
      </c>
      <c r="BG482" s="387">
        <v>4</v>
      </c>
    </row>
    <row r="483" spans="1:81" s="349" customFormat="1" ht="12.75" hidden="1" customHeight="1">
      <c r="C483" s="552" t="s">
        <v>2406</v>
      </c>
      <c r="F483" s="553" t="s">
        <v>2407</v>
      </c>
      <c r="G483" s="350"/>
      <c r="H483" s="350"/>
      <c r="I483" s="350"/>
      <c r="J483" s="350"/>
      <c r="K483" s="350"/>
      <c r="L483" s="350"/>
      <c r="M483" s="350"/>
      <c r="N483" s="350"/>
      <c r="O483" s="350"/>
      <c r="P483" s="350"/>
      <c r="Q483" s="350"/>
      <c r="R483" s="350"/>
      <c r="S483" s="350"/>
      <c r="T483" s="350"/>
      <c r="U483" s="350"/>
      <c r="V483" s="350"/>
      <c r="W483" s="350"/>
      <c r="X483" s="350"/>
      <c r="Y483" s="350"/>
      <c r="Z483" s="350"/>
      <c r="AA483" s="350"/>
      <c r="AB483" s="350"/>
      <c r="AC483" s="1206"/>
      <c r="AG483" s="405"/>
      <c r="AH483" s="405"/>
      <c r="AI483" s="405"/>
      <c r="AJ483" s="405"/>
      <c r="AK483" s="516"/>
      <c r="AN483" s="390"/>
      <c r="AO483" s="540">
        <v>0.2</v>
      </c>
      <c r="AP483" s="428">
        <v>5</v>
      </c>
      <c r="AT483" s="540">
        <v>0.12</v>
      </c>
      <c r="AU483" s="428">
        <v>5</v>
      </c>
      <c r="AW483" s="349" t="s">
        <v>2408</v>
      </c>
      <c r="AX483" s="428">
        <v>5</v>
      </c>
      <c r="AY483" s="387"/>
      <c r="BB483" s="540">
        <v>0.6</v>
      </c>
      <c r="BC483" s="387">
        <v>4</v>
      </c>
      <c r="BF483" s="540">
        <v>0.6</v>
      </c>
      <c r="BG483" s="387">
        <v>5</v>
      </c>
    </row>
    <row r="484" spans="1:81" s="349" customFormat="1" ht="12.75" hidden="1" customHeight="1">
      <c r="C484" s="1220"/>
      <c r="D484" s="1221"/>
      <c r="E484" s="554"/>
      <c r="F484" s="553" t="s">
        <v>2409</v>
      </c>
      <c r="G484" s="553"/>
      <c r="H484" s="553"/>
      <c r="I484" s="553"/>
      <c r="J484" s="553"/>
      <c r="K484" s="553"/>
      <c r="L484" s="553"/>
      <c r="M484" s="553"/>
      <c r="N484" s="553"/>
      <c r="O484" s="553"/>
      <c r="P484" s="553"/>
      <c r="Q484" s="553"/>
      <c r="R484" s="553"/>
      <c r="S484" s="553"/>
      <c r="T484" s="553"/>
      <c r="U484" s="553"/>
      <c r="V484" s="553"/>
      <c r="W484" s="553"/>
      <c r="X484" s="553"/>
      <c r="Y484" s="553"/>
      <c r="Z484" s="553"/>
      <c r="AA484" s="553"/>
      <c r="AB484" s="553"/>
      <c r="AC484" s="555"/>
      <c r="AD484" s="401"/>
      <c r="AE484" s="401"/>
      <c r="AF484" s="401"/>
      <c r="AG484" s="556"/>
      <c r="AH484" s="405"/>
      <c r="AI484" s="405"/>
      <c r="AJ484" s="405"/>
      <c r="AK484" s="516"/>
      <c r="AN484" s="466"/>
      <c r="AO484" s="540"/>
      <c r="AP484" s="387"/>
      <c r="AT484" s="540"/>
      <c r="AU484" s="387"/>
      <c r="AX484" s="540"/>
      <c r="AY484" s="387"/>
      <c r="BB484" s="540">
        <v>0.8</v>
      </c>
      <c r="BC484" s="387">
        <v>5</v>
      </c>
      <c r="BF484" s="540"/>
      <c r="BG484" s="387"/>
    </row>
    <row r="485" spans="1:81" s="389" customFormat="1" ht="12.75" hidden="1" customHeight="1">
      <c r="A485" s="428"/>
      <c r="B485" s="349"/>
      <c r="C485" s="544"/>
      <c r="D485" s="349"/>
      <c r="E485" s="545"/>
      <c r="F485" s="557" t="s">
        <v>2410</v>
      </c>
      <c r="G485" s="349"/>
      <c r="H485" s="349"/>
      <c r="I485" s="553"/>
      <c r="J485" s="553"/>
      <c r="K485" s="553"/>
      <c r="L485" s="553"/>
      <c r="M485" s="553"/>
      <c r="N485" s="553"/>
      <c r="O485" s="553"/>
      <c r="P485" s="553"/>
      <c r="Q485" s="553"/>
      <c r="R485" s="553"/>
      <c r="S485" s="553"/>
      <c r="T485" s="553"/>
      <c r="U485" s="553"/>
      <c r="V485" s="2369" t="s">
        <v>809</v>
      </c>
      <c r="W485" s="2369"/>
      <c r="X485" s="2369"/>
      <c r="Y485" s="553"/>
      <c r="Z485" s="553"/>
      <c r="AA485" s="553"/>
      <c r="AB485" s="553"/>
      <c r="AC485" s="553"/>
      <c r="AD485" s="401"/>
      <c r="AE485" s="401"/>
      <c r="AF485" s="401"/>
      <c r="AG485" s="405">
        <f>IF(AND($C$482="Yes",$V$487="N/A",$V$492="N/A",$V$496="N/A",$V$498="N/A"),(VLOOKUP(V485,$AW$481:$AX$483,2,FALSE)),0)</f>
        <v>0</v>
      </c>
      <c r="AH485" s="1199" t="s">
        <v>2182</v>
      </c>
      <c r="AI485" s="350"/>
      <c r="AJ485" s="350"/>
      <c r="AK485" s="516"/>
      <c r="AL485" s="349"/>
      <c r="AM485" s="349"/>
      <c r="AN485" s="390"/>
      <c r="AT485" s="349" t="s">
        <v>809</v>
      </c>
      <c r="AU485" s="428">
        <v>0</v>
      </c>
      <c r="AV485" s="349"/>
      <c r="AW485" s="349"/>
      <c r="AX485" s="349"/>
      <c r="AY485" s="349"/>
      <c r="AZ485" s="349"/>
      <c r="BA485" s="349"/>
      <c r="BB485" s="540"/>
      <c r="BC485" s="387"/>
      <c r="BD485" s="349"/>
      <c r="BE485" s="349"/>
      <c r="BF485" s="349"/>
      <c r="BG485" s="349"/>
    </row>
    <row r="486" spans="1:81" s="389" customFormat="1" ht="12.75" hidden="1" customHeight="1">
      <c r="A486" s="428"/>
      <c r="B486" s="349"/>
      <c r="C486" s="544"/>
      <c r="D486" s="349"/>
      <c r="E486" s="545"/>
      <c r="F486" s="557"/>
      <c r="G486" s="349"/>
      <c r="H486" s="349"/>
      <c r="I486" s="553"/>
      <c r="J486" s="553"/>
      <c r="K486" s="553"/>
      <c r="L486" s="553"/>
      <c r="M486" s="553"/>
      <c r="N486" s="553"/>
      <c r="O486" s="553"/>
      <c r="P486" s="553"/>
      <c r="Q486" s="553"/>
      <c r="R486" s="553"/>
      <c r="S486" s="553"/>
      <c r="T486" s="553"/>
      <c r="U486" s="553"/>
      <c r="V486" s="553"/>
      <c r="W486" s="553"/>
      <c r="X486" s="553"/>
      <c r="Y486" s="553"/>
      <c r="Z486" s="553"/>
      <c r="AA486" s="553"/>
      <c r="AB486" s="553"/>
      <c r="AC486" s="553"/>
      <c r="AD486" s="401"/>
      <c r="AE486" s="401"/>
      <c r="AF486" s="401"/>
      <c r="AG486" s="405"/>
      <c r="AH486" s="1199"/>
      <c r="AI486" s="350"/>
      <c r="AJ486" s="350"/>
      <c r="AK486" s="516"/>
      <c r="AL486" s="349"/>
      <c r="AM486" s="349"/>
      <c r="AN486" s="390"/>
      <c r="AT486" s="540">
        <v>0.09</v>
      </c>
      <c r="AU486" s="428">
        <v>3</v>
      </c>
      <c r="AV486" s="349"/>
      <c r="AW486" s="349"/>
      <c r="AX486" s="537"/>
      <c r="AY486" s="349"/>
      <c r="AZ486" s="349"/>
      <c r="BA486" s="349"/>
      <c r="BB486" s="349"/>
      <c r="BC486" s="349"/>
      <c r="BD486" s="349"/>
      <c r="BE486" s="349"/>
      <c r="BF486" s="349"/>
      <c r="BG486" s="349"/>
    </row>
    <row r="487" spans="1:81" s="389" customFormat="1" ht="12.75" hidden="1" customHeight="1">
      <c r="A487" s="428"/>
      <c r="B487" s="349"/>
      <c r="C487" s="544"/>
      <c r="D487" s="349"/>
      <c r="E487" s="545"/>
      <c r="F487" s="557" t="s">
        <v>2411</v>
      </c>
      <c r="G487" s="349"/>
      <c r="H487" s="349"/>
      <c r="I487" s="553"/>
      <c r="J487" s="553"/>
      <c r="K487" s="553"/>
      <c r="L487" s="553"/>
      <c r="M487" s="553"/>
      <c r="N487" s="553"/>
      <c r="O487" s="553"/>
      <c r="P487" s="553"/>
      <c r="Q487" s="553"/>
      <c r="R487" s="553"/>
      <c r="S487" s="553"/>
      <c r="T487" s="553"/>
      <c r="U487" s="553"/>
      <c r="V487" s="2369" t="s">
        <v>809</v>
      </c>
      <c r="W487" s="2369"/>
      <c r="X487" s="2369"/>
      <c r="Y487" s="553"/>
      <c r="Z487" s="553"/>
      <c r="AA487" s="553"/>
      <c r="AB487" s="553"/>
      <c r="AC487" s="553"/>
      <c r="AD487" s="401"/>
      <c r="AE487" s="401"/>
      <c r="AF487" s="401"/>
      <c r="AG487" s="405">
        <f>IF(AND($C$482="Yes",$V$485="N/A", $V$492="N/A",$V$496="N/A",$V$498="N/A"),(VLOOKUP(V487,$AT$481:$AU$483,2,FALSE)),0)</f>
        <v>0</v>
      </c>
      <c r="AH487" s="1199" t="s">
        <v>2182</v>
      </c>
      <c r="AI487" s="350"/>
      <c r="AJ487" s="350"/>
      <c r="AK487" s="516"/>
      <c r="AL487" s="349"/>
      <c r="AM487" s="349"/>
      <c r="AN487" s="390"/>
      <c r="AT487" s="540">
        <v>0.15</v>
      </c>
      <c r="AU487" s="428">
        <v>5</v>
      </c>
      <c r="AV487" s="349"/>
      <c r="AW487" s="349"/>
      <c r="AX487" s="349"/>
      <c r="AY487" s="349"/>
      <c r="AZ487" s="349"/>
      <c r="BA487" s="349"/>
      <c r="BB487" s="349"/>
      <c r="BC487" s="349"/>
      <c r="BD487" s="349"/>
      <c r="BE487" s="349"/>
      <c r="BF487" s="349"/>
      <c r="BG487" s="349"/>
    </row>
    <row r="488" spans="1:81" s="349" customFormat="1" ht="12.75" hidden="1" customHeight="1">
      <c r="C488" s="544"/>
      <c r="E488" s="545"/>
      <c r="F488" s="389"/>
      <c r="G488" s="558"/>
      <c r="H488" s="558"/>
      <c r="I488" s="558"/>
      <c r="J488" s="558"/>
      <c r="K488" s="558"/>
      <c r="L488" s="558"/>
      <c r="M488" s="558"/>
      <c r="N488" s="558"/>
      <c r="O488" s="558"/>
      <c r="P488" s="558"/>
      <c r="Q488" s="350"/>
      <c r="R488" s="350"/>
      <c r="S488" s="350"/>
      <c r="T488" s="350"/>
      <c r="U488" s="350"/>
      <c r="V488" s="350"/>
      <c r="W488" s="350"/>
      <c r="X488" s="350"/>
      <c r="Y488" s="350"/>
      <c r="Z488" s="350"/>
      <c r="AA488" s="350"/>
      <c r="AB488" s="350"/>
      <c r="AC488" s="350"/>
      <c r="AG488" s="389"/>
      <c r="AH488" s="389"/>
      <c r="AI488" s="389"/>
      <c r="AJ488" s="389"/>
      <c r="AK488" s="516"/>
      <c r="AN488" s="390"/>
      <c r="AO488" s="349" t="s">
        <v>809</v>
      </c>
      <c r="AP488" s="349">
        <v>0</v>
      </c>
    </row>
    <row r="489" spans="1:81" s="349" customFormat="1" ht="12.75" hidden="1" customHeight="1">
      <c r="C489" s="544"/>
      <c r="E489" s="545"/>
      <c r="F489" s="558" t="s">
        <v>2412</v>
      </c>
      <c r="I489" s="545"/>
      <c r="J489" s="545"/>
      <c r="K489" s="545"/>
      <c r="L489" s="545"/>
      <c r="M489" s="545"/>
      <c r="N489" s="545"/>
      <c r="O489" s="545"/>
      <c r="P489" s="545"/>
      <c r="Q489" s="350"/>
      <c r="R489" s="350"/>
      <c r="S489" s="350"/>
      <c r="T489" s="350"/>
      <c r="U489" s="350"/>
      <c r="V489" s="350"/>
      <c r="W489" s="350"/>
      <c r="X489" s="350"/>
      <c r="Y489" s="350"/>
      <c r="Z489" s="350"/>
      <c r="AA489" s="350"/>
      <c r="AB489" s="350"/>
      <c r="AC489" s="350"/>
      <c r="AJ489" s="350"/>
      <c r="AK489" s="516"/>
      <c r="AN489" s="390"/>
      <c r="AO489" s="349" t="s">
        <v>2413</v>
      </c>
      <c r="AP489" s="428">
        <v>2</v>
      </c>
    </row>
    <row r="490" spans="1:81" s="349" customFormat="1" ht="12.75" hidden="1" customHeight="1">
      <c r="C490" s="544"/>
      <c r="F490" s="401" t="s">
        <v>2414</v>
      </c>
      <c r="M490" s="545"/>
      <c r="N490" s="545"/>
      <c r="O490" s="545"/>
      <c r="P490" s="545"/>
      <c r="Q490" s="350"/>
      <c r="R490" s="350"/>
      <c r="S490" s="350"/>
      <c r="T490" s="350"/>
      <c r="U490" s="350"/>
      <c r="V490" s="350"/>
      <c r="W490" s="350"/>
      <c r="X490" s="350"/>
      <c r="Y490" s="350"/>
      <c r="Z490" s="350"/>
      <c r="AA490" s="350"/>
      <c r="AB490" s="350"/>
      <c r="AC490" s="350"/>
      <c r="AG490" s="405"/>
      <c r="AH490" s="1199"/>
      <c r="AI490" s="350"/>
      <c r="AJ490" s="350"/>
      <c r="AK490" s="516"/>
      <c r="AN490" s="390"/>
      <c r="AO490" s="349" t="s">
        <v>2415</v>
      </c>
      <c r="AP490" s="349">
        <v>2</v>
      </c>
    </row>
    <row r="491" spans="1:81" s="389" customFormat="1" ht="12.75" hidden="1" customHeight="1">
      <c r="A491" s="349"/>
      <c r="B491" s="349"/>
      <c r="C491" s="523"/>
      <c r="D491" s="367"/>
      <c r="E491" s="367"/>
      <c r="F491" s="401" t="s">
        <v>2416</v>
      </c>
      <c r="G491" s="349"/>
      <c r="H491" s="349"/>
      <c r="I491" s="349"/>
      <c r="J491" s="349"/>
      <c r="K491" s="349"/>
      <c r="L491" s="349"/>
      <c r="M491" s="545"/>
      <c r="N491" s="545"/>
      <c r="O491" s="545"/>
      <c r="P491" s="545"/>
      <c r="Q491" s="350"/>
      <c r="R491" s="350"/>
      <c r="S491" s="350"/>
      <c r="T491" s="350"/>
      <c r="U491" s="350"/>
      <c r="V491" s="350"/>
      <c r="W491" s="350"/>
      <c r="X491" s="350"/>
      <c r="Y491" s="350"/>
      <c r="Z491" s="350"/>
      <c r="AA491" s="350"/>
      <c r="AB491" s="350"/>
      <c r="AC491" s="350"/>
      <c r="AD491" s="349"/>
      <c r="AE491" s="349"/>
      <c r="AF491" s="349"/>
      <c r="AG491" s="405"/>
      <c r="AH491" s="1199"/>
      <c r="AI491" s="350"/>
      <c r="AJ491" s="350"/>
      <c r="AK491" s="516"/>
      <c r="AL491" s="349"/>
      <c r="AM491" s="349"/>
      <c r="AN491" s="466"/>
      <c r="AO491" s="349" t="s">
        <v>2417</v>
      </c>
      <c r="AP491" s="349">
        <v>2</v>
      </c>
    </row>
    <row r="492" spans="1:81" s="349" customFormat="1" ht="12.75" hidden="1" customHeight="1">
      <c r="C492" s="559"/>
      <c r="F492" s="557" t="s">
        <v>2418</v>
      </c>
      <c r="M492" s="545"/>
      <c r="N492" s="545"/>
      <c r="O492" s="545"/>
      <c r="P492" s="545"/>
      <c r="Q492" s="350"/>
      <c r="R492" s="350"/>
      <c r="S492" s="350"/>
      <c r="T492" s="350"/>
      <c r="U492" s="350"/>
      <c r="V492" s="2369" t="s">
        <v>809</v>
      </c>
      <c r="W492" s="2369"/>
      <c r="X492" s="2369"/>
      <c r="Y492" s="350"/>
      <c r="Z492" s="350"/>
      <c r="AA492" s="350"/>
      <c r="AB492" s="350"/>
      <c r="AC492" s="350"/>
      <c r="AG492" s="405">
        <f>IF(AND($C$482="Yes",$V$485="N/A",$V$487="N/A", $V$496="N/A",$V$498="N/A"),(VLOOKUP($V$492,$AT$485:$AU$487,2,FALSE)),0)</f>
        <v>0</v>
      </c>
      <c r="AH492" s="1199" t="s">
        <v>2182</v>
      </c>
      <c r="AI492" s="350"/>
      <c r="AJ492" s="350"/>
      <c r="AK492" s="516"/>
      <c r="AN492" s="335"/>
    </row>
    <row r="493" spans="1:81" s="349" customFormat="1" ht="12.75" hidden="1" customHeight="1">
      <c r="C493" s="544"/>
      <c r="M493" s="545"/>
      <c r="N493" s="545"/>
      <c r="O493" s="545"/>
      <c r="P493" s="545"/>
      <c r="Q493" s="350"/>
      <c r="R493" s="350"/>
      <c r="S493" s="350"/>
      <c r="T493" s="350"/>
      <c r="U493" s="350"/>
      <c r="V493" s="350"/>
      <c r="W493" s="350"/>
      <c r="X493" s="350"/>
      <c r="Y493" s="350"/>
      <c r="Z493" s="350"/>
      <c r="AA493" s="350"/>
      <c r="AB493" s="350"/>
      <c r="AC493" s="350"/>
      <c r="AJ493" s="350"/>
      <c r="AK493" s="516"/>
      <c r="AN493" s="560"/>
    </row>
    <row r="494" spans="1:81" s="389" customFormat="1" ht="12.75" hidden="1" customHeight="1">
      <c r="A494" s="349"/>
      <c r="B494" s="349"/>
      <c r="C494" s="561" t="s">
        <v>2419</v>
      </c>
      <c r="D494" s="500"/>
      <c r="E494" s="500"/>
      <c r="F494" s="562" t="s">
        <v>2420</v>
      </c>
      <c r="G494" s="500"/>
      <c r="H494" s="500"/>
      <c r="I494" s="500"/>
      <c r="J494" s="500"/>
      <c r="K494" s="500"/>
      <c r="L494" s="500"/>
      <c r="M494" s="500"/>
      <c r="N494" s="500"/>
      <c r="O494" s="500"/>
      <c r="P494" s="500"/>
      <c r="Q494" s="500"/>
      <c r="R494" s="500"/>
      <c r="S494" s="500"/>
      <c r="T494" s="500"/>
      <c r="U494" s="500"/>
      <c r="V494" s="500"/>
      <c r="W494" s="500"/>
      <c r="X494" s="500"/>
      <c r="Y494" s="500"/>
      <c r="Z494" s="500"/>
      <c r="AA494" s="500"/>
      <c r="AB494" s="500"/>
      <c r="AC494" s="500"/>
      <c r="AD494" s="500"/>
      <c r="AE494" s="500"/>
      <c r="AF494" s="500"/>
      <c r="AG494" s="500"/>
      <c r="AH494" s="500"/>
      <c r="AI494" s="500"/>
      <c r="AJ494" s="500"/>
      <c r="AK494" s="529"/>
      <c r="AL494" s="349"/>
      <c r="AM494" s="349"/>
      <c r="AN494" s="386"/>
      <c r="AO494" s="349" t="s">
        <v>809</v>
      </c>
      <c r="AP494" s="349">
        <v>0</v>
      </c>
      <c r="AQ494" s="339"/>
    </row>
    <row r="495" spans="1:81" s="389" customFormat="1" ht="12.75" hidden="1" customHeight="1">
      <c r="A495" s="349"/>
      <c r="B495" s="349"/>
      <c r="C495" s="563"/>
      <c r="D495" s="2388"/>
      <c r="E495" s="2388"/>
      <c r="F495" s="553" t="s">
        <v>2421</v>
      </c>
      <c r="I495" s="349"/>
      <c r="J495" s="349"/>
      <c r="K495" s="349"/>
      <c r="L495" s="349"/>
      <c r="M495" s="349"/>
      <c r="N495" s="349"/>
      <c r="O495" s="349"/>
      <c r="P495" s="349"/>
      <c r="Q495" s="349"/>
      <c r="R495" s="349"/>
      <c r="S495" s="349"/>
      <c r="T495" s="349"/>
      <c r="U495" s="349"/>
      <c r="Y495" s="349"/>
      <c r="Z495" s="349"/>
      <c r="AA495" s="349"/>
      <c r="AB495" s="349"/>
      <c r="AC495" s="349"/>
      <c r="AD495" s="349"/>
      <c r="AE495" s="349"/>
      <c r="AF495" s="349"/>
      <c r="AK495" s="516"/>
      <c r="AL495" s="349"/>
      <c r="AM495" s="349"/>
      <c r="AN495" s="386"/>
      <c r="AO495" s="349" t="s">
        <v>2422</v>
      </c>
      <c r="AP495" s="428">
        <v>5</v>
      </c>
      <c r="AQ495" s="339"/>
    </row>
    <row r="496" spans="1:81" s="367" customFormat="1" ht="12.75" hidden="1" customHeight="1">
      <c r="A496" s="1212"/>
      <c r="B496" s="349"/>
      <c r="C496" s="544"/>
      <c r="D496" s="349"/>
      <c r="E496" s="349"/>
      <c r="F496" s="564" t="s">
        <v>2410</v>
      </c>
      <c r="G496" s="349"/>
      <c r="H496" s="349"/>
      <c r="I496" s="349"/>
      <c r="J496" s="349"/>
      <c r="K496" s="349"/>
      <c r="L496" s="349"/>
      <c r="M496" s="349"/>
      <c r="N496" s="349"/>
      <c r="O496" s="349"/>
      <c r="P496" s="349"/>
      <c r="Q496" s="349"/>
      <c r="R496" s="349"/>
      <c r="S496" s="349"/>
      <c r="T496" s="349"/>
      <c r="U496" s="349"/>
      <c r="V496" s="2369" t="s">
        <v>809</v>
      </c>
      <c r="W496" s="2369"/>
      <c r="X496" s="2369"/>
      <c r="Y496" s="349"/>
      <c r="Z496" s="349"/>
      <c r="AA496" s="349"/>
      <c r="AB496" s="349"/>
      <c r="AC496" s="349"/>
      <c r="AD496" s="349"/>
      <c r="AE496" s="349"/>
      <c r="AF496" s="349"/>
      <c r="AG496" s="405">
        <f>IF(AND($C$482="Yes",$V$485="N/A",V487="N/A",$V$492="N/A",$V$498="N/A"),(VLOOKUP($V$496,$BB$481:$BC$484,2,FALSE)),0)</f>
        <v>0</v>
      </c>
      <c r="AH496" s="1199" t="s">
        <v>2182</v>
      </c>
      <c r="AI496" s="350"/>
      <c r="AJ496" s="349"/>
      <c r="AK496" s="516"/>
      <c r="AL496" s="349"/>
      <c r="AM496" s="349"/>
      <c r="AN496" s="471"/>
      <c r="AO496" s="349" t="s">
        <v>2423</v>
      </c>
      <c r="AP496" s="349">
        <v>5</v>
      </c>
      <c r="AS496" s="349"/>
      <c r="AT496" s="349"/>
      <c r="AU496" s="349"/>
      <c r="AV496" s="349"/>
      <c r="AW496" s="349"/>
      <c r="AX496" s="349"/>
      <c r="AY496" s="349"/>
      <c r="AZ496" s="349"/>
      <c r="BA496" s="349"/>
      <c r="BB496" s="349"/>
      <c r="BO496" s="349"/>
      <c r="BP496" s="349"/>
      <c r="BQ496" s="349"/>
      <c r="BR496" s="349"/>
      <c r="BS496" s="349"/>
      <c r="BT496" s="349"/>
      <c r="BU496" s="349"/>
      <c r="BV496" s="349"/>
      <c r="BW496" s="349"/>
      <c r="BX496" s="349"/>
      <c r="BY496" s="349"/>
      <c r="BZ496" s="349"/>
      <c r="CA496" s="349"/>
      <c r="CB496" s="349"/>
      <c r="CC496" s="349"/>
    </row>
    <row r="497" spans="1:81" s="367" customFormat="1" ht="12.75" hidden="1" customHeight="1">
      <c r="A497" s="1212"/>
      <c r="B497" s="349"/>
      <c r="C497" s="544"/>
      <c r="D497" s="349"/>
      <c r="E497" s="349"/>
      <c r="I497" s="349"/>
      <c r="J497" s="349"/>
      <c r="K497" s="349"/>
      <c r="L497" s="349"/>
      <c r="M497" s="349"/>
      <c r="N497" s="349"/>
      <c r="O497" s="349"/>
      <c r="P497" s="349"/>
      <c r="Q497" s="349"/>
      <c r="R497" s="349"/>
      <c r="S497" s="349"/>
      <c r="T497" s="349"/>
      <c r="U497" s="349"/>
      <c r="V497" s="349"/>
      <c r="W497" s="349"/>
      <c r="X497" s="349"/>
      <c r="Y497" s="349"/>
      <c r="Z497" s="349"/>
      <c r="AA497" s="349"/>
      <c r="AB497" s="349"/>
      <c r="AC497" s="349"/>
      <c r="AD497" s="349"/>
      <c r="AE497" s="349"/>
      <c r="AF497" s="349"/>
      <c r="AK497" s="516"/>
      <c r="AL497" s="349"/>
      <c r="AM497" s="349"/>
      <c r="AN497" s="471"/>
      <c r="AO497" s="349" t="s">
        <v>2424</v>
      </c>
      <c r="AP497" s="349">
        <v>5</v>
      </c>
      <c r="AS497" s="349"/>
      <c r="AT497" s="349"/>
      <c r="AU497" s="349"/>
      <c r="AV497" s="349"/>
      <c r="AW497" s="349"/>
      <c r="AX497" s="349"/>
      <c r="AY497" s="349"/>
      <c r="AZ497" s="349"/>
      <c r="BA497" s="349"/>
      <c r="BB497" s="349"/>
      <c r="BC497" s="349"/>
      <c r="BD497" s="349"/>
      <c r="BE497" s="349"/>
      <c r="BF497" s="349"/>
      <c r="BG497" s="349"/>
      <c r="BH497" s="349"/>
      <c r="BI497" s="349"/>
      <c r="BJ497" s="349"/>
      <c r="BK497" s="349"/>
      <c r="BL497" s="349"/>
      <c r="BM497" s="349"/>
      <c r="BN497" s="349"/>
      <c r="BO497" s="349"/>
      <c r="BP497" s="349"/>
      <c r="BQ497" s="349"/>
      <c r="BR497" s="349"/>
      <c r="BS497" s="349"/>
      <c r="BT497" s="349"/>
      <c r="BU497" s="349"/>
      <c r="BV497" s="349"/>
      <c r="BW497" s="349"/>
      <c r="BX497" s="349"/>
      <c r="BY497" s="349"/>
      <c r="BZ497" s="349"/>
      <c r="CA497" s="349"/>
      <c r="CB497" s="349"/>
      <c r="CC497" s="349"/>
    </row>
    <row r="498" spans="1:81" s="339" customFormat="1" ht="12.75" hidden="1" customHeight="1">
      <c r="A498" s="1212"/>
      <c r="B498" s="349"/>
      <c r="C498" s="546"/>
      <c r="D498" s="512"/>
      <c r="E498" s="512"/>
      <c r="F498" s="557" t="s">
        <v>2411</v>
      </c>
      <c r="G498" s="548"/>
      <c r="H498" s="548"/>
      <c r="I498" s="512"/>
      <c r="J498" s="512"/>
      <c r="K498" s="512"/>
      <c r="L498" s="512"/>
      <c r="M498" s="512"/>
      <c r="N498" s="512"/>
      <c r="O498" s="512"/>
      <c r="P498" s="512"/>
      <c r="Q498" s="512"/>
      <c r="R498" s="512"/>
      <c r="S498" s="512"/>
      <c r="T498" s="512"/>
      <c r="U498" s="512"/>
      <c r="V498" s="2369" t="s">
        <v>809</v>
      </c>
      <c r="W498" s="2369"/>
      <c r="X498" s="2369"/>
      <c r="Y498" s="512"/>
      <c r="Z498" s="512"/>
      <c r="AA498" s="512"/>
      <c r="AB498" s="512"/>
      <c r="AC498" s="512"/>
      <c r="AD498" s="512"/>
      <c r="AE498" s="512"/>
      <c r="AF498" s="512"/>
      <c r="AG498" s="565">
        <f>IF(AND($C$482="Yes",$V$485="N/A",$V$487="N/A",$V$492="N/A",$V$496="N/A"),(VLOOKUP($V$498,$BF$481:$BG$483,2,FALSE)),0)</f>
        <v>0</v>
      </c>
      <c r="AH498" s="550" t="s">
        <v>2182</v>
      </c>
      <c r="AI498" s="512"/>
      <c r="AJ498" s="512"/>
      <c r="AK498" s="526"/>
      <c r="AL498" s="349"/>
      <c r="AM498" s="349"/>
      <c r="AN498" s="566"/>
      <c r="AP498" s="389"/>
      <c r="AQ498" s="389"/>
      <c r="AR498" s="389"/>
      <c r="AS498" s="389"/>
      <c r="AT498" s="389"/>
      <c r="AU498" s="389"/>
      <c r="AV498" s="389"/>
      <c r="AW498" s="389"/>
      <c r="AX498" s="389"/>
      <c r="AY498" s="389"/>
      <c r="AZ498" s="389"/>
      <c r="BA498" s="389"/>
      <c r="BB498" s="389"/>
      <c r="BC498" s="389"/>
      <c r="BE498" s="389"/>
      <c r="BF498" s="389"/>
      <c r="BG498" s="389"/>
      <c r="BH498" s="389"/>
      <c r="BI498" s="389"/>
      <c r="BJ498" s="389"/>
      <c r="BK498" s="389"/>
      <c r="BL498" s="389"/>
      <c r="BM498" s="389"/>
      <c r="BN498" s="389"/>
      <c r="BO498" s="389"/>
      <c r="BP498" s="389"/>
      <c r="BQ498" s="389"/>
      <c r="BR498" s="389"/>
    </row>
    <row r="499" spans="1:81" s="339" customFormat="1" ht="12.75" hidden="1" customHeight="1">
      <c r="A499" s="1212"/>
      <c r="B499" s="349"/>
      <c r="C499" s="350"/>
      <c r="D499" s="349"/>
      <c r="E499" s="545"/>
      <c r="F499" s="349"/>
      <c r="G499" s="349"/>
      <c r="H499" s="349"/>
      <c r="I499" s="349"/>
      <c r="J499" s="349"/>
      <c r="K499" s="349"/>
      <c r="L499" s="349"/>
      <c r="M499" s="349"/>
      <c r="N499" s="349"/>
      <c r="O499" s="349"/>
      <c r="P499" s="349"/>
      <c r="Q499" s="349"/>
      <c r="R499" s="349"/>
      <c r="S499" s="349"/>
      <c r="T499" s="349"/>
      <c r="U499" s="349"/>
      <c r="V499" s="349"/>
      <c r="W499" s="349"/>
      <c r="X499" s="349"/>
      <c r="Y499" s="349"/>
      <c r="Z499" s="349"/>
      <c r="AA499" s="349"/>
      <c r="AB499" s="349"/>
      <c r="AC499" s="349"/>
      <c r="AD499" s="349"/>
      <c r="AE499" s="349"/>
      <c r="AF499" s="349"/>
      <c r="AG499" s="349"/>
      <c r="AH499" s="349"/>
      <c r="AI499" s="349"/>
      <c r="AJ499" s="349"/>
      <c r="AK499" s="349"/>
      <c r="AL499" s="349"/>
      <c r="AM499" s="349"/>
      <c r="AN499" s="566"/>
      <c r="AO499" s="567"/>
      <c r="AP499" s="349"/>
      <c r="AQ499" s="349"/>
      <c r="AR499" s="349"/>
      <c r="AS499" s="349"/>
      <c r="AT499" s="349"/>
      <c r="AU499" s="568"/>
      <c r="AV499" s="568"/>
      <c r="AW499" s="568"/>
      <c r="AX499" s="568"/>
      <c r="AY499" s="568"/>
      <c r="AZ499" s="568"/>
      <c r="BA499" s="568"/>
      <c r="BB499" s="389"/>
      <c r="BC499" s="389"/>
      <c r="BE499" s="349"/>
      <c r="BF499" s="349"/>
      <c r="BG499" s="349"/>
      <c r="BH499" s="349"/>
      <c r="BI499" s="349"/>
      <c r="BJ499" s="568"/>
      <c r="BK499" s="568"/>
      <c r="BL499" s="568"/>
      <c r="BM499" s="568"/>
      <c r="BN499" s="568"/>
      <c r="BO499" s="568"/>
      <c r="BP499" s="568"/>
      <c r="BQ499" s="389"/>
      <c r="BR499" s="349"/>
    </row>
    <row r="500" spans="1:81" s="339" customFormat="1" ht="12.75" hidden="1" customHeight="1">
      <c r="A500" s="1212"/>
      <c r="B500" s="349"/>
      <c r="C500" s="498" t="s">
        <v>2425</v>
      </c>
      <c r="D500" s="349"/>
      <c r="E500" s="545"/>
      <c r="F500" s="350"/>
      <c r="G500" s="350"/>
      <c r="H500" s="350"/>
      <c r="I500" s="350"/>
      <c r="J500" s="350"/>
      <c r="K500" s="350"/>
      <c r="L500" s="350"/>
      <c r="M500" s="350"/>
      <c r="N500" s="350"/>
      <c r="O500" s="350"/>
      <c r="P500" s="350"/>
      <c r="Q500" s="350"/>
      <c r="R500" s="350"/>
      <c r="S500" s="350"/>
      <c r="T500" s="350"/>
      <c r="U500" s="350"/>
      <c r="V500" s="350"/>
      <c r="W500" s="350"/>
      <c r="X500" s="350"/>
      <c r="Y500" s="350"/>
      <c r="Z500" s="350"/>
      <c r="AA500" s="350"/>
      <c r="AB500" s="350"/>
      <c r="AC500" s="350"/>
      <c r="AD500" s="349"/>
      <c r="AE500" s="349"/>
      <c r="AF500" s="349"/>
      <c r="AG500" s="350"/>
      <c r="AH500" s="350"/>
      <c r="AI500" s="350"/>
      <c r="AJ500" s="350"/>
      <c r="AK500" s="349"/>
      <c r="AL500" s="349"/>
      <c r="AM500" s="349"/>
      <c r="AN500" s="566"/>
      <c r="AO500" s="567"/>
      <c r="AP500" s="349"/>
      <c r="AQ500" s="349"/>
      <c r="AR500" s="349"/>
      <c r="AS500" s="349"/>
      <c r="AT500" s="349"/>
      <c r="AU500" s="568"/>
      <c r="AV500" s="568"/>
      <c r="AW500" s="568"/>
      <c r="AX500" s="568"/>
      <c r="AY500" s="568"/>
      <c r="AZ500" s="568"/>
      <c r="BA500" s="568"/>
      <c r="BB500" s="389"/>
      <c r="BC500" s="389"/>
      <c r="BE500" s="349"/>
      <c r="BF500" s="349"/>
      <c r="BG500" s="349"/>
      <c r="BH500" s="349"/>
      <c r="BI500" s="349"/>
      <c r="BJ500" s="568"/>
      <c r="BK500" s="568"/>
      <c r="BL500" s="568"/>
      <c r="BM500" s="568"/>
      <c r="BN500" s="568"/>
      <c r="BO500" s="568"/>
      <c r="BP500" s="568"/>
      <c r="BQ500" s="389"/>
      <c r="BR500" s="349"/>
    </row>
    <row r="501" spans="1:81" s="367" customFormat="1" ht="12.75" hidden="1" customHeight="1">
      <c r="A501" s="1212"/>
      <c r="B501" s="349"/>
      <c r="C501" s="2383" t="s">
        <v>809</v>
      </c>
      <c r="D501" s="2384"/>
      <c r="E501" s="543" t="s">
        <v>51</v>
      </c>
      <c r="F501" s="2461" t="s">
        <v>2398</v>
      </c>
      <c r="G501" s="2461"/>
      <c r="H501" s="2461"/>
      <c r="I501" s="2461"/>
      <c r="J501" s="2461"/>
      <c r="K501" s="2461"/>
      <c r="L501" s="2461"/>
      <c r="M501" s="2461"/>
      <c r="N501" s="2461"/>
      <c r="O501" s="2461"/>
      <c r="P501" s="2461"/>
      <c r="Q501" s="2461"/>
      <c r="R501" s="2461"/>
      <c r="S501" s="2461"/>
      <c r="T501" s="2461"/>
      <c r="U501" s="2461"/>
      <c r="V501" s="2461"/>
      <c r="W501" s="2461"/>
      <c r="X501" s="2461"/>
      <c r="Y501" s="2461"/>
      <c r="Z501" s="2461"/>
      <c r="AA501" s="2461"/>
      <c r="AB501" s="2461"/>
      <c r="AC501" s="2461"/>
      <c r="AD501" s="2461"/>
      <c r="AE501" s="2461"/>
      <c r="AF501" s="500"/>
      <c r="AG501" s="502"/>
      <c r="AH501" s="502"/>
      <c r="AI501" s="502"/>
      <c r="AJ501" s="502"/>
      <c r="AK501" s="529"/>
      <c r="AL501" s="349"/>
      <c r="AM501" s="349"/>
      <c r="AN501" s="334"/>
      <c r="AO501" s="23"/>
      <c r="AP501" s="349"/>
      <c r="AQ501" s="349"/>
      <c r="AR501" s="349"/>
      <c r="AS501" s="349"/>
      <c r="AT501" s="349"/>
      <c r="AU501" s="569"/>
      <c r="AV501" s="569"/>
      <c r="AW501" s="569"/>
      <c r="AX501" s="569"/>
      <c r="AY501" s="569"/>
      <c r="AZ501" s="569"/>
      <c r="BA501" s="569"/>
      <c r="BB501" s="349"/>
      <c r="BC501" s="349"/>
      <c r="BD501" s="336"/>
      <c r="BE501" s="349"/>
      <c r="BF501" s="349"/>
      <c r="BG501" s="349"/>
      <c r="BH501" s="349"/>
      <c r="BI501" s="349"/>
      <c r="BJ501" s="569"/>
      <c r="BK501" s="569"/>
      <c r="BL501" s="569"/>
      <c r="BM501" s="569"/>
      <c r="BN501" s="569"/>
      <c r="BO501" s="569"/>
      <c r="BP501" s="569"/>
      <c r="BQ501" s="349"/>
      <c r="BR501" s="349"/>
      <c r="BS501" s="336"/>
      <c r="BT501" s="336"/>
      <c r="BU501" s="336"/>
      <c r="BV501" s="336"/>
      <c r="BW501" s="336"/>
      <c r="BX501" s="336"/>
      <c r="BY501" s="336"/>
      <c r="BZ501" s="336"/>
      <c r="CA501" s="336"/>
      <c r="CB501" s="336"/>
      <c r="CC501" s="336"/>
    </row>
    <row r="502" spans="1:81" s="367" customFormat="1" ht="12.75" hidden="1" customHeight="1">
      <c r="A502" s="1212"/>
      <c r="B502" s="349"/>
      <c r="C502" s="544"/>
      <c r="D502" s="349"/>
      <c r="E502" s="545"/>
      <c r="F502" s="2462"/>
      <c r="G502" s="2462"/>
      <c r="H502" s="2462"/>
      <c r="I502" s="2462"/>
      <c r="J502" s="2462"/>
      <c r="K502" s="2462"/>
      <c r="L502" s="2462"/>
      <c r="M502" s="2462"/>
      <c r="N502" s="2462"/>
      <c r="O502" s="2462"/>
      <c r="P502" s="2462"/>
      <c r="Q502" s="2462"/>
      <c r="R502" s="2462"/>
      <c r="S502" s="2462"/>
      <c r="T502" s="2462"/>
      <c r="U502" s="2462"/>
      <c r="V502" s="2462"/>
      <c r="W502" s="2462"/>
      <c r="X502" s="2462"/>
      <c r="Y502" s="2462"/>
      <c r="Z502" s="2462"/>
      <c r="AA502" s="2462"/>
      <c r="AB502" s="2462"/>
      <c r="AC502" s="2462"/>
      <c r="AD502" s="2462"/>
      <c r="AE502" s="2462"/>
      <c r="AF502" s="349"/>
      <c r="AG502" s="350"/>
      <c r="AH502" s="350"/>
      <c r="AI502" s="350"/>
      <c r="AJ502" s="350"/>
      <c r="AK502" s="516"/>
      <c r="AL502" s="349"/>
      <c r="AM502" s="349"/>
      <c r="AN502" s="334"/>
      <c r="AO502" s="23"/>
      <c r="AP502" s="570"/>
      <c r="AQ502" s="570"/>
      <c r="AR502" s="570"/>
      <c r="AS502" s="1212"/>
      <c r="AT502" s="349"/>
      <c r="AU502" s="571"/>
      <c r="AV502" s="571"/>
      <c r="AW502" s="571"/>
      <c r="AX502" s="571"/>
      <c r="AY502" s="571"/>
      <c r="AZ502" s="571"/>
      <c r="BA502" s="571"/>
      <c r="BB502" s="11"/>
      <c r="BC502" s="11"/>
      <c r="BD502" s="336"/>
      <c r="BE502" s="570"/>
      <c r="BF502" s="570"/>
      <c r="BG502" s="570"/>
      <c r="BH502" s="1212"/>
      <c r="BI502" s="349"/>
      <c r="BJ502" s="572"/>
      <c r="BK502" s="571"/>
      <c r="BL502" s="571"/>
      <c r="BM502" s="571"/>
      <c r="BN502" s="571"/>
      <c r="BO502" s="571"/>
      <c r="BP502" s="571"/>
      <c r="BQ502" s="11"/>
      <c r="BR502" s="349"/>
      <c r="BS502" s="336"/>
      <c r="BT502" s="336"/>
      <c r="BU502" s="336"/>
      <c r="BV502" s="336"/>
      <c r="BW502" s="336"/>
      <c r="BX502" s="336"/>
      <c r="BY502" s="336"/>
      <c r="BZ502" s="336"/>
      <c r="CA502" s="336"/>
      <c r="CB502" s="336"/>
      <c r="CC502" s="336"/>
    </row>
    <row r="503" spans="1:81" s="367" customFormat="1" ht="12.75" hidden="1" customHeight="1">
      <c r="A503" s="1212"/>
      <c r="B503" s="349"/>
      <c r="C503" s="546"/>
      <c r="D503" s="512"/>
      <c r="E503" s="547"/>
      <c r="F503" s="2382" t="s">
        <v>809</v>
      </c>
      <c r="G503" s="2382"/>
      <c r="H503" s="2382"/>
      <c r="I503" s="2382"/>
      <c r="J503" s="2382"/>
      <c r="K503" s="2382"/>
      <c r="L503" s="2382"/>
      <c r="M503" s="2382"/>
      <c r="N503" s="2382"/>
      <c r="O503" s="2382"/>
      <c r="P503" s="2382"/>
      <c r="Q503" s="2382"/>
      <c r="R503" s="2382"/>
      <c r="S503" s="2382"/>
      <c r="T503" s="2382"/>
      <c r="U503" s="2382"/>
      <c r="V503" s="2382"/>
      <c r="W503" s="2382"/>
      <c r="X503" s="2382"/>
      <c r="Y503" s="2382"/>
      <c r="Z503" s="2382"/>
      <c r="AA503" s="548"/>
      <c r="AB503" s="446"/>
      <c r="AC503" s="446"/>
      <c r="AD503" s="512"/>
      <c r="AE503" s="512"/>
      <c r="AF503" s="512"/>
      <c r="AG503" s="549">
        <f>IF($C$501="Yes",(VLOOKUP($F$503,$AO$471:$AP$479,2,FALSE)),0)</f>
        <v>0</v>
      </c>
      <c r="AH503" s="550" t="s">
        <v>2182</v>
      </c>
      <c r="AI503" s="549"/>
      <c r="AJ503" s="446"/>
      <c r="AK503" s="526"/>
      <c r="AL503" s="349"/>
      <c r="AM503" s="349"/>
      <c r="AN503" s="334"/>
      <c r="AO503" s="23"/>
      <c r="AP503" s="570"/>
      <c r="AQ503" s="570"/>
      <c r="AR503" s="570"/>
      <c r="AS503" s="1212"/>
      <c r="AT503" s="349"/>
      <c r="AU503" s="571"/>
      <c r="AV503" s="571"/>
      <c r="AW503" s="571"/>
      <c r="AX503" s="571"/>
      <c r="AY503" s="571"/>
      <c r="AZ503" s="571"/>
      <c r="BA503" s="571"/>
      <c r="BB503" s="11"/>
      <c r="BC503" s="11"/>
      <c r="BD503" s="336"/>
      <c r="BE503" s="570"/>
      <c r="BF503" s="570"/>
      <c r="BG503" s="570"/>
      <c r="BH503" s="1212"/>
      <c r="BI503" s="349"/>
      <c r="BJ503" s="572"/>
      <c r="BK503" s="571"/>
      <c r="BL503" s="571"/>
      <c r="BM503" s="571"/>
      <c r="BN503" s="571"/>
      <c r="BO503" s="571"/>
      <c r="BP503" s="571"/>
      <c r="BQ503" s="11"/>
      <c r="BR503" s="349"/>
      <c r="BS503" s="336"/>
      <c r="BT503" s="336"/>
      <c r="BU503" s="336"/>
      <c r="BV503" s="336"/>
      <c r="BW503" s="336"/>
      <c r="BX503" s="336"/>
      <c r="BY503" s="336"/>
      <c r="BZ503" s="336"/>
      <c r="CA503" s="336"/>
      <c r="CB503" s="336"/>
      <c r="CC503" s="336"/>
    </row>
    <row r="504" spans="1:81" s="367" customFormat="1" ht="12.75" hidden="1" customHeight="1">
      <c r="A504" s="1212"/>
      <c r="B504" s="349"/>
      <c r="C504" s="498"/>
      <c r="D504" s="349"/>
      <c r="E504" s="545"/>
      <c r="F504" s="350"/>
      <c r="G504" s="350"/>
      <c r="H504" s="350"/>
      <c r="I504" s="350"/>
      <c r="J504" s="350"/>
      <c r="K504" s="350"/>
      <c r="L504" s="350"/>
      <c r="M504" s="350"/>
      <c r="N504" s="350"/>
      <c r="O504" s="350"/>
      <c r="P504" s="350"/>
      <c r="Q504" s="350"/>
      <c r="R504" s="350"/>
      <c r="S504" s="350"/>
      <c r="T504" s="350"/>
      <c r="U504" s="350"/>
      <c r="V504" s="350"/>
      <c r="W504" s="350"/>
      <c r="X504" s="350"/>
      <c r="Y504" s="350"/>
      <c r="Z504" s="350"/>
      <c r="AA504" s="350"/>
      <c r="AB504" s="350"/>
      <c r="AC504" s="350"/>
      <c r="AD504" s="349"/>
      <c r="AE504" s="349"/>
      <c r="AF504" s="349"/>
      <c r="AG504" s="350"/>
      <c r="AH504" s="350"/>
      <c r="AI504" s="350"/>
      <c r="AJ504" s="350"/>
      <c r="AK504" s="349"/>
      <c r="AL504" s="349"/>
      <c r="AM504" s="349"/>
      <c r="AN504" s="334"/>
      <c r="AO504" s="23"/>
      <c r="AP504" s="570"/>
      <c r="AQ504" s="570"/>
      <c r="AR504" s="570"/>
      <c r="AS504" s="1212"/>
      <c r="AT504" s="349"/>
      <c r="AU504" s="571"/>
      <c r="AV504" s="571"/>
      <c r="AW504" s="571"/>
      <c r="AX504" s="571"/>
      <c r="AY504" s="571"/>
      <c r="AZ504" s="571"/>
      <c r="BA504" s="571"/>
      <c r="BB504" s="11"/>
      <c r="BC504" s="11"/>
      <c r="BD504" s="336"/>
      <c r="BE504" s="570"/>
      <c r="BF504" s="570"/>
      <c r="BG504" s="570"/>
      <c r="BH504" s="1212"/>
      <c r="BI504" s="349"/>
      <c r="BJ504" s="572"/>
      <c r="BK504" s="571"/>
      <c r="BL504" s="571"/>
      <c r="BM504" s="571"/>
      <c r="BN504" s="571"/>
      <c r="BO504" s="571"/>
      <c r="BP504" s="571"/>
      <c r="BQ504" s="11"/>
      <c r="BR504" s="349"/>
      <c r="BS504" s="336"/>
      <c r="BT504" s="336"/>
      <c r="BU504" s="336"/>
      <c r="BV504" s="336"/>
      <c r="BW504" s="336"/>
      <c r="BX504" s="336"/>
      <c r="BY504" s="336"/>
      <c r="BZ504" s="336"/>
      <c r="CA504" s="336"/>
      <c r="CB504" s="336"/>
      <c r="CC504" s="336"/>
    </row>
    <row r="505" spans="1:81" s="367" customFormat="1" ht="12.75" hidden="1" customHeight="1">
      <c r="A505" s="349"/>
      <c r="B505" s="349"/>
      <c r="C505" s="2383" t="s">
        <v>809</v>
      </c>
      <c r="D505" s="2384"/>
      <c r="E505" s="543" t="s">
        <v>53</v>
      </c>
      <c r="F505" s="2385" t="s">
        <v>2426</v>
      </c>
      <c r="G505" s="2385"/>
      <c r="H505" s="2385"/>
      <c r="I505" s="2385"/>
      <c r="J505" s="2385"/>
      <c r="K505" s="2385"/>
      <c r="L505" s="2385"/>
      <c r="M505" s="2385"/>
      <c r="N505" s="2385"/>
      <c r="O505" s="2385"/>
      <c r="P505" s="2385"/>
      <c r="Q505" s="2385"/>
      <c r="R505" s="2385"/>
      <c r="S505" s="2385"/>
      <c r="T505" s="2385"/>
      <c r="U505" s="2385"/>
      <c r="V505" s="2385"/>
      <c r="W505" s="2385"/>
      <c r="X505" s="2385"/>
      <c r="Y505" s="2385"/>
      <c r="Z505" s="2385"/>
      <c r="AA505" s="2385"/>
      <c r="AB505" s="2385"/>
      <c r="AC505" s="2385"/>
      <c r="AD505" s="2385"/>
      <c r="AE505" s="2385"/>
      <c r="AF505" s="500"/>
      <c r="AG505" s="438"/>
      <c r="AH505" s="438"/>
      <c r="AI505" s="438"/>
      <c r="AJ505" s="438"/>
      <c r="AK505" s="529"/>
      <c r="AL505" s="349"/>
      <c r="AM505" s="349"/>
      <c r="AN505" s="334"/>
      <c r="AO505" s="23"/>
      <c r="AP505" s="570"/>
      <c r="AQ505" s="570"/>
      <c r="AR505" s="570"/>
      <c r="AS505" s="1212"/>
      <c r="AT505" s="349"/>
      <c r="AU505" s="571"/>
      <c r="AV505" s="571"/>
      <c r="AW505" s="571"/>
      <c r="AX505" s="571"/>
      <c r="AY505" s="571"/>
      <c r="AZ505" s="571"/>
      <c r="BA505" s="571"/>
      <c r="BB505" s="11"/>
      <c r="BC505" s="11"/>
      <c r="BD505" s="336"/>
      <c r="BE505" s="570"/>
      <c r="BF505" s="570"/>
      <c r="BG505" s="570"/>
      <c r="BH505" s="1212"/>
      <c r="BI505" s="349"/>
      <c r="BJ505" s="572"/>
      <c r="BK505" s="571"/>
      <c r="BL505" s="571"/>
      <c r="BM505" s="571"/>
      <c r="BN505" s="571"/>
      <c r="BO505" s="571"/>
      <c r="BP505" s="571"/>
      <c r="BQ505" s="11"/>
      <c r="BR505" s="349"/>
      <c r="BS505" s="336"/>
      <c r="BT505" s="336"/>
      <c r="BU505" s="336"/>
      <c r="BV505" s="336"/>
      <c r="BW505" s="336"/>
      <c r="BX505" s="336"/>
      <c r="BY505" s="336"/>
      <c r="BZ505" s="336"/>
      <c r="CA505" s="336"/>
      <c r="CB505" s="336"/>
      <c r="CC505" s="336"/>
    </row>
    <row r="506" spans="1:81" s="367" customFormat="1" ht="12.75" hidden="1" customHeight="1">
      <c r="A506" s="349"/>
      <c r="B506" s="349"/>
      <c r="C506" s="544"/>
      <c r="D506" s="349"/>
      <c r="E506" s="545"/>
      <c r="F506" s="2386"/>
      <c r="G506" s="2386"/>
      <c r="H506" s="2386"/>
      <c r="I506" s="2386"/>
      <c r="J506" s="2386"/>
      <c r="K506" s="2386"/>
      <c r="L506" s="2386"/>
      <c r="M506" s="2386"/>
      <c r="N506" s="2386"/>
      <c r="O506" s="2386"/>
      <c r="P506" s="2386"/>
      <c r="Q506" s="2386"/>
      <c r="R506" s="2386"/>
      <c r="S506" s="2386"/>
      <c r="T506" s="2386"/>
      <c r="U506" s="2386"/>
      <c r="V506" s="2386"/>
      <c r="W506" s="2386"/>
      <c r="X506" s="2386"/>
      <c r="Y506" s="2386"/>
      <c r="Z506" s="2386"/>
      <c r="AA506" s="2386"/>
      <c r="AB506" s="2386"/>
      <c r="AC506" s="2386"/>
      <c r="AD506" s="2386"/>
      <c r="AE506" s="2386"/>
      <c r="AF506" s="349"/>
      <c r="AG506" s="350"/>
      <c r="AH506" s="350"/>
      <c r="AI506" s="350"/>
      <c r="AJ506" s="350"/>
      <c r="AK506" s="516"/>
      <c r="AL506" s="349"/>
      <c r="AM506" s="349"/>
      <c r="AN506" s="334"/>
      <c r="AO506" s="23"/>
      <c r="AP506" s="570"/>
      <c r="AQ506" s="570"/>
      <c r="AR506" s="570"/>
      <c r="AS506" s="1212"/>
      <c r="AT506" s="349"/>
      <c r="AU506" s="571"/>
      <c r="AV506" s="571"/>
      <c r="AW506" s="571"/>
      <c r="AX506" s="571"/>
      <c r="AY506" s="571"/>
      <c r="AZ506" s="571"/>
      <c r="BA506" s="571"/>
      <c r="BB506" s="11"/>
      <c r="BC506" s="11"/>
      <c r="BD506" s="336"/>
      <c r="BE506" s="570"/>
      <c r="BF506" s="570"/>
      <c r="BG506" s="570"/>
      <c r="BH506" s="1212"/>
      <c r="BI506" s="349"/>
      <c r="BJ506" s="572"/>
      <c r="BK506" s="571"/>
      <c r="BL506" s="571"/>
      <c r="BM506" s="571"/>
      <c r="BN506" s="571"/>
      <c r="BO506" s="571"/>
      <c r="BP506" s="571"/>
      <c r="BQ506" s="11"/>
      <c r="BR506" s="349"/>
      <c r="BS506" s="336"/>
      <c r="BT506" s="336"/>
      <c r="BU506" s="336"/>
      <c r="BV506" s="336"/>
      <c r="BW506" s="336"/>
      <c r="BX506" s="336"/>
      <c r="BY506" s="336"/>
      <c r="BZ506" s="336"/>
      <c r="CA506" s="336"/>
      <c r="CB506" s="336"/>
      <c r="CC506" s="336"/>
    </row>
    <row r="507" spans="1:81" s="367" customFormat="1" ht="12.75" hidden="1" customHeight="1">
      <c r="A507" s="349"/>
      <c r="B507" s="349"/>
      <c r="C507" s="523"/>
      <c r="D507" s="349"/>
      <c r="E507" s="349"/>
      <c r="F507" s="564" t="s">
        <v>2427</v>
      </c>
      <c r="G507" s="350"/>
      <c r="H507" s="350"/>
      <c r="I507" s="350"/>
      <c r="J507" s="350"/>
      <c r="K507" s="350"/>
      <c r="L507" s="350"/>
      <c r="M507" s="350"/>
      <c r="N507" s="350"/>
      <c r="O507" s="350"/>
      <c r="P507" s="350"/>
      <c r="Q507" s="350"/>
      <c r="R507" s="350"/>
      <c r="S507" s="350"/>
      <c r="T507" s="350"/>
      <c r="U507" s="350"/>
      <c r="V507" s="350"/>
      <c r="W507" s="350"/>
      <c r="X507" s="350"/>
      <c r="Y507" s="350"/>
      <c r="Z507" s="350"/>
      <c r="AA507" s="350"/>
      <c r="AB507" s="350"/>
      <c r="AC507" s="1206"/>
      <c r="AD507" s="349"/>
      <c r="AE507" s="349"/>
      <c r="AF507" s="349"/>
      <c r="AG507" s="405"/>
      <c r="AH507" s="405"/>
      <c r="AI507" s="405"/>
      <c r="AJ507" s="405"/>
      <c r="AK507" s="516"/>
      <c r="AL507" s="349"/>
      <c r="AM507" s="349"/>
      <c r="AN507" s="334"/>
      <c r="AO507" s="336"/>
      <c r="AP507" s="570"/>
      <c r="AQ507" s="570"/>
      <c r="AR507" s="570"/>
      <c r="AS507" s="1212"/>
      <c r="AT507" s="349"/>
      <c r="AU507" s="571"/>
      <c r="AV507" s="571"/>
      <c r="AW507" s="571"/>
      <c r="AX507" s="571"/>
      <c r="AY507" s="571"/>
      <c r="AZ507" s="571"/>
      <c r="BA507" s="571"/>
      <c r="BB507" s="336"/>
      <c r="BC507" s="336"/>
      <c r="BD507" s="336"/>
      <c r="BE507" s="570"/>
      <c r="BF507" s="570"/>
      <c r="BG507" s="570"/>
      <c r="BH507" s="1212"/>
      <c r="BI507" s="349"/>
      <c r="BJ507" s="572"/>
      <c r="BK507" s="571"/>
      <c r="BL507" s="571"/>
      <c r="BM507" s="571"/>
      <c r="BN507" s="571"/>
      <c r="BO507" s="571"/>
      <c r="BP507" s="571"/>
      <c r="BQ507" s="336"/>
      <c r="BR507" s="349"/>
      <c r="BS507" s="336"/>
      <c r="BT507" s="336"/>
      <c r="BU507" s="336"/>
      <c r="BV507" s="336"/>
      <c r="BW507" s="336"/>
      <c r="BX507" s="336"/>
      <c r="BY507" s="336"/>
      <c r="BZ507" s="336"/>
      <c r="CA507" s="336"/>
      <c r="CB507" s="336"/>
      <c r="CC507" s="336"/>
    </row>
    <row r="508" spans="1:81" s="367" customFormat="1" hidden="1">
      <c r="A508" s="349"/>
      <c r="B508" s="349"/>
      <c r="C508" s="546"/>
      <c r="D508" s="512"/>
      <c r="E508" s="547"/>
      <c r="F508" s="2387" t="s">
        <v>809</v>
      </c>
      <c r="G508" s="2387"/>
      <c r="H508" s="2387"/>
      <c r="I508" s="446"/>
      <c r="J508" s="446"/>
      <c r="K508" s="446"/>
      <c r="L508" s="446"/>
      <c r="M508" s="446"/>
      <c r="N508" s="446"/>
      <c r="O508" s="446"/>
      <c r="P508" s="446"/>
      <c r="Q508" s="446"/>
      <c r="R508" s="446"/>
      <c r="S508" s="446"/>
      <c r="T508" s="446"/>
      <c r="U508" s="446"/>
      <c r="V508" s="446"/>
      <c r="W508" s="446"/>
      <c r="X508" s="446"/>
      <c r="Y508" s="446"/>
      <c r="Z508" s="446"/>
      <c r="AA508" s="446"/>
      <c r="AB508" s="446"/>
      <c r="AC508" s="446"/>
      <c r="AD508" s="512"/>
      <c r="AE508" s="512"/>
      <c r="AF508" s="512"/>
      <c r="AG508" s="549">
        <f>IF($C$505="Yes",(VLOOKUP($F$508,$AO$481:$AP$483,2,FALSE)),0)</f>
        <v>0</v>
      </c>
      <c r="AH508" s="550" t="s">
        <v>2182</v>
      </c>
      <c r="AI508" s="446"/>
      <c r="AJ508" s="446"/>
      <c r="AK508" s="526"/>
      <c r="AL508" s="349"/>
      <c r="AM508" s="349"/>
      <c r="AN508" s="334"/>
      <c r="AO508" s="336"/>
      <c r="AP508" s="570"/>
      <c r="AQ508" s="570"/>
      <c r="AR508" s="570"/>
      <c r="AS508" s="569"/>
      <c r="AT508" s="349"/>
      <c r="AU508" s="571"/>
      <c r="AV508" s="571"/>
      <c r="AW508" s="571"/>
      <c r="AX508" s="571"/>
      <c r="AY508" s="571"/>
      <c r="AZ508" s="571"/>
      <c r="BA508" s="571"/>
      <c r="BB508" s="336"/>
      <c r="BC508" s="336"/>
      <c r="BD508" s="336"/>
      <c r="BE508" s="570"/>
      <c r="BF508" s="570"/>
      <c r="BG508" s="570"/>
      <c r="BH508" s="569"/>
      <c r="BI508" s="349"/>
      <c r="BJ508" s="572"/>
      <c r="BK508" s="571"/>
      <c r="BL508" s="571"/>
      <c r="BM508" s="571"/>
      <c r="BN508" s="571"/>
      <c r="BO508" s="571"/>
      <c r="BP508" s="571"/>
      <c r="BQ508" s="336"/>
      <c r="BR508" s="349"/>
      <c r="BS508" s="336"/>
      <c r="BT508" s="336"/>
      <c r="BU508" s="336"/>
      <c r="BV508" s="336"/>
      <c r="BW508" s="336"/>
      <c r="BX508" s="336"/>
      <c r="BY508" s="336"/>
      <c r="BZ508" s="336"/>
      <c r="CA508" s="336"/>
      <c r="CB508" s="336"/>
      <c r="CC508" s="336"/>
    </row>
    <row r="509" spans="1:81" s="367" customFormat="1" hidden="1">
      <c r="A509" s="350"/>
      <c r="B509" s="350"/>
      <c r="C509" s="350"/>
      <c r="D509" s="350"/>
      <c r="E509" s="350"/>
      <c r="F509" s="350"/>
      <c r="G509" s="350"/>
      <c r="H509" s="350"/>
      <c r="I509" s="350"/>
      <c r="J509" s="350"/>
      <c r="K509" s="350"/>
      <c r="L509" s="350"/>
      <c r="M509" s="350"/>
      <c r="N509" s="350"/>
      <c r="O509" s="350"/>
      <c r="P509" s="350"/>
      <c r="Q509" s="350"/>
      <c r="R509" s="350"/>
      <c r="S509" s="350"/>
      <c r="T509" s="350"/>
      <c r="U509" s="350"/>
      <c r="V509" s="350"/>
      <c r="W509" s="350"/>
      <c r="X509" s="350"/>
      <c r="Y509" s="350"/>
      <c r="Z509" s="350"/>
      <c r="AA509" s="350"/>
      <c r="AB509" s="350"/>
      <c r="AC509" s="350"/>
      <c r="AD509" s="350"/>
      <c r="AE509" s="349"/>
      <c r="AF509" s="349"/>
      <c r="AG509" s="405"/>
      <c r="AH509" s="1199"/>
      <c r="AI509" s="350"/>
      <c r="AJ509" s="350"/>
      <c r="AK509" s="349"/>
      <c r="AL509" s="349"/>
      <c r="AM509" s="349"/>
      <c r="AN509" s="334"/>
      <c r="AO509" s="336"/>
      <c r="AP509" s="570"/>
      <c r="AQ509" s="570"/>
      <c r="AR509" s="570"/>
      <c r="AS509" s="569"/>
      <c r="AT509" s="349"/>
      <c r="AU509" s="571"/>
      <c r="AV509" s="571"/>
      <c r="AW509" s="571"/>
      <c r="AX509" s="571"/>
      <c r="AY509" s="571"/>
      <c r="AZ509" s="571"/>
      <c r="BA509" s="571"/>
      <c r="BB509" s="336"/>
      <c r="BC509" s="336"/>
      <c r="BD509" s="336"/>
      <c r="BE509" s="570"/>
      <c r="BF509" s="570"/>
      <c r="BG509" s="570"/>
      <c r="BH509" s="569"/>
      <c r="BI509" s="349"/>
      <c r="BJ509" s="572"/>
      <c r="BK509" s="571"/>
      <c r="BL509" s="571"/>
      <c r="BM509" s="571"/>
      <c r="BN509" s="571"/>
      <c r="BO509" s="571"/>
      <c r="BP509" s="571"/>
      <c r="BQ509" s="336"/>
      <c r="BR509" s="349"/>
      <c r="BS509" s="336"/>
      <c r="BT509" s="336"/>
      <c r="BU509" s="336"/>
      <c r="BV509" s="336"/>
      <c r="BW509" s="336"/>
      <c r="BX509" s="336"/>
      <c r="BY509" s="336"/>
      <c r="BZ509" s="336"/>
      <c r="CA509" s="336"/>
      <c r="CB509" s="336"/>
      <c r="CC509" s="336"/>
    </row>
    <row r="510" spans="1:81" s="367" customFormat="1" hidden="1">
      <c r="A510" s="349"/>
      <c r="B510" s="349"/>
      <c r="C510" s="2383" t="s">
        <v>809</v>
      </c>
      <c r="D510" s="2384"/>
      <c r="E510" s="543" t="s">
        <v>2428</v>
      </c>
      <c r="F510" s="562" t="s">
        <v>2429</v>
      </c>
      <c r="G510" s="438"/>
      <c r="H510" s="438"/>
      <c r="I510" s="438"/>
      <c r="J510" s="438"/>
      <c r="K510" s="438"/>
      <c r="L510" s="438"/>
      <c r="M510" s="438"/>
      <c r="N510" s="438"/>
      <c r="O510" s="438"/>
      <c r="P510" s="438"/>
      <c r="Q510" s="438"/>
      <c r="R510" s="438"/>
      <c r="S510" s="438"/>
      <c r="T510" s="438"/>
      <c r="U510" s="438"/>
      <c r="V510" s="438"/>
      <c r="W510" s="438"/>
      <c r="X510" s="438"/>
      <c r="Y510" s="438"/>
      <c r="Z510" s="438"/>
      <c r="AA510" s="438"/>
      <c r="AB510" s="438"/>
      <c r="AC510" s="573"/>
      <c r="AD510" s="500"/>
      <c r="AE510" s="500"/>
      <c r="AF510" s="500"/>
      <c r="AG510" s="574"/>
      <c r="AH510" s="574"/>
      <c r="AI510" s="574"/>
      <c r="AJ510" s="574"/>
      <c r="AK510" s="529"/>
      <c r="AL510" s="349"/>
      <c r="AM510" s="349"/>
      <c r="AN510" s="334"/>
      <c r="AO510" s="336"/>
      <c r="AP510" s="570"/>
      <c r="AQ510" s="570"/>
      <c r="AR510" s="570"/>
      <c r="AS510" s="569"/>
      <c r="AT510" s="349"/>
      <c r="AU510" s="571"/>
      <c r="AV510" s="571"/>
      <c r="AW510" s="571"/>
      <c r="AX510" s="571"/>
      <c r="AY510" s="571"/>
      <c r="AZ510" s="571"/>
      <c r="BA510" s="571"/>
      <c r="BB510" s="336"/>
      <c r="BC510" s="336"/>
      <c r="BD510" s="336"/>
      <c r="BE510" s="570"/>
      <c r="BF510" s="570"/>
      <c r="BG510" s="570"/>
      <c r="BH510" s="569"/>
      <c r="BI510" s="349"/>
      <c r="BJ510" s="572"/>
      <c r="BK510" s="571"/>
      <c r="BL510" s="571"/>
      <c r="BM510" s="571"/>
      <c r="BN510" s="571"/>
      <c r="BO510" s="571"/>
      <c r="BP510" s="571"/>
      <c r="BQ510" s="336"/>
      <c r="BR510" s="349"/>
      <c r="BS510" s="336"/>
      <c r="BT510" s="336"/>
      <c r="BU510" s="336"/>
      <c r="BV510" s="336"/>
      <c r="BW510" s="336"/>
      <c r="BX510" s="336"/>
      <c r="BY510" s="336"/>
      <c r="BZ510" s="336"/>
      <c r="CA510" s="336"/>
      <c r="CB510" s="336"/>
      <c r="CC510" s="336"/>
    </row>
    <row r="511" spans="1:81" s="367" customFormat="1" hidden="1">
      <c r="A511" s="349"/>
      <c r="B511" s="349"/>
      <c r="C511" s="544"/>
      <c r="D511" s="349"/>
      <c r="E511" s="545"/>
      <c r="F511" s="350"/>
      <c r="G511" s="350"/>
      <c r="H511" s="350"/>
      <c r="I511" s="350"/>
      <c r="J511" s="350"/>
      <c r="K511" s="350"/>
      <c r="L511" s="350"/>
      <c r="M511" s="350"/>
      <c r="N511" s="350"/>
      <c r="O511" s="350"/>
      <c r="P511" s="350"/>
      <c r="Q511" s="350"/>
      <c r="R511" s="350"/>
      <c r="S511" s="350"/>
      <c r="T511" s="350"/>
      <c r="U511" s="350"/>
      <c r="V511" s="350"/>
      <c r="W511" s="350"/>
      <c r="X511" s="350"/>
      <c r="Y511" s="350"/>
      <c r="Z511" s="350"/>
      <c r="AA511" s="350"/>
      <c r="AB511" s="350"/>
      <c r="AC511" s="350"/>
      <c r="AD511" s="349"/>
      <c r="AE511" s="349"/>
      <c r="AF511" s="349"/>
      <c r="AG511" s="350"/>
      <c r="AH511" s="350"/>
      <c r="AI511" s="350"/>
      <c r="AJ511" s="350"/>
      <c r="AK511" s="516"/>
      <c r="AL511" s="349"/>
      <c r="AM511" s="349"/>
      <c r="AN511" s="334"/>
      <c r="AO511" s="336"/>
      <c r="AP511" s="570"/>
      <c r="AQ511" s="570"/>
      <c r="AR511" s="570"/>
      <c r="AS511" s="569"/>
      <c r="AT511" s="349"/>
      <c r="AU511" s="571"/>
      <c r="AV511" s="571"/>
      <c r="AW511" s="571"/>
      <c r="AX511" s="571"/>
      <c r="AY511" s="571"/>
      <c r="AZ511" s="571"/>
      <c r="BA511" s="571"/>
      <c r="BB511" s="336"/>
      <c r="BC511" s="336"/>
      <c r="BD511" s="336"/>
      <c r="BE511" s="570"/>
      <c r="BF511" s="570"/>
      <c r="BG511" s="570"/>
      <c r="BH511" s="569"/>
      <c r="BI511" s="349"/>
      <c r="BJ511" s="572"/>
      <c r="BK511" s="571"/>
      <c r="BL511" s="571"/>
      <c r="BM511" s="571"/>
      <c r="BN511" s="571"/>
      <c r="BO511" s="571"/>
      <c r="BP511" s="571"/>
      <c r="BQ511" s="336"/>
      <c r="BR511" s="11"/>
      <c r="BS511" s="336"/>
      <c r="BT511" s="336"/>
      <c r="BU511" s="336"/>
      <c r="BV511" s="336"/>
      <c r="BW511" s="336"/>
      <c r="BX511" s="336"/>
      <c r="BY511" s="336"/>
      <c r="BZ511" s="336"/>
      <c r="CA511" s="336"/>
      <c r="CB511" s="336"/>
      <c r="CC511" s="336"/>
    </row>
    <row r="512" spans="1:81" s="367" customFormat="1" hidden="1">
      <c r="A512" s="349"/>
      <c r="B512" s="349"/>
      <c r="C512" s="2403"/>
      <c r="D512" s="2388"/>
      <c r="E512" s="554"/>
      <c r="F512" s="350" t="s">
        <v>2430</v>
      </c>
      <c r="G512" s="350"/>
      <c r="H512" s="350"/>
      <c r="I512" s="350"/>
      <c r="J512" s="350"/>
      <c r="K512" s="350"/>
      <c r="L512" s="350"/>
      <c r="M512" s="350"/>
      <c r="N512" s="350"/>
      <c r="O512" s="350"/>
      <c r="P512" s="350"/>
      <c r="Q512" s="350"/>
      <c r="R512" s="350"/>
      <c r="S512" s="350"/>
      <c r="T512" s="350"/>
      <c r="U512" s="350"/>
      <c r="V512" s="350"/>
      <c r="W512" s="350"/>
      <c r="X512" s="350"/>
      <c r="Y512" s="350"/>
      <c r="Z512" s="350"/>
      <c r="AA512" s="350"/>
      <c r="AB512" s="350"/>
      <c r="AC512" s="1206"/>
      <c r="AD512" s="349"/>
      <c r="AE512" s="349"/>
      <c r="AF512" s="349"/>
      <c r="AG512" s="405">
        <f>IF($C$510="Yes",(VLOOKUP($G$513,$AO$488:$AP$491,2,FALSE)),0)</f>
        <v>0</v>
      </c>
      <c r="AH512" s="1199" t="s">
        <v>2182</v>
      </c>
      <c r="AI512" s="350"/>
      <c r="AJ512" s="405"/>
      <c r="AK512" s="516"/>
      <c r="AL512" s="349"/>
      <c r="AM512" s="349"/>
      <c r="AN512" s="334"/>
      <c r="AO512" s="336"/>
      <c r="AP512" s="570"/>
      <c r="AQ512" s="570"/>
      <c r="AR512" s="570"/>
      <c r="AS512" s="569"/>
      <c r="AT512" s="349"/>
      <c r="AU512" s="571"/>
      <c r="AV512" s="571"/>
      <c r="AW512" s="571"/>
      <c r="AX512" s="571"/>
      <c r="AY512" s="571"/>
      <c r="AZ512" s="571"/>
      <c r="BA512" s="571"/>
      <c r="BB512" s="336"/>
      <c r="BC512" s="336"/>
      <c r="BD512" s="336"/>
      <c r="BE512" s="570"/>
      <c r="BF512" s="570"/>
      <c r="BG512" s="570"/>
      <c r="BH512" s="569"/>
      <c r="BI512" s="349"/>
      <c r="BJ512" s="572"/>
      <c r="BK512" s="571"/>
      <c r="BL512" s="571"/>
      <c r="BM512" s="571"/>
      <c r="BN512" s="571"/>
      <c r="BO512" s="571"/>
      <c r="BP512" s="571"/>
      <c r="BQ512" s="336"/>
      <c r="BR512" s="349"/>
      <c r="BS512" s="336"/>
      <c r="BT512" s="336"/>
      <c r="BU512" s="336"/>
      <c r="BV512" s="336"/>
      <c r="BW512" s="336"/>
      <c r="BX512" s="336"/>
      <c r="BY512" s="336"/>
      <c r="BZ512" s="336"/>
      <c r="CA512" s="336"/>
      <c r="CB512" s="336"/>
      <c r="CC512" s="336"/>
    </row>
    <row r="513" spans="1:81" s="367" customFormat="1" hidden="1">
      <c r="A513" s="349"/>
      <c r="B513" s="349"/>
      <c r="C513" s="544"/>
      <c r="D513" s="349"/>
      <c r="E513" s="545"/>
      <c r="F513" s="350"/>
      <c r="G513" s="2404" t="s">
        <v>809</v>
      </c>
      <c r="H513" s="2404"/>
      <c r="I513" s="2404"/>
      <c r="J513" s="2404"/>
      <c r="K513" s="2404"/>
      <c r="L513" s="2404"/>
      <c r="M513" s="2404"/>
      <c r="N513" s="2404"/>
      <c r="O513" s="2404"/>
      <c r="P513" s="2404"/>
      <c r="Q513" s="2404"/>
      <c r="R513" s="2404"/>
      <c r="S513" s="2404"/>
      <c r="T513" s="2404"/>
      <c r="U513" s="2404"/>
      <c r="V513" s="2404"/>
      <c r="W513" s="2404"/>
      <c r="X513" s="2404"/>
      <c r="Y513" s="2404"/>
      <c r="Z513" s="2404"/>
      <c r="AA513" s="2404"/>
      <c r="AB513" s="2404"/>
      <c r="AC513" s="2404"/>
      <c r="AD513" s="2404"/>
      <c r="AE513" s="2404"/>
      <c r="AF513" s="2404"/>
      <c r="AG513" s="349"/>
      <c r="AH513" s="349"/>
      <c r="AI513" s="349"/>
      <c r="AJ513" s="350"/>
      <c r="AK513" s="516"/>
      <c r="AL513" s="349"/>
      <c r="AM513" s="349"/>
      <c r="AN513" s="334"/>
      <c r="AO513" s="336"/>
      <c r="AP513" s="570"/>
      <c r="AQ513" s="570"/>
      <c r="AR513" s="570"/>
      <c r="AS513" s="569"/>
      <c r="AT513" s="349"/>
      <c r="AU513" s="571"/>
      <c r="AV513" s="571"/>
      <c r="AW513" s="571"/>
      <c r="AX513" s="571"/>
      <c r="AY513" s="571"/>
      <c r="AZ513" s="571"/>
      <c r="BA513" s="571"/>
      <c r="BB513" s="336"/>
      <c r="BC513" s="336"/>
      <c r="BD513" s="336"/>
      <c r="BE513" s="570"/>
      <c r="BF513" s="570"/>
      <c r="BG513" s="570"/>
      <c r="BH513" s="569"/>
      <c r="BI513" s="349"/>
      <c r="BJ513" s="572"/>
      <c r="BK513" s="571"/>
      <c r="BL513" s="571"/>
      <c r="BM513" s="571"/>
      <c r="BN513" s="571"/>
      <c r="BO513" s="571"/>
      <c r="BP513" s="571"/>
      <c r="BQ513" s="336"/>
      <c r="BR513" s="349"/>
      <c r="BS513" s="336"/>
      <c r="BT513" s="336"/>
      <c r="BU513" s="336"/>
      <c r="BV513" s="336"/>
      <c r="BW513" s="336"/>
      <c r="BX513" s="336"/>
      <c r="BY513" s="336"/>
      <c r="BZ513" s="336"/>
      <c r="CA513" s="336"/>
      <c r="CB513" s="336"/>
      <c r="CC513" s="336"/>
    </row>
    <row r="514" spans="1:81" s="367" customFormat="1" hidden="1">
      <c r="A514" s="349"/>
      <c r="B514" s="349"/>
      <c r="C514" s="515"/>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49"/>
      <c r="AE514" s="349"/>
      <c r="AF514" s="349"/>
      <c r="AG514" s="11"/>
      <c r="AH514" s="11"/>
      <c r="AI514" s="11"/>
      <c r="AJ514" s="11"/>
      <c r="AK514" s="516"/>
      <c r="AL514" s="349"/>
      <c r="AM514" s="349"/>
      <c r="AN514" s="334"/>
      <c r="AO514" s="336"/>
      <c r="AP514" s="570"/>
      <c r="AQ514" s="570"/>
      <c r="AR514" s="570"/>
      <c r="AS514" s="569"/>
      <c r="AT514" s="349"/>
      <c r="AU514" s="571"/>
      <c r="AV514" s="571"/>
      <c r="AW514" s="571"/>
      <c r="AX514" s="571"/>
      <c r="AY514" s="571"/>
      <c r="AZ514" s="571"/>
      <c r="BA514" s="571"/>
      <c r="BB514" s="336"/>
      <c r="BC514" s="336"/>
      <c r="BD514" s="336"/>
      <c r="BE514" s="570"/>
      <c r="BF514" s="570"/>
      <c r="BG514" s="570"/>
      <c r="BH514" s="569"/>
      <c r="BI514" s="349"/>
      <c r="BJ514" s="572"/>
      <c r="BK514" s="571"/>
      <c r="BL514" s="571"/>
      <c r="BM514" s="571"/>
      <c r="BN514" s="571"/>
      <c r="BO514" s="571"/>
      <c r="BP514" s="571"/>
      <c r="BQ514" s="336"/>
      <c r="BR514" s="349"/>
      <c r="BS514" s="336"/>
      <c r="BT514" s="336"/>
      <c r="BU514" s="336"/>
      <c r="BV514" s="336"/>
      <c r="BW514" s="336"/>
      <c r="BX514" s="336"/>
      <c r="BY514" s="336"/>
      <c r="BZ514" s="336"/>
      <c r="CA514" s="336"/>
      <c r="CB514" s="336"/>
      <c r="CC514" s="336"/>
    </row>
    <row r="515" spans="1:81" s="367" customFormat="1" ht="12.75" hidden="1" customHeight="1">
      <c r="A515" s="11"/>
      <c r="B515" s="349"/>
      <c r="C515" s="2455" t="s">
        <v>809</v>
      </c>
      <c r="D515" s="2456"/>
      <c r="F515" s="350" t="s">
        <v>2431</v>
      </c>
      <c r="G515" s="350"/>
      <c r="H515" s="350"/>
      <c r="I515" s="350"/>
      <c r="J515" s="350"/>
      <c r="K515" s="350"/>
      <c r="L515" s="350"/>
      <c r="M515" s="350"/>
      <c r="N515" s="350"/>
      <c r="O515" s="350"/>
      <c r="P515" s="350"/>
      <c r="Q515" s="350"/>
      <c r="R515" s="350"/>
      <c r="S515" s="350"/>
      <c r="T515" s="350"/>
      <c r="U515" s="350"/>
      <c r="V515" s="350"/>
      <c r="W515" s="350"/>
      <c r="X515" s="350"/>
      <c r="Y515" s="350"/>
      <c r="Z515" s="350"/>
      <c r="AA515" s="350"/>
      <c r="AB515" s="350"/>
      <c r="AC515" s="1206"/>
      <c r="AD515" s="349"/>
      <c r="AE515" s="349"/>
      <c r="AF515" s="349"/>
      <c r="AG515" s="405">
        <f>IF(AND($C$515="Yes",$C$510="Yes"),2,0)</f>
        <v>0</v>
      </c>
      <c r="AH515" s="1199" t="s">
        <v>2182</v>
      </c>
      <c r="AI515" s="350"/>
      <c r="AJ515" s="1195"/>
      <c r="AK515" s="516"/>
      <c r="AL515" s="349"/>
      <c r="AM515" s="349"/>
      <c r="AN515" s="334"/>
      <c r="AO515" s="336"/>
      <c r="AP515" s="570"/>
      <c r="AQ515" s="570"/>
      <c r="AR515" s="570"/>
      <c r="AS515" s="569"/>
      <c r="AT515" s="349"/>
      <c r="AU515" s="571"/>
      <c r="AV515" s="571"/>
      <c r="AW515" s="571"/>
      <c r="AX515" s="571"/>
      <c r="AY515" s="571"/>
      <c r="AZ515" s="571"/>
      <c r="BA515" s="571"/>
      <c r="BB515" s="336"/>
      <c r="BC515" s="336"/>
      <c r="BD515" s="336"/>
      <c r="BE515" s="570"/>
      <c r="BF515" s="570"/>
      <c r="BG515" s="570"/>
      <c r="BH515" s="569"/>
      <c r="BI515" s="349"/>
      <c r="BJ515" s="572"/>
      <c r="BK515" s="571"/>
      <c r="BL515" s="571"/>
      <c r="BM515" s="571"/>
      <c r="BN515" s="571"/>
      <c r="BO515" s="571"/>
      <c r="BP515" s="571"/>
      <c r="BQ515" s="336"/>
      <c r="BR515" s="349"/>
      <c r="BS515" s="336"/>
      <c r="BT515" s="336"/>
      <c r="BU515" s="336"/>
      <c r="BV515" s="336"/>
      <c r="BW515" s="336"/>
      <c r="BX515" s="336"/>
      <c r="BY515" s="336"/>
      <c r="BZ515" s="336"/>
      <c r="CA515" s="336"/>
      <c r="CB515" s="336"/>
      <c r="CC515" s="336"/>
    </row>
    <row r="516" spans="1:81" s="367" customFormat="1" hidden="1">
      <c r="A516" s="11"/>
      <c r="B516" s="349"/>
      <c r="C516" s="563"/>
      <c r="D516" s="1221"/>
      <c r="E516" s="1221"/>
      <c r="F516" s="350"/>
      <c r="G516" s="350" t="s">
        <v>2432</v>
      </c>
      <c r="H516" s="350"/>
      <c r="I516" s="350"/>
      <c r="J516" s="350"/>
      <c r="K516" s="350"/>
      <c r="L516" s="350"/>
      <c r="M516" s="350"/>
      <c r="N516" s="350"/>
      <c r="O516" s="350"/>
      <c r="P516" s="350"/>
      <c r="Q516" s="350"/>
      <c r="R516" s="350"/>
      <c r="S516" s="350"/>
      <c r="T516" s="350"/>
      <c r="U516" s="350"/>
      <c r="V516" s="350"/>
      <c r="W516" s="350"/>
      <c r="X516" s="350"/>
      <c r="Y516" s="350"/>
      <c r="Z516" s="350"/>
      <c r="AA516" s="350"/>
      <c r="AB516" s="350"/>
      <c r="AC516" s="1206"/>
      <c r="AD516" s="349"/>
      <c r="AE516" s="349"/>
      <c r="AF516" s="349"/>
      <c r="AG516" s="1195"/>
      <c r="AH516" s="1195"/>
      <c r="AI516" s="1195"/>
      <c r="AJ516" s="1195"/>
      <c r="AK516" s="516"/>
      <c r="AL516" s="349"/>
      <c r="AM516" s="349"/>
      <c r="AN516" s="390"/>
      <c r="AO516" s="336"/>
      <c r="AP516" s="570"/>
      <c r="AQ516" s="570"/>
      <c r="AR516" s="570"/>
      <c r="AS516" s="569"/>
      <c r="AT516" s="349"/>
      <c r="AU516" s="571"/>
      <c r="AV516" s="571"/>
      <c r="AW516" s="571"/>
      <c r="AX516" s="571"/>
      <c r="AY516" s="571"/>
      <c r="AZ516" s="571"/>
      <c r="BA516" s="571"/>
      <c r="BB516" s="336"/>
      <c r="BC516" s="336"/>
      <c r="BD516" s="336"/>
      <c r="BE516" s="570"/>
      <c r="BF516" s="570"/>
      <c r="BG516" s="570"/>
      <c r="BH516" s="569"/>
      <c r="BI516" s="349"/>
      <c r="BJ516" s="572"/>
      <c r="BK516" s="571"/>
      <c r="BL516" s="571"/>
      <c r="BM516" s="571"/>
      <c r="BN516" s="571"/>
      <c r="BO516" s="571"/>
      <c r="BP516" s="571"/>
      <c r="BQ516" s="336"/>
      <c r="BR516" s="349"/>
      <c r="BS516" s="336"/>
      <c r="BT516" s="336"/>
      <c r="BU516" s="336"/>
      <c r="BV516" s="336"/>
      <c r="BW516" s="336"/>
      <c r="BX516" s="336"/>
      <c r="BY516" s="336"/>
      <c r="BZ516" s="336"/>
      <c r="CA516" s="336"/>
      <c r="CB516" s="336"/>
      <c r="CC516" s="336"/>
    </row>
    <row r="517" spans="1:81" s="349" customFormat="1" ht="12.75" hidden="1" customHeight="1">
      <c r="A517" s="11"/>
      <c r="C517" s="563"/>
      <c r="D517" s="1221"/>
      <c r="E517" s="1221"/>
      <c r="F517" s="350"/>
      <c r="G517" s="350" t="s">
        <v>2433</v>
      </c>
      <c r="H517" s="350"/>
      <c r="I517" s="350"/>
      <c r="J517" s="350"/>
      <c r="K517" s="350"/>
      <c r="L517" s="350"/>
      <c r="M517" s="350"/>
      <c r="N517" s="350"/>
      <c r="O517" s="350"/>
      <c r="P517" s="350"/>
      <c r="Q517" s="350"/>
      <c r="R517" s="350"/>
      <c r="S517" s="350"/>
      <c r="T517" s="350"/>
      <c r="U517" s="350"/>
      <c r="V517" s="350"/>
      <c r="W517" s="350"/>
      <c r="X517" s="350"/>
      <c r="Y517" s="350"/>
      <c r="Z517" s="350"/>
      <c r="AA517" s="350"/>
      <c r="AB517" s="350"/>
      <c r="AC517" s="1206"/>
      <c r="AG517" s="1195"/>
      <c r="AH517" s="1195"/>
      <c r="AI517" s="1195"/>
      <c r="AJ517" s="1195"/>
      <c r="AK517" s="516"/>
      <c r="AN517" s="335"/>
      <c r="AP517" s="336"/>
      <c r="AQ517" s="336"/>
      <c r="AR517" s="336"/>
    </row>
    <row r="518" spans="1:81" s="349" customFormat="1" ht="12.75" hidden="1" customHeight="1">
      <c r="A518" s="428"/>
      <c r="B518" s="11"/>
      <c r="C518" s="575"/>
      <c r="D518" s="11"/>
      <c r="G518" s="403"/>
      <c r="H518" s="403"/>
      <c r="I518" s="403"/>
      <c r="J518" s="403"/>
      <c r="K518" s="403"/>
      <c r="L518" s="403"/>
      <c r="M518" s="403"/>
      <c r="N518" s="403"/>
      <c r="O518" s="403"/>
      <c r="P518" s="403"/>
      <c r="Q518" s="403"/>
      <c r="R518" s="403"/>
      <c r="S518" s="403"/>
      <c r="T518" s="403"/>
      <c r="U518" s="403"/>
      <c r="V518" s="403"/>
      <c r="W518" s="403"/>
      <c r="X518" s="403"/>
      <c r="Y518" s="403"/>
      <c r="Z518" s="403"/>
      <c r="AA518" s="403"/>
      <c r="AB518" s="403"/>
      <c r="AC518" s="403"/>
      <c r="AD518" s="403"/>
      <c r="AE518" s="403"/>
      <c r="AF518" s="403"/>
      <c r="AG518" s="1206"/>
      <c r="AH518" s="1206"/>
      <c r="AI518" s="1206"/>
      <c r="AJ518" s="1206"/>
      <c r="AK518" s="576"/>
      <c r="AL518" s="11"/>
      <c r="AM518" s="11"/>
      <c r="AN518" s="335"/>
      <c r="AO518" s="336"/>
      <c r="AP518" s="336"/>
      <c r="AQ518" s="336"/>
      <c r="AR518" s="336"/>
    </row>
    <row r="519" spans="1:81" s="349" customFormat="1" ht="12.75" hidden="1" customHeight="1">
      <c r="A519" s="428"/>
      <c r="C519" s="2455" t="s">
        <v>809</v>
      </c>
      <c r="D519" s="2456"/>
      <c r="F519" s="577" t="s">
        <v>2434</v>
      </c>
      <c r="G519" s="2365" t="s">
        <v>2435</v>
      </c>
      <c r="H519" s="2365"/>
      <c r="I519" s="2365"/>
      <c r="J519" s="2365"/>
      <c r="K519" s="2365"/>
      <c r="L519" s="2365"/>
      <c r="M519" s="2365"/>
      <c r="N519" s="2365"/>
      <c r="O519" s="2365"/>
      <c r="P519" s="2365"/>
      <c r="Q519" s="2365"/>
      <c r="R519" s="2365"/>
      <c r="S519" s="2365"/>
      <c r="T519" s="2365"/>
      <c r="U519" s="2365"/>
      <c r="V519" s="2365"/>
      <c r="W519" s="2365"/>
      <c r="X519" s="2365"/>
      <c r="Y519" s="2365"/>
      <c r="Z519" s="2365"/>
      <c r="AA519" s="2365"/>
      <c r="AB519" s="2365"/>
      <c r="AC519" s="2365"/>
      <c r="AD519" s="2365"/>
      <c r="AE519" s="2365"/>
      <c r="AF519" s="2365"/>
      <c r="AG519" s="405">
        <f>IF(AND($C$519="Yes",$C$510="Yes"),2,0)</f>
        <v>0</v>
      </c>
      <c r="AH519" s="1199" t="s">
        <v>2182</v>
      </c>
      <c r="AI519" s="350"/>
      <c r="AJ519" s="1195"/>
      <c r="AK519" s="516"/>
      <c r="AN519" s="335"/>
      <c r="AZ519" s="339"/>
      <c r="BC519" s="1189"/>
      <c r="BD519" s="339"/>
      <c r="BE519" s="339"/>
      <c r="BF519" s="339"/>
      <c r="BM519" s="336"/>
      <c r="BN519" s="339"/>
      <c r="BO519" s="336"/>
      <c r="BP519" s="339"/>
      <c r="BQ519" s="339"/>
      <c r="BR519" s="339"/>
      <c r="BS519" s="339"/>
      <c r="BT519" s="339"/>
      <c r="BU519" s="339"/>
      <c r="BV519" s="336"/>
      <c r="BW519" s="336"/>
      <c r="BX519" s="336"/>
      <c r="BY519" s="336"/>
      <c r="BZ519" s="336"/>
      <c r="CA519" s="336"/>
      <c r="CB519" s="336"/>
      <c r="CC519" s="336"/>
    </row>
    <row r="520" spans="1:81" s="349" customFormat="1" ht="12.75" hidden="1" customHeight="1">
      <c r="C520" s="578"/>
      <c r="D520" s="512"/>
      <c r="E520" s="547"/>
      <c r="F520" s="511"/>
      <c r="G520" s="2366"/>
      <c r="H520" s="2366"/>
      <c r="I520" s="2366"/>
      <c r="J520" s="2366"/>
      <c r="K520" s="2366"/>
      <c r="L520" s="2366"/>
      <c r="M520" s="2366"/>
      <c r="N520" s="2366"/>
      <c r="O520" s="2366"/>
      <c r="P520" s="2366"/>
      <c r="Q520" s="2366"/>
      <c r="R520" s="2366"/>
      <c r="S520" s="2366"/>
      <c r="T520" s="2366"/>
      <c r="U520" s="2366"/>
      <c r="V520" s="2366"/>
      <c r="W520" s="2366"/>
      <c r="X520" s="2366"/>
      <c r="Y520" s="2366"/>
      <c r="Z520" s="2366"/>
      <c r="AA520" s="2366"/>
      <c r="AB520" s="2366"/>
      <c r="AC520" s="2366"/>
      <c r="AD520" s="2366"/>
      <c r="AE520" s="2366"/>
      <c r="AF520" s="2366"/>
      <c r="AG520" s="446"/>
      <c r="AH520" s="446"/>
      <c r="AI520" s="446"/>
      <c r="AJ520" s="446"/>
      <c r="AK520" s="526"/>
      <c r="AN520" s="335"/>
      <c r="AZ520" s="339"/>
      <c r="BC520" s="1189"/>
      <c r="BD520" s="339"/>
      <c r="BE520" s="339"/>
      <c r="BF520" s="339"/>
      <c r="BM520" s="388"/>
      <c r="BN520" s="388"/>
      <c r="BO520" s="388"/>
      <c r="BP520" s="388"/>
      <c r="BQ520" s="388"/>
      <c r="BR520" s="388"/>
      <c r="BS520" s="388"/>
      <c r="BT520" s="388"/>
      <c r="BU520" s="388"/>
      <c r="BV520" s="388"/>
      <c r="BW520" s="388"/>
      <c r="BX520" s="388"/>
      <c r="BY520" s="388"/>
      <c r="BZ520" s="388"/>
      <c r="CA520" s="388"/>
      <c r="CB520" s="388"/>
      <c r="CC520" s="388"/>
    </row>
    <row r="521" spans="1:81" s="349" customFormat="1" ht="12.75" hidden="1" customHeight="1">
      <c r="C521" s="336"/>
      <c r="E521" s="545"/>
      <c r="F521" s="396"/>
      <c r="G521" s="1209"/>
      <c r="H521" s="1209"/>
      <c r="I521" s="1209"/>
      <c r="J521" s="1209"/>
      <c r="K521" s="1209"/>
      <c r="L521" s="1209"/>
      <c r="M521" s="1209"/>
      <c r="N521" s="1209"/>
      <c r="O521" s="1209"/>
      <c r="P521" s="1209"/>
      <c r="Q521" s="1209"/>
      <c r="R521" s="1209"/>
      <c r="S521" s="1209"/>
      <c r="T521" s="1209"/>
      <c r="U521" s="1209"/>
      <c r="V521" s="1209"/>
      <c r="W521" s="1209"/>
      <c r="X521" s="1209"/>
      <c r="Y521" s="1209"/>
      <c r="Z521" s="1209"/>
      <c r="AA521" s="1209"/>
      <c r="AB521" s="1209"/>
      <c r="AC521" s="1209"/>
      <c r="AD521" s="1209"/>
      <c r="AE521" s="1209"/>
      <c r="AF521" s="1209"/>
      <c r="AG521" s="350"/>
      <c r="AH521" s="350"/>
      <c r="AI521" s="350"/>
      <c r="AJ521" s="350"/>
      <c r="AN521" s="335"/>
      <c r="AP521" s="339"/>
      <c r="AQ521" s="339"/>
      <c r="AR521" s="339"/>
      <c r="AS521" s="339"/>
      <c r="AT521" s="339"/>
      <c r="AU521" s="339"/>
      <c r="AV521" s="339"/>
      <c r="AW521" s="339"/>
      <c r="AX521" s="339"/>
      <c r="AY521" s="339"/>
      <c r="AZ521" s="339"/>
      <c r="BA521" s="339"/>
      <c r="BB521" s="339"/>
      <c r="BC521" s="339"/>
      <c r="BD521" s="339"/>
      <c r="BE521" s="339"/>
      <c r="BF521" s="339"/>
      <c r="BG521" s="339"/>
      <c r="BH521" s="339"/>
      <c r="BI521" s="1189"/>
      <c r="BJ521" s="579"/>
      <c r="BK521" s="579"/>
      <c r="BM521" s="388"/>
      <c r="BN521" s="388"/>
      <c r="BO521" s="388"/>
      <c r="BP521" s="388"/>
      <c r="BQ521" s="388"/>
      <c r="BR521" s="388"/>
      <c r="BS521" s="388"/>
      <c r="BT521" s="388"/>
      <c r="BU521" s="388"/>
      <c r="BV521" s="388"/>
      <c r="BW521" s="388"/>
      <c r="BX521" s="388"/>
      <c r="BY521" s="388"/>
      <c r="BZ521" s="388"/>
      <c r="CA521" s="388"/>
      <c r="CB521" s="388"/>
      <c r="CC521" s="388"/>
    </row>
    <row r="522" spans="1:81" s="349" customFormat="1" ht="12.75" hidden="1" customHeight="1">
      <c r="C522" s="580" t="s">
        <v>2436</v>
      </c>
      <c r="D522" s="500"/>
      <c r="E522" s="581"/>
      <c r="F522" s="582"/>
      <c r="G522" s="1208"/>
      <c r="H522" s="1208"/>
      <c r="I522" s="1208"/>
      <c r="J522" s="1208"/>
      <c r="K522" s="1208"/>
      <c r="L522" s="1208"/>
      <c r="M522" s="1208"/>
      <c r="N522" s="1208"/>
      <c r="O522" s="1208"/>
      <c r="P522" s="1208"/>
      <c r="Q522" s="1208"/>
      <c r="R522" s="1208"/>
      <c r="S522" s="1208"/>
      <c r="T522" s="1208"/>
      <c r="U522" s="1208"/>
      <c r="V522" s="1208"/>
      <c r="W522" s="1208"/>
      <c r="X522" s="1208"/>
      <c r="Y522" s="1208"/>
      <c r="Z522" s="1208"/>
      <c r="AA522" s="1208"/>
      <c r="AB522" s="1208"/>
      <c r="AC522" s="1208"/>
      <c r="AD522" s="1208"/>
      <c r="AE522" s="1208"/>
      <c r="AF522" s="1208"/>
      <c r="AG522" s="438"/>
      <c r="AH522" s="438"/>
      <c r="AI522" s="438"/>
      <c r="AJ522" s="438"/>
      <c r="AK522" s="529"/>
      <c r="AN522" s="390"/>
      <c r="AP522" s="339"/>
      <c r="AQ522" s="339"/>
      <c r="AR522" s="339"/>
      <c r="AS522" s="339"/>
      <c r="AT522" s="339"/>
      <c r="AU522" s="339"/>
      <c r="AV522" s="339"/>
      <c r="AW522" s="339"/>
      <c r="AX522" s="339"/>
      <c r="AY522" s="339"/>
      <c r="AZ522" s="339"/>
      <c r="BA522" s="339"/>
      <c r="BB522" s="339"/>
      <c r="BC522" s="339"/>
      <c r="BD522" s="339"/>
      <c r="BE522" s="339"/>
      <c r="BF522" s="339"/>
      <c r="BG522" s="339"/>
      <c r="BH522" s="339"/>
      <c r="BI522" s="428"/>
      <c r="BJ522" s="579"/>
      <c r="BK522" s="579"/>
      <c r="BM522" s="388"/>
      <c r="BN522" s="388"/>
      <c r="BO522" s="388"/>
      <c r="BP522" s="388"/>
      <c r="BQ522" s="388"/>
      <c r="BR522" s="388"/>
      <c r="BS522" s="388"/>
      <c r="BT522" s="388"/>
      <c r="BU522" s="388"/>
      <c r="BV522" s="388"/>
      <c r="BW522" s="388"/>
      <c r="BX522" s="388"/>
      <c r="BY522" s="388"/>
      <c r="BZ522" s="388"/>
      <c r="CA522" s="388"/>
      <c r="CB522" s="388"/>
      <c r="CC522" s="388"/>
    </row>
    <row r="523" spans="1:81" s="349" customFormat="1" ht="12.75" hidden="1" customHeight="1">
      <c r="C523" s="2457" t="s">
        <v>809</v>
      </c>
      <c r="D523" s="2458"/>
      <c r="E523" s="583" t="s">
        <v>2437</v>
      </c>
      <c r="F523" s="553" t="s">
        <v>2438</v>
      </c>
      <c r="G523" s="1209"/>
      <c r="H523" s="1209"/>
      <c r="I523" s="1209"/>
      <c r="J523" s="1209"/>
      <c r="K523" s="1209"/>
      <c r="L523" s="1209"/>
      <c r="M523" s="1209"/>
      <c r="N523" s="1209"/>
      <c r="O523" s="1209"/>
      <c r="P523" s="1209"/>
      <c r="Q523" s="1209"/>
      <c r="R523" s="1209"/>
      <c r="S523" s="1209"/>
      <c r="T523" s="1209"/>
      <c r="U523" s="1209"/>
      <c r="V523" s="1209"/>
      <c r="W523" s="1209"/>
      <c r="X523" s="1209"/>
      <c r="Y523" s="1209"/>
      <c r="Z523" s="1209"/>
      <c r="AA523" s="1209"/>
      <c r="AB523" s="1209"/>
      <c r="AC523" s="1209"/>
      <c r="AD523" s="1209"/>
      <c r="AE523" s="1209"/>
      <c r="AF523" s="1209"/>
      <c r="AG523" s="405">
        <f>IF(C$523="Yes",(VLOOKUP(F$524,$AO$494:$AP$497,2,FALSE)),0)</f>
        <v>0</v>
      </c>
      <c r="AH523" s="1199" t="s">
        <v>2182</v>
      </c>
      <c r="AI523" s="350"/>
      <c r="AJ523" s="350"/>
      <c r="AK523" s="516"/>
      <c r="AN523" s="390"/>
      <c r="AP523" s="339"/>
      <c r="AQ523" s="339"/>
      <c r="AR523" s="339"/>
      <c r="AS523" s="339"/>
      <c r="AT523" s="339"/>
      <c r="AU523" s="339"/>
      <c r="AV523" s="339"/>
      <c r="AW523" s="339"/>
      <c r="AX523" s="339"/>
      <c r="AY523" s="339"/>
      <c r="AZ523" s="339"/>
      <c r="BA523" s="339"/>
      <c r="BB523" s="339"/>
      <c r="BC523" s="339"/>
      <c r="BD523" s="339"/>
      <c r="BE523" s="339"/>
      <c r="BF523" s="339"/>
      <c r="BG523" s="339"/>
      <c r="BH523" s="339"/>
      <c r="BI523" s="428"/>
      <c r="BJ523" s="579"/>
      <c r="BK523" s="579"/>
      <c r="BM523" s="336"/>
      <c r="BN523" s="336"/>
      <c r="BO523" s="336"/>
      <c r="BP523" s="336"/>
      <c r="BQ523" s="336"/>
      <c r="BR523" s="336"/>
      <c r="BS523" s="336"/>
      <c r="BT523" s="336"/>
      <c r="BU523" s="336"/>
      <c r="BV523" s="336"/>
      <c r="BW523" s="336"/>
      <c r="BX523" s="336"/>
      <c r="BY523" s="336"/>
      <c r="BZ523" s="336"/>
      <c r="CA523" s="336"/>
      <c r="CB523" s="336"/>
      <c r="CC523" s="336"/>
    </row>
    <row r="524" spans="1:81" s="349" customFormat="1" ht="12.75" hidden="1" customHeight="1">
      <c r="C524" s="504"/>
      <c r="E524" s="545"/>
      <c r="F524" s="2459" t="s">
        <v>809</v>
      </c>
      <c r="G524" s="2459"/>
      <c r="H524" s="2459"/>
      <c r="I524" s="2459"/>
      <c r="J524" s="2459"/>
      <c r="K524" s="2459"/>
      <c r="L524" s="2459"/>
      <c r="M524" s="2459"/>
      <c r="N524" s="2459"/>
      <c r="O524" s="2459"/>
      <c r="P524" s="2459"/>
      <c r="Q524" s="2459"/>
      <c r="R524" s="2459"/>
      <c r="S524" s="2459"/>
      <c r="T524" s="2459"/>
      <c r="U524" s="2459"/>
      <c r="V524" s="2459"/>
      <c r="W524" s="2459"/>
      <c r="X524" s="2459"/>
      <c r="Y524" s="2459"/>
      <c r="Z524" s="2459"/>
      <c r="AA524" s="2459"/>
      <c r="AB524" s="2459"/>
      <c r="AC524" s="2459"/>
      <c r="AD524" s="2459"/>
      <c r="AE524" s="2459"/>
      <c r="AF524" s="2459"/>
      <c r="AG524" s="350"/>
      <c r="AH524" s="350"/>
      <c r="AI524" s="350"/>
      <c r="AJ524" s="350"/>
      <c r="AK524" s="516"/>
      <c r="AN524" s="390"/>
      <c r="BM524" s="336"/>
      <c r="BN524" s="336"/>
      <c r="BO524" s="336"/>
      <c r="BP524" s="336"/>
      <c r="BQ524" s="336"/>
      <c r="BR524" s="336"/>
      <c r="BS524" s="336"/>
      <c r="BT524" s="336"/>
      <c r="BU524" s="336"/>
      <c r="BV524" s="336"/>
      <c r="BW524" s="336"/>
      <c r="BX524" s="336"/>
      <c r="BY524" s="336"/>
      <c r="BZ524" s="336"/>
      <c r="CA524" s="336"/>
      <c r="CB524" s="336"/>
      <c r="CC524" s="336"/>
    </row>
    <row r="525" spans="1:81" s="349" customFormat="1" ht="12.75" hidden="1" customHeight="1">
      <c r="C525" s="578"/>
      <c r="D525" s="512"/>
      <c r="E525" s="547"/>
      <c r="F525" s="2460"/>
      <c r="G525" s="2460"/>
      <c r="H525" s="2460"/>
      <c r="I525" s="2460"/>
      <c r="J525" s="2460"/>
      <c r="K525" s="2460"/>
      <c r="L525" s="2460"/>
      <c r="M525" s="2460"/>
      <c r="N525" s="2460"/>
      <c r="O525" s="2460"/>
      <c r="P525" s="2460"/>
      <c r="Q525" s="2460"/>
      <c r="R525" s="2460"/>
      <c r="S525" s="2460"/>
      <c r="T525" s="2460"/>
      <c r="U525" s="2460"/>
      <c r="V525" s="2460"/>
      <c r="W525" s="2460"/>
      <c r="X525" s="2460"/>
      <c r="Y525" s="2460"/>
      <c r="Z525" s="2460"/>
      <c r="AA525" s="2460"/>
      <c r="AB525" s="2460"/>
      <c r="AC525" s="2460"/>
      <c r="AD525" s="2460"/>
      <c r="AE525" s="2460"/>
      <c r="AF525" s="2460"/>
      <c r="AG525" s="446"/>
      <c r="AH525" s="446"/>
      <c r="AI525" s="446"/>
      <c r="AJ525" s="446"/>
      <c r="AK525" s="526"/>
      <c r="AN525" s="390"/>
      <c r="BM525" s="336"/>
      <c r="BN525" s="336"/>
      <c r="BO525" s="336"/>
      <c r="BP525" s="336"/>
      <c r="BQ525" s="336"/>
      <c r="BR525" s="336"/>
      <c r="BS525" s="336"/>
      <c r="BT525" s="336"/>
      <c r="BU525" s="336"/>
      <c r="BV525" s="336"/>
      <c r="BW525" s="336"/>
      <c r="BX525" s="336"/>
      <c r="BY525" s="336"/>
      <c r="BZ525" s="336"/>
      <c r="CA525" s="336"/>
      <c r="CB525" s="336"/>
      <c r="CC525" s="336"/>
    </row>
    <row r="526" spans="1:81" s="349" customFormat="1" ht="12.75" hidden="1" customHeight="1">
      <c r="A526" s="428"/>
      <c r="C526" s="350"/>
      <c r="E526" s="350"/>
      <c r="F526" s="553"/>
      <c r="G526" s="350"/>
      <c r="H526" s="350"/>
      <c r="I526" s="350"/>
      <c r="J526" s="350"/>
      <c r="K526" s="350"/>
      <c r="L526" s="350"/>
      <c r="M526" s="350"/>
      <c r="N526" s="350"/>
      <c r="O526" s="350"/>
      <c r="P526" s="350"/>
      <c r="Q526" s="350"/>
      <c r="R526" s="350"/>
      <c r="S526" s="350"/>
      <c r="T526" s="350"/>
      <c r="U526" s="350"/>
      <c r="V526" s="350"/>
      <c r="W526" s="350"/>
      <c r="X526" s="350"/>
      <c r="Y526" s="350"/>
      <c r="Z526" s="350"/>
      <c r="AA526" s="350"/>
      <c r="AB526" s="350"/>
      <c r="AC526" s="350"/>
      <c r="AD526" s="407"/>
      <c r="AE526" s="350"/>
      <c r="AF526" s="350"/>
      <c r="AG526" s="350"/>
      <c r="AH526" s="350"/>
      <c r="AN526" s="390"/>
      <c r="BM526" s="336"/>
      <c r="BN526" s="336"/>
      <c r="BO526" s="336"/>
      <c r="BP526" s="336"/>
      <c r="BQ526" s="336"/>
      <c r="BR526" s="336"/>
      <c r="BS526" s="336"/>
      <c r="BT526" s="336"/>
      <c r="BU526" s="336"/>
      <c r="BV526" s="336"/>
      <c r="BW526" s="336"/>
      <c r="BX526" s="336"/>
      <c r="BY526" s="336"/>
      <c r="BZ526" s="336"/>
      <c r="CA526" s="336"/>
      <c r="CB526" s="336"/>
      <c r="CC526" s="336"/>
    </row>
    <row r="527" spans="1:81" s="349" customFormat="1" ht="12.75" hidden="1" customHeight="1">
      <c r="A527" s="428"/>
      <c r="B527" s="349" t="s">
        <v>2439</v>
      </c>
      <c r="C527" s="350"/>
      <c r="E527" s="350"/>
      <c r="F527" s="350"/>
      <c r="G527" s="350"/>
      <c r="H527" s="350"/>
      <c r="I527" s="350"/>
      <c r="J527" s="350"/>
      <c r="K527" s="350"/>
      <c r="L527" s="350"/>
      <c r="M527" s="350"/>
      <c r="N527" s="350"/>
      <c r="O527" s="350"/>
      <c r="P527" s="350"/>
      <c r="Q527" s="350"/>
      <c r="R527" s="350"/>
      <c r="S527" s="350"/>
      <c r="T527" s="350"/>
      <c r="U527" s="350"/>
      <c r="V527" s="350"/>
      <c r="W527" s="350"/>
      <c r="X527" s="350"/>
      <c r="Y527" s="350"/>
      <c r="Z527" s="350"/>
      <c r="AA527" s="350"/>
      <c r="AB527" s="350"/>
      <c r="AC527" s="350"/>
      <c r="AD527" s="407"/>
      <c r="AE527" s="350"/>
      <c r="AF527" s="350"/>
      <c r="AG527" s="350"/>
      <c r="AH527" s="350"/>
      <c r="AN527" s="390"/>
      <c r="AP527" s="568"/>
      <c r="AQ527" s="568"/>
      <c r="AR527" s="568"/>
      <c r="AS527" s="568"/>
      <c r="AT527" s="568"/>
      <c r="AU527" s="568"/>
      <c r="AV527" s="568"/>
      <c r="AW527" s="568"/>
      <c r="AX527" s="568"/>
      <c r="AY527" s="568"/>
      <c r="BM527" s="336"/>
      <c r="BN527" s="336"/>
      <c r="BO527" s="336"/>
      <c r="BP527" s="336"/>
      <c r="BQ527" s="336"/>
      <c r="BR527" s="336"/>
      <c r="BS527" s="336"/>
      <c r="BT527" s="336"/>
      <c r="BU527" s="336"/>
      <c r="BV527" s="336"/>
      <c r="BW527" s="336"/>
      <c r="BX527" s="336"/>
      <c r="BY527" s="336"/>
      <c r="BZ527" s="336"/>
      <c r="CA527" s="336"/>
      <c r="CB527" s="336"/>
      <c r="CC527" s="336"/>
    </row>
    <row r="528" spans="1:81" s="349" customFormat="1" ht="12.75" hidden="1" customHeight="1">
      <c r="A528" s="428"/>
      <c r="B528" s="349" t="s">
        <v>2440</v>
      </c>
      <c r="C528" s="350"/>
      <c r="E528" s="350"/>
      <c r="F528" s="350"/>
      <c r="G528" s="350"/>
      <c r="H528" s="350"/>
      <c r="I528" s="350"/>
      <c r="J528" s="350"/>
      <c r="K528" s="350"/>
      <c r="L528" s="350"/>
      <c r="M528" s="350"/>
      <c r="N528" s="350"/>
      <c r="O528" s="350"/>
      <c r="P528" s="350"/>
      <c r="Q528" s="350"/>
      <c r="R528" s="350"/>
      <c r="S528" s="350"/>
      <c r="T528" s="350"/>
      <c r="U528" s="350"/>
      <c r="V528" s="350"/>
      <c r="W528" s="350"/>
      <c r="X528" s="350"/>
      <c r="Y528" s="350"/>
      <c r="Z528" s="350"/>
      <c r="AA528" s="350"/>
      <c r="AB528" s="350"/>
      <c r="AC528" s="350"/>
      <c r="AD528" s="407"/>
      <c r="AE528" s="350"/>
      <c r="AF528" s="350"/>
      <c r="AG528" s="350"/>
      <c r="AH528" s="350"/>
      <c r="AN528" s="390"/>
      <c r="AP528" s="584"/>
      <c r="AQ528" s="584"/>
      <c r="AR528" s="584"/>
      <c r="AS528" s="584"/>
      <c r="AT528" s="584"/>
      <c r="AU528" s="584"/>
      <c r="AV528" s="584"/>
      <c r="AW528" s="584"/>
      <c r="AX528" s="584"/>
      <c r="AY528" s="584"/>
      <c r="BM528" s="336"/>
      <c r="BN528" s="336"/>
      <c r="BO528" s="336"/>
      <c r="BP528" s="336"/>
      <c r="BQ528" s="336"/>
      <c r="BR528" s="336"/>
      <c r="BS528" s="336"/>
      <c r="BT528" s="336"/>
      <c r="BU528" s="336"/>
      <c r="BV528" s="336"/>
      <c r="BW528" s="336"/>
      <c r="BX528" s="336"/>
      <c r="BY528" s="336"/>
      <c r="BZ528" s="336"/>
      <c r="CA528" s="336"/>
      <c r="CB528" s="336"/>
      <c r="CC528" s="336"/>
    </row>
    <row r="529" spans="1:81" s="349" customFormat="1" ht="12.75" hidden="1" customHeight="1">
      <c r="A529" s="428"/>
      <c r="B529" s="349" t="s">
        <v>2441</v>
      </c>
      <c r="C529" s="350"/>
      <c r="E529" s="350"/>
      <c r="F529" s="350"/>
      <c r="G529" s="350"/>
      <c r="H529" s="350"/>
      <c r="I529" s="350"/>
      <c r="J529" s="350"/>
      <c r="K529" s="350"/>
      <c r="L529" s="350"/>
      <c r="M529" s="350"/>
      <c r="N529" s="350"/>
      <c r="O529" s="350"/>
      <c r="P529" s="350"/>
      <c r="Q529" s="350"/>
      <c r="R529" s="350"/>
      <c r="S529" s="350"/>
      <c r="T529" s="350"/>
      <c r="U529" s="350"/>
      <c r="V529" s="350"/>
      <c r="W529" s="350"/>
      <c r="X529" s="350"/>
      <c r="Y529" s="350"/>
      <c r="Z529" s="350"/>
      <c r="AA529" s="350"/>
      <c r="AB529" s="350"/>
      <c r="AC529" s="350"/>
      <c r="AD529" s="407"/>
      <c r="AE529" s="350"/>
      <c r="AF529" s="350"/>
      <c r="AG529" s="350"/>
      <c r="AH529" s="350"/>
      <c r="AN529" s="390"/>
      <c r="AP529" s="584"/>
      <c r="AQ529" s="584"/>
      <c r="AR529" s="584"/>
      <c r="AS529" s="584"/>
      <c r="AT529" s="584"/>
      <c r="AU529" s="584"/>
      <c r="AV529" s="584"/>
      <c r="AW529" s="584"/>
      <c r="AX529" s="584"/>
      <c r="AY529" s="584"/>
      <c r="BM529" s="336"/>
      <c r="BN529" s="336"/>
      <c r="BO529" s="336"/>
      <c r="BP529" s="336"/>
      <c r="BQ529" s="336"/>
      <c r="BR529" s="336"/>
      <c r="BS529" s="336"/>
      <c r="BT529" s="336"/>
      <c r="BU529" s="336"/>
      <c r="BV529" s="336"/>
      <c r="BW529" s="336"/>
      <c r="BX529" s="336"/>
      <c r="BY529" s="336"/>
      <c r="BZ529" s="336"/>
      <c r="CA529" s="336"/>
      <c r="CB529" s="336"/>
      <c r="CC529" s="336"/>
    </row>
    <row r="530" spans="1:81" s="349" customFormat="1" ht="12.75" hidden="1" customHeight="1">
      <c r="A530" s="428"/>
      <c r="B530" s="349" t="s">
        <v>2442</v>
      </c>
      <c r="C530" s="350"/>
      <c r="E530" s="350"/>
      <c r="F530" s="350"/>
      <c r="G530" s="350"/>
      <c r="H530" s="350"/>
      <c r="I530" s="350"/>
      <c r="J530" s="350"/>
      <c r="K530" s="350"/>
      <c r="L530" s="350"/>
      <c r="M530" s="350"/>
      <c r="N530" s="350"/>
      <c r="O530" s="350"/>
      <c r="P530" s="350"/>
      <c r="Q530" s="350"/>
      <c r="R530" s="350"/>
      <c r="S530" s="350"/>
      <c r="T530" s="350"/>
      <c r="U530" s="350"/>
      <c r="V530" s="350"/>
      <c r="W530" s="350"/>
      <c r="X530" s="350"/>
      <c r="Y530" s="350"/>
      <c r="Z530" s="350"/>
      <c r="AA530" s="350"/>
      <c r="AB530" s="350"/>
      <c r="AC530" s="350"/>
      <c r="AD530" s="407"/>
      <c r="AE530" s="350"/>
      <c r="AF530" s="350"/>
      <c r="AG530" s="350"/>
      <c r="AH530" s="350"/>
      <c r="AN530" s="390"/>
      <c r="AP530" s="584"/>
      <c r="AQ530" s="584"/>
      <c r="AR530" s="584"/>
      <c r="AS530" s="584"/>
      <c r="AT530" s="584"/>
      <c r="AU530" s="584"/>
      <c r="AV530" s="584"/>
      <c r="AW530" s="584"/>
      <c r="AX530" s="584"/>
      <c r="AY530" s="584"/>
      <c r="BM530" s="336"/>
      <c r="BN530" s="336"/>
      <c r="BO530" s="336"/>
      <c r="BP530" s="336"/>
      <c r="BQ530" s="336"/>
      <c r="BR530" s="336"/>
      <c r="BS530" s="336"/>
      <c r="BT530" s="336"/>
      <c r="BU530" s="336"/>
      <c r="BV530" s="336"/>
      <c r="BW530" s="336"/>
      <c r="BX530" s="336"/>
      <c r="BY530" s="336"/>
      <c r="BZ530" s="336"/>
      <c r="CA530" s="336"/>
      <c r="CB530" s="336"/>
      <c r="CC530" s="336"/>
    </row>
    <row r="531" spans="1:81" s="349" customFormat="1" ht="12.75" hidden="1" customHeight="1">
      <c r="A531" s="428"/>
      <c r="B531" s="349" t="s">
        <v>2443</v>
      </c>
      <c r="C531" s="350"/>
      <c r="E531" s="350"/>
      <c r="F531" s="350"/>
      <c r="G531" s="350"/>
      <c r="H531" s="350"/>
      <c r="I531" s="350"/>
      <c r="J531" s="350"/>
      <c r="K531" s="350"/>
      <c r="L531" s="350"/>
      <c r="M531" s="350"/>
      <c r="N531" s="350"/>
      <c r="O531" s="350"/>
      <c r="P531" s="350"/>
      <c r="Q531" s="350"/>
      <c r="R531" s="350"/>
      <c r="S531" s="350"/>
      <c r="T531" s="350"/>
      <c r="U531" s="350"/>
      <c r="V531" s="350"/>
      <c r="W531" s="350"/>
      <c r="X531" s="350"/>
      <c r="Y531" s="350"/>
      <c r="Z531" s="350"/>
      <c r="AA531" s="350"/>
      <c r="AB531" s="350"/>
      <c r="AC531" s="350"/>
      <c r="AD531" s="407"/>
      <c r="AE531" s="350"/>
      <c r="AF531" s="350"/>
      <c r="AG531" s="350"/>
      <c r="AH531" s="350"/>
      <c r="AN531" s="390"/>
      <c r="AP531" s="584"/>
      <c r="AQ531" s="584"/>
      <c r="AR531" s="584"/>
      <c r="AS531" s="584"/>
      <c r="AT531" s="584"/>
      <c r="AU531" s="584"/>
      <c r="AV531" s="584"/>
      <c r="AW531" s="584"/>
      <c r="AX531" s="584"/>
      <c r="AY531" s="584"/>
      <c r="BM531" s="336"/>
      <c r="BN531" s="336"/>
      <c r="BO531" s="336"/>
      <c r="BP531" s="336"/>
      <c r="BQ531" s="336"/>
      <c r="BR531" s="336"/>
      <c r="BS531" s="336"/>
      <c r="BT531" s="336"/>
      <c r="BU531" s="336"/>
      <c r="BV531" s="336"/>
      <c r="BW531" s="336"/>
      <c r="BX531" s="336"/>
      <c r="BY531" s="336"/>
      <c r="BZ531" s="336"/>
      <c r="CA531" s="336"/>
      <c r="CB531" s="336"/>
      <c r="CC531" s="336"/>
    </row>
    <row r="532" spans="1:81" s="349" customFormat="1" ht="12.75" hidden="1" customHeight="1">
      <c r="A532" s="428"/>
      <c r="B532" s="349" t="s">
        <v>2444</v>
      </c>
      <c r="C532" s="350"/>
      <c r="E532" s="350"/>
      <c r="F532" s="350"/>
      <c r="G532" s="350"/>
      <c r="H532" s="350"/>
      <c r="I532" s="350"/>
      <c r="J532" s="350"/>
      <c r="K532" s="350"/>
      <c r="L532" s="350"/>
      <c r="M532" s="350"/>
      <c r="N532" s="350"/>
      <c r="O532" s="350"/>
      <c r="P532" s="350"/>
      <c r="Q532" s="350"/>
      <c r="R532" s="350"/>
      <c r="S532" s="350"/>
      <c r="T532" s="350"/>
      <c r="U532" s="350"/>
      <c r="V532" s="350"/>
      <c r="W532" s="350"/>
      <c r="X532" s="350"/>
      <c r="Y532" s="350"/>
      <c r="Z532" s="350"/>
      <c r="AA532" s="350"/>
      <c r="AB532" s="350"/>
      <c r="AC532" s="350"/>
      <c r="AD532" s="407"/>
      <c r="AE532" s="350"/>
      <c r="AF532" s="350"/>
      <c r="AG532" s="350"/>
      <c r="AH532" s="350"/>
      <c r="AN532" s="390"/>
      <c r="AP532" s="584"/>
      <c r="AQ532" s="584"/>
      <c r="AR532" s="584"/>
      <c r="AS532" s="584"/>
      <c r="AT532" s="584"/>
      <c r="AU532" s="584"/>
      <c r="AV532" s="584"/>
      <c r="AW532" s="584"/>
      <c r="AX532" s="584"/>
      <c r="AY532" s="584"/>
      <c r="BM532" s="336"/>
      <c r="BN532" s="336"/>
      <c r="BO532" s="336"/>
      <c r="BP532" s="336"/>
      <c r="BQ532" s="336"/>
      <c r="BR532" s="336"/>
      <c r="BS532" s="336"/>
      <c r="BT532" s="336"/>
      <c r="BU532" s="336"/>
      <c r="BV532" s="336"/>
      <c r="BW532" s="336"/>
      <c r="BX532" s="336"/>
      <c r="BY532" s="336"/>
      <c r="BZ532" s="336"/>
      <c r="CA532" s="336"/>
      <c r="CB532" s="336"/>
      <c r="CC532" s="336"/>
    </row>
    <row r="533" spans="1:81" s="349" customFormat="1" ht="12.75" hidden="1" customHeight="1">
      <c r="A533" s="428"/>
      <c r="B533" s="349" t="s">
        <v>2445</v>
      </c>
      <c r="C533" s="350"/>
      <c r="E533" s="350"/>
      <c r="F533" s="350"/>
      <c r="G533" s="350"/>
      <c r="H533" s="350"/>
      <c r="I533" s="350"/>
      <c r="J533" s="350"/>
      <c r="K533" s="350"/>
      <c r="L533" s="350"/>
      <c r="M533" s="350"/>
      <c r="N533" s="350"/>
      <c r="O533" s="350"/>
      <c r="P533" s="350"/>
      <c r="Q533" s="350"/>
      <c r="R533" s="350"/>
      <c r="S533" s="350"/>
      <c r="T533" s="350"/>
      <c r="U533" s="350"/>
      <c r="V533" s="350"/>
      <c r="W533" s="350"/>
      <c r="X533" s="350"/>
      <c r="Y533" s="350"/>
      <c r="Z533" s="350"/>
      <c r="AA533" s="350"/>
      <c r="AB533" s="350"/>
      <c r="AC533" s="350"/>
      <c r="AD533" s="407"/>
      <c r="AE533" s="350"/>
      <c r="AF533" s="350"/>
      <c r="AG533" s="350"/>
      <c r="AH533" s="350"/>
      <c r="AN533" s="390"/>
    </row>
    <row r="534" spans="1:81" s="349" customFormat="1" ht="12.75" hidden="1" customHeight="1">
      <c r="A534" s="585"/>
      <c r="C534" s="350"/>
      <c r="E534" s="350"/>
      <c r="F534" s="350"/>
      <c r="G534" s="350"/>
      <c r="H534" s="350"/>
      <c r="I534" s="350"/>
      <c r="J534" s="350"/>
      <c r="K534" s="350"/>
      <c r="L534" s="350"/>
      <c r="M534" s="350"/>
      <c r="N534" s="350"/>
      <c r="O534" s="350"/>
      <c r="P534" s="350"/>
      <c r="Q534" s="350"/>
      <c r="R534" s="350"/>
      <c r="S534" s="350"/>
      <c r="T534" s="350"/>
      <c r="U534" s="350"/>
      <c r="V534" s="350"/>
      <c r="W534" s="350"/>
      <c r="X534" s="350"/>
      <c r="Y534" s="350"/>
      <c r="Z534" s="350"/>
      <c r="AA534" s="350"/>
      <c r="AB534" s="350"/>
      <c r="AC534" s="350"/>
      <c r="AD534" s="407"/>
      <c r="AE534" s="350"/>
      <c r="AF534" s="350"/>
      <c r="AG534" s="350"/>
      <c r="AH534" s="350"/>
      <c r="AN534" s="390"/>
    </row>
    <row r="535" spans="1:81" s="349" customFormat="1" ht="12.75" hidden="1" customHeight="1">
      <c r="A535" s="398"/>
      <c r="B535" s="452"/>
      <c r="C535" s="452"/>
      <c r="D535" s="452"/>
      <c r="E535" s="452"/>
      <c r="F535" s="452"/>
      <c r="G535" s="452"/>
      <c r="H535" s="452"/>
      <c r="I535" s="452"/>
      <c r="J535" s="452"/>
      <c r="K535" s="452"/>
      <c r="L535" s="452"/>
      <c r="M535" s="452"/>
      <c r="N535" s="452"/>
      <c r="O535" s="452"/>
      <c r="P535" s="452"/>
      <c r="Q535" s="452"/>
      <c r="R535" s="452"/>
      <c r="S535" s="452"/>
      <c r="T535" s="452"/>
      <c r="U535" s="452"/>
      <c r="V535" s="452"/>
      <c r="W535" s="452"/>
      <c r="X535" s="452"/>
      <c r="Y535" s="452"/>
      <c r="Z535" s="452"/>
      <c r="AA535" s="452"/>
      <c r="AB535" s="452"/>
      <c r="AC535" s="453"/>
      <c r="AD535" s="452"/>
      <c r="AE535" s="452"/>
      <c r="AF535" s="452"/>
      <c r="AG535" s="452"/>
      <c r="AH535" s="361"/>
      <c r="AI535" s="362"/>
      <c r="AJ535" s="362" t="s">
        <v>2446</v>
      </c>
      <c r="AK535" s="2361">
        <f>SUM(AG479:AG524)</f>
        <v>0</v>
      </c>
      <c r="AL535" s="2362"/>
      <c r="AM535" s="2363"/>
      <c r="AN535" s="390"/>
      <c r="AP535" s="336"/>
      <c r="AQ535" s="336"/>
      <c r="AR535" s="336"/>
      <c r="AS535" s="336"/>
      <c r="AT535" s="336"/>
      <c r="AU535" s="336"/>
      <c r="AV535" s="336"/>
      <c r="AW535" s="336"/>
      <c r="AX535" s="336"/>
      <c r="AY535" s="336"/>
      <c r="AZ535" s="336"/>
    </row>
    <row r="536" spans="1:81" s="349" customFormat="1" ht="12.75" hidden="1" customHeight="1">
      <c r="B536" s="350"/>
      <c r="C536" s="350"/>
      <c r="D536" s="350"/>
      <c r="E536" s="350"/>
      <c r="F536" s="350"/>
      <c r="G536" s="350"/>
      <c r="H536" s="350"/>
      <c r="I536" s="350"/>
      <c r="J536" s="350"/>
      <c r="K536" s="350"/>
      <c r="L536" s="350"/>
      <c r="M536" s="350"/>
      <c r="N536" s="350"/>
      <c r="O536" s="350"/>
      <c r="P536" s="350"/>
      <c r="Q536" s="350"/>
      <c r="R536" s="350"/>
      <c r="S536" s="350"/>
      <c r="T536" s="350"/>
      <c r="U536" s="350"/>
      <c r="V536" s="350"/>
      <c r="W536" s="350"/>
      <c r="X536" s="350"/>
      <c r="Y536" s="350"/>
      <c r="Z536" s="350"/>
      <c r="AA536" s="350"/>
      <c r="AB536" s="350"/>
      <c r="AC536" s="407"/>
      <c r="AD536" s="350"/>
      <c r="AE536" s="350"/>
      <c r="AF536" s="350"/>
      <c r="AG536" s="350"/>
      <c r="AI536" s="1189"/>
      <c r="AJ536" s="1189"/>
      <c r="AK536" s="388"/>
      <c r="AL536" s="388"/>
      <c r="AM536" s="388"/>
      <c r="AN536" s="390"/>
      <c r="AP536" s="336"/>
      <c r="AQ536" s="336"/>
      <c r="AR536" s="336"/>
      <c r="AS536" s="336"/>
      <c r="AT536" s="336"/>
      <c r="AU536" s="336"/>
      <c r="AV536" s="336"/>
      <c r="AW536" s="336"/>
      <c r="AX536" s="336"/>
      <c r="AY536" s="336"/>
      <c r="AZ536" s="336"/>
    </row>
    <row r="537" spans="1:81" ht="13.8" thickTop="1"/>
    <row r="538" spans="1:81" s="349" customFormat="1" ht="12.75" customHeight="1">
      <c r="A538" s="339" t="s">
        <v>2447</v>
      </c>
      <c r="B538" s="339" t="s">
        <v>2448</v>
      </c>
      <c r="C538" s="350"/>
      <c r="D538" s="350"/>
      <c r="E538" s="350"/>
      <c r="F538" s="350"/>
      <c r="G538" s="350"/>
      <c r="H538" s="350"/>
      <c r="I538" s="350"/>
      <c r="J538" s="350"/>
      <c r="K538" s="350"/>
      <c r="L538" s="350"/>
      <c r="M538" s="350"/>
      <c r="N538" s="350"/>
      <c r="O538" s="350"/>
      <c r="P538" s="350"/>
      <c r="Q538" s="350"/>
      <c r="R538" s="350"/>
      <c r="S538" s="350"/>
      <c r="T538" s="350"/>
      <c r="U538" s="350"/>
      <c r="V538" s="350"/>
      <c r="W538" s="350"/>
      <c r="X538" s="350"/>
      <c r="Y538" s="350"/>
      <c r="Z538" s="350"/>
      <c r="AA538" s="350"/>
      <c r="AB538" s="350"/>
      <c r="AC538" s="407"/>
      <c r="AD538" s="350"/>
      <c r="AE538" s="2394" t="s">
        <v>2449</v>
      </c>
      <c r="AF538" s="2394"/>
      <c r="AG538" s="2394"/>
      <c r="AH538" s="2394"/>
      <c r="AI538" s="2394"/>
      <c r="AJ538" s="2394"/>
      <c r="AK538" s="2394"/>
      <c r="AL538" s="388"/>
      <c r="AM538" s="388"/>
      <c r="AN538" s="390"/>
    </row>
    <row r="539" spans="1:81" s="349" customFormat="1" ht="12.75" customHeight="1">
      <c r="A539" s="339"/>
      <c r="B539" s="339" t="s">
        <v>2178</v>
      </c>
      <c r="C539" s="350"/>
      <c r="D539" s="350"/>
      <c r="E539" s="350"/>
      <c r="F539" s="350"/>
      <c r="G539" s="350"/>
      <c r="H539" s="350"/>
      <c r="I539" s="350"/>
      <c r="J539" s="350"/>
      <c r="K539" s="350"/>
      <c r="L539" s="350"/>
      <c r="M539" s="350"/>
      <c r="N539" s="350"/>
      <c r="O539" s="350"/>
      <c r="P539" s="350"/>
      <c r="Q539" s="350"/>
      <c r="R539" s="350"/>
      <c r="S539" s="350"/>
      <c r="T539" s="350"/>
      <c r="U539" s="350"/>
      <c r="V539" s="350"/>
      <c r="W539" s="350"/>
      <c r="X539" s="350"/>
      <c r="Y539" s="350"/>
      <c r="Z539" s="350"/>
      <c r="AA539" s="350"/>
      <c r="AB539" s="350"/>
      <c r="AC539" s="407"/>
      <c r="AD539" s="350"/>
      <c r="AE539" s="1189"/>
      <c r="AF539" s="1189"/>
      <c r="AG539" s="1189"/>
      <c r="AH539" s="1189"/>
      <c r="AI539" s="1189"/>
      <c r="AJ539" s="1189"/>
      <c r="AK539" s="1189"/>
      <c r="AL539" s="388"/>
      <c r="AM539" s="388"/>
      <c r="AN539" s="390"/>
    </row>
    <row r="540" spans="1:81" s="349" customFormat="1" ht="12.75" customHeight="1">
      <c r="A540" s="339"/>
      <c r="B540" s="339"/>
      <c r="C540" s="350"/>
      <c r="D540" s="350"/>
      <c r="E540" s="350"/>
      <c r="F540" s="350"/>
      <c r="G540" s="350"/>
      <c r="H540" s="350"/>
      <c r="I540" s="350"/>
      <c r="J540" s="350"/>
      <c r="K540" s="350"/>
      <c r="L540" s="350"/>
      <c r="M540" s="350"/>
      <c r="N540" s="350"/>
      <c r="O540" s="350"/>
      <c r="P540" s="350"/>
      <c r="Q540" s="350"/>
      <c r="R540" s="350"/>
      <c r="S540" s="350"/>
      <c r="T540" s="350"/>
      <c r="U540" s="350"/>
      <c r="V540" s="350"/>
      <c r="W540" s="350"/>
      <c r="X540" s="350"/>
      <c r="Y540" s="350"/>
      <c r="Z540" s="350"/>
      <c r="AA540" s="350"/>
      <c r="AB540" s="350"/>
      <c r="AC540" s="407"/>
      <c r="AD540" s="350"/>
      <c r="AE540" s="1189"/>
      <c r="AF540" s="1189"/>
      <c r="AG540" s="1189"/>
      <c r="AH540" s="1189"/>
      <c r="AI540" s="1189"/>
      <c r="AJ540" s="1189"/>
      <c r="AK540" s="1189"/>
      <c r="AL540" s="388"/>
      <c r="AM540" s="388"/>
      <c r="AN540" s="390"/>
    </row>
    <row r="541" spans="1:81" s="349" customFormat="1" ht="12.75" customHeight="1">
      <c r="A541" s="339"/>
      <c r="B541" s="339"/>
      <c r="C541" s="2375" t="s">
        <v>694</v>
      </c>
      <c r="D541" s="2375"/>
      <c r="E541" s="350"/>
      <c r="F541" s="2397" t="s">
        <v>2450</v>
      </c>
      <c r="G541" s="2398"/>
      <c r="H541" s="2398"/>
      <c r="I541" s="2398"/>
      <c r="J541" s="2398"/>
      <c r="K541" s="2398"/>
      <c r="L541" s="2398"/>
      <c r="M541" s="2398"/>
      <c r="N541" s="2398"/>
      <c r="O541" s="2398"/>
      <c r="P541" s="2398"/>
      <c r="Q541" s="2398"/>
      <c r="R541" s="2398"/>
      <c r="S541" s="2398"/>
      <c r="T541" s="2398"/>
      <c r="U541" s="2398"/>
      <c r="V541" s="2398"/>
      <c r="W541" s="2398"/>
      <c r="X541" s="2398"/>
      <c r="Y541" s="2398"/>
      <c r="Z541" s="2398"/>
      <c r="AA541" s="2398"/>
      <c r="AB541" s="2398"/>
      <c r="AC541" s="2398"/>
      <c r="AD541" s="2398"/>
      <c r="AE541" s="2398"/>
      <c r="AF541" s="2398"/>
      <c r="AG541" s="2398"/>
      <c r="AH541" s="2398"/>
      <c r="AI541" s="2398"/>
      <c r="AJ541" s="2398"/>
      <c r="AK541" s="2398"/>
      <c r="AL541" s="2399"/>
      <c r="AM541" s="388"/>
      <c r="AN541" s="390"/>
    </row>
    <row r="542" spans="1:81" s="349" customFormat="1" ht="12.75" customHeight="1">
      <c r="A542" s="339"/>
      <c r="B542" s="339"/>
      <c r="C542" s="350"/>
      <c r="D542" s="350"/>
      <c r="E542" s="350"/>
      <c r="F542" s="2400"/>
      <c r="G542" s="2401"/>
      <c r="H542" s="2401"/>
      <c r="I542" s="2401"/>
      <c r="J542" s="2401"/>
      <c r="K542" s="2401"/>
      <c r="L542" s="2401"/>
      <c r="M542" s="2401"/>
      <c r="N542" s="2401"/>
      <c r="O542" s="2401"/>
      <c r="P542" s="2401"/>
      <c r="Q542" s="2401"/>
      <c r="R542" s="2401"/>
      <c r="S542" s="2401"/>
      <c r="T542" s="2401"/>
      <c r="U542" s="2401"/>
      <c r="V542" s="2401"/>
      <c r="W542" s="2401"/>
      <c r="X542" s="2401"/>
      <c r="Y542" s="2401"/>
      <c r="Z542" s="2401"/>
      <c r="AA542" s="2401"/>
      <c r="AB542" s="2401"/>
      <c r="AC542" s="2401"/>
      <c r="AD542" s="2401"/>
      <c r="AE542" s="2401"/>
      <c r="AF542" s="2401"/>
      <c r="AG542" s="2401"/>
      <c r="AH542" s="2401"/>
      <c r="AI542" s="2401"/>
      <c r="AJ542" s="2401"/>
      <c r="AK542" s="2401"/>
      <c r="AL542" s="2402"/>
      <c r="AM542" s="388"/>
      <c r="AN542" s="390"/>
    </row>
    <row r="543" spans="1:81" s="349" customFormat="1" ht="12.75" customHeight="1">
      <c r="A543" s="339"/>
      <c r="B543" s="339"/>
      <c r="C543" s="350"/>
      <c r="D543" s="350"/>
      <c r="E543" s="350"/>
      <c r="F543" s="586"/>
      <c r="G543" s="586"/>
      <c r="H543" s="586"/>
      <c r="I543" s="586"/>
      <c r="J543" s="586"/>
      <c r="K543" s="586"/>
      <c r="L543" s="586"/>
      <c r="M543" s="586"/>
      <c r="N543" s="586"/>
      <c r="O543" s="586"/>
      <c r="P543" s="586"/>
      <c r="Q543" s="586"/>
      <c r="R543" s="586"/>
      <c r="S543" s="586"/>
      <c r="T543" s="586"/>
      <c r="U543" s="586"/>
      <c r="V543" s="586"/>
      <c r="W543" s="586"/>
      <c r="X543" s="586"/>
      <c r="Y543" s="586"/>
      <c r="Z543" s="586"/>
      <c r="AA543" s="586"/>
      <c r="AB543" s="586"/>
      <c r="AC543" s="586"/>
      <c r="AD543" s="586"/>
      <c r="AE543" s="586"/>
      <c r="AF543" s="586"/>
      <c r="AG543" s="586"/>
      <c r="AH543" s="586"/>
      <c r="AI543" s="586"/>
      <c r="AJ543" s="586"/>
      <c r="AK543" s="586"/>
      <c r="AL543" s="586"/>
      <c r="AM543" s="388"/>
      <c r="AN543" s="390"/>
    </row>
    <row r="544" spans="1:81" s="349" customFormat="1" ht="12.75" customHeight="1">
      <c r="A544" s="339"/>
      <c r="B544" s="587"/>
      <c r="C544" s="2375" t="s">
        <v>809</v>
      </c>
      <c r="D544" s="2375"/>
      <c r="E544" s="587"/>
      <c r="F544" s="433" t="s">
        <v>2451</v>
      </c>
      <c r="G544" s="588"/>
      <c r="H544" s="589"/>
      <c r="I544" s="589"/>
      <c r="J544" s="589"/>
      <c r="K544" s="589"/>
      <c r="L544" s="589"/>
      <c r="M544" s="589"/>
      <c r="N544" s="589"/>
      <c r="O544" s="589"/>
      <c r="P544" s="589"/>
      <c r="Q544" s="589"/>
      <c r="R544" s="589"/>
      <c r="S544" s="589"/>
      <c r="T544" s="589"/>
      <c r="U544" s="589"/>
      <c r="V544" s="589"/>
      <c r="W544" s="589"/>
      <c r="X544" s="589"/>
      <c r="Y544" s="589"/>
      <c r="Z544" s="589"/>
      <c r="AA544" s="589"/>
      <c r="AB544" s="589"/>
      <c r="AC544" s="589"/>
      <c r="AD544" s="589"/>
      <c r="AE544" s="589"/>
      <c r="AF544" s="589"/>
      <c r="AG544" s="589"/>
      <c r="AH544" s="589"/>
      <c r="AI544" s="589"/>
      <c r="AJ544" s="589"/>
      <c r="AK544" s="590"/>
      <c r="AL544" s="591"/>
      <c r="AM544" s="388"/>
      <c r="AN544" s="390"/>
    </row>
    <row r="545" spans="1:49" s="349" customFormat="1" ht="12.75" customHeight="1">
      <c r="B545" s="587"/>
      <c r="C545" s="587"/>
      <c r="D545" s="587"/>
      <c r="E545" s="587"/>
      <c r="F545" s="2353" t="s">
        <v>2452</v>
      </c>
      <c r="G545" s="2354"/>
      <c r="H545" s="2354"/>
      <c r="I545" s="2354"/>
      <c r="J545" s="2354"/>
      <c r="K545" s="2354"/>
      <c r="L545" s="2354"/>
      <c r="M545" s="2354"/>
      <c r="N545" s="2354"/>
      <c r="O545" s="2354"/>
      <c r="P545" s="2354"/>
      <c r="Q545" s="2354"/>
      <c r="R545" s="2354"/>
      <c r="S545" s="2354"/>
      <c r="T545" s="2354"/>
      <c r="U545" s="2354"/>
      <c r="V545" s="2354"/>
      <c r="W545" s="2354"/>
      <c r="X545" s="2354"/>
      <c r="Y545" s="2354"/>
      <c r="Z545" s="2354"/>
      <c r="AA545" s="2354"/>
      <c r="AB545" s="2354"/>
      <c r="AC545" s="2354"/>
      <c r="AD545" s="2354"/>
      <c r="AE545" s="2354"/>
      <c r="AF545" s="2354"/>
      <c r="AG545" s="2354"/>
      <c r="AH545" s="2354"/>
      <c r="AI545" s="2354"/>
      <c r="AJ545" s="2354"/>
      <c r="AK545" s="2354"/>
      <c r="AL545" s="2355"/>
      <c r="AM545" s="388"/>
      <c r="AN545" s="390"/>
      <c r="AS545" s="642"/>
      <c r="AT545" s="642"/>
      <c r="AU545" s="642"/>
      <c r="AV545" s="642"/>
      <c r="AW545" s="642"/>
    </row>
    <row r="546" spans="1:49" s="349" customFormat="1" ht="12.75" customHeight="1">
      <c r="B546" s="587"/>
      <c r="C546" s="587"/>
      <c r="D546" s="587"/>
      <c r="E546" s="587"/>
      <c r="F546" s="2353"/>
      <c r="G546" s="2354"/>
      <c r="H546" s="2354"/>
      <c r="I546" s="2354"/>
      <c r="J546" s="2354"/>
      <c r="K546" s="2354"/>
      <c r="L546" s="2354"/>
      <c r="M546" s="2354"/>
      <c r="N546" s="2354"/>
      <c r="O546" s="2354"/>
      <c r="P546" s="2354"/>
      <c r="Q546" s="2354"/>
      <c r="R546" s="2354"/>
      <c r="S546" s="2354"/>
      <c r="T546" s="2354"/>
      <c r="U546" s="2354"/>
      <c r="V546" s="2354"/>
      <c r="W546" s="2354"/>
      <c r="X546" s="2354"/>
      <c r="Y546" s="2354"/>
      <c r="Z546" s="2354"/>
      <c r="AA546" s="2354"/>
      <c r="AB546" s="2354"/>
      <c r="AC546" s="2354"/>
      <c r="AD546" s="2354"/>
      <c r="AE546" s="2354"/>
      <c r="AF546" s="2354"/>
      <c r="AG546" s="2354"/>
      <c r="AH546" s="2354"/>
      <c r="AI546" s="2354"/>
      <c r="AJ546" s="2354"/>
      <c r="AK546" s="2354"/>
      <c r="AL546" s="2355"/>
      <c r="AM546" s="388"/>
      <c r="AN546" s="390"/>
    </row>
    <row r="547" spans="1:49" s="349" customFormat="1" ht="12.75" customHeight="1">
      <c r="B547" s="587"/>
      <c r="C547" s="587"/>
      <c r="D547" s="587"/>
      <c r="E547" s="587"/>
      <c r="F547" s="592" t="s">
        <v>2453</v>
      </c>
      <c r="G547" s="407"/>
      <c r="H547" s="407"/>
      <c r="I547" s="407"/>
      <c r="J547" s="407"/>
      <c r="K547" s="407"/>
      <c r="L547" s="407"/>
      <c r="M547" s="407"/>
      <c r="N547" s="407"/>
      <c r="O547" s="407"/>
      <c r="P547" s="407"/>
      <c r="Q547" s="407"/>
      <c r="R547" s="407"/>
      <c r="S547" s="407"/>
      <c r="T547" s="407"/>
      <c r="U547" s="407"/>
      <c r="V547" s="407"/>
      <c r="W547" s="407"/>
      <c r="X547" s="407"/>
      <c r="Y547" s="407"/>
      <c r="Z547" s="407"/>
      <c r="AA547" s="407"/>
      <c r="AB547" s="407"/>
      <c r="AC547" s="407"/>
      <c r="AD547" s="407"/>
      <c r="AE547" s="407"/>
      <c r="AF547" s="407"/>
      <c r="AG547" s="407"/>
      <c r="AH547" s="407"/>
      <c r="AI547" s="407"/>
      <c r="AJ547" s="407"/>
      <c r="AK547" s="407"/>
      <c r="AL547" s="593"/>
      <c r="AM547" s="388"/>
      <c r="AN547" s="390"/>
    </row>
    <row r="548" spans="1:49" s="349" customFormat="1" ht="12.75" customHeight="1">
      <c r="B548" s="587"/>
      <c r="C548" s="587"/>
      <c r="D548" s="587"/>
      <c r="E548" s="587"/>
      <c r="F548" s="2353" t="s">
        <v>2454</v>
      </c>
      <c r="G548" s="2354"/>
      <c r="H548" s="2354"/>
      <c r="I548" s="2354"/>
      <c r="J548" s="2354"/>
      <c r="K548" s="2354"/>
      <c r="L548" s="2354"/>
      <c r="M548" s="2354"/>
      <c r="N548" s="2354"/>
      <c r="O548" s="2354"/>
      <c r="P548" s="2354"/>
      <c r="Q548" s="2354"/>
      <c r="R548" s="2354"/>
      <c r="S548" s="2354"/>
      <c r="T548" s="2354"/>
      <c r="U548" s="2354"/>
      <c r="V548" s="2354"/>
      <c r="W548" s="2354"/>
      <c r="X548" s="2354"/>
      <c r="Y548" s="2354"/>
      <c r="Z548" s="2354"/>
      <c r="AA548" s="2354"/>
      <c r="AB548" s="2354"/>
      <c r="AC548" s="2354"/>
      <c r="AD548" s="2354"/>
      <c r="AE548" s="2354"/>
      <c r="AF548" s="2354"/>
      <c r="AG548" s="2354"/>
      <c r="AH548" s="2354"/>
      <c r="AI548" s="2354"/>
      <c r="AJ548" s="2354"/>
      <c r="AK548" s="2354"/>
      <c r="AL548" s="594"/>
      <c r="AM548" s="388"/>
      <c r="AN548" s="390"/>
    </row>
    <row r="549" spans="1:49" s="349" customFormat="1" ht="12.75" customHeight="1">
      <c r="B549" s="587"/>
      <c r="C549" s="587"/>
      <c r="D549" s="587"/>
      <c r="E549" s="587"/>
      <c r="F549" s="2356"/>
      <c r="G549" s="2357"/>
      <c r="H549" s="2357"/>
      <c r="I549" s="2357"/>
      <c r="J549" s="2357"/>
      <c r="K549" s="2357"/>
      <c r="L549" s="2357"/>
      <c r="M549" s="2357"/>
      <c r="N549" s="2357"/>
      <c r="O549" s="2357"/>
      <c r="P549" s="2357"/>
      <c r="Q549" s="2357"/>
      <c r="R549" s="2357"/>
      <c r="S549" s="2357"/>
      <c r="T549" s="2357"/>
      <c r="U549" s="2357"/>
      <c r="V549" s="2357"/>
      <c r="W549" s="2357"/>
      <c r="X549" s="2357"/>
      <c r="Y549" s="2357"/>
      <c r="Z549" s="2357"/>
      <c r="AA549" s="2357"/>
      <c r="AB549" s="2357"/>
      <c r="AC549" s="2357"/>
      <c r="AD549" s="2357"/>
      <c r="AE549" s="2357"/>
      <c r="AF549" s="2357"/>
      <c r="AG549" s="2357"/>
      <c r="AH549" s="2357"/>
      <c r="AI549" s="2357"/>
      <c r="AJ549" s="2357"/>
      <c r="AK549" s="2357"/>
      <c r="AL549" s="595"/>
      <c r="AM549" s="388"/>
      <c r="AN549" s="390"/>
    </row>
    <row r="550" spans="1:49" s="349" customFormat="1" ht="12.75" customHeight="1">
      <c r="B550" s="587"/>
      <c r="C550" s="587"/>
      <c r="D550" s="587"/>
      <c r="E550" s="587"/>
      <c r="F550" s="432"/>
      <c r="G550" s="432"/>
      <c r="H550" s="432"/>
      <c r="I550" s="432"/>
      <c r="J550" s="432"/>
      <c r="K550" s="432"/>
      <c r="L550" s="432"/>
      <c r="M550" s="432"/>
      <c r="N550" s="432"/>
      <c r="O550" s="432"/>
      <c r="P550" s="432"/>
      <c r="Q550" s="432"/>
      <c r="R550" s="432"/>
      <c r="S550" s="432"/>
      <c r="T550" s="432"/>
      <c r="U550" s="432"/>
      <c r="V550" s="432"/>
      <c r="W550" s="432"/>
      <c r="X550" s="432"/>
      <c r="Y550" s="432"/>
      <c r="Z550" s="432"/>
      <c r="AA550" s="432"/>
      <c r="AB550" s="432"/>
      <c r="AC550" s="432"/>
      <c r="AD550" s="432"/>
      <c r="AE550" s="432"/>
      <c r="AF550" s="432"/>
      <c r="AG550" s="432"/>
      <c r="AH550" s="432"/>
      <c r="AI550" s="432"/>
      <c r="AJ550" s="432"/>
      <c r="AK550" s="432"/>
      <c r="AL550" s="388"/>
      <c r="AM550" s="388"/>
      <c r="AN550" s="390"/>
      <c r="AP550" s="2352">
        <f>Application!AJ992</f>
        <v>78129119</v>
      </c>
      <c r="AQ550" s="2352"/>
      <c r="AR550" s="2352"/>
      <c r="AS550" s="349" t="s">
        <v>2455</v>
      </c>
    </row>
    <row r="551" spans="1:49" s="349" customFormat="1" ht="12.75" customHeight="1">
      <c r="A551" s="304"/>
      <c r="B551" s="1140" t="s">
        <v>2456</v>
      </c>
      <c r="C551" s="414"/>
      <c r="D551" s="414"/>
      <c r="E551" s="414"/>
      <c r="F551" s="11"/>
      <c r="G551" s="415"/>
      <c r="H551" s="415"/>
      <c r="I551" s="415"/>
      <c r="J551" s="415"/>
      <c r="K551" s="415"/>
      <c r="L551" s="415"/>
      <c r="M551" s="415"/>
      <c r="N551" s="415"/>
      <c r="O551" s="415"/>
      <c r="P551" s="415"/>
      <c r="Q551" s="415"/>
      <c r="R551" s="11"/>
      <c r="S551" s="11"/>
      <c r="T551" s="11"/>
      <c r="U551" s="11"/>
      <c r="V551" s="11"/>
      <c r="W551" s="11"/>
      <c r="X551" s="415"/>
      <c r="Y551" s="415"/>
      <c r="Z551" s="415"/>
      <c r="AA551" s="413"/>
      <c r="AB551" s="413"/>
      <c r="AC551" s="413"/>
      <c r="AD551" s="413"/>
      <c r="AE551" s="11"/>
      <c r="AF551" s="2358">
        <f>'Sources and Uses Budget'!S107+'Sources and Uses Budget'!T107</f>
        <v>85341143</v>
      </c>
      <c r="AG551" s="2358"/>
      <c r="AH551" s="2358"/>
      <c r="AI551" s="2358"/>
      <c r="AJ551" s="2358"/>
      <c r="AK551" s="388"/>
      <c r="AL551" s="388"/>
      <c r="AM551" s="388"/>
      <c r="AN551" s="390"/>
    </row>
    <row r="552" spans="1:49" s="349" customFormat="1" ht="12.75" customHeight="1">
      <c r="A552" s="416"/>
      <c r="B552" s="416" t="s">
        <v>2457</v>
      </c>
      <c r="C552" s="415"/>
      <c r="D552" s="415"/>
      <c r="E552" s="417"/>
      <c r="F552" s="417"/>
      <c r="G552" s="417"/>
      <c r="H552" s="417"/>
      <c r="I552" s="417"/>
      <c r="J552" s="417"/>
      <c r="K552" s="417"/>
      <c r="L552" s="415"/>
      <c r="M552" s="417"/>
      <c r="N552" s="417"/>
      <c r="O552" s="417"/>
      <c r="P552" s="417"/>
      <c r="Q552" s="417"/>
      <c r="R552" s="11"/>
      <c r="S552" s="11"/>
      <c r="T552" s="11"/>
      <c r="U552" s="11"/>
      <c r="V552" s="11"/>
      <c r="W552" s="11"/>
      <c r="X552" s="415"/>
      <c r="Y552" s="415"/>
      <c r="Z552" s="415"/>
      <c r="AA552" s="413"/>
      <c r="AB552" s="413"/>
      <c r="AC552" s="413"/>
      <c r="AD552" s="413"/>
      <c r="AE552" s="11"/>
      <c r="AF552" s="2359">
        <f>IFERROR(AP559,0)</f>
        <v>137083376.27000001</v>
      </c>
      <c r="AG552" s="2359"/>
      <c r="AH552" s="2359"/>
      <c r="AI552" s="2359"/>
      <c r="AJ552" s="2359"/>
      <c r="AK552" s="388"/>
      <c r="AL552" s="388"/>
      <c r="AM552" s="388"/>
      <c r="AN552" s="390"/>
      <c r="AP552" s="2352">
        <f>Application!AJ1045</f>
        <v>8594203.0899999999</v>
      </c>
      <c r="AQ552" s="2352"/>
      <c r="AR552" s="2352"/>
      <c r="AS552" s="349" t="s">
        <v>1722</v>
      </c>
    </row>
    <row r="553" spans="1:49" s="349" customFormat="1" ht="12.75" customHeight="1">
      <c r="A553" s="415"/>
      <c r="B553" s="415" t="s">
        <v>1649</v>
      </c>
      <c r="C553" s="415"/>
      <c r="D553" s="415"/>
      <c r="E553" s="415"/>
      <c r="F553" s="415"/>
      <c r="G553" s="415"/>
      <c r="H553" s="415"/>
      <c r="I553" s="415"/>
      <c r="J553" s="415"/>
      <c r="K553" s="415"/>
      <c r="L553" s="415"/>
      <c r="M553" s="415"/>
      <c r="N553" s="415"/>
      <c r="O553" s="415"/>
      <c r="P553" s="415"/>
      <c r="Q553" s="415"/>
      <c r="R553" s="11"/>
      <c r="S553" s="11"/>
      <c r="T553" s="11"/>
      <c r="U553" s="11"/>
      <c r="V553" s="11"/>
      <c r="W553" s="11"/>
      <c r="X553" s="415"/>
      <c r="Y553" s="415"/>
      <c r="Z553" s="415"/>
      <c r="AA553" s="413"/>
      <c r="AB553" s="413"/>
      <c r="AC553" s="413"/>
      <c r="AD553" s="413"/>
      <c r="AE553" s="11"/>
      <c r="AF553" s="2360">
        <f>IFERROR(ROUNDDOWN(IF(C544="YES",((1-(AF551/AF552))*2),(1-(AF551/AF552))),2),0)</f>
        <v>0.37</v>
      </c>
      <c r="AG553" s="2360"/>
      <c r="AH553" s="2360"/>
      <c r="AI553" s="2360"/>
      <c r="AJ553" s="2360"/>
      <c r="AK553" s="388"/>
      <c r="AL553" s="388"/>
      <c r="AM553" s="388"/>
      <c r="AN553" s="390"/>
      <c r="AP553" s="2348">
        <f>Application!AJ1049</f>
        <v>17188406.18</v>
      </c>
      <c r="AQ553" s="2348"/>
      <c r="AR553" s="2348"/>
      <c r="AS553" s="349" t="s">
        <v>1732</v>
      </c>
    </row>
    <row r="554" spans="1:49" s="349" customFormat="1" ht="12.75" customHeight="1">
      <c r="A554" s="415"/>
      <c r="B554" s="415"/>
      <c r="C554" s="415"/>
      <c r="D554" s="415"/>
      <c r="E554" s="415"/>
      <c r="F554" s="415"/>
      <c r="G554" s="415"/>
      <c r="H554" s="415"/>
      <c r="I554" s="415"/>
      <c r="J554" s="415"/>
      <c r="K554" s="415"/>
      <c r="L554" s="415"/>
      <c r="M554" s="415"/>
      <c r="N554" s="415"/>
      <c r="O554" s="415"/>
      <c r="P554" s="415"/>
      <c r="Q554" s="415"/>
      <c r="R554" s="11"/>
      <c r="S554" s="11"/>
      <c r="T554" s="11"/>
      <c r="U554" s="11"/>
      <c r="V554" s="11"/>
      <c r="W554" s="11"/>
      <c r="X554" s="415"/>
      <c r="Y554" s="415"/>
      <c r="Z554" s="415"/>
      <c r="AA554" s="413"/>
      <c r="AB554" s="413"/>
      <c r="AC554" s="413"/>
      <c r="AD554" s="413"/>
      <c r="AE554" s="11"/>
      <c r="AF554" s="596"/>
      <c r="AG554" s="596"/>
      <c r="AH554" s="596"/>
      <c r="AI554" s="596"/>
      <c r="AJ554" s="596"/>
      <c r="AK554" s="388"/>
      <c r="AL554" s="388"/>
      <c r="AM554" s="388"/>
      <c r="AN554" s="390"/>
      <c r="AP554" s="2367">
        <f>IF(((AP552+AP553)/AP550)&gt;0.8,0.8,((AP552+AP553)/AP550))</f>
        <v>0.33</v>
      </c>
      <c r="AQ554" s="2367"/>
      <c r="AR554" s="2367"/>
      <c r="AS554" s="349" t="s">
        <v>2458</v>
      </c>
    </row>
    <row r="555" spans="1:49" s="349" customFormat="1" ht="12.75" customHeight="1">
      <c r="A555" s="415"/>
      <c r="B555" s="2434" t="s">
        <v>2459</v>
      </c>
      <c r="C555" s="2435"/>
      <c r="D555" s="2435"/>
      <c r="E555" s="2435"/>
      <c r="F555" s="2435"/>
      <c r="G555" s="2435"/>
      <c r="H555" s="2435"/>
      <c r="I555" s="2435"/>
      <c r="J555" s="2435"/>
      <c r="K555" s="2435"/>
      <c r="L555" s="2435"/>
      <c r="M555" s="2435"/>
      <c r="N555" s="2435"/>
      <c r="O555" s="2435"/>
      <c r="P555" s="2435"/>
      <c r="Q555" s="2435"/>
      <c r="R555" s="2435"/>
      <c r="S555" s="2435"/>
      <c r="T555" s="2435"/>
      <c r="U555" s="2435"/>
      <c r="V555" s="2435"/>
      <c r="W555" s="2435"/>
      <c r="X555" s="2435"/>
      <c r="Y555" s="2435"/>
      <c r="Z555" s="2435"/>
      <c r="AA555" s="2435"/>
      <c r="AB555" s="2435"/>
      <c r="AC555" s="2435"/>
      <c r="AD555" s="2435"/>
      <c r="AE555" s="2435"/>
      <c r="AF555" s="2435"/>
      <c r="AG555" s="2435"/>
      <c r="AH555" s="2435"/>
      <c r="AI555" s="2435"/>
      <c r="AJ555" s="2436"/>
      <c r="AK555" s="388"/>
      <c r="AL555" s="388"/>
      <c r="AM555" s="388"/>
      <c r="AN555" s="390"/>
    </row>
    <row r="556" spans="1:49" s="349" customFormat="1" ht="12.75" customHeight="1">
      <c r="A556" s="415"/>
      <c r="B556" s="2437"/>
      <c r="C556" s="2438"/>
      <c r="D556" s="2438"/>
      <c r="E556" s="2438"/>
      <c r="F556" s="2438"/>
      <c r="G556" s="2438"/>
      <c r="H556" s="2438"/>
      <c r="I556" s="2438"/>
      <c r="J556" s="2438"/>
      <c r="K556" s="2438"/>
      <c r="L556" s="2438"/>
      <c r="M556" s="2438"/>
      <c r="N556" s="2438"/>
      <c r="O556" s="2438"/>
      <c r="P556" s="2438"/>
      <c r="Q556" s="2438"/>
      <c r="R556" s="2438"/>
      <c r="S556" s="2438"/>
      <c r="T556" s="2438"/>
      <c r="U556" s="2438"/>
      <c r="V556" s="2438"/>
      <c r="W556" s="2438"/>
      <c r="X556" s="2438"/>
      <c r="Y556" s="2438"/>
      <c r="Z556" s="2438"/>
      <c r="AA556" s="2438"/>
      <c r="AB556" s="2438"/>
      <c r="AC556" s="2438"/>
      <c r="AD556" s="2438"/>
      <c r="AE556" s="2438"/>
      <c r="AF556" s="2438"/>
      <c r="AG556" s="2438"/>
      <c r="AH556" s="2438"/>
      <c r="AI556" s="2438"/>
      <c r="AJ556" s="2439"/>
      <c r="AK556" s="388"/>
      <c r="AL556" s="388"/>
      <c r="AM556" s="388"/>
      <c r="AN556" s="390"/>
      <c r="AP556" s="2352">
        <f>AP557-AP552-AP553</f>
        <v>111300767</v>
      </c>
      <c r="AQ556" s="2368"/>
      <c r="AR556" s="2368"/>
      <c r="AS556" s="349" t="s">
        <v>2460</v>
      </c>
    </row>
    <row r="557" spans="1:49" s="349" customFormat="1" ht="12.75" customHeight="1">
      <c r="A557" s="415"/>
      <c r="B557" s="2440"/>
      <c r="C557" s="2441"/>
      <c r="D557" s="2441"/>
      <c r="E557" s="2441"/>
      <c r="F557" s="2441"/>
      <c r="G557" s="2441"/>
      <c r="H557" s="2441"/>
      <c r="I557" s="2441"/>
      <c r="J557" s="2441"/>
      <c r="K557" s="2441"/>
      <c r="L557" s="2441"/>
      <c r="M557" s="2441"/>
      <c r="N557" s="2441"/>
      <c r="O557" s="2441"/>
      <c r="P557" s="2441"/>
      <c r="Q557" s="2441"/>
      <c r="R557" s="2441"/>
      <c r="S557" s="2441"/>
      <c r="T557" s="2441"/>
      <c r="U557" s="2441"/>
      <c r="V557" s="2441"/>
      <c r="W557" s="2441"/>
      <c r="X557" s="2441"/>
      <c r="Y557" s="2441"/>
      <c r="Z557" s="2441"/>
      <c r="AA557" s="2441"/>
      <c r="AB557" s="2441"/>
      <c r="AC557" s="2441"/>
      <c r="AD557" s="2441"/>
      <c r="AE557" s="2441"/>
      <c r="AF557" s="2441"/>
      <c r="AG557" s="2441"/>
      <c r="AH557" s="2441"/>
      <c r="AI557" s="2441"/>
      <c r="AJ557" s="2442"/>
      <c r="AK557" s="388"/>
      <c r="AL557" s="388"/>
      <c r="AM557" s="388"/>
      <c r="AN557" s="390"/>
      <c r="AP557" s="2352">
        <f>Application!AJ1053</f>
        <v>137083376.27000001</v>
      </c>
      <c r="AQ557" s="2352"/>
      <c r="AR557" s="2352"/>
      <c r="AS557" s="349" t="s">
        <v>2461</v>
      </c>
    </row>
    <row r="558" spans="1:49" s="349" customFormat="1" ht="12.75" customHeight="1">
      <c r="B558" s="350"/>
      <c r="C558" s="350"/>
      <c r="D558" s="350"/>
      <c r="E558" s="350"/>
      <c r="F558" s="350"/>
      <c r="G558" s="350"/>
      <c r="H558" s="350"/>
      <c r="I558" s="350"/>
      <c r="J558" s="350"/>
      <c r="K558" s="350"/>
      <c r="L558" s="350"/>
      <c r="M558" s="350"/>
      <c r="N558" s="350"/>
      <c r="O558" s="350"/>
      <c r="P558" s="350"/>
      <c r="Q558" s="350"/>
      <c r="R558" s="350"/>
      <c r="S558" s="350"/>
      <c r="T558" s="350"/>
      <c r="U558" s="350"/>
      <c r="V558" s="350"/>
      <c r="W558" s="350"/>
      <c r="X558" s="350"/>
      <c r="Y558" s="350"/>
      <c r="Z558" s="350"/>
      <c r="AA558" s="350"/>
      <c r="AB558" s="350"/>
      <c r="AC558" s="407"/>
      <c r="AD558" s="350"/>
      <c r="AI558" s="1189"/>
      <c r="AJ558" s="1189"/>
      <c r="AK558" s="388"/>
      <c r="AL558" s="388"/>
      <c r="AM558" s="388"/>
      <c r="AN558" s="390"/>
    </row>
    <row r="559" spans="1:49" s="349" customFormat="1" ht="12.75" customHeight="1">
      <c r="A559" s="419"/>
      <c r="B559" s="419"/>
      <c r="C559" s="419"/>
      <c r="D559" s="419"/>
      <c r="E559" s="419"/>
      <c r="F559" s="419"/>
      <c r="G559" s="419"/>
      <c r="H559" s="419"/>
      <c r="I559" s="419"/>
      <c r="J559" s="419"/>
      <c r="K559" s="419"/>
      <c r="L559" s="419"/>
      <c r="M559" s="419"/>
      <c r="N559" s="419"/>
      <c r="O559" s="419"/>
      <c r="P559" s="419"/>
      <c r="Q559" s="419"/>
      <c r="R559" s="419"/>
      <c r="S559" s="419"/>
      <c r="T559" s="419"/>
      <c r="U559" s="419"/>
      <c r="V559" s="419"/>
      <c r="W559" s="419"/>
      <c r="X559" s="419"/>
      <c r="Y559" s="419"/>
      <c r="Z559" s="419"/>
      <c r="AA559" s="419"/>
      <c r="AB559" s="419"/>
      <c r="AC559" s="419"/>
      <c r="AD559" s="419"/>
      <c r="AE559" s="419"/>
      <c r="AF559" s="419"/>
      <c r="AG559" s="419"/>
      <c r="AH559" s="420"/>
      <c r="AI559" s="362"/>
      <c r="AJ559" s="362" t="s">
        <v>2462</v>
      </c>
      <c r="AK559" s="2443">
        <f>IFERROR(IF(AND(C541="N/A",C544="N/A"),0,IF(AF553=0,0,IF((AF553*100)&gt;12,12,(AF553*100)))),0)</f>
        <v>12</v>
      </c>
      <c r="AL559" s="2443"/>
      <c r="AM559" s="2444"/>
      <c r="AN559" s="390"/>
      <c r="AP559" s="2337">
        <f>AP556+(AP550*AP554)</f>
        <v>137083376.27000001</v>
      </c>
      <c r="AQ559" s="2338"/>
      <c r="AR559" s="2339"/>
    </row>
    <row r="560" spans="1:49" s="349" customFormat="1" ht="12.75" customHeight="1" thickBot="1">
      <c r="A560" s="541"/>
      <c r="B560" s="541"/>
      <c r="C560" s="541"/>
      <c r="D560" s="541"/>
      <c r="E560" s="541"/>
      <c r="F560" s="541"/>
      <c r="G560" s="541"/>
      <c r="H560" s="541"/>
      <c r="I560" s="541"/>
      <c r="J560" s="541"/>
      <c r="K560" s="541"/>
      <c r="L560" s="541"/>
      <c r="M560" s="541"/>
      <c r="N560" s="541"/>
      <c r="O560" s="541"/>
      <c r="P560" s="541"/>
      <c r="Q560" s="541"/>
      <c r="R560" s="541"/>
      <c r="S560" s="541"/>
      <c r="T560" s="541"/>
      <c r="U560" s="541"/>
      <c r="V560" s="541"/>
      <c r="W560" s="541"/>
      <c r="X560" s="541"/>
      <c r="Y560" s="541"/>
      <c r="Z560" s="541"/>
      <c r="AA560" s="541"/>
      <c r="AB560" s="541"/>
      <c r="AC560" s="541"/>
      <c r="AD560" s="541"/>
      <c r="AE560" s="541"/>
      <c r="AF560" s="541"/>
      <c r="AG560" s="541"/>
      <c r="AH560" s="541"/>
      <c r="AI560" s="541"/>
      <c r="AJ560" s="541"/>
      <c r="AK560" s="541"/>
      <c r="AL560" s="541"/>
      <c r="AM560" s="542"/>
      <c r="AN560" s="390"/>
    </row>
    <row r="561" spans="1:42" s="349" customFormat="1" ht="12.75" customHeight="1" thickTop="1">
      <c r="A561" s="454"/>
      <c r="B561" s="455"/>
      <c r="C561" s="454"/>
      <c r="D561" s="455"/>
      <c r="E561" s="455"/>
      <c r="F561" s="455"/>
      <c r="G561" s="455"/>
      <c r="H561" s="455"/>
      <c r="I561" s="455"/>
      <c r="J561" s="455"/>
      <c r="K561" s="455"/>
      <c r="L561" s="455"/>
      <c r="M561" s="455"/>
      <c r="N561" s="455"/>
      <c r="O561" s="455"/>
      <c r="P561" s="455"/>
      <c r="Q561" s="455"/>
      <c r="R561" s="455"/>
      <c r="S561" s="455"/>
      <c r="T561" s="455"/>
      <c r="U561" s="455"/>
      <c r="V561" s="455"/>
      <c r="W561" s="455"/>
      <c r="X561" s="455"/>
      <c r="Y561" s="455"/>
      <c r="Z561" s="455"/>
      <c r="AA561" s="455"/>
      <c r="AB561" s="455"/>
      <c r="AC561" s="456"/>
      <c r="AD561" s="456"/>
      <c r="AE561" s="456"/>
      <c r="AF561" s="455"/>
      <c r="AG561" s="455"/>
      <c r="AH561" s="455"/>
      <c r="AI561" s="455"/>
      <c r="AJ561" s="455"/>
      <c r="AK561" s="455"/>
      <c r="AL561" s="455"/>
      <c r="AM561" s="457"/>
      <c r="AN561" s="390"/>
    </row>
    <row r="562" spans="1:42" s="349" customFormat="1" ht="12.75" customHeight="1">
      <c r="A562" s="338" t="s">
        <v>2463</v>
      </c>
      <c r="C562" s="338"/>
      <c r="D562" s="396"/>
      <c r="E562" s="396"/>
      <c r="F562" s="396"/>
      <c r="G562" s="396"/>
      <c r="H562" s="396"/>
      <c r="I562" s="396"/>
      <c r="J562" s="396"/>
      <c r="K562" s="396"/>
      <c r="L562" s="396"/>
      <c r="M562" s="396"/>
      <c r="N562" s="396"/>
      <c r="O562" s="396"/>
      <c r="P562" s="396"/>
      <c r="Q562" s="396"/>
      <c r="R562" s="396"/>
      <c r="S562" s="396"/>
      <c r="T562" s="396"/>
      <c r="U562" s="396"/>
      <c r="V562" s="396"/>
      <c r="W562" s="396"/>
      <c r="X562" s="396"/>
      <c r="Y562" s="396"/>
      <c r="Z562" s="396"/>
      <c r="AA562" s="396"/>
      <c r="AB562" s="396"/>
      <c r="AC562" s="396"/>
      <c r="AD562" s="396"/>
      <c r="AE562" s="2394" t="s">
        <v>2162</v>
      </c>
      <c r="AF562" s="2394"/>
      <c r="AG562" s="2394"/>
      <c r="AH562" s="2394"/>
      <c r="AI562" s="2394"/>
      <c r="AJ562" s="2394"/>
      <c r="AK562" s="2394"/>
      <c r="AL562" s="1206"/>
      <c r="AM562" s="396"/>
      <c r="AN562" s="390"/>
    </row>
    <row r="563" spans="1:42" s="349" customFormat="1" ht="12.75" customHeight="1">
      <c r="C563" s="396"/>
      <c r="D563" s="396"/>
      <c r="E563" s="396"/>
      <c r="F563" s="396"/>
      <c r="G563" s="396"/>
      <c r="H563" s="396"/>
      <c r="I563" s="396"/>
      <c r="J563" s="396"/>
      <c r="K563" s="396"/>
      <c r="L563" s="396"/>
      <c r="M563" s="396"/>
      <c r="N563" s="396"/>
      <c r="O563" s="396"/>
      <c r="P563" s="396"/>
      <c r="Q563" s="396"/>
      <c r="R563" s="396"/>
      <c r="S563" s="396"/>
      <c r="T563" s="396"/>
      <c r="U563" s="396"/>
      <c r="V563" s="396"/>
      <c r="W563" s="396"/>
      <c r="X563" s="396"/>
      <c r="Y563" s="396"/>
      <c r="Z563" s="396"/>
      <c r="AA563" s="396"/>
      <c r="AB563" s="396"/>
      <c r="AC563" s="396"/>
      <c r="AD563" s="396"/>
      <c r="AE563" s="396"/>
      <c r="AF563" s="396"/>
      <c r="AG563" s="396"/>
      <c r="AH563" s="396"/>
      <c r="AI563" s="396"/>
      <c r="AJ563" s="396"/>
      <c r="AK563" s="396"/>
      <c r="AL563" s="396"/>
      <c r="AM563" s="396"/>
      <c r="AN563" s="390"/>
    </row>
    <row r="564" spans="1:42" s="349" customFormat="1" ht="12.75" customHeight="1">
      <c r="A564" s="396"/>
      <c r="B564" s="2354" t="s">
        <v>2464</v>
      </c>
      <c r="C564" s="2354"/>
      <c r="D564" s="2354"/>
      <c r="E564" s="2354"/>
      <c r="F564" s="2354"/>
      <c r="G564" s="2354"/>
      <c r="H564" s="2354"/>
      <c r="I564" s="2354"/>
      <c r="J564" s="2354"/>
      <c r="K564" s="2354"/>
      <c r="L564" s="2354"/>
      <c r="M564" s="2354"/>
      <c r="N564" s="2354"/>
      <c r="O564" s="2354"/>
      <c r="P564" s="2354"/>
      <c r="Q564" s="2354"/>
      <c r="R564" s="2354"/>
      <c r="S564" s="2354"/>
      <c r="T564" s="2354"/>
      <c r="U564" s="2354"/>
      <c r="V564" s="2354"/>
      <c r="W564" s="2354"/>
      <c r="X564" s="2354"/>
      <c r="Y564" s="2354"/>
      <c r="Z564" s="2354"/>
      <c r="AA564" s="2354"/>
      <c r="AB564" s="2354"/>
      <c r="AC564" s="2354"/>
      <c r="AD564" s="2354"/>
      <c r="AE564" s="2354"/>
      <c r="AF564" s="2354"/>
      <c r="AG564" s="2354"/>
      <c r="AH564" s="2354"/>
      <c r="AI564" s="2354"/>
      <c r="AJ564" s="2354"/>
      <c r="AK564" s="432"/>
      <c r="AL564" s="1209"/>
      <c r="AM564" s="396"/>
      <c r="AN564" s="390"/>
    </row>
    <row r="565" spans="1:42" s="349" customFormat="1" ht="12.75" customHeight="1">
      <c r="A565" s="396"/>
      <c r="B565" s="2354"/>
      <c r="C565" s="2354"/>
      <c r="D565" s="2354"/>
      <c r="E565" s="2354"/>
      <c r="F565" s="2354"/>
      <c r="G565" s="2354"/>
      <c r="H565" s="2354"/>
      <c r="I565" s="2354"/>
      <c r="J565" s="2354"/>
      <c r="K565" s="2354"/>
      <c r="L565" s="2354"/>
      <c r="M565" s="2354"/>
      <c r="N565" s="2354"/>
      <c r="O565" s="2354"/>
      <c r="P565" s="2354"/>
      <c r="Q565" s="2354"/>
      <c r="R565" s="2354"/>
      <c r="S565" s="2354"/>
      <c r="T565" s="2354"/>
      <c r="U565" s="2354"/>
      <c r="V565" s="2354"/>
      <c r="W565" s="2354"/>
      <c r="X565" s="2354"/>
      <c r="Y565" s="2354"/>
      <c r="Z565" s="2354"/>
      <c r="AA565" s="2354"/>
      <c r="AB565" s="2354"/>
      <c r="AC565" s="2354"/>
      <c r="AD565" s="2354"/>
      <c r="AE565" s="2354"/>
      <c r="AF565" s="2354"/>
      <c r="AG565" s="2354"/>
      <c r="AH565" s="2354"/>
      <c r="AI565" s="2354"/>
      <c r="AJ565" s="2354"/>
      <c r="AK565" s="432"/>
      <c r="AL565" s="1209"/>
      <c r="AM565" s="396"/>
      <c r="AN565" s="390"/>
    </row>
    <row r="566" spans="1:42" s="349" customFormat="1" ht="12.75" customHeight="1">
      <c r="A566" s="396"/>
      <c r="B566" s="2354"/>
      <c r="C566" s="2354"/>
      <c r="D566" s="2354"/>
      <c r="E566" s="2354"/>
      <c r="F566" s="2354"/>
      <c r="G566" s="2354"/>
      <c r="H566" s="2354"/>
      <c r="I566" s="2354"/>
      <c r="J566" s="2354"/>
      <c r="K566" s="2354"/>
      <c r="L566" s="2354"/>
      <c r="M566" s="2354"/>
      <c r="N566" s="2354"/>
      <c r="O566" s="2354"/>
      <c r="P566" s="2354"/>
      <c r="Q566" s="2354"/>
      <c r="R566" s="2354"/>
      <c r="S566" s="2354"/>
      <c r="T566" s="2354"/>
      <c r="U566" s="2354"/>
      <c r="V566" s="2354"/>
      <c r="W566" s="2354"/>
      <c r="X566" s="2354"/>
      <c r="Y566" s="2354"/>
      <c r="Z566" s="2354"/>
      <c r="AA566" s="2354"/>
      <c r="AB566" s="2354"/>
      <c r="AC566" s="2354"/>
      <c r="AD566" s="2354"/>
      <c r="AE566" s="2354"/>
      <c r="AF566" s="2354"/>
      <c r="AG566" s="2354"/>
      <c r="AH566" s="2354"/>
      <c r="AI566" s="2354"/>
      <c r="AJ566" s="2354"/>
      <c r="AK566" s="432"/>
      <c r="AL566" s="1209"/>
      <c r="AM566" s="396"/>
      <c r="AN566" s="390"/>
    </row>
    <row r="567" spans="1:42" s="349" customFormat="1" ht="12.75" customHeight="1">
      <c r="A567" s="396"/>
      <c r="B567" s="2354"/>
      <c r="C567" s="2354"/>
      <c r="D567" s="2354"/>
      <c r="E567" s="2354"/>
      <c r="F567" s="2354"/>
      <c r="G567" s="2354"/>
      <c r="H567" s="2354"/>
      <c r="I567" s="2354"/>
      <c r="J567" s="2354"/>
      <c r="K567" s="2354"/>
      <c r="L567" s="2354"/>
      <c r="M567" s="2354"/>
      <c r="N567" s="2354"/>
      <c r="O567" s="2354"/>
      <c r="P567" s="2354"/>
      <c r="Q567" s="2354"/>
      <c r="R567" s="2354"/>
      <c r="S567" s="2354"/>
      <c r="T567" s="2354"/>
      <c r="U567" s="2354"/>
      <c r="V567" s="2354"/>
      <c r="W567" s="2354"/>
      <c r="X567" s="2354"/>
      <c r="Y567" s="2354"/>
      <c r="Z567" s="2354"/>
      <c r="AA567" s="2354"/>
      <c r="AB567" s="2354"/>
      <c r="AC567" s="2354"/>
      <c r="AD567" s="2354"/>
      <c r="AE567" s="2354"/>
      <c r="AF567" s="2354"/>
      <c r="AG567" s="2354"/>
      <c r="AH567" s="2354"/>
      <c r="AI567" s="2354"/>
      <c r="AJ567" s="2354"/>
      <c r="AK567" s="432"/>
      <c r="AL567" s="1209"/>
      <c r="AM567" s="396"/>
      <c r="AN567" s="390"/>
    </row>
    <row r="568" spans="1:42" s="349" customFormat="1" ht="12.75" customHeight="1">
      <c r="A568" s="396"/>
      <c r="B568" s="2354"/>
      <c r="C568" s="2354"/>
      <c r="D568" s="2354"/>
      <c r="E568" s="2354"/>
      <c r="F568" s="2354"/>
      <c r="G568" s="2354"/>
      <c r="H568" s="2354"/>
      <c r="I568" s="2354"/>
      <c r="J568" s="2354"/>
      <c r="K568" s="2354"/>
      <c r="L568" s="2354"/>
      <c r="M568" s="2354"/>
      <c r="N568" s="2354"/>
      <c r="O568" s="2354"/>
      <c r="P568" s="2354"/>
      <c r="Q568" s="2354"/>
      <c r="R568" s="2354"/>
      <c r="S568" s="2354"/>
      <c r="T568" s="2354"/>
      <c r="U568" s="2354"/>
      <c r="V568" s="2354"/>
      <c r="W568" s="2354"/>
      <c r="X568" s="2354"/>
      <c r="Y568" s="2354"/>
      <c r="Z568" s="2354"/>
      <c r="AA568" s="2354"/>
      <c r="AB568" s="2354"/>
      <c r="AC568" s="2354"/>
      <c r="AD568" s="2354"/>
      <c r="AE568" s="2354"/>
      <c r="AF568" s="2354"/>
      <c r="AG568" s="2354"/>
      <c r="AH568" s="2354"/>
      <c r="AI568" s="2354"/>
      <c r="AJ568" s="2354"/>
      <c r="AK568" s="432"/>
      <c r="AL568" s="1209"/>
      <c r="AM568" s="396"/>
      <c r="AN568" s="390"/>
    </row>
    <row r="569" spans="1:42" s="349" customFormat="1" ht="12.75" customHeight="1">
      <c r="A569" s="396"/>
      <c r="B569" s="2354"/>
      <c r="C569" s="2354"/>
      <c r="D569" s="2354"/>
      <c r="E569" s="2354"/>
      <c r="F569" s="2354"/>
      <c r="G569" s="2354"/>
      <c r="H569" s="2354"/>
      <c r="I569" s="2354"/>
      <c r="J569" s="2354"/>
      <c r="K569" s="2354"/>
      <c r="L569" s="2354"/>
      <c r="M569" s="2354"/>
      <c r="N569" s="2354"/>
      <c r="O569" s="2354"/>
      <c r="P569" s="2354"/>
      <c r="Q569" s="2354"/>
      <c r="R569" s="2354"/>
      <c r="S569" s="2354"/>
      <c r="T569" s="2354"/>
      <c r="U569" s="2354"/>
      <c r="V569" s="2354"/>
      <c r="W569" s="2354"/>
      <c r="X569" s="2354"/>
      <c r="Y569" s="2354"/>
      <c r="Z569" s="2354"/>
      <c r="AA569" s="2354"/>
      <c r="AB569" s="2354"/>
      <c r="AC569" s="2354"/>
      <c r="AD569" s="2354"/>
      <c r="AE569" s="2354"/>
      <c r="AF569" s="2354"/>
      <c r="AG569" s="2354"/>
      <c r="AH569" s="2354"/>
      <c r="AI569" s="2354"/>
      <c r="AJ569" s="2354"/>
      <c r="AK569" s="432"/>
      <c r="AL569" s="1209"/>
      <c r="AM569" s="396"/>
      <c r="AN569" s="390"/>
    </row>
    <row r="570" spans="1:42" s="349" customFormat="1" ht="12.75" customHeight="1">
      <c r="A570" s="396"/>
      <c r="B570" s="2354"/>
      <c r="C570" s="2354"/>
      <c r="D570" s="2354"/>
      <c r="E570" s="2354"/>
      <c r="F570" s="2354"/>
      <c r="G570" s="2354"/>
      <c r="H570" s="2354"/>
      <c r="I570" s="2354"/>
      <c r="J570" s="2354"/>
      <c r="K570" s="2354"/>
      <c r="L570" s="2354"/>
      <c r="M570" s="2354"/>
      <c r="N570" s="2354"/>
      <c r="O570" s="2354"/>
      <c r="P570" s="2354"/>
      <c r="Q570" s="2354"/>
      <c r="R570" s="2354"/>
      <c r="S570" s="2354"/>
      <c r="T570" s="2354"/>
      <c r="U570" s="2354"/>
      <c r="V570" s="2354"/>
      <c r="W570" s="2354"/>
      <c r="X570" s="2354"/>
      <c r="Y570" s="2354"/>
      <c r="Z570" s="2354"/>
      <c r="AA570" s="2354"/>
      <c r="AB570" s="2354"/>
      <c r="AC570" s="2354"/>
      <c r="AD570" s="2354"/>
      <c r="AE570" s="2354"/>
      <c r="AF570" s="2354"/>
      <c r="AG570" s="2354"/>
      <c r="AH570" s="2354"/>
      <c r="AI570" s="2354"/>
      <c r="AJ570" s="2354"/>
      <c r="AK570" s="432"/>
      <c r="AL570" s="1209"/>
      <c r="AM570" s="396"/>
      <c r="AN570" s="390"/>
    </row>
    <row r="571" spans="1:42" ht="12.75" customHeight="1">
      <c r="A571" s="396"/>
      <c r="B571" s="2354"/>
      <c r="C571" s="2354"/>
      <c r="D571" s="2354"/>
      <c r="E571" s="2354"/>
      <c r="F571" s="2354"/>
      <c r="G571" s="2354"/>
      <c r="H571" s="2354"/>
      <c r="I571" s="2354"/>
      <c r="J571" s="2354"/>
      <c r="K571" s="2354"/>
      <c r="L571" s="2354"/>
      <c r="M571" s="2354"/>
      <c r="N571" s="2354"/>
      <c r="O571" s="2354"/>
      <c r="P571" s="2354"/>
      <c r="Q571" s="2354"/>
      <c r="R571" s="2354"/>
      <c r="S571" s="2354"/>
      <c r="T571" s="2354"/>
      <c r="U571" s="2354"/>
      <c r="V571" s="2354"/>
      <c r="W571" s="2354"/>
      <c r="X571" s="2354"/>
      <c r="Y571" s="2354"/>
      <c r="Z571" s="2354"/>
      <c r="AA571" s="2354"/>
      <c r="AB571" s="2354"/>
      <c r="AC571" s="2354"/>
      <c r="AD571" s="2354"/>
      <c r="AE571" s="2354"/>
      <c r="AF571" s="2354"/>
      <c r="AG571" s="2354"/>
      <c r="AH571" s="2354"/>
      <c r="AI571" s="2354"/>
      <c r="AJ571" s="2354"/>
      <c r="AK571" s="432"/>
      <c r="AL571" s="1209"/>
      <c r="AM571" s="396"/>
    </row>
    <row r="572" spans="1:42" s="349" customFormat="1" ht="12.75" customHeight="1">
      <c r="B572" s="2354"/>
      <c r="C572" s="2354"/>
      <c r="D572" s="2354"/>
      <c r="E572" s="2354"/>
      <c r="F572" s="2354"/>
      <c r="G572" s="2354"/>
      <c r="H572" s="2354"/>
      <c r="I572" s="2354"/>
      <c r="J572" s="2354"/>
      <c r="K572" s="2354"/>
      <c r="L572" s="2354"/>
      <c r="M572" s="2354"/>
      <c r="N572" s="2354"/>
      <c r="O572" s="2354"/>
      <c r="P572" s="2354"/>
      <c r="Q572" s="2354"/>
      <c r="R572" s="2354"/>
      <c r="S572" s="2354"/>
      <c r="T572" s="2354"/>
      <c r="U572" s="2354"/>
      <c r="V572" s="2354"/>
      <c r="W572" s="2354"/>
      <c r="X572" s="2354"/>
      <c r="Y572" s="2354"/>
      <c r="Z572" s="2354"/>
      <c r="AA572" s="2354"/>
      <c r="AB572" s="2354"/>
      <c r="AC572" s="2354"/>
      <c r="AD572" s="2354"/>
      <c r="AE572" s="2354"/>
      <c r="AF572" s="2354"/>
      <c r="AG572" s="2354"/>
      <c r="AH572" s="2354"/>
      <c r="AI572" s="2354"/>
      <c r="AJ572" s="2354"/>
      <c r="AK572" s="432"/>
      <c r="AL572" s="1209"/>
      <c r="AN572" s="390"/>
    </row>
    <row r="573" spans="1:42" s="349" customFormat="1" ht="12.75" customHeight="1">
      <c r="B573" s="432"/>
      <c r="C573" s="432"/>
      <c r="D573" s="432"/>
      <c r="E573" s="432"/>
      <c r="F573" s="432"/>
      <c r="G573" s="432"/>
      <c r="H573" s="432"/>
      <c r="I573" s="432"/>
      <c r="J573" s="432"/>
      <c r="K573" s="432"/>
      <c r="L573" s="432"/>
      <c r="M573" s="432"/>
      <c r="N573" s="432"/>
      <c r="O573" s="432"/>
      <c r="P573" s="432"/>
      <c r="Q573" s="432"/>
      <c r="R573" s="432"/>
      <c r="S573" s="432"/>
      <c r="T573" s="432"/>
      <c r="U573" s="432"/>
      <c r="V573" s="432"/>
      <c r="W573" s="432"/>
      <c r="X573" s="432"/>
      <c r="Y573" s="432"/>
      <c r="Z573" s="432"/>
      <c r="AA573" s="432"/>
      <c r="AB573" s="432"/>
      <c r="AC573" s="432"/>
      <c r="AD573" s="432"/>
      <c r="AE573" s="432"/>
      <c r="AF573" s="432"/>
      <c r="AG573" s="432"/>
      <c r="AH573" s="432"/>
      <c r="AI573" s="432"/>
      <c r="AJ573" s="432"/>
      <c r="AK573" s="432"/>
      <c r="AL573" s="1209"/>
      <c r="AN573" s="390"/>
    </row>
    <row r="574" spans="1:42" s="349" customFormat="1" ht="12.75" customHeight="1">
      <c r="B574" s="451" t="s">
        <v>2465</v>
      </c>
      <c r="C574" s="459"/>
      <c r="D574" s="1209"/>
      <c r="E574" s="1209"/>
      <c r="F574" s="1209"/>
      <c r="G574" s="1209"/>
      <c r="H574" s="1209"/>
      <c r="I574" s="1209"/>
      <c r="J574" s="1209"/>
      <c r="K574" s="1209"/>
      <c r="L574" s="1209"/>
      <c r="M574" s="1209"/>
      <c r="N574" s="1209"/>
      <c r="O574" s="1209"/>
      <c r="P574" s="1209"/>
      <c r="Q574" s="1209"/>
      <c r="R574" s="1209"/>
      <c r="S574" s="1209"/>
      <c r="T574" s="1209"/>
      <c r="U574" s="1209"/>
      <c r="V574" s="1209"/>
      <c r="W574" s="1209"/>
      <c r="X574" s="1209"/>
      <c r="Y574" s="1209"/>
      <c r="Z574" s="1209"/>
      <c r="AA574" s="1209"/>
      <c r="AB574" s="1209"/>
      <c r="AC574" s="1209"/>
      <c r="AD574" s="1209"/>
      <c r="AE574" s="1209"/>
      <c r="AF574" s="1209"/>
      <c r="AG574" s="1209"/>
      <c r="AH574" s="1209"/>
      <c r="AI574" s="1209"/>
      <c r="AN574" s="390"/>
      <c r="AP574" s="349" t="s">
        <v>809</v>
      </c>
    </row>
    <row r="575" spans="1:42" s="349" customFormat="1" ht="12.75" customHeight="1">
      <c r="B575" s="336"/>
      <c r="C575" s="459"/>
      <c r="D575" s="1209"/>
      <c r="E575" s="1209"/>
      <c r="F575" s="1209"/>
      <c r="G575" s="1209"/>
      <c r="H575" s="1209"/>
      <c r="I575" s="1209"/>
      <c r="J575" s="1209"/>
      <c r="K575" s="1209"/>
      <c r="L575" s="1209"/>
      <c r="M575" s="1209"/>
      <c r="N575" s="1209"/>
      <c r="O575" s="1209"/>
      <c r="P575" s="1209"/>
      <c r="Q575" s="1209"/>
      <c r="R575" s="1209"/>
      <c r="S575" s="1209"/>
      <c r="T575" s="1209"/>
      <c r="U575" s="1209"/>
      <c r="V575" s="1209"/>
      <c r="W575" s="1209"/>
      <c r="X575" s="1209"/>
      <c r="Y575" s="1209"/>
      <c r="Z575" s="1209"/>
      <c r="AA575" s="1209"/>
      <c r="AB575" s="1209"/>
      <c r="AC575" s="1209"/>
      <c r="AD575" s="1209"/>
      <c r="AE575" s="1209"/>
      <c r="AF575" s="1209"/>
      <c r="AG575" s="1209"/>
      <c r="AH575" s="1209"/>
      <c r="AI575" s="1209"/>
      <c r="AN575" s="390"/>
      <c r="AP575" s="349" t="s">
        <v>694</v>
      </c>
    </row>
    <row r="576" spans="1:42" s="349" customFormat="1" ht="12.75" customHeight="1">
      <c r="C576" s="339" t="s">
        <v>2466</v>
      </c>
      <c r="D576" s="460"/>
      <c r="E576" s="1209"/>
      <c r="F576" s="1209"/>
      <c r="G576" s="1209"/>
      <c r="H576" s="1209"/>
      <c r="I576" s="1209"/>
      <c r="J576" s="1209"/>
      <c r="K576" s="1209"/>
      <c r="L576" s="1209"/>
      <c r="M576" s="1209"/>
      <c r="N576" s="1209"/>
      <c r="O576" s="1209"/>
      <c r="P576" s="1209"/>
      <c r="Q576" s="1209"/>
      <c r="R576" s="1209"/>
      <c r="S576" s="1209"/>
      <c r="T576" s="1209"/>
      <c r="U576" s="1209"/>
      <c r="V576" s="1209"/>
      <c r="W576" s="1209"/>
      <c r="X576" s="1209"/>
      <c r="Y576" s="1209"/>
      <c r="Z576" s="1209"/>
      <c r="AA576" s="1209"/>
      <c r="AB576" s="1209"/>
      <c r="AC576" s="1209"/>
      <c r="AD576" s="1209"/>
      <c r="AE576" s="1209"/>
      <c r="AF576" s="1209"/>
      <c r="AG576" s="1209"/>
      <c r="AH576" s="1209"/>
      <c r="AI576" s="1209"/>
      <c r="AN576" s="390"/>
    </row>
    <row r="577" spans="1:42" s="349" customFormat="1" ht="12.75" customHeight="1">
      <c r="B577" s="336"/>
      <c r="C577" s="336"/>
      <c r="D577" s="1199"/>
      <c r="E577" s="1202"/>
      <c r="F577" s="1202"/>
      <c r="G577" s="1202"/>
      <c r="H577" s="1202"/>
      <c r="I577" s="1202"/>
      <c r="J577" s="1202"/>
      <c r="K577" s="1202"/>
      <c r="L577" s="1202"/>
      <c r="M577" s="1202"/>
      <c r="N577" s="1202"/>
      <c r="O577" s="1202"/>
      <c r="P577" s="1202"/>
      <c r="Q577" s="1202"/>
      <c r="R577" s="1202"/>
      <c r="S577" s="1202"/>
      <c r="T577" s="1202"/>
      <c r="U577" s="1202"/>
      <c r="V577" s="1202"/>
      <c r="W577" s="1202"/>
      <c r="X577" s="1202"/>
      <c r="Y577" s="1202"/>
      <c r="Z577" s="1202"/>
      <c r="AA577" s="1202"/>
      <c r="AB577" s="1202"/>
      <c r="AC577" s="1202"/>
      <c r="AD577" s="1202"/>
      <c r="AE577" s="1202"/>
      <c r="AF577" s="336"/>
      <c r="AG577" s="336"/>
      <c r="AH577" s="336"/>
      <c r="AI577" s="336"/>
      <c r="AJ577" s="336"/>
      <c r="AK577" s="336"/>
      <c r="AL577" s="336"/>
      <c r="AN577" s="390"/>
    </row>
    <row r="578" spans="1:42" s="349" customFormat="1" ht="12.75" customHeight="1">
      <c r="B578" s="336"/>
      <c r="C578" s="336"/>
      <c r="D578" s="451" t="s">
        <v>22</v>
      </c>
      <c r="E578" s="614" t="s">
        <v>2467</v>
      </c>
      <c r="F578" s="432"/>
      <c r="G578" s="432"/>
      <c r="H578" s="432"/>
      <c r="I578" s="432"/>
      <c r="J578" s="432"/>
      <c r="K578" s="432"/>
      <c r="L578" s="432"/>
      <c r="M578" s="432"/>
      <c r="N578" s="432"/>
      <c r="O578" s="432"/>
      <c r="P578" s="432"/>
      <c r="Q578" s="432"/>
      <c r="R578" s="432"/>
      <c r="S578" s="432"/>
      <c r="T578" s="432"/>
      <c r="U578" s="432"/>
      <c r="V578" s="432"/>
      <c r="W578" s="432"/>
      <c r="X578" s="432"/>
      <c r="Y578" s="432"/>
      <c r="Z578" s="432"/>
      <c r="AA578" s="432"/>
      <c r="AB578" s="432"/>
      <c r="AC578" s="336"/>
      <c r="AD578" s="336"/>
      <c r="AE578" s="336"/>
      <c r="AF578" s="2454" t="s">
        <v>2206</v>
      </c>
      <c r="AG578" s="2454"/>
      <c r="AH578" s="2454"/>
      <c r="AI578" s="2454"/>
      <c r="AJ578" s="2454"/>
      <c r="AK578" s="2454"/>
      <c r="AL578" s="2454"/>
      <c r="AN578" s="390"/>
    </row>
    <row r="579" spans="1:42" s="349" customFormat="1" ht="12.75" customHeight="1">
      <c r="B579" s="336"/>
      <c r="C579" s="407"/>
      <c r="D579" s="451"/>
      <c r="E579" s="614" t="s">
        <v>2468</v>
      </c>
      <c r="F579" s="432"/>
      <c r="G579" s="432"/>
      <c r="H579" s="432"/>
      <c r="I579" s="432"/>
      <c r="J579" s="432"/>
      <c r="K579" s="432"/>
      <c r="L579" s="432"/>
      <c r="M579" s="432"/>
      <c r="N579" s="432"/>
      <c r="O579" s="432"/>
      <c r="P579" s="432"/>
      <c r="Q579" s="432"/>
      <c r="R579" s="432"/>
      <c r="S579" s="432"/>
      <c r="T579" s="432"/>
      <c r="U579" s="432"/>
      <c r="V579" s="432"/>
      <c r="W579" s="432"/>
      <c r="X579" s="432"/>
      <c r="Y579" s="432"/>
      <c r="Z579" s="432"/>
      <c r="AA579" s="432"/>
      <c r="AB579" s="432"/>
      <c r="AC579" s="336"/>
      <c r="AD579" s="336"/>
      <c r="AE579" s="407"/>
      <c r="AF579" s="407"/>
      <c r="AG579" s="407"/>
      <c r="AH579" s="407"/>
      <c r="AI579" s="407"/>
      <c r="AJ579" s="407"/>
      <c r="AK579" s="407"/>
      <c r="AL579" s="407"/>
      <c r="AN579" s="390"/>
    </row>
    <row r="580" spans="1:42" s="349" customFormat="1" ht="12.75" customHeight="1">
      <c r="B580" s="336"/>
      <c r="C580" s="407"/>
      <c r="D580" s="451"/>
      <c r="E580" s="614" t="s">
        <v>2469</v>
      </c>
      <c r="F580" s="432"/>
      <c r="G580" s="432"/>
      <c r="H580" s="432"/>
      <c r="I580" s="432"/>
      <c r="J580" s="432"/>
      <c r="K580" s="432"/>
      <c r="L580" s="432"/>
      <c r="M580" s="432"/>
      <c r="N580" s="432"/>
      <c r="O580" s="432"/>
      <c r="P580" s="432"/>
      <c r="Q580" s="432"/>
      <c r="R580" s="432"/>
      <c r="S580" s="432"/>
      <c r="T580" s="432"/>
      <c r="U580" s="432"/>
      <c r="V580" s="432"/>
      <c r="W580" s="432"/>
      <c r="X580" s="432"/>
      <c r="Y580" s="432"/>
      <c r="Z580" s="432"/>
      <c r="AA580" s="432"/>
      <c r="AB580" s="432"/>
      <c r="AC580" s="336"/>
      <c r="AD580" s="336"/>
      <c r="AE580" s="407"/>
      <c r="AF580" s="407"/>
      <c r="AG580" s="407"/>
      <c r="AH580" s="407"/>
      <c r="AI580" s="407"/>
      <c r="AJ580" s="407"/>
      <c r="AK580" s="407"/>
      <c r="AL580" s="407"/>
      <c r="AN580" s="390"/>
    </row>
    <row r="581" spans="1:42" s="349" customFormat="1" ht="12.75" customHeight="1">
      <c r="B581" s="336"/>
      <c r="C581" s="407"/>
      <c r="D581" s="451"/>
      <c r="E581" s="614" t="s">
        <v>2470</v>
      </c>
      <c r="F581" s="432"/>
      <c r="G581" s="432"/>
      <c r="H581" s="432"/>
      <c r="I581" s="432"/>
      <c r="J581" s="432"/>
      <c r="K581" s="432"/>
      <c r="L581" s="432"/>
      <c r="M581" s="432"/>
      <c r="N581" s="432"/>
      <c r="O581" s="432"/>
      <c r="P581" s="432"/>
      <c r="Q581" s="432"/>
      <c r="R581" s="432"/>
      <c r="S581" s="432"/>
      <c r="T581" s="432"/>
      <c r="U581" s="432"/>
      <c r="V581" s="432"/>
      <c r="W581" s="432"/>
      <c r="X581" s="432"/>
      <c r="Y581" s="432"/>
      <c r="Z581" s="432"/>
      <c r="AA581" s="432"/>
      <c r="AB581" s="432"/>
      <c r="AC581" s="336"/>
      <c r="AD581" s="336"/>
      <c r="AE581" s="407"/>
      <c r="AF581" s="407"/>
      <c r="AG581" s="407"/>
      <c r="AH581" s="407"/>
      <c r="AI581" s="407"/>
      <c r="AJ581" s="407"/>
      <c r="AK581" s="407"/>
      <c r="AL581" s="407"/>
      <c r="AN581" s="390"/>
    </row>
    <row r="582" spans="1:42" s="349" customFormat="1" ht="12.75" customHeight="1">
      <c r="B582" s="336"/>
      <c r="C582" s="407"/>
      <c r="D582" s="451"/>
      <c r="E582" s="614" t="s">
        <v>2471</v>
      </c>
      <c r="F582" s="432"/>
      <c r="G582" s="432"/>
      <c r="H582" s="432"/>
      <c r="I582" s="432"/>
      <c r="J582" s="432"/>
      <c r="K582" s="432"/>
      <c r="L582" s="432"/>
      <c r="M582" s="432"/>
      <c r="N582" s="432"/>
      <c r="O582" s="432"/>
      <c r="P582" s="432"/>
      <c r="Q582" s="432"/>
      <c r="R582" s="432"/>
      <c r="S582" s="432"/>
      <c r="T582" s="432"/>
      <c r="U582" s="432"/>
      <c r="V582" s="432"/>
      <c r="W582" s="432"/>
      <c r="X582" s="432"/>
      <c r="Y582" s="432"/>
      <c r="Z582" s="432"/>
      <c r="AA582" s="432"/>
      <c r="AB582" s="432"/>
      <c r="AC582" s="336"/>
      <c r="AD582" s="336"/>
      <c r="AE582" s="407"/>
      <c r="AF582" s="407"/>
      <c r="AG582" s="407"/>
      <c r="AH582" s="407"/>
      <c r="AI582" s="407"/>
      <c r="AJ582" s="407"/>
      <c r="AK582" s="407"/>
      <c r="AL582" s="407"/>
      <c r="AN582" s="390"/>
      <c r="AO582" s="17" t="s">
        <v>2472</v>
      </c>
      <c r="AP582" s="349" t="b">
        <f>IF(Application!AF418&gt;=25,TRUE,FALSE)</f>
        <v>1</v>
      </c>
    </row>
    <row r="583" spans="1:42" s="349" customFormat="1" ht="12.75" customHeight="1">
      <c r="B583" s="336"/>
      <c r="C583" s="407"/>
      <c r="D583" s="451"/>
      <c r="E583" s="614" t="s">
        <v>2473</v>
      </c>
      <c r="F583" s="432"/>
      <c r="G583" s="432"/>
      <c r="H583" s="432"/>
      <c r="I583" s="432"/>
      <c r="J583" s="432"/>
      <c r="K583" s="432"/>
      <c r="L583" s="432"/>
      <c r="M583" s="432"/>
      <c r="N583" s="432"/>
      <c r="O583" s="432"/>
      <c r="P583" s="432"/>
      <c r="Q583" s="432"/>
      <c r="R583" s="432"/>
      <c r="S583" s="432"/>
      <c r="T583" s="432"/>
      <c r="U583" s="432"/>
      <c r="V583" s="432"/>
      <c r="W583" s="432"/>
      <c r="X583" s="432"/>
      <c r="Y583" s="432"/>
      <c r="Z583" s="432"/>
      <c r="AA583" s="432"/>
      <c r="AB583" s="432"/>
      <c r="AC583" s="336"/>
      <c r="AD583" s="336"/>
      <c r="AE583" s="407"/>
      <c r="AF583" s="407"/>
      <c r="AG583" s="407"/>
      <c r="AH583" s="407"/>
      <c r="AI583" s="407"/>
      <c r="AJ583" s="407"/>
      <c r="AK583" s="407"/>
      <c r="AL583" s="407"/>
      <c r="AN583" s="390"/>
      <c r="AO583" s="17" t="s">
        <v>781</v>
      </c>
      <c r="AP583" s="349" t="b">
        <f>Application!T199="Yes"</f>
        <v>0</v>
      </c>
    </row>
    <row r="584" spans="1:42" s="349" customFormat="1" ht="12.75" customHeight="1">
      <c r="B584" s="336"/>
      <c r="C584" s="407"/>
      <c r="D584" s="451"/>
      <c r="E584" s="614"/>
      <c r="F584" s="432"/>
      <c r="G584" s="432"/>
      <c r="H584" s="432"/>
      <c r="I584" s="432"/>
      <c r="J584" s="432"/>
      <c r="K584" s="432"/>
      <c r="L584" s="432"/>
      <c r="M584" s="432"/>
      <c r="N584" s="432"/>
      <c r="O584" s="432"/>
      <c r="P584" s="432"/>
      <c r="Q584" s="432"/>
      <c r="R584" s="432"/>
      <c r="S584" s="432"/>
      <c r="T584" s="432"/>
      <c r="U584" s="432"/>
      <c r="V584" s="432"/>
      <c r="W584" s="432"/>
      <c r="X584" s="432"/>
      <c r="Y584" s="432"/>
      <c r="Z584" s="432"/>
      <c r="AA584" s="432"/>
      <c r="AB584" s="432"/>
      <c r="AC584" s="336"/>
      <c r="AD584" s="336"/>
      <c r="AE584" s="407"/>
      <c r="AF584" s="336"/>
      <c r="AG584" s="336"/>
      <c r="AH584" s="336"/>
      <c r="AI584" s="336"/>
      <c r="AJ584" s="336"/>
      <c r="AK584" s="336"/>
      <c r="AL584" s="336"/>
      <c r="AN584" s="390"/>
    </row>
    <row r="585" spans="1:42" s="349" customFormat="1" ht="12.75" customHeight="1">
      <c r="A585" s="428"/>
      <c r="B585" s="336"/>
      <c r="C585" s="683"/>
      <c r="D585" s="451" t="s">
        <v>27</v>
      </c>
      <c r="E585" s="614" t="s">
        <v>2474</v>
      </c>
      <c r="F585" s="684"/>
      <c r="G585" s="684"/>
      <c r="H585" s="684"/>
      <c r="I585" s="684"/>
      <c r="J585" s="684"/>
      <c r="K585" s="684"/>
      <c r="L585" s="684"/>
      <c r="M585" s="684"/>
      <c r="N585" s="684"/>
      <c r="O585" s="684"/>
      <c r="P585" s="684"/>
      <c r="Q585" s="684"/>
      <c r="R585" s="684"/>
      <c r="S585" s="684"/>
      <c r="T585" s="684"/>
      <c r="U585" s="684"/>
      <c r="V585" s="684"/>
      <c r="W585" s="684"/>
      <c r="X585" s="684"/>
      <c r="Y585" s="684"/>
      <c r="Z585" s="684"/>
      <c r="AA585" s="684"/>
      <c r="AB585" s="684"/>
      <c r="AC585" s="336"/>
      <c r="AD585" s="336"/>
      <c r="AE585" s="336"/>
      <c r="AF585" s="2454" t="s">
        <v>2475</v>
      </c>
      <c r="AG585" s="2454"/>
      <c r="AH585" s="2454"/>
      <c r="AI585" s="2454"/>
      <c r="AJ585" s="2454"/>
      <c r="AK585" s="2454"/>
      <c r="AL585" s="2454"/>
      <c r="AN585" s="390"/>
    </row>
    <row r="586" spans="1:42" s="349" customFormat="1" ht="12.75" customHeight="1">
      <c r="B586" s="336"/>
      <c r="C586" s="685"/>
      <c r="D586" s="451"/>
      <c r="E586" s="614" t="s">
        <v>2476</v>
      </c>
      <c r="F586" s="684"/>
      <c r="G586" s="684"/>
      <c r="H586" s="684"/>
      <c r="I586" s="684"/>
      <c r="J586" s="684"/>
      <c r="K586" s="684"/>
      <c r="L586" s="684"/>
      <c r="M586" s="684"/>
      <c r="N586" s="684"/>
      <c r="O586" s="684"/>
      <c r="P586" s="684"/>
      <c r="Q586" s="684"/>
      <c r="R586" s="684"/>
      <c r="S586" s="684"/>
      <c r="T586" s="684"/>
      <c r="U586" s="684"/>
      <c r="V586" s="684"/>
      <c r="W586" s="684"/>
      <c r="X586" s="684"/>
      <c r="Y586" s="684"/>
      <c r="Z586" s="684"/>
      <c r="AA586" s="684"/>
      <c r="AB586" s="684"/>
      <c r="AC586" s="336"/>
      <c r="AD586" s="336"/>
      <c r="AE586" s="336"/>
      <c r="AF586" s="336"/>
      <c r="AG586" s="336"/>
      <c r="AH586" s="336"/>
      <c r="AI586" s="336"/>
      <c r="AJ586" s="336"/>
      <c r="AK586" s="336"/>
      <c r="AL586" s="336"/>
      <c r="AN586" s="390"/>
      <c r="AO586" s="349" t="s">
        <v>809</v>
      </c>
      <c r="AP586" s="461">
        <v>0</v>
      </c>
    </row>
    <row r="587" spans="1:42" s="349" customFormat="1" ht="12.75" customHeight="1">
      <c r="B587" s="402"/>
      <c r="C587" s="683"/>
      <c r="D587" s="451"/>
      <c r="E587" s="614" t="s">
        <v>2477</v>
      </c>
      <c r="F587" s="684"/>
      <c r="G587" s="684"/>
      <c r="H587" s="684"/>
      <c r="I587" s="684"/>
      <c r="J587" s="684"/>
      <c r="K587" s="684"/>
      <c r="L587" s="684"/>
      <c r="M587" s="684"/>
      <c r="N587" s="684"/>
      <c r="O587" s="684"/>
      <c r="P587" s="684"/>
      <c r="Q587" s="684"/>
      <c r="R587" s="684"/>
      <c r="S587" s="684"/>
      <c r="T587" s="684"/>
      <c r="U587" s="684"/>
      <c r="V587" s="684"/>
      <c r="W587" s="684"/>
      <c r="X587" s="684"/>
      <c r="Y587" s="684"/>
      <c r="Z587" s="684"/>
      <c r="AA587" s="684"/>
      <c r="AB587" s="684"/>
      <c r="AC587" s="336"/>
      <c r="AD587" s="336"/>
      <c r="AE587" s="336"/>
      <c r="AF587" s="336"/>
      <c r="AG587" s="336"/>
      <c r="AH587" s="336"/>
      <c r="AI587" s="336"/>
      <c r="AJ587" s="336"/>
      <c r="AK587" s="336"/>
      <c r="AL587" s="336"/>
      <c r="AN587" s="390"/>
      <c r="AO587" s="403" t="s">
        <v>22</v>
      </c>
      <c r="AP587" s="349">
        <f>7*AP582</f>
        <v>7</v>
      </c>
    </row>
    <row r="588" spans="1:42" s="349" customFormat="1" ht="12.75" customHeight="1">
      <c r="B588" s="402"/>
      <c r="C588" s="683"/>
      <c r="D588" s="451"/>
      <c r="E588" s="614" t="s">
        <v>2478</v>
      </c>
      <c r="F588" s="684"/>
      <c r="G588" s="684"/>
      <c r="H588" s="684"/>
      <c r="I588" s="684"/>
      <c r="J588" s="684"/>
      <c r="K588" s="684"/>
      <c r="L588" s="684"/>
      <c r="M588" s="684"/>
      <c r="N588" s="684"/>
      <c r="O588" s="684"/>
      <c r="P588" s="684"/>
      <c r="Q588" s="684"/>
      <c r="R588" s="684"/>
      <c r="S588" s="684"/>
      <c r="T588" s="684"/>
      <c r="U588" s="684"/>
      <c r="V588" s="684"/>
      <c r="W588" s="684"/>
      <c r="X588" s="684"/>
      <c r="Y588" s="684"/>
      <c r="Z588" s="684"/>
      <c r="AA588" s="684"/>
      <c r="AB588" s="684"/>
      <c r="AC588" s="336"/>
      <c r="AD588" s="336"/>
      <c r="AE588" s="336"/>
      <c r="AF588" s="336"/>
      <c r="AG588" s="336"/>
      <c r="AH588" s="336"/>
      <c r="AI588" s="336"/>
      <c r="AJ588" s="336"/>
      <c r="AK588" s="336"/>
      <c r="AL588" s="336"/>
      <c r="AN588" s="390"/>
      <c r="AO588" s="403" t="s">
        <v>27</v>
      </c>
      <c r="AP588" s="349">
        <v>6</v>
      </c>
    </row>
    <row r="589" spans="1:42" s="349" customFormat="1" ht="12.75" customHeight="1">
      <c r="B589" s="402"/>
      <c r="C589" s="683"/>
      <c r="D589" s="451"/>
      <c r="E589" s="614" t="s">
        <v>2479</v>
      </c>
      <c r="F589" s="684"/>
      <c r="G589" s="684"/>
      <c r="H589" s="684"/>
      <c r="I589" s="684"/>
      <c r="J589" s="684"/>
      <c r="K589" s="684"/>
      <c r="L589" s="684"/>
      <c r="M589" s="684"/>
      <c r="N589" s="684"/>
      <c r="O589" s="684"/>
      <c r="P589" s="684"/>
      <c r="Q589" s="684"/>
      <c r="R589" s="684"/>
      <c r="S589" s="684"/>
      <c r="T589" s="684"/>
      <c r="U589" s="684"/>
      <c r="V589" s="684"/>
      <c r="W589" s="684"/>
      <c r="X589" s="684"/>
      <c r="Y589" s="684"/>
      <c r="Z589" s="684"/>
      <c r="AA589" s="684"/>
      <c r="AB589" s="684"/>
      <c r="AC589" s="336"/>
      <c r="AD589" s="336"/>
      <c r="AE589" s="336"/>
      <c r="AF589" s="336"/>
      <c r="AG589" s="336"/>
      <c r="AH589" s="336"/>
      <c r="AI589" s="336"/>
      <c r="AJ589" s="336"/>
      <c r="AK589" s="336"/>
      <c r="AL589" s="336"/>
      <c r="AN589" s="390"/>
      <c r="AO589" s="403" t="s">
        <v>49</v>
      </c>
      <c r="AP589" s="349">
        <v>5</v>
      </c>
    </row>
    <row r="590" spans="1:42" s="349" customFormat="1" ht="12.75" customHeight="1">
      <c r="B590" s="402"/>
      <c r="C590" s="683"/>
      <c r="D590" s="451"/>
      <c r="E590" s="686"/>
      <c r="F590" s="687"/>
      <c r="G590" s="687"/>
      <c r="H590" s="687"/>
      <c r="I590" s="407"/>
      <c r="J590" s="407"/>
      <c r="K590" s="407"/>
      <c r="L590" s="407"/>
      <c r="M590" s="407"/>
      <c r="N590" s="407"/>
      <c r="O590" s="407"/>
      <c r="P590" s="407"/>
      <c r="Q590" s="407"/>
      <c r="R590" s="407"/>
      <c r="S590" s="407"/>
      <c r="T590" s="407"/>
      <c r="U590" s="407"/>
      <c r="V590" s="407"/>
      <c r="W590" s="407"/>
      <c r="X590" s="407"/>
      <c r="Y590" s="407"/>
      <c r="Z590" s="407"/>
      <c r="AA590" s="407"/>
      <c r="AB590" s="407"/>
      <c r="AC590" s="336"/>
      <c r="AD590" s="336"/>
      <c r="AE590" s="407"/>
      <c r="AF590" s="336"/>
      <c r="AG590" s="336"/>
      <c r="AH590" s="336"/>
      <c r="AI590" s="336"/>
      <c r="AJ590" s="336"/>
      <c r="AK590" s="336"/>
      <c r="AL590" s="336"/>
      <c r="AN590" s="390"/>
      <c r="AO590" s="403" t="s">
        <v>2480</v>
      </c>
      <c r="AP590" s="349">
        <v>4</v>
      </c>
    </row>
    <row r="591" spans="1:42" s="349" customFormat="1" ht="12.75" customHeight="1">
      <c r="B591" s="336"/>
      <c r="C591" s="683"/>
      <c r="D591" s="451" t="s">
        <v>49</v>
      </c>
      <c r="E591" s="614" t="s">
        <v>2481</v>
      </c>
      <c r="F591" s="684"/>
      <c r="G591" s="684"/>
      <c r="H591" s="684"/>
      <c r="I591" s="684"/>
      <c r="J591" s="684"/>
      <c r="K591" s="684"/>
      <c r="L591" s="684"/>
      <c r="M591" s="684"/>
      <c r="N591" s="684"/>
      <c r="O591" s="684"/>
      <c r="P591" s="684"/>
      <c r="Q591" s="684"/>
      <c r="R591" s="684"/>
      <c r="S591" s="684"/>
      <c r="T591" s="684"/>
      <c r="U591" s="684"/>
      <c r="V591" s="684"/>
      <c r="W591" s="684"/>
      <c r="X591" s="684"/>
      <c r="Y591" s="684"/>
      <c r="Z591" s="684"/>
      <c r="AA591" s="684"/>
      <c r="AB591" s="684"/>
      <c r="AC591" s="336"/>
      <c r="AD591" s="336"/>
      <c r="AE591" s="336"/>
      <c r="AF591" s="2454" t="s">
        <v>2482</v>
      </c>
      <c r="AG591" s="2454"/>
      <c r="AH591" s="2454"/>
      <c r="AI591" s="2454"/>
      <c r="AJ591" s="2454"/>
      <c r="AK591" s="2454"/>
      <c r="AL591" s="2454"/>
      <c r="AN591" s="390"/>
      <c r="AO591" s="403" t="s">
        <v>2483</v>
      </c>
      <c r="AP591" s="349">
        <v>3</v>
      </c>
    </row>
    <row r="592" spans="1:42" s="349" customFormat="1" ht="12.75" customHeight="1">
      <c r="B592" s="336"/>
      <c r="C592" s="685"/>
      <c r="D592" s="451"/>
      <c r="E592" s="614" t="s">
        <v>2476</v>
      </c>
      <c r="F592" s="684"/>
      <c r="G592" s="684"/>
      <c r="H592" s="684"/>
      <c r="I592" s="684"/>
      <c r="J592" s="684"/>
      <c r="K592" s="684"/>
      <c r="L592" s="684"/>
      <c r="M592" s="684"/>
      <c r="N592" s="684"/>
      <c r="O592" s="684"/>
      <c r="P592" s="684"/>
      <c r="Q592" s="684"/>
      <c r="R592" s="684"/>
      <c r="S592" s="684"/>
      <c r="T592" s="684"/>
      <c r="U592" s="684"/>
      <c r="V592" s="684"/>
      <c r="W592" s="684"/>
      <c r="X592" s="684"/>
      <c r="Y592" s="684"/>
      <c r="Z592" s="684"/>
      <c r="AA592" s="684"/>
      <c r="AB592" s="684"/>
      <c r="AC592" s="336"/>
      <c r="AD592" s="336"/>
      <c r="AE592" s="336"/>
      <c r="AF592" s="336"/>
      <c r="AG592" s="336"/>
      <c r="AH592" s="336"/>
      <c r="AI592" s="336"/>
      <c r="AJ592" s="336"/>
      <c r="AK592" s="336"/>
      <c r="AL592" s="336"/>
      <c r="AN592" s="390"/>
    </row>
    <row r="593" spans="1:53" s="349" customFormat="1" ht="12.75" customHeight="1">
      <c r="B593" s="336"/>
      <c r="C593" s="685"/>
      <c r="D593" s="451"/>
      <c r="E593" s="614" t="s">
        <v>2477</v>
      </c>
      <c r="F593" s="684"/>
      <c r="G593" s="684"/>
      <c r="H593" s="684"/>
      <c r="I593" s="684"/>
      <c r="J593" s="684"/>
      <c r="K593" s="684"/>
      <c r="L593" s="684"/>
      <c r="M593" s="684"/>
      <c r="N593" s="684"/>
      <c r="O593" s="684"/>
      <c r="P593" s="684"/>
      <c r="Q593" s="684"/>
      <c r="R593" s="684"/>
      <c r="S593" s="684"/>
      <c r="T593" s="684"/>
      <c r="U593" s="684"/>
      <c r="V593" s="684"/>
      <c r="W593" s="684"/>
      <c r="X593" s="684"/>
      <c r="Y593" s="684"/>
      <c r="Z593" s="684"/>
      <c r="AA593" s="684"/>
      <c r="AB593" s="684"/>
      <c r="AC593" s="336"/>
      <c r="AD593" s="336"/>
      <c r="AE593" s="336"/>
      <c r="AF593" s="336"/>
      <c r="AG593" s="336"/>
      <c r="AH593" s="336"/>
      <c r="AI593" s="336"/>
      <c r="AJ593" s="336"/>
      <c r="AK593" s="336"/>
      <c r="AL593" s="336"/>
      <c r="AN593" s="390"/>
      <c r="AO593" s="17" t="s">
        <v>2484</v>
      </c>
    </row>
    <row r="594" spans="1:53" s="349" customFormat="1" ht="12.75" customHeight="1">
      <c r="B594" s="336"/>
      <c r="C594" s="685"/>
      <c r="D594" s="451"/>
      <c r="E594" s="614" t="s">
        <v>2478</v>
      </c>
      <c r="F594" s="684"/>
      <c r="G594" s="684"/>
      <c r="H594" s="684"/>
      <c r="I594" s="684"/>
      <c r="J594" s="684"/>
      <c r="K594" s="684"/>
      <c r="L594" s="684"/>
      <c r="M594" s="684"/>
      <c r="N594" s="684"/>
      <c r="O594" s="684"/>
      <c r="P594" s="684"/>
      <c r="Q594" s="684"/>
      <c r="R594" s="684"/>
      <c r="S594" s="684"/>
      <c r="T594" s="684"/>
      <c r="U594" s="684"/>
      <c r="V594" s="684"/>
      <c r="W594" s="684"/>
      <c r="X594" s="684"/>
      <c r="Y594" s="684"/>
      <c r="Z594" s="684"/>
      <c r="AA594" s="684"/>
      <c r="AB594" s="684"/>
      <c r="AC594" s="336"/>
      <c r="AD594" s="336"/>
      <c r="AE594" s="336"/>
      <c r="AF594" s="336"/>
      <c r="AG594" s="336"/>
      <c r="AH594" s="336"/>
      <c r="AI594" s="336"/>
      <c r="AJ594" s="336"/>
      <c r="AK594" s="336"/>
      <c r="AL594" s="336"/>
      <c r="AN594" s="390"/>
      <c r="AO594" s="17" t="s">
        <v>2485</v>
      </c>
    </row>
    <row r="595" spans="1:53" s="349" customFormat="1" ht="12.75" customHeight="1">
      <c r="B595" s="336"/>
      <c r="C595" s="685"/>
      <c r="D595" s="451"/>
      <c r="E595" s="614" t="s">
        <v>2479</v>
      </c>
      <c r="F595" s="684"/>
      <c r="G595" s="684"/>
      <c r="H595" s="684"/>
      <c r="I595" s="684"/>
      <c r="J595" s="684"/>
      <c r="K595" s="684"/>
      <c r="L595" s="684"/>
      <c r="M595" s="684"/>
      <c r="N595" s="684"/>
      <c r="O595" s="684"/>
      <c r="P595" s="684"/>
      <c r="Q595" s="684"/>
      <c r="R595" s="684"/>
      <c r="S595" s="684"/>
      <c r="T595" s="684"/>
      <c r="U595" s="684"/>
      <c r="V595" s="684"/>
      <c r="W595" s="684"/>
      <c r="X595" s="684"/>
      <c r="Y595" s="684"/>
      <c r="Z595" s="684"/>
      <c r="AA595" s="684"/>
      <c r="AB595" s="684"/>
      <c r="AC595" s="336"/>
      <c r="AD595" s="336"/>
      <c r="AE595" s="336"/>
      <c r="AF595" s="336"/>
      <c r="AG595" s="336"/>
      <c r="AH595" s="336"/>
      <c r="AI595" s="336"/>
      <c r="AJ595" s="336"/>
      <c r="AK595" s="336"/>
      <c r="AL595" s="336"/>
      <c r="AN595" s="390"/>
      <c r="AO595" s="17" t="s">
        <v>2486</v>
      </c>
    </row>
    <row r="596" spans="1:53" s="349" customFormat="1" ht="12.75" customHeight="1">
      <c r="A596" s="11"/>
      <c r="B596" s="11"/>
      <c r="C596" s="11"/>
      <c r="D596" s="451"/>
      <c r="E596" s="462"/>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36"/>
      <c r="AD596" s="336"/>
      <c r="AE596" s="11"/>
      <c r="AF596" s="336"/>
      <c r="AG596" s="336"/>
      <c r="AH596" s="336"/>
      <c r="AI596" s="336"/>
      <c r="AJ596" s="336"/>
      <c r="AK596" s="336"/>
      <c r="AL596" s="336"/>
      <c r="AM596" s="11"/>
      <c r="AN596" s="390"/>
    </row>
    <row r="597" spans="1:53" s="349" customFormat="1" ht="12.75" customHeight="1">
      <c r="B597" s="336"/>
      <c r="C597" s="683"/>
      <c r="D597" s="451" t="s">
        <v>2480</v>
      </c>
      <c r="E597" s="614" t="s">
        <v>2487</v>
      </c>
      <c r="F597" s="684"/>
      <c r="G597" s="684"/>
      <c r="H597" s="684"/>
      <c r="I597" s="684"/>
      <c r="J597" s="684"/>
      <c r="K597" s="684"/>
      <c r="L597" s="684"/>
      <c r="M597" s="684"/>
      <c r="N597" s="684"/>
      <c r="O597" s="684"/>
      <c r="P597" s="684"/>
      <c r="Q597" s="684"/>
      <c r="R597" s="684"/>
      <c r="S597" s="684"/>
      <c r="T597" s="684"/>
      <c r="U597" s="684"/>
      <c r="V597" s="684"/>
      <c r="W597" s="684"/>
      <c r="X597" s="684"/>
      <c r="Y597" s="684"/>
      <c r="Z597" s="684"/>
      <c r="AA597" s="684"/>
      <c r="AB597" s="684"/>
      <c r="AC597" s="336"/>
      <c r="AD597" s="336"/>
      <c r="AE597" s="336"/>
      <c r="AF597" s="2454" t="s">
        <v>2488</v>
      </c>
      <c r="AG597" s="2454"/>
      <c r="AH597" s="2454"/>
      <c r="AI597" s="2454"/>
      <c r="AJ597" s="2454"/>
      <c r="AK597" s="2454"/>
      <c r="AL597" s="2454"/>
      <c r="AN597" s="390"/>
      <c r="AO597" s="349" t="str">
        <f>X634</f>
        <v>N/A</v>
      </c>
    </row>
    <row r="598" spans="1:53" s="349" customFormat="1" ht="12.75" customHeight="1">
      <c r="B598" s="336"/>
      <c r="C598" s="685"/>
      <c r="D598" s="451"/>
      <c r="E598" s="614" t="s">
        <v>2489</v>
      </c>
      <c r="F598" s="684"/>
      <c r="G598" s="684"/>
      <c r="H598" s="684"/>
      <c r="I598" s="684"/>
      <c r="J598" s="684"/>
      <c r="K598" s="684"/>
      <c r="L598" s="684"/>
      <c r="M598" s="684"/>
      <c r="N598" s="684"/>
      <c r="O598" s="684"/>
      <c r="P598" s="684"/>
      <c r="Q598" s="684"/>
      <c r="R598" s="684"/>
      <c r="S598" s="684"/>
      <c r="T598" s="684"/>
      <c r="U598" s="684"/>
      <c r="V598" s="684"/>
      <c r="W598" s="684"/>
      <c r="X598" s="684"/>
      <c r="Y598" s="684"/>
      <c r="Z598" s="684"/>
      <c r="AA598" s="684"/>
      <c r="AB598" s="684"/>
      <c r="AC598" s="11"/>
      <c r="AD598" s="11"/>
      <c r="AE598" s="336"/>
      <c r="AF598" s="336"/>
      <c r="AG598" s="336"/>
      <c r="AH598" s="336"/>
      <c r="AI598" s="336"/>
      <c r="AJ598" s="336"/>
      <c r="AK598" s="336"/>
      <c r="AL598" s="336"/>
      <c r="AN598" s="390"/>
      <c r="AU598" s="1195"/>
      <c r="AV598" s="1195"/>
      <c r="AW598" s="1195"/>
      <c r="AX598" s="1195"/>
      <c r="AY598" s="1195"/>
      <c r="AZ598" s="1195"/>
      <c r="BA598" s="1195"/>
    </row>
    <row r="599" spans="1:53" s="349" customFormat="1" ht="12.75" customHeight="1">
      <c r="B599" s="402"/>
      <c r="C599" s="683"/>
      <c r="D599" s="451"/>
      <c r="E599" s="614" t="s">
        <v>2490</v>
      </c>
      <c r="F599" s="684"/>
      <c r="G599" s="684"/>
      <c r="H599" s="684"/>
      <c r="I599" s="684"/>
      <c r="J599" s="684"/>
      <c r="K599" s="684"/>
      <c r="L599" s="684"/>
      <c r="M599" s="684"/>
      <c r="N599" s="684"/>
      <c r="O599" s="684"/>
      <c r="P599" s="684"/>
      <c r="Q599" s="684"/>
      <c r="R599" s="684"/>
      <c r="S599" s="684"/>
      <c r="T599" s="684"/>
      <c r="U599" s="684"/>
      <c r="V599" s="684"/>
      <c r="W599" s="684"/>
      <c r="X599" s="684"/>
      <c r="Y599" s="684"/>
      <c r="Z599" s="684"/>
      <c r="AA599" s="684"/>
      <c r="AB599" s="684"/>
      <c r="AC599" s="336"/>
      <c r="AD599" s="336"/>
      <c r="AE599" s="336"/>
      <c r="AF599" s="336"/>
      <c r="AG599" s="336"/>
      <c r="AH599" s="336"/>
      <c r="AI599" s="336"/>
      <c r="AJ599" s="336"/>
      <c r="AK599" s="336"/>
      <c r="AL599" s="336"/>
      <c r="AN599" s="390"/>
      <c r="AO599" s="17" t="s">
        <v>2491</v>
      </c>
    </row>
    <row r="600" spans="1:53" s="349" customFormat="1" ht="12.75" customHeight="1">
      <c r="B600" s="402"/>
      <c r="C600" s="683"/>
      <c r="D600" s="451"/>
      <c r="E600" s="614"/>
      <c r="F600" s="684"/>
      <c r="G600" s="684"/>
      <c r="H600" s="684"/>
      <c r="I600" s="684"/>
      <c r="J600" s="684"/>
      <c r="K600" s="684"/>
      <c r="L600" s="684"/>
      <c r="M600" s="684"/>
      <c r="N600" s="684"/>
      <c r="O600" s="684"/>
      <c r="P600" s="684"/>
      <c r="Q600" s="684"/>
      <c r="R600" s="684"/>
      <c r="S600" s="684"/>
      <c r="T600" s="684"/>
      <c r="U600" s="684"/>
      <c r="V600" s="684"/>
      <c r="W600" s="684"/>
      <c r="X600" s="684"/>
      <c r="Y600" s="684"/>
      <c r="Z600" s="684"/>
      <c r="AA600" s="684"/>
      <c r="AB600" s="684"/>
      <c r="AC600" s="336"/>
      <c r="AD600" s="336"/>
      <c r="AE600" s="336"/>
      <c r="AF600" s="336"/>
      <c r="AG600" s="336"/>
      <c r="AH600" s="336"/>
      <c r="AI600" s="336"/>
      <c r="AJ600" s="336"/>
      <c r="AK600" s="336"/>
      <c r="AL600" s="336"/>
      <c r="AN600" s="390"/>
      <c r="AO600" s="17" t="s">
        <v>2492</v>
      </c>
    </row>
    <row r="601" spans="1:53" s="349" customFormat="1" ht="12.75" customHeight="1">
      <c r="B601" s="402"/>
      <c r="C601" s="683"/>
      <c r="D601" s="451"/>
      <c r="E601" s="336" t="s">
        <v>2493</v>
      </c>
      <c r="O601" s="2470" t="s">
        <v>1027</v>
      </c>
      <c r="P601" s="2470"/>
      <c r="Q601" s="2470"/>
      <c r="R601" s="2470"/>
      <c r="S601" s="2470"/>
      <c r="T601" s="2470"/>
      <c r="U601" s="2470"/>
      <c r="V601" s="2470"/>
      <c r="W601" s="2470"/>
      <c r="X601" s="2470"/>
      <c r="Y601" s="2470"/>
      <c r="Z601" s="2470"/>
      <c r="AA601" s="2470"/>
      <c r="AB601" s="2470"/>
      <c r="AH601" s="336"/>
      <c r="AI601" s="336"/>
      <c r="AJ601" s="336"/>
      <c r="AK601" s="336"/>
      <c r="AL601" s="336"/>
      <c r="AN601" s="390"/>
    </row>
    <row r="602" spans="1:53" s="349" customFormat="1" ht="12.75" customHeight="1">
      <c r="B602" s="402"/>
      <c r="C602" s="683"/>
      <c r="D602" s="451"/>
      <c r="E602" s="614"/>
      <c r="F602" s="684"/>
      <c r="G602" s="684"/>
      <c r="H602" s="684"/>
      <c r="I602" s="684"/>
      <c r="J602" s="684"/>
      <c r="K602" s="684"/>
      <c r="L602" s="684"/>
      <c r="M602" s="684"/>
      <c r="N602" s="684"/>
      <c r="O602" s="684"/>
      <c r="P602" s="684"/>
      <c r="Q602" s="684"/>
      <c r="R602" s="684"/>
      <c r="S602" s="684"/>
      <c r="T602" s="684"/>
      <c r="U602" s="684"/>
      <c r="V602" s="684"/>
      <c r="W602" s="684"/>
      <c r="X602" s="684"/>
      <c r="Y602" s="684"/>
      <c r="Z602" s="684"/>
      <c r="AA602" s="684"/>
      <c r="AB602" s="684"/>
      <c r="AC602" s="336"/>
      <c r="AD602" s="336"/>
      <c r="AE602" s="336"/>
      <c r="AF602" s="336"/>
      <c r="AG602" s="336"/>
      <c r="AH602" s="336"/>
      <c r="AI602" s="336"/>
      <c r="AJ602" s="336"/>
      <c r="AK602" s="336"/>
      <c r="AL602" s="336"/>
      <c r="AN602" s="390"/>
    </row>
    <row r="603" spans="1:53" s="349" customFormat="1" ht="12.75" customHeight="1">
      <c r="B603" s="336"/>
      <c r="C603" s="683"/>
      <c r="D603" s="451" t="s">
        <v>2483</v>
      </c>
      <c r="E603" s="614" t="s">
        <v>2494</v>
      </c>
      <c r="F603" s="684"/>
      <c r="G603" s="684"/>
      <c r="H603" s="684"/>
      <c r="I603" s="684"/>
      <c r="J603" s="684"/>
      <c r="K603" s="684"/>
      <c r="L603" s="684"/>
      <c r="M603" s="684"/>
      <c r="N603" s="684"/>
      <c r="O603" s="684"/>
      <c r="P603" s="684"/>
      <c r="Q603" s="684"/>
      <c r="R603" s="684"/>
      <c r="S603" s="684"/>
      <c r="T603" s="684"/>
      <c r="U603" s="684"/>
      <c r="V603" s="684"/>
      <c r="W603" s="684"/>
      <c r="X603" s="684"/>
      <c r="Y603" s="684"/>
      <c r="Z603" s="684"/>
      <c r="AA603" s="684"/>
      <c r="AB603" s="684"/>
      <c r="AC603" s="336"/>
      <c r="AD603" s="336"/>
      <c r="AE603" s="336"/>
      <c r="AF603" s="2454" t="s">
        <v>2222</v>
      </c>
      <c r="AG603" s="2454"/>
      <c r="AH603" s="2454"/>
      <c r="AI603" s="2454"/>
      <c r="AJ603" s="2454"/>
      <c r="AK603" s="2454"/>
      <c r="AL603" s="2454"/>
      <c r="AN603" s="390"/>
    </row>
    <row r="604" spans="1:53" s="349" customFormat="1" ht="12.75" customHeight="1">
      <c r="B604" s="336"/>
      <c r="C604" s="683"/>
      <c r="D604" s="451"/>
      <c r="E604" s="614" t="s">
        <v>2495</v>
      </c>
      <c r="F604" s="684"/>
      <c r="G604" s="684"/>
      <c r="H604" s="684"/>
      <c r="I604" s="684"/>
      <c r="J604" s="684"/>
      <c r="K604" s="684"/>
      <c r="L604" s="684"/>
      <c r="M604" s="684"/>
      <c r="N604" s="684"/>
      <c r="O604" s="684"/>
      <c r="P604" s="684"/>
      <c r="Q604" s="684"/>
      <c r="R604" s="684"/>
      <c r="S604" s="684"/>
      <c r="T604" s="684"/>
      <c r="U604" s="684"/>
      <c r="V604" s="684"/>
      <c r="W604" s="684"/>
      <c r="X604" s="684"/>
      <c r="Y604" s="684"/>
      <c r="Z604" s="684"/>
      <c r="AA604" s="684"/>
      <c r="AB604" s="684"/>
      <c r="AC604" s="336"/>
      <c r="AD604" s="336"/>
      <c r="AE604" s="1195"/>
      <c r="AF604" s="336"/>
      <c r="AG604" s="336"/>
      <c r="AH604" s="336"/>
      <c r="AI604" s="336"/>
      <c r="AJ604" s="336"/>
      <c r="AK604" s="336"/>
      <c r="AL604" s="336"/>
      <c r="AN604" s="390"/>
    </row>
    <row r="605" spans="1:53" s="349" customFormat="1" ht="12.75" customHeight="1">
      <c r="B605" s="336"/>
      <c r="C605" s="685"/>
      <c r="D605" s="336"/>
      <c r="E605" s="407"/>
      <c r="F605" s="1214"/>
      <c r="G605" s="1214"/>
      <c r="H605" s="1214"/>
      <c r="I605" s="1214"/>
      <c r="J605" s="1214"/>
      <c r="K605" s="1214"/>
      <c r="L605" s="1214"/>
      <c r="M605" s="1214"/>
      <c r="N605" s="1214"/>
      <c r="O605" s="1214"/>
      <c r="P605" s="1214"/>
      <c r="Q605" s="1214"/>
      <c r="R605" s="1214"/>
      <c r="S605" s="1214"/>
      <c r="T605" s="1214"/>
      <c r="U605" s="1214"/>
      <c r="V605" s="1214"/>
      <c r="W605" s="1214"/>
      <c r="X605" s="1214"/>
      <c r="Y605" s="1214"/>
      <c r="Z605" s="1214"/>
      <c r="AA605" s="1214"/>
      <c r="AB605" s="1214"/>
      <c r="AC605" s="336"/>
      <c r="AD605" s="336"/>
      <c r="AE605" s="336"/>
      <c r="AF605" s="336"/>
      <c r="AG605" s="336"/>
      <c r="AH605" s="336"/>
      <c r="AI605" s="336"/>
      <c r="AJ605" s="336"/>
      <c r="AK605" s="336"/>
      <c r="AL605" s="336"/>
      <c r="AN605" s="390"/>
      <c r="AO605" s="349" t="s">
        <v>809</v>
      </c>
      <c r="AP605" s="461">
        <v>0</v>
      </c>
      <c r="AT605" s="349" t="s">
        <v>809</v>
      </c>
      <c r="AU605" s="461">
        <v>0</v>
      </c>
    </row>
    <row r="606" spans="1:53" s="349" customFormat="1" ht="12.75" customHeight="1">
      <c r="B606" s="336"/>
      <c r="C606" s="685"/>
      <c r="D606" s="336" t="s">
        <v>2496</v>
      </c>
      <c r="E606" s="1214"/>
      <c r="F606" s="1214"/>
      <c r="G606" s="1214"/>
      <c r="H606" s="2378" t="s">
        <v>22</v>
      </c>
      <c r="I606" s="2378"/>
      <c r="J606" s="1214"/>
      <c r="K606" s="1214"/>
      <c r="L606" s="1214"/>
      <c r="N606" s="17"/>
      <c r="O606" s="17"/>
      <c r="P606" s="17"/>
      <c r="Q606" s="867" t="s">
        <v>2497</v>
      </c>
      <c r="R606" s="2471"/>
      <c r="S606" s="2471"/>
      <c r="T606" s="2471"/>
      <c r="U606" s="2471"/>
      <c r="V606" s="2471"/>
      <c r="W606" s="2471"/>
      <c r="X606" s="336"/>
      <c r="Y606" s="336"/>
      <c r="Z606" s="336"/>
      <c r="AA606" s="336"/>
      <c r="AB606" s="336"/>
      <c r="AC606" s="336"/>
      <c r="AD606" s="336"/>
      <c r="AE606" s="336"/>
      <c r="AF606" s="336"/>
      <c r="AG606" s="336"/>
      <c r="AH606" s="336"/>
      <c r="AI606" s="336"/>
      <c r="AJ606" s="336"/>
      <c r="AK606" s="336"/>
      <c r="AL606" s="336"/>
      <c r="AN606" s="390"/>
      <c r="AO606" s="403" t="s">
        <v>22</v>
      </c>
      <c r="AP606" s="349">
        <v>3</v>
      </c>
      <c r="AT606" s="403" t="s">
        <v>22</v>
      </c>
      <c r="AU606" s="349">
        <v>3</v>
      </c>
    </row>
    <row r="607" spans="1:53" s="349" customFormat="1" ht="12.75" customHeight="1">
      <c r="B607" s="336"/>
      <c r="C607" s="685"/>
      <c r="D607" s="336"/>
      <c r="E607" s="1214"/>
      <c r="F607" s="1214"/>
      <c r="G607" s="1214"/>
      <c r="H607" s="1214"/>
      <c r="I607" s="1214"/>
      <c r="J607" s="1214"/>
      <c r="K607" s="1214"/>
      <c r="L607" s="1214"/>
      <c r="M607" s="1214"/>
      <c r="N607" s="336"/>
      <c r="O607" s="336"/>
      <c r="P607" s="336"/>
      <c r="Q607" s="336"/>
      <c r="R607" s="336"/>
      <c r="S607" s="336"/>
      <c r="T607" s="336"/>
      <c r="U607" s="336"/>
      <c r="V607" s="336"/>
      <c r="W607" s="336"/>
      <c r="X607" s="336"/>
      <c r="Y607" s="2472" t="str">
        <f>IF(AND(H606="(i)",NOT(AP582)),AO599,IF(AND(H606="(iv)",OR(R606=AO595,R606=AO594),NOT(AP583)),AO600,""))</f>
        <v/>
      </c>
      <c r="Z607" s="2472"/>
      <c r="AA607" s="2472"/>
      <c r="AB607" s="2472"/>
      <c r="AC607" s="2472"/>
      <c r="AD607" s="2472"/>
      <c r="AE607" s="2472"/>
      <c r="AF607" s="2472"/>
      <c r="AG607" s="2472"/>
      <c r="AH607" s="2472"/>
      <c r="AI607" s="2472"/>
      <c r="AJ607" s="2472"/>
      <c r="AK607" s="2472"/>
      <c r="AL607" s="2472"/>
      <c r="AM607" s="2473"/>
      <c r="AN607" s="390"/>
      <c r="AO607" s="403" t="s">
        <v>27</v>
      </c>
      <c r="AP607" s="349">
        <v>2</v>
      </c>
      <c r="AT607" s="403" t="s">
        <v>27</v>
      </c>
      <c r="AU607" s="349">
        <v>2</v>
      </c>
    </row>
    <row r="608" spans="1:53" s="349" customFormat="1" ht="12.75" customHeight="1">
      <c r="B608" s="336"/>
      <c r="C608" s="685"/>
      <c r="D608" s="336"/>
      <c r="E608" s="1214"/>
      <c r="F608" s="1214"/>
      <c r="G608" s="1214"/>
      <c r="H608" s="1214"/>
      <c r="I608" s="1214"/>
      <c r="J608" s="1214"/>
      <c r="K608" s="1214"/>
      <c r="L608" s="1214"/>
      <c r="M608" s="1214"/>
      <c r="N608" s="336"/>
      <c r="O608" s="336"/>
      <c r="P608" s="336"/>
      <c r="Q608" s="336"/>
      <c r="X608" s="336"/>
      <c r="Y608" s="2472"/>
      <c r="Z608" s="2472"/>
      <c r="AA608" s="2472"/>
      <c r="AB608" s="2472"/>
      <c r="AC608" s="2472"/>
      <c r="AD608" s="2472"/>
      <c r="AE608" s="2472"/>
      <c r="AF608" s="2472"/>
      <c r="AG608" s="2472"/>
      <c r="AH608" s="2472"/>
      <c r="AI608" s="2472"/>
      <c r="AJ608" s="2472"/>
      <c r="AK608" s="2472"/>
      <c r="AL608" s="2472"/>
      <c r="AM608" s="2473"/>
      <c r="AN608" s="390"/>
      <c r="AO608" s="403"/>
      <c r="AT608" s="403"/>
    </row>
    <row r="609" spans="1:42" s="349" customFormat="1" ht="12.75" customHeight="1">
      <c r="B609" s="336"/>
      <c r="C609" s="685"/>
      <c r="D609" s="336" t="s">
        <v>2498</v>
      </c>
      <c r="E609" s="1214"/>
      <c r="F609" s="1214"/>
      <c r="G609" s="1214"/>
      <c r="H609" s="1214"/>
      <c r="I609" s="1214"/>
      <c r="J609" s="1214"/>
      <c r="K609" s="1214"/>
      <c r="L609" s="1214"/>
      <c r="M609" s="1214"/>
      <c r="N609" s="336"/>
      <c r="O609" s="336"/>
      <c r="P609" s="336"/>
      <c r="Q609" s="336"/>
      <c r="R609" s="336"/>
      <c r="S609" s="336"/>
      <c r="T609" s="336"/>
      <c r="U609" s="336"/>
      <c r="V609" s="336"/>
      <c r="W609" s="336"/>
      <c r="X609" s="336"/>
      <c r="Y609" s="336"/>
      <c r="Z609" s="336"/>
      <c r="AA609" s="336"/>
      <c r="AB609" s="336"/>
      <c r="AC609" s="336"/>
      <c r="AD609" s="336"/>
      <c r="AE609" s="336"/>
      <c r="AF609" s="336"/>
      <c r="AG609" s="336"/>
      <c r="AH609" s="336"/>
      <c r="AI609" s="336"/>
      <c r="AJ609" s="336"/>
      <c r="AK609" s="336"/>
      <c r="AL609" s="336"/>
      <c r="AN609" s="390"/>
    </row>
    <row r="610" spans="1:42" s="349" customFormat="1" ht="12.75" customHeight="1">
      <c r="B610" s="336"/>
      <c r="C610" s="685"/>
      <c r="D610" s="336" t="s">
        <v>2499</v>
      </c>
      <c r="E610" s="1214"/>
      <c r="F610" s="1214"/>
      <c r="G610" s="1214"/>
      <c r="H610" s="1214"/>
      <c r="I610" s="1214"/>
      <c r="J610" s="1214"/>
      <c r="K610" s="1214"/>
      <c r="L610" s="1214"/>
      <c r="M610" s="1214"/>
      <c r="N610" s="336"/>
      <c r="O610" s="336"/>
      <c r="P610" s="336"/>
      <c r="Q610" s="336"/>
      <c r="R610" s="336"/>
      <c r="S610" s="336"/>
      <c r="T610" s="336"/>
      <c r="U610" s="336"/>
      <c r="V610" s="336"/>
      <c r="W610" s="336"/>
      <c r="X610" s="336"/>
      <c r="Y610" s="336"/>
      <c r="Z610" s="336"/>
      <c r="AA610" s="336"/>
      <c r="AB610" s="336"/>
      <c r="AC610" s="336"/>
      <c r="AD610" s="336"/>
      <c r="AE610" s="336"/>
      <c r="AF610" s="336"/>
      <c r="AG610" s="336"/>
      <c r="AH610" s="336"/>
      <c r="AI610" s="336"/>
      <c r="AJ610" s="336"/>
      <c r="AK610" s="336"/>
      <c r="AL610" s="336"/>
      <c r="AN610" s="390"/>
    </row>
    <row r="611" spans="1:42" s="349" customFormat="1" ht="12.75" customHeight="1">
      <c r="B611" s="336"/>
      <c r="C611" s="685"/>
      <c r="D611" s="336" t="s">
        <v>2500</v>
      </c>
      <c r="E611" s="1214"/>
      <c r="F611" s="1214"/>
      <c r="G611" s="1214"/>
      <c r="H611" s="1214"/>
      <c r="I611" s="1214"/>
      <c r="J611" s="1214"/>
      <c r="K611" s="1214"/>
      <c r="L611" s="1214"/>
      <c r="M611" s="1214"/>
      <c r="N611" s="336"/>
      <c r="O611" s="336"/>
      <c r="P611" s="336"/>
      <c r="Q611" s="336"/>
      <c r="R611" s="336"/>
      <c r="S611" s="336"/>
      <c r="T611" s="336"/>
      <c r="U611" s="336"/>
      <c r="V611" s="336"/>
      <c r="W611" s="336"/>
      <c r="X611" s="336"/>
      <c r="Y611" s="336"/>
      <c r="Z611" s="336"/>
      <c r="AA611" s="336"/>
      <c r="AB611" s="336"/>
      <c r="AC611" s="336"/>
      <c r="AD611" s="336"/>
      <c r="AE611" s="336"/>
      <c r="AF611" s="336"/>
      <c r="AG611" s="336"/>
      <c r="AH611" s="336"/>
      <c r="AI611" s="336"/>
      <c r="AJ611" s="336"/>
      <c r="AK611" s="336"/>
      <c r="AL611" s="336"/>
      <c r="AN611" s="390"/>
    </row>
    <row r="612" spans="1:42" s="349" customFormat="1" ht="12.75" customHeight="1">
      <c r="B612" s="336"/>
      <c r="C612" s="685"/>
      <c r="D612" s="1198" t="s">
        <v>2501</v>
      </c>
      <c r="E612" s="1214"/>
      <c r="F612" s="1214"/>
      <c r="G612" s="1214"/>
      <c r="H612" s="1214"/>
      <c r="I612" s="1214"/>
      <c r="J612" s="1214"/>
      <c r="K612" s="1214"/>
      <c r="L612" s="1214"/>
      <c r="M612" s="1214"/>
      <c r="N612" s="336"/>
      <c r="O612" s="336"/>
      <c r="P612" s="336"/>
      <c r="Q612" s="336"/>
      <c r="R612" s="336"/>
      <c r="S612" s="336"/>
      <c r="T612" s="336"/>
      <c r="U612" s="336"/>
      <c r="V612" s="336"/>
      <c r="W612" s="336"/>
      <c r="X612" s="336"/>
      <c r="Y612" s="336"/>
      <c r="Z612" s="336"/>
      <c r="AA612" s="336"/>
      <c r="AB612" s="336"/>
      <c r="AC612" s="336"/>
      <c r="AD612" s="336"/>
      <c r="AE612" s="336"/>
      <c r="AF612" s="336"/>
      <c r="AG612" s="336"/>
      <c r="AH612" s="336"/>
      <c r="AI612" s="336"/>
      <c r="AJ612" s="336"/>
      <c r="AK612" s="336"/>
      <c r="AL612" s="336"/>
      <c r="AN612" s="390"/>
    </row>
    <row r="613" spans="1:42" s="349" customFormat="1" ht="12.75" customHeight="1">
      <c r="B613" s="336"/>
      <c r="C613" s="685"/>
      <c r="D613" s="336"/>
      <c r="E613" s="336"/>
      <c r="F613" s="336"/>
      <c r="G613" s="336"/>
      <c r="H613" s="336"/>
      <c r="I613" s="336"/>
      <c r="J613" s="336"/>
      <c r="K613" s="336"/>
      <c r="L613" s="336"/>
      <c r="M613" s="336"/>
      <c r="N613" s="336"/>
      <c r="O613" s="336"/>
      <c r="P613" s="336"/>
      <c r="Q613" s="336"/>
      <c r="R613" s="336"/>
      <c r="S613" s="336"/>
      <c r="T613" s="336"/>
      <c r="U613" s="336"/>
      <c r="V613" s="336"/>
      <c r="W613" s="336"/>
      <c r="X613" s="336"/>
      <c r="Y613" s="336"/>
      <c r="Z613" s="336"/>
      <c r="AA613" s="336"/>
      <c r="AB613" s="336"/>
      <c r="AC613" s="336"/>
      <c r="AD613" s="336"/>
      <c r="AE613" s="336"/>
      <c r="AF613" s="336"/>
      <c r="AG613" s="336"/>
      <c r="AH613" s="336"/>
      <c r="AI613" s="336"/>
      <c r="AJ613" s="336"/>
      <c r="AK613" s="336"/>
      <c r="AL613" s="336"/>
      <c r="AN613" s="390"/>
      <c r="AO613" s="349" t="s">
        <v>809</v>
      </c>
      <c r="AP613" s="461">
        <v>0</v>
      </c>
    </row>
    <row r="614" spans="1:42" s="349" customFormat="1" ht="12.75" customHeight="1">
      <c r="B614" s="336"/>
      <c r="C614" s="685"/>
      <c r="D614" s="336"/>
      <c r="E614" s="336" t="s">
        <v>2496</v>
      </c>
      <c r="F614" s="1214"/>
      <c r="G614" s="1214"/>
      <c r="I614" s="2469" t="s">
        <v>809</v>
      </c>
      <c r="J614" s="2469"/>
      <c r="K614" s="2469"/>
      <c r="L614" s="2469"/>
      <c r="M614" s="2469"/>
      <c r="N614" s="2469"/>
      <c r="O614" s="2469"/>
      <c r="P614" s="2469"/>
      <c r="Q614" s="2469"/>
      <c r="R614" s="2469"/>
      <c r="S614" s="2469"/>
      <c r="T614" s="2469"/>
      <c r="U614" s="2469"/>
      <c r="V614" s="2469"/>
      <c r="W614" s="2469"/>
      <c r="X614" s="2469"/>
      <c r="Y614" s="2469"/>
      <c r="Z614" s="2469"/>
      <c r="AA614" s="2469"/>
      <c r="AB614" s="2469"/>
      <c r="AC614" s="2469"/>
      <c r="AD614" s="2469"/>
      <c r="AE614" s="2469"/>
      <c r="AF614" s="336"/>
      <c r="AG614" s="336"/>
      <c r="AH614" s="336"/>
      <c r="AI614" s="336"/>
      <c r="AJ614" s="336"/>
      <c r="AK614" s="336"/>
      <c r="AL614" s="336"/>
      <c r="AN614" s="390"/>
      <c r="AO614" s="349" t="s">
        <v>2502</v>
      </c>
      <c r="AP614" s="349">
        <v>3</v>
      </c>
    </row>
    <row r="615" spans="1:42" s="349" customFormat="1" ht="12.75" customHeight="1">
      <c r="B615" s="336"/>
      <c r="C615" s="336"/>
      <c r="D615" s="336"/>
      <c r="E615" s="336"/>
      <c r="F615" s="432"/>
      <c r="G615" s="432"/>
      <c r="H615" s="432"/>
      <c r="I615" s="432"/>
      <c r="J615" s="432"/>
      <c r="K615" s="432"/>
      <c r="L615" s="432"/>
      <c r="M615" s="432"/>
      <c r="N615" s="432"/>
      <c r="O615" s="432"/>
      <c r="P615" s="432"/>
      <c r="Q615" s="432"/>
      <c r="R615" s="432"/>
      <c r="S615" s="432"/>
      <c r="T615" s="432"/>
      <c r="U615" s="432"/>
      <c r="V615" s="432"/>
      <c r="W615" s="432"/>
      <c r="X615" s="432"/>
      <c r="Y615" s="432"/>
      <c r="Z615" s="432"/>
      <c r="AA615" s="432"/>
      <c r="AB615" s="432"/>
      <c r="AC615" s="432"/>
      <c r="AD615" s="432"/>
      <c r="AE615" s="432"/>
      <c r="AF615" s="432"/>
      <c r="AG615" s="432"/>
      <c r="AH615" s="432"/>
      <c r="AI615" s="432"/>
      <c r="AJ615" s="432"/>
      <c r="AK615" s="432"/>
      <c r="AL615" s="432"/>
      <c r="AN615" s="390"/>
      <c r="AO615" s="349" t="s">
        <v>2503</v>
      </c>
      <c r="AP615" s="349">
        <v>2</v>
      </c>
    </row>
    <row r="616" spans="1:42" s="349" customFormat="1" ht="12.75" customHeight="1">
      <c r="B616" s="2326" t="s">
        <v>809</v>
      </c>
      <c r="C616" s="2326"/>
      <c r="D616" s="432"/>
      <c r="E616" s="2354" t="s">
        <v>2504</v>
      </c>
      <c r="F616" s="2354"/>
      <c r="G616" s="2354"/>
      <c r="H616" s="2354"/>
      <c r="I616" s="2354"/>
      <c r="J616" s="2354"/>
      <c r="K616" s="2354"/>
      <c r="L616" s="2354"/>
      <c r="M616" s="2354"/>
      <c r="N616" s="2354"/>
      <c r="O616" s="2354"/>
      <c r="P616" s="2354"/>
      <c r="Q616" s="2354"/>
      <c r="R616" s="2354"/>
      <c r="S616" s="2354"/>
      <c r="T616" s="2354"/>
      <c r="U616" s="2354"/>
      <c r="V616" s="2354"/>
      <c r="W616" s="2354"/>
      <c r="X616" s="2354"/>
      <c r="Y616" s="2354"/>
      <c r="Z616" s="2354"/>
      <c r="AA616" s="2354"/>
      <c r="AB616" s="2354"/>
      <c r="AC616" s="2354"/>
      <c r="AD616" s="2354"/>
      <c r="AE616" s="2354"/>
      <c r="AF616" s="2354"/>
      <c r="AG616" s="2354"/>
      <c r="AH616" s="432"/>
      <c r="AI616" s="432"/>
      <c r="AJ616" s="432"/>
      <c r="AK616" s="432"/>
      <c r="AL616" s="432"/>
      <c r="AN616" s="390"/>
    </row>
    <row r="617" spans="1:42" s="349" customFormat="1" ht="12.75" customHeight="1">
      <c r="B617" s="336"/>
      <c r="C617" s="685"/>
      <c r="D617" s="432"/>
      <c r="E617" s="2354"/>
      <c r="F617" s="2354"/>
      <c r="G617" s="2354"/>
      <c r="H617" s="2354"/>
      <c r="I617" s="2354"/>
      <c r="J617" s="2354"/>
      <c r="K617" s="2354"/>
      <c r="L617" s="2354"/>
      <c r="M617" s="2354"/>
      <c r="N617" s="2354"/>
      <c r="O617" s="2354"/>
      <c r="P617" s="2354"/>
      <c r="Q617" s="2354"/>
      <c r="R617" s="2354"/>
      <c r="S617" s="2354"/>
      <c r="T617" s="2354"/>
      <c r="U617" s="2354"/>
      <c r="V617" s="2354"/>
      <c r="W617" s="2354"/>
      <c r="X617" s="2354"/>
      <c r="Y617" s="2354"/>
      <c r="Z617" s="2354"/>
      <c r="AA617" s="2354"/>
      <c r="AB617" s="2354"/>
      <c r="AC617" s="2354"/>
      <c r="AD617" s="2354"/>
      <c r="AE617" s="2354"/>
      <c r="AF617" s="2354"/>
      <c r="AG617" s="2354"/>
      <c r="AH617" s="432"/>
      <c r="AI617" s="432"/>
      <c r="AJ617" s="432"/>
      <c r="AK617" s="432"/>
      <c r="AL617" s="432"/>
      <c r="AN617" s="390"/>
    </row>
    <row r="618" spans="1:42" s="349" customFormat="1" ht="12.75" customHeight="1">
      <c r="B618" s="336"/>
      <c r="C618" s="685"/>
      <c r="D618" s="432"/>
      <c r="E618" s="2354"/>
      <c r="F618" s="2354"/>
      <c r="G618" s="2354"/>
      <c r="H618" s="2354"/>
      <c r="I618" s="2354"/>
      <c r="J618" s="2354"/>
      <c r="K618" s="2354"/>
      <c r="L618" s="2354"/>
      <c r="M618" s="2354"/>
      <c r="N618" s="2354"/>
      <c r="O618" s="2354"/>
      <c r="P618" s="2354"/>
      <c r="Q618" s="2354"/>
      <c r="R618" s="2354"/>
      <c r="S618" s="2354"/>
      <c r="T618" s="2354"/>
      <c r="U618" s="2354"/>
      <c r="V618" s="2354"/>
      <c r="W618" s="2354"/>
      <c r="X618" s="2354"/>
      <c r="Y618" s="2354"/>
      <c r="Z618" s="2354"/>
      <c r="AA618" s="2354"/>
      <c r="AB618" s="2354"/>
      <c r="AC618" s="2354"/>
      <c r="AD618" s="2354"/>
      <c r="AE618" s="2354"/>
      <c r="AF618" s="2354"/>
      <c r="AG618" s="2354"/>
      <c r="AH618" s="432"/>
      <c r="AI618" s="432"/>
      <c r="AJ618" s="432"/>
      <c r="AK618" s="432"/>
      <c r="AL618" s="432"/>
      <c r="AN618" s="390"/>
    </row>
    <row r="619" spans="1:42" s="349" customFormat="1" ht="12.75" customHeight="1">
      <c r="B619" s="336"/>
      <c r="C619" s="685"/>
      <c r="D619" s="432"/>
      <c r="E619" s="2354"/>
      <c r="F619" s="2354"/>
      <c r="G619" s="2354"/>
      <c r="H619" s="2354"/>
      <c r="I619" s="2354"/>
      <c r="J619" s="2354"/>
      <c r="K619" s="2354"/>
      <c r="L619" s="2354"/>
      <c r="M619" s="2354"/>
      <c r="N619" s="2354"/>
      <c r="O619" s="2354"/>
      <c r="P619" s="2354"/>
      <c r="Q619" s="2354"/>
      <c r="R619" s="2354"/>
      <c r="S619" s="2354"/>
      <c r="T619" s="2354"/>
      <c r="U619" s="2354"/>
      <c r="V619" s="2354"/>
      <c r="W619" s="2354"/>
      <c r="X619" s="2354"/>
      <c r="Y619" s="2354"/>
      <c r="Z619" s="2354"/>
      <c r="AA619" s="2354"/>
      <c r="AB619" s="2354"/>
      <c r="AC619" s="2354"/>
      <c r="AD619" s="2354"/>
      <c r="AE619" s="2354"/>
      <c r="AF619" s="2354"/>
      <c r="AG619" s="2354"/>
      <c r="AH619" s="432"/>
      <c r="AI619" s="432"/>
      <c r="AJ619" s="432"/>
      <c r="AK619" s="432"/>
      <c r="AL619" s="432"/>
      <c r="AN619" s="390"/>
    </row>
    <row r="620" spans="1:42" s="349" customFormat="1" ht="12.75" customHeight="1">
      <c r="B620" s="336"/>
      <c r="C620" s="685"/>
      <c r="D620" s="688"/>
      <c r="E620" s="706"/>
      <c r="F620" s="706"/>
      <c r="G620" s="706"/>
      <c r="H620" s="706"/>
      <c r="I620" s="706"/>
      <c r="J620" s="706"/>
      <c r="K620" s="706"/>
      <c r="L620" s="706"/>
      <c r="M620" s="706"/>
      <c r="N620" s="706"/>
      <c r="O620" s="706"/>
      <c r="P620" s="706"/>
      <c r="Q620" s="706"/>
      <c r="R620" s="706"/>
      <c r="S620" s="706"/>
      <c r="T620" s="706"/>
      <c r="U620" s="706"/>
      <c r="V620" s="706"/>
      <c r="W620" s="706"/>
      <c r="X620" s="706"/>
      <c r="Y620" s="706"/>
      <c r="Z620" s="706"/>
      <c r="AA620" s="706"/>
      <c r="AB620" s="706"/>
      <c r="AC620" s="706"/>
      <c r="AD620" s="706"/>
      <c r="AE620" s="706"/>
      <c r="AF620" s="706"/>
      <c r="AG620" s="706"/>
      <c r="AH620" s="688"/>
      <c r="AI620" s="688"/>
      <c r="AJ620" s="688"/>
      <c r="AK620" s="688"/>
      <c r="AL620" s="432"/>
      <c r="AN620" s="390"/>
    </row>
    <row r="621" spans="1:42" s="349" customFormat="1" ht="12.75" customHeight="1">
      <c r="A621" s="398"/>
      <c r="B621" s="394"/>
      <c r="C621" s="689"/>
      <c r="D621" s="394"/>
      <c r="E621" s="690"/>
      <c r="F621" s="690"/>
      <c r="G621" s="690"/>
      <c r="H621" s="690"/>
      <c r="I621" s="690"/>
      <c r="J621" s="690"/>
      <c r="K621" s="690"/>
      <c r="L621" s="690"/>
      <c r="M621" s="690"/>
      <c r="N621" s="690"/>
      <c r="O621" s="690"/>
      <c r="P621" s="690"/>
      <c r="Q621" s="690"/>
      <c r="R621" s="690"/>
      <c r="S621" s="690"/>
      <c r="T621" s="690"/>
      <c r="U621" s="690"/>
      <c r="V621" s="690"/>
      <c r="W621" s="690"/>
      <c r="X621" s="690"/>
      <c r="Y621" s="690"/>
      <c r="Z621" s="690"/>
      <c r="AA621" s="690"/>
      <c r="AB621" s="394"/>
      <c r="AC621" s="394"/>
      <c r="AD621" s="394"/>
      <c r="AE621" s="394"/>
      <c r="AF621" s="394"/>
      <c r="AG621" s="394"/>
      <c r="AH621" s="394"/>
      <c r="AI621" s="362" t="s">
        <v>2505</v>
      </c>
      <c r="AJ621" s="2361">
        <f>VLOOKUP($H$606,$AO$586:$AP$591,2,FALSE)+IF(R606=AO594,0,VLOOKUP($I$614,$AO$613:$AP$615,2,FALSE))</f>
        <v>7</v>
      </c>
      <c r="AK621" s="2363"/>
      <c r="AL621" s="388"/>
      <c r="AM621" s="463"/>
      <c r="AN621" s="390"/>
    </row>
    <row r="622" spans="1:42" s="349" customFormat="1" ht="12.75" customHeight="1">
      <c r="B622" s="336"/>
      <c r="C622" s="685"/>
      <c r="D622" s="336"/>
      <c r="E622" s="1214"/>
      <c r="F622" s="1214"/>
      <c r="G622" s="1214"/>
      <c r="H622" s="1214"/>
      <c r="I622" s="1214"/>
      <c r="J622" s="1214"/>
      <c r="K622" s="1214"/>
      <c r="L622" s="1214"/>
      <c r="M622" s="1214"/>
      <c r="N622" s="1214"/>
      <c r="O622" s="1214"/>
      <c r="P622" s="1214"/>
      <c r="Q622" s="1214"/>
      <c r="R622" s="1214"/>
      <c r="S622" s="1214"/>
      <c r="T622" s="1214"/>
      <c r="U622" s="1214"/>
      <c r="V622" s="1214"/>
      <c r="W622" s="1214"/>
      <c r="X622" s="1214"/>
      <c r="Y622" s="1214"/>
      <c r="Z622" s="1214"/>
      <c r="AA622" s="1214"/>
      <c r="AB622" s="1214"/>
      <c r="AC622" s="336"/>
      <c r="AD622" s="336"/>
      <c r="AE622" s="1214"/>
      <c r="AF622" s="1214"/>
      <c r="AG622" s="1214"/>
      <c r="AH622" s="1214"/>
      <c r="AI622" s="1214"/>
      <c r="AJ622" s="1214"/>
      <c r="AK622" s="1214"/>
      <c r="AL622" s="1214"/>
      <c r="AM622" s="463"/>
      <c r="AN622" s="390"/>
    </row>
    <row r="623" spans="1:42" s="349" customFormat="1" ht="12.75" customHeight="1">
      <c r="B623" s="336"/>
      <c r="C623" s="339" t="s">
        <v>2506</v>
      </c>
      <c r="D623" s="339"/>
      <c r="E623" s="1214"/>
      <c r="F623" s="1214"/>
      <c r="G623" s="1214"/>
      <c r="H623" s="1214"/>
      <c r="I623" s="1214"/>
      <c r="J623" s="1214"/>
      <c r="K623" s="1214"/>
      <c r="L623" s="1214"/>
      <c r="M623" s="1214"/>
      <c r="N623" s="1214"/>
      <c r="O623" s="1214"/>
      <c r="P623" s="1214"/>
      <c r="Q623" s="1214"/>
      <c r="R623" s="1214"/>
      <c r="S623" s="1214"/>
      <c r="T623" s="1214"/>
      <c r="U623" s="1214"/>
      <c r="V623" s="1214"/>
      <c r="W623" s="1214"/>
      <c r="X623" s="1214"/>
      <c r="Y623" s="1214"/>
      <c r="Z623" s="1214"/>
      <c r="AA623" s="1214"/>
      <c r="AB623" s="1214"/>
      <c r="AC623" s="336"/>
      <c r="AD623" s="336"/>
      <c r="AE623" s="336"/>
      <c r="AF623" s="336"/>
      <c r="AG623" s="336"/>
      <c r="AH623" s="336"/>
      <c r="AI623" s="336"/>
      <c r="AJ623" s="336"/>
      <c r="AK623" s="336"/>
      <c r="AL623" s="336"/>
      <c r="AN623" s="390"/>
    </row>
    <row r="624" spans="1:42" s="349" customFormat="1" ht="12.75" customHeight="1">
      <c r="B624" s="402"/>
      <c r="C624" s="336"/>
      <c r="D624" s="687"/>
      <c r="E624" s="1214"/>
      <c r="F624" s="1214"/>
      <c r="G624" s="1214"/>
      <c r="H624" s="1214"/>
      <c r="I624" s="1214"/>
      <c r="J624" s="1214"/>
      <c r="K624" s="1214"/>
      <c r="L624" s="1214"/>
      <c r="M624" s="1214"/>
      <c r="N624" s="1214"/>
      <c r="O624" s="1214"/>
      <c r="P624" s="1214"/>
      <c r="Q624" s="1214"/>
      <c r="R624" s="1214"/>
      <c r="S624" s="1214"/>
      <c r="T624" s="1214"/>
      <c r="U624" s="1214"/>
      <c r="V624" s="1214"/>
      <c r="W624" s="1214"/>
      <c r="X624" s="1214"/>
      <c r="Y624" s="1214"/>
      <c r="Z624" s="1214"/>
      <c r="AA624" s="1214"/>
      <c r="AB624" s="1214"/>
      <c r="AC624" s="336"/>
      <c r="AD624" s="336"/>
      <c r="AE624" s="336"/>
      <c r="AF624" s="336"/>
      <c r="AG624" s="336"/>
      <c r="AH624" s="336"/>
      <c r="AI624" s="336"/>
      <c r="AJ624" s="336"/>
      <c r="AK624" s="336"/>
      <c r="AL624" s="336"/>
      <c r="AN624" s="390"/>
    </row>
    <row r="625" spans="1:42" s="389" customFormat="1" ht="12.75" customHeight="1">
      <c r="A625" s="349"/>
      <c r="B625" s="336"/>
      <c r="C625" s="336"/>
      <c r="D625" s="451" t="s">
        <v>22</v>
      </c>
      <c r="E625" s="2468" t="s">
        <v>2507</v>
      </c>
      <c r="F625" s="2468"/>
      <c r="G625" s="2468"/>
      <c r="H625" s="2468"/>
      <c r="I625" s="2468"/>
      <c r="J625" s="2468"/>
      <c r="K625" s="2468"/>
      <c r="L625" s="2468"/>
      <c r="M625" s="2468"/>
      <c r="N625" s="2468"/>
      <c r="O625" s="2468"/>
      <c r="P625" s="2468"/>
      <c r="Q625" s="2468"/>
      <c r="R625" s="2468"/>
      <c r="S625" s="2468"/>
      <c r="T625" s="2468"/>
      <c r="U625" s="2468"/>
      <c r="V625" s="2468"/>
      <c r="W625" s="2468"/>
      <c r="X625" s="2468"/>
      <c r="Y625" s="2468"/>
      <c r="Z625" s="2468"/>
      <c r="AA625" s="2468"/>
      <c r="AB625" s="2468"/>
      <c r="AC625" s="2468"/>
      <c r="AD625" s="2468"/>
      <c r="AE625" s="339"/>
      <c r="AF625" s="2454" t="s">
        <v>2222</v>
      </c>
      <c r="AG625" s="2454"/>
      <c r="AH625" s="2454"/>
      <c r="AI625" s="2454"/>
      <c r="AJ625" s="2454"/>
      <c r="AK625" s="2454"/>
      <c r="AL625" s="2454"/>
      <c r="AM625" s="349"/>
      <c r="AN625" s="466"/>
    </row>
    <row r="626" spans="1:42" s="349" customFormat="1" ht="12.75" customHeight="1">
      <c r="A626" s="1212"/>
      <c r="B626" s="336"/>
      <c r="C626" s="685"/>
      <c r="D626" s="451"/>
      <c r="E626" s="2468"/>
      <c r="F626" s="2468"/>
      <c r="G626" s="2468"/>
      <c r="H626" s="2468"/>
      <c r="I626" s="2468"/>
      <c r="J626" s="2468"/>
      <c r="K626" s="2468"/>
      <c r="L626" s="2468"/>
      <c r="M626" s="2468"/>
      <c r="N626" s="2468"/>
      <c r="O626" s="2468"/>
      <c r="P626" s="2468"/>
      <c r="Q626" s="2468"/>
      <c r="R626" s="2468"/>
      <c r="S626" s="2468"/>
      <c r="T626" s="2468"/>
      <c r="U626" s="2468"/>
      <c r="V626" s="2468"/>
      <c r="W626" s="2468"/>
      <c r="X626" s="2468"/>
      <c r="Y626" s="2468"/>
      <c r="Z626" s="2468"/>
      <c r="AA626" s="2468"/>
      <c r="AB626" s="2468"/>
      <c r="AC626" s="2468"/>
      <c r="AD626" s="2468"/>
      <c r="AE626" s="336"/>
      <c r="AF626" s="336"/>
      <c r="AG626" s="336"/>
      <c r="AH626" s="336"/>
      <c r="AI626" s="336"/>
      <c r="AJ626" s="336"/>
      <c r="AK626" s="336"/>
      <c r="AL626" s="336"/>
      <c r="AN626" s="390"/>
    </row>
    <row r="627" spans="1:42" s="349" customFormat="1" ht="12.75" customHeight="1">
      <c r="B627" s="336"/>
      <c r="C627" s="683"/>
      <c r="D627" s="451"/>
      <c r="E627" s="2468"/>
      <c r="F627" s="2468"/>
      <c r="G627" s="2468"/>
      <c r="H627" s="2468"/>
      <c r="I627" s="2468"/>
      <c r="J627" s="2468"/>
      <c r="K627" s="2468"/>
      <c r="L627" s="2468"/>
      <c r="M627" s="2468"/>
      <c r="N627" s="2468"/>
      <c r="O627" s="2468"/>
      <c r="P627" s="2468"/>
      <c r="Q627" s="2468"/>
      <c r="R627" s="2468"/>
      <c r="S627" s="2468"/>
      <c r="T627" s="2468"/>
      <c r="U627" s="2468"/>
      <c r="V627" s="2468"/>
      <c r="W627" s="2468"/>
      <c r="X627" s="2468"/>
      <c r="Y627" s="2468"/>
      <c r="Z627" s="2468"/>
      <c r="AA627" s="2468"/>
      <c r="AB627" s="2468"/>
      <c r="AC627" s="2468"/>
      <c r="AD627" s="2468"/>
      <c r="AE627" s="336"/>
      <c r="AF627" s="336"/>
      <c r="AG627" s="336"/>
      <c r="AH627" s="336"/>
      <c r="AI627" s="336"/>
      <c r="AJ627" s="336"/>
      <c r="AK627" s="336"/>
      <c r="AL627" s="336"/>
      <c r="AN627" s="390"/>
    </row>
    <row r="628" spans="1:42" s="349" customFormat="1" ht="12.75" customHeight="1">
      <c r="B628" s="336"/>
      <c r="C628" s="683"/>
      <c r="D628" s="451"/>
      <c r="E628" s="2468"/>
      <c r="F628" s="2468"/>
      <c r="G628" s="2468"/>
      <c r="H628" s="2468"/>
      <c r="I628" s="2468"/>
      <c r="J628" s="2468"/>
      <c r="K628" s="2468"/>
      <c r="L628" s="2468"/>
      <c r="M628" s="2468"/>
      <c r="N628" s="2468"/>
      <c r="O628" s="2468"/>
      <c r="P628" s="2468"/>
      <c r="Q628" s="2468"/>
      <c r="R628" s="2468"/>
      <c r="S628" s="2468"/>
      <c r="T628" s="2468"/>
      <c r="U628" s="2468"/>
      <c r="V628" s="2468"/>
      <c r="W628" s="2468"/>
      <c r="X628" s="2468"/>
      <c r="Y628" s="2468"/>
      <c r="Z628" s="2468"/>
      <c r="AA628" s="2468"/>
      <c r="AB628" s="2468"/>
      <c r="AC628" s="2468"/>
      <c r="AD628" s="2468"/>
      <c r="AE628" s="336"/>
      <c r="AF628" s="336"/>
      <c r="AG628" s="336"/>
      <c r="AH628" s="336"/>
      <c r="AI628" s="336"/>
      <c r="AJ628" s="336"/>
      <c r="AK628" s="336"/>
      <c r="AL628" s="336"/>
      <c r="AN628" s="390"/>
    </row>
    <row r="629" spans="1:42" s="349" customFormat="1" ht="12.75" customHeight="1">
      <c r="B629" s="336"/>
      <c r="C629" s="683"/>
      <c r="D629" s="451"/>
      <c r="E629" s="2468"/>
      <c r="F629" s="2468"/>
      <c r="G629" s="2468"/>
      <c r="H629" s="2468"/>
      <c r="I629" s="2468"/>
      <c r="J629" s="2468"/>
      <c r="K629" s="2468"/>
      <c r="L629" s="2468"/>
      <c r="M629" s="2468"/>
      <c r="N629" s="2468"/>
      <c r="O629" s="2468"/>
      <c r="P629" s="2468"/>
      <c r="Q629" s="2468"/>
      <c r="R629" s="2468"/>
      <c r="S629" s="2468"/>
      <c r="T629" s="2468"/>
      <c r="U629" s="2468"/>
      <c r="V629" s="2468"/>
      <c r="W629" s="2468"/>
      <c r="X629" s="2468"/>
      <c r="Y629" s="2468"/>
      <c r="Z629" s="2468"/>
      <c r="AA629" s="2468"/>
      <c r="AB629" s="2468"/>
      <c r="AC629" s="2468"/>
      <c r="AD629" s="2468"/>
      <c r="AE629" s="336"/>
      <c r="AF629" s="336"/>
      <c r="AG629" s="336"/>
      <c r="AH629" s="336"/>
      <c r="AI629" s="336"/>
      <c r="AJ629" s="336"/>
      <c r="AK629" s="336"/>
      <c r="AL629" s="336"/>
      <c r="AN629" s="390"/>
    </row>
    <row r="630" spans="1:42" s="349" customFormat="1" ht="12.75" customHeight="1">
      <c r="B630" s="336"/>
      <c r="C630" s="683"/>
      <c r="D630" s="451"/>
      <c r="E630" s="2468"/>
      <c r="F630" s="2468"/>
      <c r="G630" s="2468"/>
      <c r="H630" s="2468"/>
      <c r="I630" s="2468"/>
      <c r="J630" s="2468"/>
      <c r="K630" s="2468"/>
      <c r="L630" s="2468"/>
      <c r="M630" s="2468"/>
      <c r="N630" s="2468"/>
      <c r="O630" s="2468"/>
      <c r="P630" s="2468"/>
      <c r="Q630" s="2468"/>
      <c r="R630" s="2468"/>
      <c r="S630" s="2468"/>
      <c r="T630" s="2468"/>
      <c r="U630" s="2468"/>
      <c r="V630" s="2468"/>
      <c r="W630" s="2468"/>
      <c r="X630" s="2468"/>
      <c r="Y630" s="2468"/>
      <c r="Z630" s="2468"/>
      <c r="AA630" s="2468"/>
      <c r="AB630" s="2468"/>
      <c r="AC630" s="2468"/>
      <c r="AD630" s="2468"/>
      <c r="AE630" s="336"/>
      <c r="AF630" s="336"/>
      <c r="AG630" s="336"/>
      <c r="AH630" s="336"/>
      <c r="AI630" s="336"/>
      <c r="AJ630" s="336"/>
      <c r="AK630" s="336"/>
      <c r="AL630" s="336"/>
      <c r="AN630" s="390"/>
    </row>
    <row r="631" spans="1:42" s="349" customFormat="1" ht="12.75" customHeight="1">
      <c r="A631" s="428"/>
      <c r="B631" s="407"/>
      <c r="C631" s="691"/>
      <c r="D631" s="451"/>
      <c r="E631" s="2468"/>
      <c r="F631" s="2468"/>
      <c r="G631" s="2468"/>
      <c r="H631" s="2468"/>
      <c r="I631" s="2468"/>
      <c r="J631" s="2468"/>
      <c r="K631" s="2468"/>
      <c r="L631" s="2468"/>
      <c r="M631" s="2468"/>
      <c r="N631" s="2468"/>
      <c r="O631" s="2468"/>
      <c r="P631" s="2468"/>
      <c r="Q631" s="2468"/>
      <c r="R631" s="2468"/>
      <c r="S631" s="2468"/>
      <c r="T631" s="2468"/>
      <c r="U631" s="2468"/>
      <c r="V631" s="2468"/>
      <c r="W631" s="2468"/>
      <c r="X631" s="2468"/>
      <c r="Y631" s="2468"/>
      <c r="Z631" s="2468"/>
      <c r="AA631" s="2468"/>
      <c r="AB631" s="2468"/>
      <c r="AC631" s="2468"/>
      <c r="AD631" s="2468"/>
      <c r="AE631" s="407"/>
      <c r="AF631" s="407"/>
      <c r="AG631" s="407"/>
      <c r="AH631" s="407"/>
      <c r="AI631" s="407"/>
      <c r="AJ631" s="407"/>
      <c r="AK631" s="336"/>
      <c r="AL631" s="336"/>
      <c r="AN631" s="390"/>
    </row>
    <row r="632" spans="1:42" s="349" customFormat="1" ht="12.75" customHeight="1">
      <c r="B632" s="407"/>
      <c r="C632" s="691"/>
      <c r="D632" s="451"/>
      <c r="E632" s="2468"/>
      <c r="F632" s="2468"/>
      <c r="G632" s="2468"/>
      <c r="H632" s="2468"/>
      <c r="I632" s="2468"/>
      <c r="J632" s="2468"/>
      <c r="K632" s="2468"/>
      <c r="L632" s="2468"/>
      <c r="M632" s="2468"/>
      <c r="N632" s="2468"/>
      <c r="O632" s="2468"/>
      <c r="P632" s="2468"/>
      <c r="Q632" s="2468"/>
      <c r="R632" s="2468"/>
      <c r="S632" s="2468"/>
      <c r="T632" s="2468"/>
      <c r="U632" s="2468"/>
      <c r="V632" s="2468"/>
      <c r="W632" s="2468"/>
      <c r="X632" s="2468"/>
      <c r="Y632" s="2468"/>
      <c r="Z632" s="2468"/>
      <c r="AA632" s="2468"/>
      <c r="AB632" s="2468"/>
      <c r="AC632" s="2468"/>
      <c r="AD632" s="2468"/>
      <c r="AE632" s="407"/>
      <c r="AF632" s="407"/>
      <c r="AG632" s="407"/>
      <c r="AH632" s="407"/>
      <c r="AI632" s="407"/>
      <c r="AJ632" s="407"/>
      <c r="AK632" s="336"/>
      <c r="AL632" s="336"/>
      <c r="AN632" s="390"/>
    </row>
    <row r="633" spans="1:42" s="349" customFormat="1" ht="12" customHeight="1">
      <c r="B633" s="407"/>
      <c r="C633" s="691"/>
      <c r="D633" s="451"/>
      <c r="E633" s="1211"/>
      <c r="F633" s="1211"/>
      <c r="G633" s="1211"/>
      <c r="H633" s="1211"/>
      <c r="I633" s="1211"/>
      <c r="J633" s="1211"/>
      <c r="K633" s="1211"/>
      <c r="L633" s="1211"/>
      <c r="M633" s="1211"/>
      <c r="N633" s="1211"/>
      <c r="O633" s="1211"/>
      <c r="P633" s="1211"/>
      <c r="Q633" s="1211"/>
      <c r="R633" s="1211"/>
      <c r="S633" s="1211"/>
      <c r="T633" s="1211"/>
      <c r="U633" s="1211"/>
      <c r="V633" s="1211"/>
      <c r="W633" s="1211"/>
      <c r="X633" s="1211"/>
      <c r="Y633" s="1211"/>
      <c r="Z633" s="1211"/>
      <c r="AA633" s="1211"/>
      <c r="AB633" s="1211"/>
      <c r="AC633" s="1211"/>
      <c r="AD633" s="1211"/>
      <c r="AE633" s="407"/>
      <c r="AF633" s="407"/>
      <c r="AG633" s="407"/>
      <c r="AH633" s="407"/>
      <c r="AI633" s="407"/>
      <c r="AJ633" s="407"/>
      <c r="AK633" s="336"/>
      <c r="AL633" s="336"/>
      <c r="AN633" s="390"/>
      <c r="AO633" s="349" t="s">
        <v>809</v>
      </c>
      <c r="AP633" s="461">
        <v>0</v>
      </c>
    </row>
    <row r="634" spans="1:42" s="349" customFormat="1" ht="12.75" customHeight="1">
      <c r="B634" s="407"/>
      <c r="C634" s="683"/>
      <c r="D634" s="451"/>
      <c r="E634" s="407" t="s">
        <v>2508</v>
      </c>
      <c r="F634" s="692"/>
      <c r="G634" s="692"/>
      <c r="H634" s="692"/>
      <c r="I634" s="692"/>
      <c r="J634" s="692"/>
      <c r="K634" s="692"/>
      <c r="L634" s="692"/>
      <c r="M634" s="692"/>
      <c r="N634" s="692"/>
      <c r="O634" s="692"/>
      <c r="P634" s="692"/>
      <c r="Q634" s="692"/>
      <c r="R634" s="692"/>
      <c r="U634" s="692"/>
      <c r="V634" s="692"/>
      <c r="W634" s="692"/>
      <c r="X634" s="2326" t="s">
        <v>809</v>
      </c>
      <c r="Y634" s="2326"/>
      <c r="Z634" s="692"/>
      <c r="AA634" s="692"/>
      <c r="AB634" s="692"/>
      <c r="AC634" s="692"/>
      <c r="AD634" s="692"/>
      <c r="AE634" s="336"/>
      <c r="AF634" s="407"/>
      <c r="AG634" s="407"/>
      <c r="AH634" s="407"/>
      <c r="AI634" s="407"/>
      <c r="AJ634" s="407"/>
      <c r="AK634" s="336"/>
      <c r="AL634" s="336"/>
      <c r="AN634" s="390"/>
      <c r="AO634" s="403" t="s">
        <v>22</v>
      </c>
      <c r="AP634" s="349">
        <v>5</v>
      </c>
    </row>
    <row r="635" spans="1:42" s="349" customFormat="1" ht="12.75" customHeight="1">
      <c r="B635" s="407"/>
      <c r="C635" s="691"/>
      <c r="D635" s="336"/>
      <c r="E635" s="336"/>
      <c r="F635" s="336"/>
      <c r="G635" s="336"/>
      <c r="H635" s="336"/>
      <c r="I635" s="336"/>
      <c r="J635" s="336"/>
      <c r="K635" s="336"/>
      <c r="L635" s="336"/>
      <c r="M635" s="336"/>
      <c r="N635" s="336"/>
      <c r="O635" s="336"/>
      <c r="P635" s="336"/>
      <c r="Q635" s="336"/>
      <c r="R635" s="336"/>
      <c r="S635" s="336"/>
      <c r="T635" s="336"/>
      <c r="U635" s="336"/>
      <c r="V635" s="336"/>
      <c r="W635" s="407"/>
      <c r="X635" s="407"/>
      <c r="Y635" s="407"/>
      <c r="Z635" s="407"/>
      <c r="AA635" s="407"/>
      <c r="AB635" s="407"/>
      <c r="AC635" s="336"/>
      <c r="AD635" s="336"/>
      <c r="AE635" s="336"/>
      <c r="AF635" s="336"/>
      <c r="AG635" s="336"/>
      <c r="AH635" s="336"/>
      <c r="AI635" s="336"/>
      <c r="AJ635" s="336"/>
      <c r="AK635" s="336"/>
      <c r="AL635" s="336"/>
      <c r="AN635" s="390"/>
      <c r="AO635" s="403" t="s">
        <v>27</v>
      </c>
      <c r="AP635" s="467">
        <v>4</v>
      </c>
    </row>
    <row r="636" spans="1:42" s="349" customFormat="1" ht="12.75" customHeight="1">
      <c r="B636" s="336"/>
      <c r="C636" s="683"/>
      <c r="D636" s="451" t="s">
        <v>27</v>
      </c>
      <c r="E636" s="352" t="s">
        <v>2509</v>
      </c>
      <c r="F636" s="693"/>
      <c r="G636" s="693"/>
      <c r="H636" s="693"/>
      <c r="I636" s="693"/>
      <c r="J636" s="693"/>
      <c r="K636" s="693"/>
      <c r="L636" s="693"/>
      <c r="M636" s="693"/>
      <c r="N636" s="693"/>
      <c r="O636" s="693"/>
      <c r="P636" s="693"/>
      <c r="Q636" s="693"/>
      <c r="R636" s="693"/>
      <c r="S636" s="693"/>
      <c r="T636" s="693"/>
      <c r="U636" s="336"/>
      <c r="V636" s="336"/>
      <c r="W636" s="693"/>
      <c r="X636" s="693"/>
      <c r="Y636" s="693"/>
      <c r="Z636" s="693"/>
      <c r="AA636" s="693"/>
      <c r="AB636" s="693"/>
      <c r="AC636" s="336"/>
      <c r="AD636" s="336"/>
      <c r="AE636" s="336"/>
      <c r="AF636" s="2454" t="s">
        <v>2510</v>
      </c>
      <c r="AG636" s="2454"/>
      <c r="AH636" s="2454"/>
      <c r="AI636" s="2454"/>
      <c r="AJ636" s="2454"/>
      <c r="AK636" s="2454"/>
      <c r="AL636" s="2454"/>
      <c r="AN636" s="390"/>
      <c r="AO636" s="403" t="s">
        <v>49</v>
      </c>
      <c r="AP636" s="349">
        <v>3</v>
      </c>
    </row>
    <row r="637" spans="1:42" s="349" customFormat="1" ht="12.75" customHeight="1">
      <c r="B637" s="336"/>
      <c r="C637" s="683"/>
      <c r="D637" s="336"/>
      <c r="E637" s="336"/>
      <c r="F637" s="693"/>
      <c r="G637" s="693"/>
      <c r="H637" s="693"/>
      <c r="I637" s="693"/>
      <c r="J637" s="693"/>
      <c r="K637" s="693"/>
      <c r="L637" s="693"/>
      <c r="M637" s="693"/>
      <c r="N637" s="693"/>
      <c r="O637" s="693"/>
      <c r="P637" s="693"/>
      <c r="Q637" s="693"/>
      <c r="R637" s="693"/>
      <c r="S637" s="693"/>
      <c r="T637" s="693"/>
      <c r="U637" s="336"/>
      <c r="V637" s="336"/>
      <c r="W637" s="336"/>
      <c r="X637" s="693"/>
      <c r="Y637" s="693"/>
      <c r="Z637" s="693"/>
      <c r="AA637" s="693"/>
      <c r="AB637" s="693"/>
      <c r="AC637" s="336"/>
      <c r="AD637" s="336"/>
      <c r="AE637" s="336"/>
      <c r="AF637" s="336"/>
      <c r="AG637" s="336"/>
      <c r="AH637" s="336"/>
      <c r="AI637" s="336"/>
      <c r="AJ637" s="336"/>
      <c r="AK637" s="336"/>
      <c r="AL637" s="336"/>
      <c r="AN637" s="390"/>
      <c r="AO637" s="403" t="s">
        <v>2480</v>
      </c>
      <c r="AP637" s="467">
        <v>4</v>
      </c>
    </row>
    <row r="638" spans="1:42" s="349" customFormat="1" ht="12.75" customHeight="1">
      <c r="B638" s="336"/>
      <c r="C638" s="683"/>
      <c r="D638" s="336" t="s">
        <v>2496</v>
      </c>
      <c r="E638" s="1214"/>
      <c r="F638" s="1214"/>
      <c r="G638" s="1214"/>
      <c r="H638" s="2378" t="s">
        <v>27</v>
      </c>
      <c r="I638" s="2378"/>
      <c r="J638" s="693"/>
      <c r="K638" s="693"/>
      <c r="L638" s="693"/>
      <c r="M638" s="693"/>
      <c r="N638" s="693"/>
      <c r="O638" s="693"/>
      <c r="P638" s="693"/>
      <c r="Q638" s="693"/>
      <c r="R638" s="693"/>
      <c r="S638" s="693"/>
      <c r="T638" s="693"/>
      <c r="U638" s="1214"/>
      <c r="V638" s="1214"/>
      <c r="W638" s="1214"/>
      <c r="X638" s="336"/>
      <c r="Y638" s="336"/>
      <c r="Z638" s="336"/>
      <c r="AA638" s="336"/>
      <c r="AB638" s="336"/>
      <c r="AC638" s="336"/>
      <c r="AD638" s="336"/>
      <c r="AE638" s="336"/>
      <c r="AF638" s="336"/>
      <c r="AG638" s="336"/>
      <c r="AH638" s="336"/>
      <c r="AI638" s="336"/>
      <c r="AJ638" s="336"/>
      <c r="AK638" s="336"/>
      <c r="AL638" s="336"/>
      <c r="AN638" s="390"/>
      <c r="AO638" s="403" t="s">
        <v>2483</v>
      </c>
      <c r="AP638" s="349">
        <v>3</v>
      </c>
    </row>
    <row r="639" spans="1:42" s="349" customFormat="1" ht="12.75" customHeight="1">
      <c r="B639" s="336"/>
      <c r="C639" s="683"/>
      <c r="D639" s="336"/>
      <c r="E639" s="1214"/>
      <c r="F639" s="693"/>
      <c r="G639" s="693"/>
      <c r="H639" s="693"/>
      <c r="I639" s="694"/>
      <c r="J639" s="693"/>
      <c r="K639" s="693"/>
      <c r="L639" s="693"/>
      <c r="M639" s="693"/>
      <c r="N639" s="693"/>
      <c r="O639" s="693"/>
      <c r="P639" s="693"/>
      <c r="Q639" s="693"/>
      <c r="R639" s="336"/>
      <c r="S639" s="336"/>
      <c r="T639" s="693"/>
      <c r="U639" s="1214"/>
      <c r="V639" s="1214"/>
      <c r="W639" s="1214"/>
      <c r="X639" s="1214"/>
      <c r="Y639" s="1214"/>
      <c r="Z639" s="1214"/>
      <c r="AA639" s="1214"/>
      <c r="AB639" s="1214"/>
      <c r="AC639" s="336"/>
      <c r="AD639" s="336"/>
      <c r="AE639" s="336"/>
      <c r="AF639" s="336"/>
      <c r="AG639" s="336"/>
      <c r="AH639" s="336"/>
      <c r="AI639" s="693"/>
      <c r="AJ639" s="693"/>
      <c r="AK639" s="693"/>
      <c r="AL639" s="693"/>
      <c r="AM639" s="468"/>
      <c r="AN639" s="390"/>
      <c r="AO639" s="403" t="s">
        <v>2511</v>
      </c>
      <c r="AP639" s="349">
        <v>2</v>
      </c>
    </row>
    <row r="640" spans="1:42" s="349" customFormat="1" ht="12.75" customHeight="1">
      <c r="A640" s="398"/>
      <c r="B640" s="394"/>
      <c r="C640" s="695"/>
      <c r="D640" s="394"/>
      <c r="E640" s="690"/>
      <c r="F640" s="690"/>
      <c r="G640" s="696"/>
      <c r="H640" s="696"/>
      <c r="I640" s="696"/>
      <c r="J640" s="696"/>
      <c r="K640" s="696"/>
      <c r="L640" s="696"/>
      <c r="M640" s="696"/>
      <c r="N640" s="696"/>
      <c r="O640" s="696"/>
      <c r="P640" s="696"/>
      <c r="Q640" s="696"/>
      <c r="R640" s="696"/>
      <c r="S640" s="696"/>
      <c r="T640" s="690"/>
      <c r="U640" s="690"/>
      <c r="V640" s="690"/>
      <c r="W640" s="690"/>
      <c r="X640" s="690"/>
      <c r="Y640" s="690"/>
      <c r="Z640" s="690"/>
      <c r="AA640" s="690"/>
      <c r="AB640" s="394"/>
      <c r="AC640" s="394"/>
      <c r="AD640" s="394"/>
      <c r="AE640" s="394"/>
      <c r="AF640" s="394"/>
      <c r="AG640" s="394"/>
      <c r="AH640" s="394"/>
      <c r="AI640" s="362" t="s">
        <v>2512</v>
      </c>
      <c r="AJ640" s="2361">
        <f>VLOOKUP($H$638,$AO$605:$AP$607,2,FALSE)</f>
        <v>2</v>
      </c>
      <c r="AK640" s="2363"/>
      <c r="AL640" s="388"/>
      <c r="AN640" s="390"/>
      <c r="AO640" s="403" t="s">
        <v>2513</v>
      </c>
      <c r="AP640" s="349">
        <v>1</v>
      </c>
    </row>
    <row r="641" spans="1:42" s="349" customFormat="1" ht="12.75" customHeight="1">
      <c r="B641" s="336"/>
      <c r="C641" s="683"/>
      <c r="D641" s="336"/>
      <c r="E641" s="1214"/>
      <c r="F641" s="1214"/>
      <c r="G641" s="1214"/>
      <c r="H641" s="336"/>
      <c r="I641" s="336"/>
      <c r="J641" s="693"/>
      <c r="K641" s="693"/>
      <c r="L641" s="693"/>
      <c r="M641" s="693"/>
      <c r="N641" s="693"/>
      <c r="O641" s="693"/>
      <c r="P641" s="693"/>
      <c r="Q641" s="693"/>
      <c r="R641" s="693"/>
      <c r="S641" s="693"/>
      <c r="T641" s="693"/>
      <c r="U641" s="1214"/>
      <c r="V641" s="1214"/>
      <c r="W641" s="1214"/>
      <c r="X641" s="1214"/>
      <c r="Y641" s="1214"/>
      <c r="Z641" s="1214"/>
      <c r="AA641" s="1214"/>
      <c r="AB641" s="1214"/>
      <c r="AC641" s="336"/>
      <c r="AD641" s="336"/>
      <c r="AE641" s="336"/>
      <c r="AF641" s="336"/>
      <c r="AG641" s="336"/>
      <c r="AH641" s="336"/>
      <c r="AI641" s="336"/>
      <c r="AJ641" s="1189"/>
      <c r="AK641" s="336"/>
      <c r="AL641" s="336"/>
      <c r="AN641" s="390"/>
    </row>
    <row r="642" spans="1:42" s="349" customFormat="1" ht="12.75" customHeight="1">
      <c r="B642" s="336"/>
      <c r="C642" s="339" t="s">
        <v>2514</v>
      </c>
      <c r="D642" s="336"/>
      <c r="E642" s="1214"/>
      <c r="F642" s="693"/>
      <c r="G642" s="693"/>
      <c r="H642" s="693"/>
      <c r="I642" s="693"/>
      <c r="J642" s="693"/>
      <c r="K642" s="693"/>
      <c r="L642" s="693"/>
      <c r="M642" s="693"/>
      <c r="N642" s="693"/>
      <c r="O642" s="693"/>
      <c r="P642" s="693"/>
      <c r="Q642" s="693"/>
      <c r="R642" s="693"/>
      <c r="S642" s="693"/>
      <c r="T642" s="693"/>
      <c r="U642" s="336"/>
      <c r="V642" s="336"/>
      <c r="W642" s="693"/>
      <c r="X642" s="693"/>
      <c r="Y642" s="693"/>
      <c r="Z642" s="693"/>
      <c r="AA642" s="693"/>
      <c r="AB642" s="693"/>
      <c r="AC642" s="1195"/>
      <c r="AD642" s="1195"/>
      <c r="AE642" s="1195"/>
      <c r="AF642" s="1195"/>
      <c r="AG642" s="1195"/>
      <c r="AH642" s="1195"/>
      <c r="AI642" s="1195"/>
      <c r="AJ642" s="336"/>
      <c r="AK642" s="336"/>
      <c r="AL642" s="336"/>
      <c r="AN642" s="390"/>
    </row>
    <row r="643" spans="1:42" s="349" customFormat="1" ht="12.75" customHeight="1">
      <c r="A643" s="428"/>
      <c r="B643" s="336"/>
      <c r="C643" s="685"/>
      <c r="D643" s="336"/>
      <c r="E643" s="693"/>
      <c r="F643" s="693"/>
      <c r="G643" s="693"/>
      <c r="H643" s="693"/>
      <c r="I643" s="693"/>
      <c r="J643" s="693"/>
      <c r="K643" s="693"/>
      <c r="L643" s="693"/>
      <c r="M643" s="693"/>
      <c r="N643" s="693"/>
      <c r="O643" s="693"/>
      <c r="P643" s="693"/>
      <c r="Q643" s="693"/>
      <c r="R643" s="693"/>
      <c r="S643" s="693"/>
      <c r="T643" s="693"/>
      <c r="U643" s="693"/>
      <c r="V643" s="693"/>
      <c r="W643" s="693"/>
      <c r="X643" s="693"/>
      <c r="Y643" s="693"/>
      <c r="Z643" s="693"/>
      <c r="AA643" s="693"/>
      <c r="AB643" s="693"/>
      <c r="AC643" s="336"/>
      <c r="AD643" s="336"/>
      <c r="AE643" s="336"/>
      <c r="AF643" s="336"/>
      <c r="AG643" s="336"/>
      <c r="AH643" s="336"/>
      <c r="AI643" s="336"/>
      <c r="AJ643" s="336"/>
      <c r="AK643" s="336"/>
      <c r="AL643" s="336"/>
      <c r="AN643" s="390"/>
    </row>
    <row r="644" spans="1:42" s="349" customFormat="1" ht="12.75" customHeight="1">
      <c r="B644" s="336"/>
      <c r="C644" s="336"/>
      <c r="D644" s="451" t="s">
        <v>22</v>
      </c>
      <c r="E644" s="2354" t="s">
        <v>2515</v>
      </c>
      <c r="F644" s="2354"/>
      <c r="G644" s="2354"/>
      <c r="H644" s="2354"/>
      <c r="I644" s="2354"/>
      <c r="J644" s="2354"/>
      <c r="K644" s="2354"/>
      <c r="L644" s="2354"/>
      <c r="M644" s="2354"/>
      <c r="N644" s="2354"/>
      <c r="O644" s="2354"/>
      <c r="P644" s="2354"/>
      <c r="Q644" s="2354"/>
      <c r="R644" s="2354"/>
      <c r="S644" s="2354"/>
      <c r="T644" s="2354"/>
      <c r="U644" s="2354"/>
      <c r="V644" s="2354"/>
      <c r="W644" s="2354"/>
      <c r="X644" s="2354"/>
      <c r="Y644" s="2354"/>
      <c r="Z644" s="2354"/>
      <c r="AA644" s="2354"/>
      <c r="AB644" s="2354"/>
      <c r="AC644" s="2354"/>
      <c r="AD644" s="2354"/>
      <c r="AE644" s="336"/>
      <c r="AF644" s="2454" t="s">
        <v>2222</v>
      </c>
      <c r="AG644" s="2454"/>
      <c r="AH644" s="2454"/>
      <c r="AI644" s="2454"/>
      <c r="AJ644" s="2454"/>
      <c r="AK644" s="2454"/>
      <c r="AL644" s="2454"/>
      <c r="AN644" s="390"/>
    </row>
    <row r="645" spans="1:42" s="349" customFormat="1" ht="12.75" customHeight="1">
      <c r="B645" s="336"/>
      <c r="C645" s="336"/>
      <c r="D645" s="451"/>
      <c r="E645" s="2354"/>
      <c r="F645" s="2354"/>
      <c r="G645" s="2354"/>
      <c r="H645" s="2354"/>
      <c r="I645" s="2354"/>
      <c r="J645" s="2354"/>
      <c r="K645" s="2354"/>
      <c r="L645" s="2354"/>
      <c r="M645" s="2354"/>
      <c r="N645" s="2354"/>
      <c r="O645" s="2354"/>
      <c r="P645" s="2354"/>
      <c r="Q645" s="2354"/>
      <c r="R645" s="2354"/>
      <c r="S645" s="2354"/>
      <c r="T645" s="2354"/>
      <c r="U645" s="2354"/>
      <c r="V645" s="2354"/>
      <c r="W645" s="2354"/>
      <c r="X645" s="2354"/>
      <c r="Y645" s="2354"/>
      <c r="Z645" s="2354"/>
      <c r="AA645" s="2354"/>
      <c r="AB645" s="2354"/>
      <c r="AC645" s="2354"/>
      <c r="AD645" s="2354"/>
      <c r="AE645" s="1195"/>
      <c r="AF645" s="1195"/>
      <c r="AG645" s="1195"/>
      <c r="AH645" s="1195"/>
      <c r="AI645" s="1195"/>
      <c r="AJ645" s="1195"/>
      <c r="AK645" s="1195"/>
      <c r="AL645" s="1195"/>
      <c r="AN645" s="390"/>
    </row>
    <row r="646" spans="1:42" s="349" customFormat="1" ht="12.75" customHeight="1">
      <c r="B646" s="407"/>
      <c r="C646" s="691"/>
      <c r="D646" s="451"/>
      <c r="E646" s="407"/>
      <c r="F646" s="407"/>
      <c r="G646" s="407"/>
      <c r="H646" s="407"/>
      <c r="I646" s="407"/>
      <c r="J646" s="407"/>
      <c r="K646" s="407"/>
      <c r="L646" s="407"/>
      <c r="M646" s="407"/>
      <c r="N646" s="407"/>
      <c r="O646" s="407"/>
      <c r="P646" s="407"/>
      <c r="Q646" s="407"/>
      <c r="R646" s="407"/>
      <c r="S646" s="407"/>
      <c r="T646" s="407"/>
      <c r="U646" s="407"/>
      <c r="V646" s="407"/>
      <c r="W646" s="407"/>
      <c r="X646" s="407"/>
      <c r="Y646" s="407"/>
      <c r="Z646" s="407"/>
      <c r="AA646" s="407"/>
      <c r="AB646" s="407"/>
      <c r="AC646" s="336"/>
      <c r="AD646" s="336"/>
      <c r="AE646" s="407"/>
      <c r="AF646" s="336"/>
      <c r="AG646" s="336"/>
      <c r="AH646" s="336"/>
      <c r="AI646" s="336"/>
      <c r="AJ646" s="336"/>
      <c r="AK646" s="336"/>
      <c r="AL646" s="336"/>
      <c r="AN646" s="390"/>
    </row>
    <row r="647" spans="1:42" s="349" customFormat="1" ht="12.75" customHeight="1">
      <c r="B647" s="336"/>
      <c r="C647" s="683"/>
      <c r="D647" s="451" t="s">
        <v>27</v>
      </c>
      <c r="E647" s="407" t="s">
        <v>2516</v>
      </c>
      <c r="F647" s="407"/>
      <c r="G647" s="407"/>
      <c r="H647" s="407"/>
      <c r="I647" s="407"/>
      <c r="J647" s="407"/>
      <c r="K647" s="407"/>
      <c r="L647" s="407"/>
      <c r="M647" s="407"/>
      <c r="N647" s="407"/>
      <c r="O647" s="407"/>
      <c r="P647" s="407"/>
      <c r="Q647" s="407"/>
      <c r="R647" s="407"/>
      <c r="S647" s="407"/>
      <c r="T647" s="407"/>
      <c r="U647" s="407"/>
      <c r="V647" s="407"/>
      <c r="W647" s="407"/>
      <c r="X647" s="407"/>
      <c r="Y647" s="407"/>
      <c r="Z647" s="407"/>
      <c r="AA647" s="407"/>
      <c r="AB647" s="407"/>
      <c r="AC647" s="336"/>
      <c r="AD647" s="336"/>
      <c r="AE647" s="336"/>
      <c r="AF647" s="2454" t="s">
        <v>2510</v>
      </c>
      <c r="AG647" s="2454"/>
      <c r="AH647" s="2454"/>
      <c r="AI647" s="2454"/>
      <c r="AJ647" s="2454"/>
      <c r="AK647" s="2454"/>
      <c r="AL647" s="2454"/>
      <c r="AN647" s="390"/>
    </row>
    <row r="648" spans="1:42" s="349" customFormat="1" ht="12.75" customHeight="1">
      <c r="B648" s="336"/>
      <c r="C648" s="683"/>
      <c r="D648" s="451"/>
      <c r="E648" s="407" t="s">
        <v>2517</v>
      </c>
      <c r="F648" s="407"/>
      <c r="G648" s="407"/>
      <c r="H648" s="407"/>
      <c r="I648" s="407"/>
      <c r="J648" s="407"/>
      <c r="K648" s="407"/>
      <c r="L648" s="407"/>
      <c r="M648" s="407"/>
      <c r="N648" s="407"/>
      <c r="O648" s="407"/>
      <c r="P648" s="407"/>
      <c r="Q648" s="407"/>
      <c r="R648" s="407"/>
      <c r="S648" s="407"/>
      <c r="T648" s="407"/>
      <c r="U648" s="407"/>
      <c r="V648" s="407"/>
      <c r="W648" s="407"/>
      <c r="X648" s="407"/>
      <c r="Y648" s="407"/>
      <c r="Z648" s="407"/>
      <c r="AA648" s="407"/>
      <c r="AB648" s="407"/>
      <c r="AC648" s="336"/>
      <c r="AD648" s="336"/>
      <c r="AE648" s="1195"/>
      <c r="AF648" s="1195"/>
      <c r="AG648" s="1195"/>
      <c r="AH648" s="1195"/>
      <c r="AI648" s="1195"/>
      <c r="AJ648" s="1195"/>
      <c r="AK648" s="1195"/>
      <c r="AL648" s="1195"/>
      <c r="AN648" s="390"/>
    </row>
    <row r="649" spans="1:42" s="349" customFormat="1" ht="12.75" customHeight="1">
      <c r="B649" s="336"/>
      <c r="C649" s="683"/>
      <c r="D649" s="336"/>
      <c r="E649" s="407"/>
      <c r="F649" s="407"/>
      <c r="G649" s="407"/>
      <c r="H649" s="407"/>
      <c r="I649" s="407"/>
      <c r="J649" s="407"/>
      <c r="K649" s="407"/>
      <c r="L649" s="407"/>
      <c r="M649" s="407"/>
      <c r="N649" s="407"/>
      <c r="O649" s="407"/>
      <c r="P649" s="407"/>
      <c r="Q649" s="407"/>
      <c r="R649" s="407"/>
      <c r="S649" s="407"/>
      <c r="T649" s="407"/>
      <c r="U649" s="407"/>
      <c r="V649" s="407"/>
      <c r="W649" s="407"/>
      <c r="X649" s="407"/>
      <c r="Y649" s="407"/>
      <c r="Z649" s="407"/>
      <c r="AA649" s="407"/>
      <c r="AB649" s="407"/>
      <c r="AC649" s="336"/>
      <c r="AD649" s="336"/>
      <c r="AE649" s="336"/>
      <c r="AF649" s="336"/>
      <c r="AG649" s="336"/>
      <c r="AH649" s="336"/>
      <c r="AI649" s="336"/>
      <c r="AJ649" s="336"/>
      <c r="AK649" s="336"/>
      <c r="AL649" s="336"/>
      <c r="AN649" s="390"/>
      <c r="AP649" s="467"/>
    </row>
    <row r="650" spans="1:42" s="349" customFormat="1" ht="12.75" customHeight="1">
      <c r="B650" s="336"/>
      <c r="C650" s="683"/>
      <c r="D650" s="336" t="s">
        <v>2496</v>
      </c>
      <c r="E650" s="1214"/>
      <c r="F650" s="1214"/>
      <c r="G650" s="1214"/>
      <c r="H650" s="2378" t="s">
        <v>27</v>
      </c>
      <c r="I650" s="2378"/>
      <c r="J650" s="407"/>
      <c r="K650" s="407"/>
      <c r="L650" s="407"/>
      <c r="M650" s="407"/>
      <c r="N650" s="407"/>
      <c r="O650" s="407"/>
      <c r="P650" s="407"/>
      <c r="Q650" s="407"/>
      <c r="R650" s="407"/>
      <c r="S650" s="407"/>
      <c r="T650" s="407"/>
      <c r="U650" s="407"/>
      <c r="V650" s="407"/>
      <c r="W650" s="336"/>
      <c r="X650" s="336"/>
      <c r="Y650" s="336"/>
      <c r="Z650" s="336"/>
      <c r="AA650" s="336"/>
      <c r="AB650" s="336"/>
      <c r="AC650" s="336"/>
      <c r="AD650" s="336"/>
      <c r="AE650" s="336"/>
      <c r="AF650" s="336"/>
      <c r="AG650" s="336"/>
      <c r="AH650" s="336"/>
      <c r="AI650" s="336"/>
      <c r="AJ650" s="336"/>
      <c r="AK650" s="336"/>
      <c r="AL650" s="336"/>
      <c r="AN650" s="390"/>
    </row>
    <row r="651" spans="1:42" s="349" customFormat="1" ht="12.75" customHeight="1">
      <c r="B651" s="336"/>
      <c r="C651" s="683"/>
      <c r="D651" s="336"/>
      <c r="E651" s="1214"/>
      <c r="F651" s="1214"/>
      <c r="G651" s="407"/>
      <c r="H651" s="407"/>
      <c r="I651" s="407"/>
      <c r="J651" s="407"/>
      <c r="K651" s="407"/>
      <c r="L651" s="407"/>
      <c r="M651" s="407"/>
      <c r="N651" s="407"/>
      <c r="O651" s="407"/>
      <c r="P651" s="407"/>
      <c r="Q651" s="407"/>
      <c r="R651" s="407"/>
      <c r="S651" s="407"/>
      <c r="T651" s="407"/>
      <c r="U651" s="407"/>
      <c r="V651" s="407"/>
      <c r="W651" s="407"/>
      <c r="X651" s="407"/>
      <c r="Y651" s="407"/>
      <c r="Z651" s="1214"/>
      <c r="AA651" s="1214"/>
      <c r="AB651" s="1214"/>
      <c r="AC651" s="336"/>
      <c r="AD651" s="336"/>
      <c r="AE651" s="336"/>
      <c r="AF651" s="336"/>
      <c r="AG651" s="336"/>
      <c r="AH651" s="336"/>
      <c r="AI651" s="336"/>
      <c r="AJ651" s="407"/>
      <c r="AK651" s="407"/>
      <c r="AL651" s="407"/>
      <c r="AM651" s="350"/>
      <c r="AN651" s="390"/>
    </row>
    <row r="652" spans="1:42" s="349" customFormat="1" ht="12.75" customHeight="1">
      <c r="A652" s="398"/>
      <c r="B652" s="394"/>
      <c r="C652" s="695"/>
      <c r="D652" s="394"/>
      <c r="E652" s="690"/>
      <c r="F652" s="690"/>
      <c r="G652" s="453"/>
      <c r="H652" s="453"/>
      <c r="I652" s="453"/>
      <c r="J652" s="453"/>
      <c r="K652" s="453"/>
      <c r="L652" s="453"/>
      <c r="M652" s="453"/>
      <c r="N652" s="453"/>
      <c r="O652" s="453"/>
      <c r="P652" s="453"/>
      <c r="Q652" s="453"/>
      <c r="R652" s="453"/>
      <c r="S652" s="453"/>
      <c r="T652" s="453"/>
      <c r="U652" s="453"/>
      <c r="V652" s="453"/>
      <c r="W652" s="453"/>
      <c r="X652" s="453"/>
      <c r="Y652" s="690"/>
      <c r="Z652" s="690"/>
      <c r="AA652" s="690"/>
      <c r="AB652" s="394"/>
      <c r="AC652" s="394"/>
      <c r="AD652" s="394"/>
      <c r="AE652" s="394"/>
      <c r="AF652" s="394"/>
      <c r="AG652" s="394"/>
      <c r="AH652" s="394"/>
      <c r="AI652" s="362" t="s">
        <v>2518</v>
      </c>
      <c r="AJ652" s="2361">
        <f>VLOOKUP(H650,AT605:AU607,2,FALSE)</f>
        <v>2</v>
      </c>
      <c r="AK652" s="2363"/>
      <c r="AL652" s="388"/>
      <c r="AN652" s="390"/>
    </row>
    <row r="653" spans="1:42" s="349" customFormat="1" ht="12.75" customHeight="1">
      <c r="B653" s="336"/>
      <c r="C653" s="683"/>
      <c r="D653" s="336"/>
      <c r="E653" s="336"/>
      <c r="F653" s="336"/>
      <c r="G653" s="336"/>
      <c r="H653" s="336"/>
      <c r="I653" s="336"/>
      <c r="J653" s="336"/>
      <c r="K653" s="336"/>
      <c r="L653" s="336"/>
      <c r="M653" s="336"/>
      <c r="N653" s="336"/>
      <c r="O653" s="336"/>
      <c r="P653" s="336"/>
      <c r="Q653" s="336"/>
      <c r="R653" s="336"/>
      <c r="S653" s="336"/>
      <c r="T653" s="336"/>
      <c r="U653" s="336"/>
      <c r="V653" s="336"/>
      <c r="W653" s="336"/>
      <c r="X653" s="336"/>
      <c r="Y653" s="336"/>
      <c r="Z653" s="336"/>
      <c r="AA653" s="336"/>
      <c r="AB653" s="336"/>
      <c r="AC653" s="336"/>
      <c r="AD653" s="336"/>
      <c r="AE653" s="336"/>
      <c r="AF653" s="336"/>
      <c r="AG653" s="336"/>
      <c r="AH653" s="336"/>
      <c r="AI653" s="336"/>
      <c r="AJ653" s="336"/>
      <c r="AK653" s="336"/>
      <c r="AL653" s="336"/>
      <c r="AN653" s="390"/>
    </row>
    <row r="654" spans="1:42" s="349" customFormat="1" ht="12.75" customHeight="1">
      <c r="B654" s="336"/>
      <c r="C654" s="339" t="s">
        <v>2519</v>
      </c>
      <c r="D654" s="336"/>
      <c r="E654" s="336"/>
      <c r="F654" s="336"/>
      <c r="G654" s="336"/>
      <c r="H654" s="336"/>
      <c r="I654" s="336"/>
      <c r="J654" s="336"/>
      <c r="K654" s="336"/>
      <c r="L654" s="336"/>
      <c r="M654" s="336"/>
      <c r="N654" s="336"/>
      <c r="O654" s="336"/>
      <c r="P654" s="336"/>
      <c r="Q654" s="336"/>
      <c r="R654" s="336"/>
      <c r="S654" s="336"/>
      <c r="T654" s="336"/>
      <c r="U654" s="336"/>
      <c r="V654" s="336"/>
      <c r="W654" s="336"/>
      <c r="X654" s="336"/>
      <c r="Y654" s="336"/>
      <c r="Z654" s="336"/>
      <c r="AA654" s="336"/>
      <c r="AB654" s="336"/>
      <c r="AC654" s="336"/>
      <c r="AD654" s="336"/>
      <c r="AE654" s="336"/>
      <c r="AF654" s="336"/>
      <c r="AG654" s="336"/>
      <c r="AH654" s="336"/>
      <c r="AI654" s="336"/>
      <c r="AJ654" s="336"/>
      <c r="AK654" s="336"/>
      <c r="AL654" s="336"/>
      <c r="AN654" s="390"/>
    </row>
    <row r="655" spans="1:42" s="349" customFormat="1" ht="12.75" customHeight="1">
      <c r="B655" s="336"/>
      <c r="C655" s="339"/>
      <c r="D655" s="469" t="s">
        <v>2520</v>
      </c>
      <c r="E655" s="336"/>
      <c r="F655" s="336"/>
      <c r="G655" s="336"/>
      <c r="H655" s="336"/>
      <c r="I655" s="336"/>
      <c r="J655" s="336"/>
      <c r="K655" s="336"/>
      <c r="L655" s="336"/>
      <c r="M655" s="336"/>
      <c r="N655" s="336"/>
      <c r="O655" s="336"/>
      <c r="P655" s="336"/>
      <c r="Q655" s="336"/>
      <c r="R655" s="336"/>
      <c r="S655" s="336"/>
      <c r="T655" s="336"/>
      <c r="U655" s="336"/>
      <c r="V655" s="336"/>
      <c r="W655" s="336"/>
      <c r="X655" s="336"/>
      <c r="Y655" s="336"/>
      <c r="Z655" s="336"/>
      <c r="AA655" s="336"/>
      <c r="AB655" s="336"/>
      <c r="AC655" s="336"/>
      <c r="AD655" s="336"/>
      <c r="AE655" s="336"/>
      <c r="AF655" s="336"/>
      <c r="AG655" s="336"/>
      <c r="AH655" s="336"/>
      <c r="AI655" s="336"/>
      <c r="AJ655" s="336"/>
      <c r="AK655" s="336"/>
      <c r="AL655" s="336"/>
      <c r="AN655" s="390"/>
    </row>
    <row r="656" spans="1:42" s="349" customFormat="1" ht="12.75" customHeight="1">
      <c r="B656" s="336"/>
      <c r="C656" s="339"/>
      <c r="D656" s="336"/>
      <c r="E656" s="336"/>
      <c r="F656" s="336"/>
      <c r="G656" s="336"/>
      <c r="H656" s="336"/>
      <c r="I656" s="336"/>
      <c r="J656" s="336"/>
      <c r="K656" s="336"/>
      <c r="L656" s="336"/>
      <c r="M656" s="336"/>
      <c r="N656" s="336"/>
      <c r="O656" s="336"/>
      <c r="P656" s="336"/>
      <c r="Q656" s="336"/>
      <c r="R656" s="336"/>
      <c r="S656" s="336"/>
      <c r="T656" s="336"/>
      <c r="U656" s="336"/>
      <c r="V656" s="336"/>
      <c r="W656" s="336"/>
      <c r="X656" s="336"/>
      <c r="Y656" s="336"/>
      <c r="Z656" s="336"/>
      <c r="AA656" s="336"/>
      <c r="AB656" s="336"/>
      <c r="AC656" s="336"/>
      <c r="AD656" s="336"/>
      <c r="AE656" s="336"/>
      <c r="AF656" s="336"/>
      <c r="AG656" s="336"/>
      <c r="AH656" s="336"/>
      <c r="AI656" s="336"/>
      <c r="AJ656" s="336"/>
      <c r="AK656" s="336"/>
      <c r="AL656" s="336"/>
      <c r="AN656" s="390"/>
    </row>
    <row r="657" spans="1:42" s="349" customFormat="1" ht="12.75" customHeight="1">
      <c r="B657" s="336"/>
      <c r="C657" s="339"/>
      <c r="D657" s="451" t="s">
        <v>22</v>
      </c>
      <c r="E657" s="2354" t="s">
        <v>2521</v>
      </c>
      <c r="F657" s="2354"/>
      <c r="G657" s="2354"/>
      <c r="H657" s="2354"/>
      <c r="I657" s="2354"/>
      <c r="J657" s="2354"/>
      <c r="K657" s="2354"/>
      <c r="L657" s="2354"/>
      <c r="M657" s="2354"/>
      <c r="N657" s="2354"/>
      <c r="O657" s="2354"/>
      <c r="P657" s="2354"/>
      <c r="Q657" s="2354"/>
      <c r="R657" s="2354"/>
      <c r="S657" s="2354"/>
      <c r="T657" s="2354"/>
      <c r="U657" s="2354"/>
      <c r="V657" s="2354"/>
      <c r="W657" s="2354"/>
      <c r="X657" s="2354"/>
      <c r="Y657" s="2354"/>
      <c r="Z657" s="2354"/>
      <c r="AA657" s="2354"/>
      <c r="AB657" s="2354"/>
      <c r="AC657" s="2354"/>
      <c r="AD657" s="336"/>
      <c r="AE657" s="336"/>
      <c r="AF657" s="2454" t="s">
        <v>2482</v>
      </c>
      <c r="AG657" s="2454"/>
      <c r="AH657" s="2454"/>
      <c r="AI657" s="2454"/>
      <c r="AJ657" s="2454"/>
      <c r="AK657" s="2454"/>
      <c r="AL657" s="2454"/>
      <c r="AN657" s="390"/>
    </row>
    <row r="658" spans="1:42" s="349" customFormat="1" ht="12.75" customHeight="1">
      <c r="B658" s="336"/>
      <c r="C658" s="339"/>
      <c r="D658" s="336"/>
      <c r="E658" s="2354"/>
      <c r="F658" s="2354"/>
      <c r="G658" s="2354"/>
      <c r="H658" s="2354"/>
      <c r="I658" s="2354"/>
      <c r="J658" s="2354"/>
      <c r="K658" s="2354"/>
      <c r="L658" s="2354"/>
      <c r="M658" s="2354"/>
      <c r="N658" s="2354"/>
      <c r="O658" s="2354"/>
      <c r="P658" s="2354"/>
      <c r="Q658" s="2354"/>
      <c r="R658" s="2354"/>
      <c r="S658" s="2354"/>
      <c r="T658" s="2354"/>
      <c r="U658" s="2354"/>
      <c r="V658" s="2354"/>
      <c r="W658" s="2354"/>
      <c r="X658" s="2354"/>
      <c r="Y658" s="2354"/>
      <c r="Z658" s="2354"/>
      <c r="AA658" s="2354"/>
      <c r="AB658" s="2354"/>
      <c r="AC658" s="2354"/>
      <c r="AD658" s="336"/>
      <c r="AE658" s="336"/>
      <c r="AF658" s="336"/>
      <c r="AG658" s="336"/>
      <c r="AH658" s="336"/>
      <c r="AI658" s="336"/>
      <c r="AJ658" s="336"/>
      <c r="AK658" s="336"/>
      <c r="AL658" s="336"/>
      <c r="AN658" s="390"/>
    </row>
    <row r="659" spans="1:42" s="349" customFormat="1" ht="12.75" customHeight="1">
      <c r="B659" s="336"/>
      <c r="C659" s="339"/>
      <c r="D659" s="451"/>
      <c r="E659" s="2354"/>
      <c r="F659" s="2354"/>
      <c r="G659" s="2354"/>
      <c r="H659" s="2354"/>
      <c r="I659" s="2354"/>
      <c r="J659" s="2354"/>
      <c r="K659" s="2354"/>
      <c r="L659" s="2354"/>
      <c r="M659" s="2354"/>
      <c r="N659" s="2354"/>
      <c r="O659" s="2354"/>
      <c r="P659" s="2354"/>
      <c r="Q659" s="2354"/>
      <c r="R659" s="2354"/>
      <c r="S659" s="2354"/>
      <c r="T659" s="2354"/>
      <c r="U659" s="2354"/>
      <c r="V659" s="2354"/>
      <c r="W659" s="2354"/>
      <c r="X659" s="2354"/>
      <c r="Y659" s="2354"/>
      <c r="Z659" s="2354"/>
      <c r="AA659" s="2354"/>
      <c r="AB659" s="2354"/>
      <c r="AC659" s="2354"/>
      <c r="AD659" s="336"/>
      <c r="AE659" s="336"/>
      <c r="AF659" s="336"/>
      <c r="AG659" s="336"/>
      <c r="AH659" s="336"/>
      <c r="AI659" s="336"/>
      <c r="AJ659" s="336"/>
      <c r="AK659" s="336"/>
      <c r="AL659" s="336"/>
      <c r="AN659" s="390"/>
    </row>
    <row r="660" spans="1:42" s="349" customFormat="1" ht="15" customHeight="1">
      <c r="B660" s="336"/>
      <c r="C660" s="339"/>
      <c r="D660" s="336"/>
      <c r="E660" s="697"/>
      <c r="F660" s="697"/>
      <c r="G660" s="697"/>
      <c r="H660" s="697"/>
      <c r="I660" s="697"/>
      <c r="J660" s="697"/>
      <c r="K660" s="697"/>
      <c r="L660" s="697"/>
      <c r="M660" s="697"/>
      <c r="N660" s="697"/>
      <c r="O660" s="697"/>
      <c r="P660" s="697"/>
      <c r="Q660" s="697"/>
      <c r="R660" s="697"/>
      <c r="S660" s="697"/>
      <c r="T660" s="697"/>
      <c r="U660" s="697"/>
      <c r="V660" s="697"/>
      <c r="W660" s="697"/>
      <c r="X660" s="697"/>
      <c r="Y660" s="697"/>
      <c r="Z660" s="697"/>
      <c r="AA660" s="697"/>
      <c r="AB660" s="697"/>
      <c r="AC660" s="336"/>
      <c r="AD660" s="336"/>
      <c r="AE660" s="336"/>
      <c r="AF660" s="336"/>
      <c r="AG660" s="336"/>
      <c r="AH660" s="336"/>
      <c r="AI660" s="336"/>
      <c r="AJ660" s="336"/>
      <c r="AK660" s="336"/>
      <c r="AL660" s="336"/>
      <c r="AN660" s="390"/>
    </row>
    <row r="661" spans="1:42" s="349" customFormat="1" ht="12.75" customHeight="1">
      <c r="B661" s="336"/>
      <c r="C661" s="339"/>
      <c r="D661" s="451" t="s">
        <v>27</v>
      </c>
      <c r="E661" s="2354" t="s">
        <v>2522</v>
      </c>
      <c r="F661" s="2354"/>
      <c r="G661" s="2354"/>
      <c r="H661" s="2354"/>
      <c r="I661" s="2354"/>
      <c r="J661" s="2354"/>
      <c r="K661" s="2354"/>
      <c r="L661" s="2354"/>
      <c r="M661" s="2354"/>
      <c r="N661" s="2354"/>
      <c r="O661" s="2354"/>
      <c r="P661" s="2354"/>
      <c r="Q661" s="2354"/>
      <c r="R661" s="2354"/>
      <c r="S661" s="2354"/>
      <c r="T661" s="2354"/>
      <c r="U661" s="2354"/>
      <c r="V661" s="2354"/>
      <c r="W661" s="2354"/>
      <c r="X661" s="2354"/>
      <c r="Y661" s="2354"/>
      <c r="Z661" s="2354"/>
      <c r="AA661" s="2354"/>
      <c r="AB661" s="2354"/>
      <c r="AC661" s="2354"/>
      <c r="AD661" s="336"/>
      <c r="AE661" s="336"/>
      <c r="AF661" s="2454" t="s">
        <v>2488</v>
      </c>
      <c r="AG661" s="2454"/>
      <c r="AH661" s="2454"/>
      <c r="AI661" s="2454"/>
      <c r="AJ661" s="2454"/>
      <c r="AK661" s="2454"/>
      <c r="AL661" s="2454"/>
      <c r="AN661" s="390"/>
    </row>
    <row r="662" spans="1:42" s="349" customFormat="1" ht="12.75" customHeight="1">
      <c r="B662" s="336"/>
      <c r="C662" s="339"/>
      <c r="D662" s="336"/>
      <c r="E662" s="2354"/>
      <c r="F662" s="2354"/>
      <c r="G662" s="2354"/>
      <c r="H662" s="2354"/>
      <c r="I662" s="2354"/>
      <c r="J662" s="2354"/>
      <c r="K662" s="2354"/>
      <c r="L662" s="2354"/>
      <c r="M662" s="2354"/>
      <c r="N662" s="2354"/>
      <c r="O662" s="2354"/>
      <c r="P662" s="2354"/>
      <c r="Q662" s="2354"/>
      <c r="R662" s="2354"/>
      <c r="S662" s="2354"/>
      <c r="T662" s="2354"/>
      <c r="U662" s="2354"/>
      <c r="V662" s="2354"/>
      <c r="W662" s="2354"/>
      <c r="X662" s="2354"/>
      <c r="Y662" s="2354"/>
      <c r="Z662" s="2354"/>
      <c r="AA662" s="2354"/>
      <c r="AB662" s="2354"/>
      <c r="AC662" s="2354"/>
      <c r="AD662" s="336"/>
      <c r="AE662" s="336"/>
      <c r="AF662" s="336"/>
      <c r="AG662" s="336"/>
      <c r="AH662" s="336"/>
      <c r="AI662" s="336"/>
      <c r="AJ662" s="336"/>
      <c r="AK662" s="336"/>
      <c r="AL662" s="336"/>
      <c r="AN662" s="390"/>
    </row>
    <row r="663" spans="1:42" s="349" customFormat="1" ht="15" customHeight="1">
      <c r="B663" s="336"/>
      <c r="C663" s="339"/>
      <c r="D663" s="451"/>
      <c r="E663" s="2354"/>
      <c r="F663" s="2354"/>
      <c r="G663" s="2354"/>
      <c r="H663" s="2354"/>
      <c r="I663" s="2354"/>
      <c r="J663" s="2354"/>
      <c r="K663" s="2354"/>
      <c r="L663" s="2354"/>
      <c r="M663" s="2354"/>
      <c r="N663" s="2354"/>
      <c r="O663" s="2354"/>
      <c r="P663" s="2354"/>
      <c r="Q663" s="2354"/>
      <c r="R663" s="2354"/>
      <c r="S663" s="2354"/>
      <c r="T663" s="2354"/>
      <c r="U663" s="2354"/>
      <c r="V663" s="2354"/>
      <c r="W663" s="2354"/>
      <c r="X663" s="2354"/>
      <c r="Y663" s="2354"/>
      <c r="Z663" s="2354"/>
      <c r="AA663" s="2354"/>
      <c r="AB663" s="2354"/>
      <c r="AC663" s="2354"/>
      <c r="AD663" s="336"/>
      <c r="AE663" s="336"/>
      <c r="AF663" s="336"/>
      <c r="AG663" s="336"/>
      <c r="AH663" s="336"/>
      <c r="AI663" s="336"/>
      <c r="AJ663" s="336"/>
      <c r="AK663" s="336"/>
      <c r="AL663" s="336"/>
      <c r="AN663" s="390"/>
    </row>
    <row r="664" spans="1:42" s="349" customFormat="1" ht="12.75" customHeight="1">
      <c r="B664" s="336"/>
      <c r="C664" s="339"/>
      <c r="D664" s="336"/>
      <c r="E664" s="697"/>
      <c r="F664" s="697"/>
      <c r="G664" s="697"/>
      <c r="H664" s="697"/>
      <c r="I664" s="697"/>
      <c r="J664" s="697"/>
      <c r="K664" s="697"/>
      <c r="L664" s="697"/>
      <c r="M664" s="697"/>
      <c r="N664" s="697"/>
      <c r="O664" s="697"/>
      <c r="P664" s="697"/>
      <c r="Q664" s="697"/>
      <c r="R664" s="697"/>
      <c r="S664" s="697"/>
      <c r="T664" s="697"/>
      <c r="U664" s="697"/>
      <c r="V664" s="697"/>
      <c r="W664" s="697"/>
      <c r="X664" s="697"/>
      <c r="Y664" s="697"/>
      <c r="Z664" s="697"/>
      <c r="AA664" s="697"/>
      <c r="AB664" s="697"/>
      <c r="AC664" s="336"/>
      <c r="AD664" s="336"/>
      <c r="AE664" s="336"/>
      <c r="AF664" s="336"/>
      <c r="AG664" s="336"/>
      <c r="AH664" s="336"/>
      <c r="AI664" s="336"/>
      <c r="AJ664" s="336"/>
      <c r="AK664" s="336"/>
      <c r="AL664" s="336"/>
      <c r="AN664" s="390"/>
    </row>
    <row r="665" spans="1:42" s="349" customFormat="1" ht="12.75" customHeight="1">
      <c r="B665" s="336"/>
      <c r="C665" s="339"/>
      <c r="D665" s="451" t="s">
        <v>49</v>
      </c>
      <c r="E665" s="2354" t="s">
        <v>2523</v>
      </c>
      <c r="F665" s="2354"/>
      <c r="G665" s="2354"/>
      <c r="H665" s="2354"/>
      <c r="I665" s="2354"/>
      <c r="J665" s="2354"/>
      <c r="K665" s="2354"/>
      <c r="L665" s="2354"/>
      <c r="M665" s="2354"/>
      <c r="N665" s="2354"/>
      <c r="O665" s="2354"/>
      <c r="P665" s="2354"/>
      <c r="Q665" s="2354"/>
      <c r="R665" s="2354"/>
      <c r="S665" s="2354"/>
      <c r="T665" s="2354"/>
      <c r="U665" s="2354"/>
      <c r="V665" s="2354"/>
      <c r="W665" s="2354"/>
      <c r="X665" s="2354"/>
      <c r="Y665" s="2354"/>
      <c r="Z665" s="2354"/>
      <c r="AA665" s="2354"/>
      <c r="AB665" s="2354"/>
      <c r="AC665" s="2354"/>
      <c r="AD665" s="336"/>
      <c r="AE665" s="336"/>
      <c r="AF665" s="2454" t="s">
        <v>2222</v>
      </c>
      <c r="AG665" s="2454"/>
      <c r="AH665" s="2454"/>
      <c r="AI665" s="2454"/>
      <c r="AJ665" s="2454"/>
      <c r="AK665" s="2454"/>
      <c r="AL665" s="2454"/>
      <c r="AN665" s="390"/>
    </row>
    <row r="666" spans="1:42" s="349" customFormat="1" ht="12.75" customHeight="1">
      <c r="B666" s="336"/>
      <c r="C666" s="683"/>
      <c r="D666" s="336"/>
      <c r="E666" s="2354"/>
      <c r="F666" s="2354"/>
      <c r="G666" s="2354"/>
      <c r="H666" s="2354"/>
      <c r="I666" s="2354"/>
      <c r="J666" s="2354"/>
      <c r="K666" s="2354"/>
      <c r="L666" s="2354"/>
      <c r="M666" s="2354"/>
      <c r="N666" s="2354"/>
      <c r="O666" s="2354"/>
      <c r="P666" s="2354"/>
      <c r="Q666" s="2354"/>
      <c r="R666" s="2354"/>
      <c r="S666" s="2354"/>
      <c r="T666" s="2354"/>
      <c r="U666" s="2354"/>
      <c r="V666" s="2354"/>
      <c r="W666" s="2354"/>
      <c r="X666" s="2354"/>
      <c r="Y666" s="2354"/>
      <c r="Z666" s="2354"/>
      <c r="AA666" s="2354"/>
      <c r="AB666" s="2354"/>
      <c r="AC666" s="2354"/>
      <c r="AD666" s="336"/>
      <c r="AE666" s="2454"/>
      <c r="AF666" s="2454"/>
      <c r="AG666" s="2454"/>
      <c r="AH666" s="2454"/>
      <c r="AI666" s="2454"/>
      <c r="AJ666" s="2454"/>
      <c r="AK666" s="2454"/>
      <c r="AL666" s="1195"/>
      <c r="AN666" s="390"/>
      <c r="AO666" s="349" t="s">
        <v>809</v>
      </c>
      <c r="AP666" s="461">
        <v>0</v>
      </c>
    </row>
    <row r="667" spans="1:42" s="349" customFormat="1" ht="12.75" customHeight="1">
      <c r="A667" s="1212"/>
      <c r="B667" s="336"/>
      <c r="C667" s="336"/>
      <c r="D667" s="451"/>
      <c r="E667" s="2354"/>
      <c r="F667" s="2354"/>
      <c r="G667" s="2354"/>
      <c r="H667" s="2354"/>
      <c r="I667" s="2354"/>
      <c r="J667" s="2354"/>
      <c r="K667" s="2354"/>
      <c r="L667" s="2354"/>
      <c r="M667" s="2354"/>
      <c r="N667" s="2354"/>
      <c r="O667" s="2354"/>
      <c r="P667" s="2354"/>
      <c r="Q667" s="2354"/>
      <c r="R667" s="2354"/>
      <c r="S667" s="2354"/>
      <c r="T667" s="2354"/>
      <c r="U667" s="2354"/>
      <c r="V667" s="2354"/>
      <c r="W667" s="2354"/>
      <c r="X667" s="2354"/>
      <c r="Y667" s="2354"/>
      <c r="Z667" s="2354"/>
      <c r="AA667" s="2354"/>
      <c r="AB667" s="2354"/>
      <c r="AC667" s="2354"/>
      <c r="AD667" s="336"/>
      <c r="AE667" s="336"/>
      <c r="AF667" s="336"/>
      <c r="AG667" s="336"/>
      <c r="AH667" s="336"/>
      <c r="AI667" s="336"/>
      <c r="AJ667" s="336"/>
      <c r="AK667" s="336"/>
      <c r="AL667" s="336"/>
      <c r="AN667" s="390"/>
      <c r="AO667" s="403" t="s">
        <v>22</v>
      </c>
      <c r="AP667" s="349">
        <v>3</v>
      </c>
    </row>
    <row r="668" spans="1:42" s="349" customFormat="1" ht="12.75" customHeight="1">
      <c r="B668" s="336"/>
      <c r="C668" s="683"/>
      <c r="D668" s="451"/>
      <c r="E668" s="371"/>
      <c r="F668" s="371"/>
      <c r="G668" s="371"/>
      <c r="H668" s="371"/>
      <c r="I668" s="371"/>
      <c r="J668" s="371"/>
      <c r="K668" s="371"/>
      <c r="L668" s="371"/>
      <c r="M668" s="371"/>
      <c r="N668" s="371"/>
      <c r="O668" s="371"/>
      <c r="P668" s="371"/>
      <c r="Q668" s="371"/>
      <c r="R668" s="371"/>
      <c r="S668" s="371"/>
      <c r="T668" s="371"/>
      <c r="U668" s="371"/>
      <c r="V668" s="371"/>
      <c r="W668" s="371"/>
      <c r="X668" s="371"/>
      <c r="Y668" s="371"/>
      <c r="Z668" s="371"/>
      <c r="AA668" s="371"/>
      <c r="AB668" s="371"/>
      <c r="AC668" s="336"/>
      <c r="AD668" s="336"/>
      <c r="AE668" s="336"/>
      <c r="AF668" s="336"/>
      <c r="AG668" s="336"/>
      <c r="AH668" s="336"/>
      <c r="AI668" s="336"/>
      <c r="AJ668" s="336"/>
      <c r="AK668" s="336"/>
      <c r="AL668" s="336"/>
      <c r="AN668" s="390"/>
      <c r="AO668" s="403" t="s">
        <v>27</v>
      </c>
      <c r="AP668" s="349">
        <v>2</v>
      </c>
    </row>
    <row r="669" spans="1:42" s="349" customFormat="1" ht="12.75" customHeight="1">
      <c r="A669" s="458"/>
      <c r="B669" s="336"/>
      <c r="C669" s="698"/>
      <c r="D669" s="451" t="s">
        <v>2480</v>
      </c>
      <c r="E669" s="2354" t="s">
        <v>2524</v>
      </c>
      <c r="F669" s="2354"/>
      <c r="G669" s="2354"/>
      <c r="H669" s="2354"/>
      <c r="I669" s="2354"/>
      <c r="J669" s="2354"/>
      <c r="K669" s="2354"/>
      <c r="L669" s="2354"/>
      <c r="M669" s="2354"/>
      <c r="N669" s="2354"/>
      <c r="O669" s="2354"/>
      <c r="P669" s="2354"/>
      <c r="Q669" s="2354"/>
      <c r="R669" s="2354"/>
      <c r="S669" s="2354"/>
      <c r="T669" s="2354"/>
      <c r="U669" s="2354"/>
      <c r="V669" s="2354"/>
      <c r="W669" s="2354"/>
      <c r="X669" s="2354"/>
      <c r="Y669" s="2354"/>
      <c r="Z669" s="2354"/>
      <c r="AA669" s="2354"/>
      <c r="AB669" s="2354"/>
      <c r="AC669" s="2354"/>
      <c r="AD669" s="336"/>
      <c r="AE669" s="336"/>
      <c r="AF669" s="2454" t="s">
        <v>2488</v>
      </c>
      <c r="AG669" s="2454"/>
      <c r="AH669" s="2454"/>
      <c r="AI669" s="2454"/>
      <c r="AJ669" s="2454"/>
      <c r="AK669" s="2454"/>
      <c r="AL669" s="2454"/>
      <c r="AN669" s="390"/>
    </row>
    <row r="670" spans="1:42" s="349" customFormat="1" ht="12.75" customHeight="1">
      <c r="A670" s="458"/>
      <c r="B670" s="336"/>
      <c r="C670" s="698"/>
      <c r="D670" s="451"/>
      <c r="E670" s="2354"/>
      <c r="F670" s="2354"/>
      <c r="G670" s="2354"/>
      <c r="H670" s="2354"/>
      <c r="I670" s="2354"/>
      <c r="J670" s="2354"/>
      <c r="K670" s="2354"/>
      <c r="L670" s="2354"/>
      <c r="M670" s="2354"/>
      <c r="N670" s="2354"/>
      <c r="O670" s="2354"/>
      <c r="P670" s="2354"/>
      <c r="Q670" s="2354"/>
      <c r="R670" s="2354"/>
      <c r="S670" s="2354"/>
      <c r="T670" s="2354"/>
      <c r="U670" s="2354"/>
      <c r="V670" s="2354"/>
      <c r="W670" s="2354"/>
      <c r="X670" s="2354"/>
      <c r="Y670" s="2354"/>
      <c r="Z670" s="2354"/>
      <c r="AA670" s="2354"/>
      <c r="AB670" s="2354"/>
      <c r="AC670" s="2354"/>
      <c r="AD670" s="336"/>
      <c r="AE670" s="1195"/>
      <c r="AF670" s="1195"/>
      <c r="AG670" s="1195"/>
      <c r="AH670" s="1195"/>
      <c r="AI670" s="1195"/>
      <c r="AJ670" s="1195"/>
      <c r="AK670" s="1195"/>
      <c r="AL670" s="1195"/>
      <c r="AM670" s="389"/>
      <c r="AN670" s="390"/>
    </row>
    <row r="671" spans="1:42" s="349" customFormat="1" ht="12.75" customHeight="1">
      <c r="A671" s="458"/>
      <c r="B671" s="336"/>
      <c r="C671" s="698"/>
      <c r="D671" s="451"/>
      <c r="E671" s="2354"/>
      <c r="F671" s="2354"/>
      <c r="G671" s="2354"/>
      <c r="H671" s="2354"/>
      <c r="I671" s="2354"/>
      <c r="J671" s="2354"/>
      <c r="K671" s="2354"/>
      <c r="L671" s="2354"/>
      <c r="M671" s="2354"/>
      <c r="N671" s="2354"/>
      <c r="O671" s="2354"/>
      <c r="P671" s="2354"/>
      <c r="Q671" s="2354"/>
      <c r="R671" s="2354"/>
      <c r="S671" s="2354"/>
      <c r="T671" s="2354"/>
      <c r="U671" s="2354"/>
      <c r="V671" s="2354"/>
      <c r="W671" s="2354"/>
      <c r="X671" s="2354"/>
      <c r="Y671" s="2354"/>
      <c r="Z671" s="2354"/>
      <c r="AA671" s="2354"/>
      <c r="AB671" s="2354"/>
      <c r="AC671" s="2354"/>
      <c r="AD671" s="336"/>
      <c r="AE671" s="1195"/>
      <c r="AF671" s="1195"/>
      <c r="AG671" s="1195"/>
      <c r="AH671" s="1195"/>
      <c r="AI671" s="1195"/>
      <c r="AJ671" s="1195"/>
      <c r="AK671" s="1195"/>
      <c r="AL671" s="1195"/>
      <c r="AM671" s="389"/>
      <c r="AN671" s="390"/>
    </row>
    <row r="672" spans="1:42" s="349" customFormat="1" ht="12.75" customHeight="1">
      <c r="B672" s="336"/>
      <c r="C672" s="683"/>
      <c r="D672" s="451"/>
      <c r="E672" s="432"/>
      <c r="F672" s="432"/>
      <c r="G672" s="432"/>
      <c r="H672" s="432"/>
      <c r="I672" s="432"/>
      <c r="J672" s="432"/>
      <c r="K672" s="432"/>
      <c r="L672" s="432"/>
      <c r="M672" s="432"/>
      <c r="N672" s="432"/>
      <c r="O672" s="432"/>
      <c r="P672" s="432"/>
      <c r="Q672" s="432"/>
      <c r="R672" s="432"/>
      <c r="S672" s="432"/>
      <c r="T672" s="432"/>
      <c r="U672" s="432"/>
      <c r="V672" s="432"/>
      <c r="W672" s="432"/>
      <c r="X672" s="432"/>
      <c r="Y672" s="432"/>
      <c r="Z672" s="432"/>
      <c r="AA672" s="432"/>
      <c r="AB672" s="432"/>
      <c r="AC672" s="339"/>
      <c r="AD672" s="339"/>
      <c r="AE672" s="336"/>
      <c r="AF672" s="336"/>
      <c r="AG672" s="336"/>
      <c r="AH672" s="336"/>
      <c r="AI672" s="336"/>
      <c r="AJ672" s="336"/>
      <c r="AK672" s="336"/>
      <c r="AL672" s="1195"/>
      <c r="AM672" s="389"/>
      <c r="AN672" s="390"/>
    </row>
    <row r="673" spans="1:42" s="349" customFormat="1" ht="12.75" customHeight="1">
      <c r="B673" s="336"/>
      <c r="C673" s="683"/>
      <c r="D673" s="451" t="s">
        <v>2483</v>
      </c>
      <c r="E673" s="2354" t="s">
        <v>2525</v>
      </c>
      <c r="F673" s="2354"/>
      <c r="G673" s="2354"/>
      <c r="H673" s="2354"/>
      <c r="I673" s="2354"/>
      <c r="J673" s="2354"/>
      <c r="K673" s="2354"/>
      <c r="L673" s="2354"/>
      <c r="M673" s="2354"/>
      <c r="N673" s="2354"/>
      <c r="O673" s="2354"/>
      <c r="P673" s="2354"/>
      <c r="Q673" s="2354"/>
      <c r="R673" s="2354"/>
      <c r="S673" s="2354"/>
      <c r="T673" s="2354"/>
      <c r="U673" s="2354"/>
      <c r="V673" s="2354"/>
      <c r="W673" s="2354"/>
      <c r="X673" s="2354"/>
      <c r="Y673" s="2354"/>
      <c r="Z673" s="2354"/>
      <c r="AA673" s="2354"/>
      <c r="AB673" s="2354"/>
      <c r="AC673" s="2354"/>
      <c r="AD673" s="336"/>
      <c r="AE673" s="336"/>
      <c r="AF673" s="2454" t="s">
        <v>2222</v>
      </c>
      <c r="AG673" s="2454"/>
      <c r="AH673" s="2454"/>
      <c r="AI673" s="2454"/>
      <c r="AJ673" s="2454"/>
      <c r="AK673" s="2454"/>
      <c r="AL673" s="2454"/>
      <c r="AM673" s="389"/>
      <c r="AN673" s="390"/>
    </row>
    <row r="674" spans="1:42" s="349" customFormat="1" ht="12.75" customHeight="1">
      <c r="B674" s="336"/>
      <c r="C674" s="683"/>
      <c r="D674" s="451"/>
      <c r="E674" s="2354"/>
      <c r="F674" s="2354"/>
      <c r="G674" s="2354"/>
      <c r="H674" s="2354"/>
      <c r="I674" s="2354"/>
      <c r="J674" s="2354"/>
      <c r="K674" s="2354"/>
      <c r="L674" s="2354"/>
      <c r="M674" s="2354"/>
      <c r="N674" s="2354"/>
      <c r="O674" s="2354"/>
      <c r="P674" s="2354"/>
      <c r="Q674" s="2354"/>
      <c r="R674" s="2354"/>
      <c r="S674" s="2354"/>
      <c r="T674" s="2354"/>
      <c r="U674" s="2354"/>
      <c r="V674" s="2354"/>
      <c r="W674" s="2354"/>
      <c r="X674" s="2354"/>
      <c r="Y674" s="2354"/>
      <c r="Z674" s="2354"/>
      <c r="AA674" s="2354"/>
      <c r="AB674" s="2354"/>
      <c r="AC674" s="2354"/>
      <c r="AD674" s="336"/>
      <c r="AE674" s="336"/>
      <c r="AF674" s="336"/>
      <c r="AG674" s="336"/>
      <c r="AH674" s="336"/>
      <c r="AI674" s="336"/>
      <c r="AJ674" s="336"/>
      <c r="AK674" s="336"/>
      <c r="AL674" s="336"/>
      <c r="AM674" s="389"/>
      <c r="AN674" s="390"/>
    </row>
    <row r="675" spans="1:42" s="349" customFormat="1" ht="12.75" customHeight="1">
      <c r="B675" s="336"/>
      <c r="C675" s="683"/>
      <c r="D675" s="451"/>
      <c r="E675" s="2354"/>
      <c r="F675" s="2354"/>
      <c r="G675" s="2354"/>
      <c r="H675" s="2354"/>
      <c r="I675" s="2354"/>
      <c r="J675" s="2354"/>
      <c r="K675" s="2354"/>
      <c r="L675" s="2354"/>
      <c r="M675" s="2354"/>
      <c r="N675" s="2354"/>
      <c r="O675" s="2354"/>
      <c r="P675" s="2354"/>
      <c r="Q675" s="2354"/>
      <c r="R675" s="2354"/>
      <c r="S675" s="2354"/>
      <c r="T675" s="2354"/>
      <c r="U675" s="2354"/>
      <c r="V675" s="2354"/>
      <c r="W675" s="2354"/>
      <c r="X675" s="2354"/>
      <c r="Y675" s="2354"/>
      <c r="Z675" s="2354"/>
      <c r="AA675" s="2354"/>
      <c r="AB675" s="2354"/>
      <c r="AC675" s="2354"/>
      <c r="AD675" s="336"/>
      <c r="AE675" s="336"/>
      <c r="AF675" s="336"/>
      <c r="AG675" s="336"/>
      <c r="AH675" s="336"/>
      <c r="AI675" s="336"/>
      <c r="AJ675" s="336"/>
      <c r="AK675" s="336"/>
      <c r="AL675" s="336"/>
      <c r="AM675" s="389"/>
      <c r="AN675" s="390"/>
    </row>
    <row r="676" spans="1:42" s="349" customFormat="1" ht="12.75" customHeight="1">
      <c r="B676" s="336"/>
      <c r="C676" s="683"/>
      <c r="D676" s="451"/>
      <c r="E676" s="336"/>
      <c r="F676" s="336"/>
      <c r="G676" s="336"/>
      <c r="H676" s="336"/>
      <c r="I676" s="336"/>
      <c r="J676" s="336"/>
      <c r="K676" s="336"/>
      <c r="L676" s="336"/>
      <c r="M676" s="336"/>
      <c r="N676" s="336"/>
      <c r="O676" s="336"/>
      <c r="P676" s="336"/>
      <c r="Q676" s="336"/>
      <c r="R676" s="336"/>
      <c r="S676" s="336"/>
      <c r="T676" s="336"/>
      <c r="U676" s="336"/>
      <c r="V676" s="336"/>
      <c r="W676" s="336"/>
      <c r="X676" s="336"/>
      <c r="Y676" s="336"/>
      <c r="Z676" s="336"/>
      <c r="AA676" s="336"/>
      <c r="AB676" s="336"/>
      <c r="AC676" s="336"/>
      <c r="AD676" s="336"/>
      <c r="AE676" s="336"/>
      <c r="AF676" s="336"/>
      <c r="AG676" s="336"/>
      <c r="AH676" s="336"/>
      <c r="AI676" s="336"/>
      <c r="AJ676" s="336"/>
      <c r="AK676" s="336"/>
      <c r="AL676" s="336"/>
      <c r="AM676" s="389"/>
      <c r="AN676" s="390"/>
    </row>
    <row r="677" spans="1:42" s="349" customFormat="1" ht="12.75" customHeight="1">
      <c r="A677" s="1212"/>
      <c r="B677" s="336"/>
      <c r="C677" s="683"/>
      <c r="D677" s="451" t="s">
        <v>2511</v>
      </c>
      <c r="E677" s="2354" t="s">
        <v>2526</v>
      </c>
      <c r="F677" s="2354"/>
      <c r="G677" s="2354"/>
      <c r="H677" s="2354"/>
      <c r="I677" s="2354"/>
      <c r="J677" s="2354"/>
      <c r="K677" s="2354"/>
      <c r="L677" s="2354"/>
      <c r="M677" s="2354"/>
      <c r="N677" s="2354"/>
      <c r="O677" s="2354"/>
      <c r="P677" s="2354"/>
      <c r="Q677" s="2354"/>
      <c r="R677" s="2354"/>
      <c r="S677" s="2354"/>
      <c r="T677" s="2354"/>
      <c r="U677" s="2354"/>
      <c r="V677" s="2354"/>
      <c r="W677" s="2354"/>
      <c r="X677" s="2354"/>
      <c r="Y677" s="2354"/>
      <c r="Z677" s="2354"/>
      <c r="AA677" s="2354"/>
      <c r="AB677" s="2354"/>
      <c r="AC677" s="2354"/>
      <c r="AD677" s="336"/>
      <c r="AE677" s="336"/>
      <c r="AF677" s="2454" t="s">
        <v>2510</v>
      </c>
      <c r="AG677" s="2454"/>
      <c r="AH677" s="2454"/>
      <c r="AI677" s="2454"/>
      <c r="AJ677" s="2454"/>
      <c r="AK677" s="2454"/>
      <c r="AL677" s="2454"/>
      <c r="AM677" s="389"/>
      <c r="AN677" s="390"/>
    </row>
    <row r="678" spans="1:42" s="349" customFormat="1" ht="12.75" customHeight="1">
      <c r="A678" s="1212"/>
      <c r="B678" s="336"/>
      <c r="C678" s="683"/>
      <c r="D678" s="451"/>
      <c r="E678" s="2354"/>
      <c r="F678" s="2354"/>
      <c r="G678" s="2354"/>
      <c r="H678" s="2354"/>
      <c r="I678" s="2354"/>
      <c r="J678" s="2354"/>
      <c r="K678" s="2354"/>
      <c r="L678" s="2354"/>
      <c r="M678" s="2354"/>
      <c r="N678" s="2354"/>
      <c r="O678" s="2354"/>
      <c r="P678" s="2354"/>
      <c r="Q678" s="2354"/>
      <c r="R678" s="2354"/>
      <c r="S678" s="2354"/>
      <c r="T678" s="2354"/>
      <c r="U678" s="2354"/>
      <c r="V678" s="2354"/>
      <c r="W678" s="2354"/>
      <c r="X678" s="2354"/>
      <c r="Y678" s="2354"/>
      <c r="Z678" s="2354"/>
      <c r="AA678" s="2354"/>
      <c r="AB678" s="2354"/>
      <c r="AC678" s="2354"/>
      <c r="AD678" s="336"/>
      <c r="AE678" s="336"/>
      <c r="AF678" s="1195"/>
      <c r="AG678" s="1195"/>
      <c r="AH678" s="1195"/>
      <c r="AI678" s="1195"/>
      <c r="AJ678" s="1195"/>
      <c r="AK678" s="1195"/>
      <c r="AL678" s="1195"/>
      <c r="AM678" s="389"/>
      <c r="AN678" s="390"/>
    </row>
    <row r="679" spans="1:42" s="349" customFormat="1" ht="12.75" customHeight="1">
      <c r="A679" s="1212"/>
      <c r="B679" s="336"/>
      <c r="C679" s="683"/>
      <c r="D679" s="451"/>
      <c r="E679" s="2354"/>
      <c r="F679" s="2354"/>
      <c r="G679" s="2354"/>
      <c r="H679" s="2354"/>
      <c r="I679" s="2354"/>
      <c r="J679" s="2354"/>
      <c r="K679" s="2354"/>
      <c r="L679" s="2354"/>
      <c r="M679" s="2354"/>
      <c r="N679" s="2354"/>
      <c r="O679" s="2354"/>
      <c r="P679" s="2354"/>
      <c r="Q679" s="2354"/>
      <c r="R679" s="2354"/>
      <c r="S679" s="2354"/>
      <c r="T679" s="2354"/>
      <c r="U679" s="2354"/>
      <c r="V679" s="2354"/>
      <c r="W679" s="2354"/>
      <c r="X679" s="2354"/>
      <c r="Y679" s="2354"/>
      <c r="Z679" s="2354"/>
      <c r="AA679" s="2354"/>
      <c r="AB679" s="2354"/>
      <c r="AC679" s="2354"/>
      <c r="AD679" s="336"/>
      <c r="AE679" s="1195"/>
      <c r="AF679" s="1195"/>
      <c r="AG679" s="1195"/>
      <c r="AH679" s="1195"/>
      <c r="AI679" s="1195"/>
      <c r="AJ679" s="1195"/>
      <c r="AK679" s="1195"/>
      <c r="AL679" s="1195"/>
      <c r="AM679" s="389"/>
      <c r="AN679" s="390"/>
    </row>
    <row r="680" spans="1:42" s="349" customFormat="1" ht="12.75" customHeight="1">
      <c r="A680" s="1212"/>
      <c r="B680" s="336"/>
      <c r="C680" s="683"/>
      <c r="D680" s="451"/>
      <c r="E680" s="432"/>
      <c r="F680" s="432"/>
      <c r="G680" s="432"/>
      <c r="H680" s="432"/>
      <c r="I680" s="432"/>
      <c r="J680" s="432"/>
      <c r="K680" s="432"/>
      <c r="L680" s="432"/>
      <c r="M680" s="432"/>
      <c r="N680" s="432"/>
      <c r="O680" s="432"/>
      <c r="P680" s="432"/>
      <c r="Q680" s="432"/>
      <c r="R680" s="432"/>
      <c r="S680" s="432"/>
      <c r="T680" s="432"/>
      <c r="U680" s="432"/>
      <c r="V680" s="432"/>
      <c r="W680" s="432"/>
      <c r="X680" s="432"/>
      <c r="Y680" s="432"/>
      <c r="Z680" s="432"/>
      <c r="AA680" s="432"/>
      <c r="AB680" s="432"/>
      <c r="AC680" s="432"/>
      <c r="AD680" s="336"/>
      <c r="AE680" s="1195"/>
      <c r="AF680" s="336"/>
      <c r="AG680" s="336"/>
      <c r="AH680" s="336"/>
      <c r="AI680" s="336"/>
      <c r="AJ680" s="336"/>
      <c r="AK680" s="336"/>
      <c r="AL680" s="336"/>
      <c r="AM680" s="389"/>
      <c r="AN680" s="390"/>
      <c r="AO680" s="349" t="s">
        <v>809</v>
      </c>
      <c r="AP680" s="428">
        <v>0</v>
      </c>
    </row>
    <row r="681" spans="1:42" s="349" customFormat="1" ht="12.75" customHeight="1">
      <c r="A681" s="1212"/>
      <c r="B681" s="336"/>
      <c r="C681" s="683"/>
      <c r="D681" s="451" t="s">
        <v>2513</v>
      </c>
      <c r="E681" s="2354" t="s">
        <v>2527</v>
      </c>
      <c r="F681" s="2354"/>
      <c r="G681" s="2354"/>
      <c r="H681" s="2354"/>
      <c r="I681" s="2354"/>
      <c r="J681" s="2354"/>
      <c r="K681" s="2354"/>
      <c r="L681" s="2354"/>
      <c r="M681" s="2354"/>
      <c r="N681" s="2354"/>
      <c r="O681" s="2354"/>
      <c r="P681" s="2354"/>
      <c r="Q681" s="2354"/>
      <c r="R681" s="2354"/>
      <c r="S681" s="2354"/>
      <c r="T681" s="2354"/>
      <c r="U681" s="2354"/>
      <c r="V681" s="2354"/>
      <c r="W681" s="2354"/>
      <c r="X681" s="2354"/>
      <c r="Y681" s="2354"/>
      <c r="Z681" s="2354"/>
      <c r="AA681" s="2354"/>
      <c r="AB681" s="2354"/>
      <c r="AC681" s="2354"/>
      <c r="AD681" s="336"/>
      <c r="AE681" s="336"/>
      <c r="AF681" s="2454" t="s">
        <v>2528</v>
      </c>
      <c r="AG681" s="2454"/>
      <c r="AH681" s="2454"/>
      <c r="AI681" s="2454"/>
      <c r="AJ681" s="2454"/>
      <c r="AK681" s="2454"/>
      <c r="AL681" s="2454"/>
      <c r="AM681" s="389"/>
      <c r="AN681" s="390"/>
      <c r="AO681" s="403" t="s">
        <v>22</v>
      </c>
      <c r="AP681" s="349">
        <v>3</v>
      </c>
    </row>
    <row r="682" spans="1:42" s="349" customFormat="1" ht="12.75" customHeight="1">
      <c r="A682" s="1212"/>
      <c r="B682" s="336"/>
      <c r="C682" s="683"/>
      <c r="D682" s="451"/>
      <c r="E682" s="2354"/>
      <c r="F682" s="2354"/>
      <c r="G682" s="2354"/>
      <c r="H682" s="2354"/>
      <c r="I682" s="2354"/>
      <c r="J682" s="2354"/>
      <c r="K682" s="2354"/>
      <c r="L682" s="2354"/>
      <c r="M682" s="2354"/>
      <c r="N682" s="2354"/>
      <c r="O682" s="2354"/>
      <c r="P682" s="2354"/>
      <c r="Q682" s="2354"/>
      <c r="R682" s="2354"/>
      <c r="S682" s="2354"/>
      <c r="T682" s="2354"/>
      <c r="U682" s="2354"/>
      <c r="V682" s="2354"/>
      <c r="W682" s="2354"/>
      <c r="X682" s="2354"/>
      <c r="Y682" s="2354"/>
      <c r="Z682" s="2354"/>
      <c r="AA682" s="2354"/>
      <c r="AB682" s="2354"/>
      <c r="AC682" s="2354"/>
      <c r="AD682" s="336"/>
      <c r="AE682" s="336"/>
      <c r="AF682" s="1195"/>
      <c r="AG682" s="1195"/>
      <c r="AH682" s="1195"/>
      <c r="AI682" s="1195"/>
      <c r="AJ682" s="1195"/>
      <c r="AK682" s="1195"/>
      <c r="AL682" s="1195"/>
      <c r="AM682" s="389"/>
      <c r="AN682" s="390"/>
      <c r="AO682" s="403" t="s">
        <v>27</v>
      </c>
      <c r="AP682" s="349">
        <v>2</v>
      </c>
    </row>
    <row r="683" spans="1:42" s="349" customFormat="1" ht="12.75" customHeight="1">
      <c r="A683" s="1212"/>
      <c r="B683" s="336"/>
      <c r="C683" s="683"/>
      <c r="D683" s="451"/>
      <c r="E683" s="2354"/>
      <c r="F683" s="2354"/>
      <c r="G683" s="2354"/>
      <c r="H683" s="2354"/>
      <c r="I683" s="2354"/>
      <c r="J683" s="2354"/>
      <c r="K683" s="2354"/>
      <c r="L683" s="2354"/>
      <c r="M683" s="2354"/>
      <c r="N683" s="2354"/>
      <c r="O683" s="2354"/>
      <c r="P683" s="2354"/>
      <c r="Q683" s="2354"/>
      <c r="R683" s="2354"/>
      <c r="S683" s="2354"/>
      <c r="T683" s="2354"/>
      <c r="U683" s="2354"/>
      <c r="V683" s="2354"/>
      <c r="W683" s="2354"/>
      <c r="X683" s="2354"/>
      <c r="Y683" s="2354"/>
      <c r="Z683" s="2354"/>
      <c r="AA683" s="2354"/>
      <c r="AB683" s="2354"/>
      <c r="AC683" s="2354"/>
      <c r="AD683" s="336"/>
      <c r="AE683" s="1195"/>
      <c r="AF683" s="1195"/>
      <c r="AG683" s="1195"/>
      <c r="AH683" s="1195"/>
      <c r="AI683" s="1195"/>
      <c r="AJ683" s="1195"/>
      <c r="AK683" s="1195"/>
      <c r="AL683" s="1195"/>
      <c r="AM683" s="389"/>
      <c r="AN683" s="390"/>
    </row>
    <row r="684" spans="1:42" s="349" customFormat="1" ht="12.75" customHeight="1">
      <c r="A684" s="458"/>
      <c r="B684" s="336"/>
      <c r="C684" s="698"/>
      <c r="D684" s="451"/>
      <c r="E684" s="1202"/>
      <c r="F684" s="1202"/>
      <c r="G684" s="1202"/>
      <c r="H684" s="1202"/>
      <c r="I684" s="1202"/>
      <c r="J684" s="1202"/>
      <c r="K684" s="1202"/>
      <c r="L684" s="1202"/>
      <c r="M684" s="1202"/>
      <c r="N684" s="1202"/>
      <c r="O684" s="1202"/>
      <c r="P684" s="1202"/>
      <c r="Q684" s="1202"/>
      <c r="R684" s="1202"/>
      <c r="S684" s="1202"/>
      <c r="T684" s="1202"/>
      <c r="U684" s="1202"/>
      <c r="V684" s="1202"/>
      <c r="W684" s="1202"/>
      <c r="X684" s="1202"/>
      <c r="Y684" s="1202"/>
      <c r="Z684" s="1202"/>
      <c r="AA684" s="1202"/>
      <c r="AB684" s="1202"/>
      <c r="AC684" s="1202"/>
      <c r="AD684" s="336"/>
      <c r="AE684" s="1195"/>
      <c r="AF684" s="1195"/>
      <c r="AG684" s="1195"/>
      <c r="AH684" s="1195"/>
      <c r="AI684" s="1195"/>
      <c r="AJ684" s="1195"/>
      <c r="AK684" s="1195"/>
      <c r="AL684" s="1195"/>
      <c r="AM684" s="389"/>
      <c r="AN684" s="390"/>
    </row>
    <row r="685" spans="1:42" s="349" customFormat="1" ht="12.75" customHeight="1">
      <c r="A685" s="1212"/>
      <c r="B685" s="336"/>
      <c r="C685" s="683"/>
      <c r="D685" s="336" t="s">
        <v>2496</v>
      </c>
      <c r="E685" s="1214"/>
      <c r="F685" s="1214"/>
      <c r="G685" s="1214"/>
      <c r="H685" s="2378" t="s">
        <v>22</v>
      </c>
      <c r="I685" s="2378"/>
      <c r="J685" s="407"/>
      <c r="K685" s="407"/>
      <c r="L685" s="336"/>
      <c r="M685" s="336"/>
      <c r="N685" s="336"/>
      <c r="O685" s="336"/>
      <c r="P685" s="336"/>
      <c r="Q685" s="336"/>
      <c r="R685" s="336"/>
      <c r="S685" s="336"/>
      <c r="T685" s="336"/>
      <c r="U685" s="336"/>
      <c r="V685" s="336"/>
      <c r="W685" s="336"/>
      <c r="X685" s="336"/>
      <c r="Y685" s="336"/>
      <c r="Z685" s="336"/>
      <c r="AA685" s="336"/>
      <c r="AB685" s="336"/>
      <c r="AC685" s="336"/>
      <c r="AD685" s="336"/>
      <c r="AE685" s="336"/>
      <c r="AF685" s="336"/>
      <c r="AG685" s="336"/>
      <c r="AH685" s="336"/>
      <c r="AI685" s="336"/>
      <c r="AJ685" s="336"/>
      <c r="AK685" s="336"/>
      <c r="AL685" s="336"/>
      <c r="AN685" s="390"/>
    </row>
    <row r="686" spans="1:42" s="349" customFormat="1" ht="12.75" customHeight="1">
      <c r="A686" s="1212"/>
      <c r="B686" s="336"/>
      <c r="C686" s="683"/>
      <c r="D686" s="336"/>
      <c r="E686" s="1214"/>
      <c r="F686" s="1214"/>
      <c r="G686" s="407"/>
      <c r="H686" s="407"/>
      <c r="I686" s="407"/>
      <c r="J686" s="407"/>
      <c r="K686" s="407"/>
      <c r="L686" s="407"/>
      <c r="M686" s="407"/>
      <c r="N686" s="407"/>
      <c r="O686" s="407"/>
      <c r="P686" s="407"/>
      <c r="Q686" s="407"/>
      <c r="R686" s="407"/>
      <c r="S686" s="407"/>
      <c r="T686" s="407"/>
      <c r="U686" s="407"/>
      <c r="V686" s="407"/>
      <c r="W686" s="407"/>
      <c r="X686" s="407"/>
      <c r="Y686" s="407"/>
      <c r="Z686" s="1214"/>
      <c r="AA686" s="1214"/>
      <c r="AB686" s="1214"/>
      <c r="AC686" s="336"/>
      <c r="AD686" s="336"/>
      <c r="AE686" s="336"/>
      <c r="AF686" s="336"/>
      <c r="AG686" s="407"/>
      <c r="AH686" s="407"/>
      <c r="AI686" s="407"/>
      <c r="AJ686" s="407"/>
      <c r="AK686" s="407"/>
      <c r="AL686" s="407"/>
      <c r="AM686" s="350"/>
      <c r="AN686" s="390"/>
    </row>
    <row r="687" spans="1:42" s="349" customFormat="1" ht="12.75" customHeight="1">
      <c r="A687" s="470"/>
      <c r="B687" s="394"/>
      <c r="C687" s="695"/>
      <c r="D687" s="394"/>
      <c r="E687" s="690"/>
      <c r="F687" s="453"/>
      <c r="G687" s="453"/>
      <c r="H687" s="453"/>
      <c r="I687" s="453"/>
      <c r="J687" s="453"/>
      <c r="K687" s="453"/>
      <c r="L687" s="453"/>
      <c r="M687" s="453"/>
      <c r="N687" s="453"/>
      <c r="O687" s="453"/>
      <c r="P687" s="453"/>
      <c r="Q687" s="453"/>
      <c r="R687" s="453"/>
      <c r="S687" s="453"/>
      <c r="T687" s="453"/>
      <c r="U687" s="453"/>
      <c r="V687" s="453"/>
      <c r="W687" s="453"/>
      <c r="X687" s="453"/>
      <c r="Y687" s="690"/>
      <c r="Z687" s="690"/>
      <c r="AA687" s="690"/>
      <c r="AB687" s="394"/>
      <c r="AC687" s="394"/>
      <c r="AD687" s="394"/>
      <c r="AE687" s="394"/>
      <c r="AF687" s="394"/>
      <c r="AG687" s="394"/>
      <c r="AH687" s="394"/>
      <c r="AI687" s="362" t="s">
        <v>2529</v>
      </c>
      <c r="AJ687" s="2361">
        <f>VLOOKUP($H$685,$AO$633:$AP$640,2,FALSE)</f>
        <v>5</v>
      </c>
      <c r="AK687" s="2363"/>
      <c r="AL687" s="388"/>
      <c r="AN687" s="390"/>
    </row>
    <row r="688" spans="1:42" s="349" customFormat="1" ht="12.75" customHeight="1">
      <c r="A688" s="1212"/>
      <c r="B688" s="336"/>
      <c r="C688" s="683"/>
      <c r="D688" s="336"/>
      <c r="E688" s="407"/>
      <c r="F688" s="407"/>
      <c r="G688" s="407"/>
      <c r="H688" s="407"/>
      <c r="I688" s="407"/>
      <c r="J688" s="407"/>
      <c r="K688" s="407"/>
      <c r="L688" s="407"/>
      <c r="M688" s="407"/>
      <c r="N688" s="407"/>
      <c r="O688" s="407"/>
      <c r="P688" s="407"/>
      <c r="Q688" s="407"/>
      <c r="R688" s="407"/>
      <c r="S688" s="407"/>
      <c r="T688" s="407"/>
      <c r="U688" s="407"/>
      <c r="V688" s="407"/>
      <c r="W688" s="407"/>
      <c r="X688" s="407"/>
      <c r="Y688" s="407"/>
      <c r="Z688" s="407"/>
      <c r="AA688" s="407"/>
      <c r="AB688" s="407"/>
      <c r="AC688" s="407"/>
      <c r="AD688" s="1199"/>
      <c r="AE688" s="336"/>
      <c r="AF688" s="336"/>
      <c r="AG688" s="336"/>
      <c r="AH688" s="336"/>
      <c r="AI688" s="336"/>
      <c r="AJ688" s="336"/>
      <c r="AK688" s="336"/>
      <c r="AL688" s="336"/>
      <c r="AN688" s="390"/>
    </row>
    <row r="689" spans="1:51" s="349" customFormat="1" ht="12.75" customHeight="1">
      <c r="A689" s="1212"/>
      <c r="B689" s="336"/>
      <c r="C689" s="339" t="s">
        <v>2530</v>
      </c>
      <c r="D689" s="498"/>
      <c r="E689" s="407"/>
      <c r="F689" s="407"/>
      <c r="G689" s="407"/>
      <c r="H689" s="407"/>
      <c r="I689" s="407"/>
      <c r="J689" s="407"/>
      <c r="K689" s="407"/>
      <c r="L689" s="407"/>
      <c r="M689" s="407"/>
      <c r="N689" s="407"/>
      <c r="O689" s="407"/>
      <c r="P689" s="407"/>
      <c r="Q689" s="407"/>
      <c r="R689" s="407"/>
      <c r="S689" s="407"/>
      <c r="T689" s="407"/>
      <c r="U689" s="407"/>
      <c r="V689" s="407"/>
      <c r="W689" s="407"/>
      <c r="X689" s="407"/>
      <c r="Y689" s="407"/>
      <c r="Z689" s="407"/>
      <c r="AA689" s="407"/>
      <c r="AB689" s="407"/>
      <c r="AC689" s="407"/>
      <c r="AD689" s="1199"/>
      <c r="AE689" s="336"/>
      <c r="AF689" s="336"/>
      <c r="AG689" s="336"/>
      <c r="AH689" s="336"/>
      <c r="AI689" s="336"/>
      <c r="AJ689" s="336"/>
      <c r="AK689" s="336"/>
      <c r="AL689" s="336"/>
      <c r="AN689" s="390"/>
      <c r="AW689" s="17" t="s">
        <v>2531</v>
      </c>
      <c r="AX689" s="349">
        <f>Application!Q212</f>
        <v>0</v>
      </c>
    </row>
    <row r="690" spans="1:51" s="349" customFormat="1" ht="12.75" customHeight="1">
      <c r="A690" s="1212"/>
      <c r="B690" s="336"/>
      <c r="C690" s="699"/>
      <c r="D690" s="336"/>
      <c r="E690" s="336"/>
      <c r="F690" s="336"/>
      <c r="G690" s="336"/>
      <c r="H690" s="336"/>
      <c r="I690" s="336"/>
      <c r="J690" s="336"/>
      <c r="K690" s="336"/>
      <c r="L690" s="336"/>
      <c r="M690" s="336"/>
      <c r="N690" s="336"/>
      <c r="O690" s="336"/>
      <c r="P690" s="336"/>
      <c r="Q690" s="336"/>
      <c r="R690" s="336"/>
      <c r="S690" s="336"/>
      <c r="T690" s="336"/>
      <c r="U690" s="336"/>
      <c r="V690" s="336"/>
      <c r="W690" s="336"/>
      <c r="X690" s="336"/>
      <c r="Y690" s="336"/>
      <c r="Z690" s="336"/>
      <c r="AA690" s="336"/>
      <c r="AB690" s="336"/>
      <c r="AC690" s="336"/>
      <c r="AD690" s="336"/>
      <c r="AE690" s="336"/>
      <c r="AF690" s="336"/>
      <c r="AG690" s="336"/>
      <c r="AH690" s="336"/>
      <c r="AI690" s="336"/>
      <c r="AJ690" s="336"/>
      <c r="AK690" s="336"/>
      <c r="AL690" s="336"/>
      <c r="AN690" s="390"/>
      <c r="AW690" s="17" t="s">
        <v>2532</v>
      </c>
      <c r="AX690" s="868">
        <f>Application!G753</f>
        <v>127</v>
      </c>
    </row>
    <row r="691" spans="1:51" s="349" customFormat="1" ht="12.75" customHeight="1">
      <c r="A691" s="1212"/>
      <c r="B691" s="336"/>
      <c r="C691" s="699"/>
      <c r="D691" s="451" t="s">
        <v>22</v>
      </c>
      <c r="E691" s="2324" t="s">
        <v>2533</v>
      </c>
      <c r="F691" s="2324"/>
      <c r="G691" s="2324"/>
      <c r="H691" s="2324"/>
      <c r="I691" s="2324"/>
      <c r="J691" s="2324"/>
      <c r="K691" s="2324"/>
      <c r="L691" s="2324"/>
      <c r="M691" s="2324"/>
      <c r="N691" s="2324"/>
      <c r="O691" s="2324"/>
      <c r="P691" s="2324"/>
      <c r="Q691" s="2324"/>
      <c r="R691" s="2324"/>
      <c r="S691" s="2324"/>
      <c r="T691" s="2324"/>
      <c r="U691" s="2324"/>
      <c r="V691" s="2324"/>
      <c r="W691" s="2324"/>
      <c r="X691" s="2324"/>
      <c r="Y691" s="2324"/>
      <c r="Z691" s="2324"/>
      <c r="AA691" s="2324"/>
      <c r="AB691" s="2324"/>
      <c r="AC691" s="336"/>
      <c r="AD691" s="336"/>
      <c r="AE691" s="336"/>
      <c r="AF691" s="2454" t="s">
        <v>2222</v>
      </c>
      <c r="AG691" s="2454"/>
      <c r="AH691" s="2454"/>
      <c r="AI691" s="2454"/>
      <c r="AJ691" s="2454"/>
      <c r="AK691" s="2454"/>
      <c r="AL691" s="2454"/>
      <c r="AN691" s="390"/>
      <c r="AW691" s="17" t="s">
        <v>2534</v>
      </c>
      <c r="AX691" s="349">
        <f>Application!DE753</f>
        <v>35</v>
      </c>
    </row>
    <row r="692" spans="1:51" s="349" customFormat="1" ht="12.75" customHeight="1">
      <c r="A692" s="1212"/>
      <c r="B692" s="336"/>
      <c r="C692" s="699"/>
      <c r="D692" s="451"/>
      <c r="E692" s="2324"/>
      <c r="F692" s="2324"/>
      <c r="G692" s="2324"/>
      <c r="H692" s="2324"/>
      <c r="I692" s="2324"/>
      <c r="J692" s="2324"/>
      <c r="K692" s="2324"/>
      <c r="L692" s="2324"/>
      <c r="M692" s="2324"/>
      <c r="N692" s="2324"/>
      <c r="O692" s="2324"/>
      <c r="P692" s="2324"/>
      <c r="Q692" s="2324"/>
      <c r="R692" s="2324"/>
      <c r="S692" s="2324"/>
      <c r="T692" s="2324"/>
      <c r="U692" s="2324"/>
      <c r="V692" s="2324"/>
      <c r="W692" s="2324"/>
      <c r="X692" s="2324"/>
      <c r="Y692" s="2324"/>
      <c r="Z692" s="2324"/>
      <c r="AA692" s="2324"/>
      <c r="AB692" s="2324"/>
      <c r="AC692" s="336"/>
      <c r="AD692" s="336"/>
      <c r="AE692" s="336"/>
      <c r="AF692" s="336"/>
      <c r="AG692" s="336"/>
      <c r="AH692" s="336"/>
      <c r="AI692" s="336"/>
      <c r="AJ692" s="336"/>
      <c r="AK692" s="336"/>
      <c r="AL692" s="336"/>
      <c r="AN692" s="390"/>
      <c r="AW692" s="17" t="s">
        <v>2535</v>
      </c>
      <c r="AX692" s="349">
        <f>Application!DJ753</f>
        <v>0</v>
      </c>
    </row>
    <row r="693" spans="1:51" s="349" customFormat="1" ht="12.75" customHeight="1">
      <c r="A693" s="1212"/>
      <c r="B693" s="336"/>
      <c r="C693" s="699"/>
      <c r="D693" s="451"/>
      <c r="E693" s="336"/>
      <c r="F693" s="336"/>
      <c r="G693" s="336"/>
      <c r="H693" s="336"/>
      <c r="I693" s="336"/>
      <c r="J693" s="336"/>
      <c r="K693" s="336"/>
      <c r="L693" s="336"/>
      <c r="M693" s="336"/>
      <c r="N693" s="336"/>
      <c r="O693" s="336"/>
      <c r="P693" s="336"/>
      <c r="Q693" s="336"/>
      <c r="R693" s="336"/>
      <c r="S693" s="336"/>
      <c r="T693" s="336"/>
      <c r="U693" s="336"/>
      <c r="V693" s="336"/>
      <c r="W693" s="336"/>
      <c r="X693" s="336"/>
      <c r="Y693" s="336"/>
      <c r="Z693" s="336"/>
      <c r="AA693" s="336"/>
      <c r="AB693" s="336"/>
      <c r="AC693" s="336"/>
      <c r="AD693" s="336"/>
      <c r="AE693" s="336"/>
      <c r="AF693" s="336"/>
      <c r="AG693" s="336"/>
      <c r="AH693" s="336"/>
      <c r="AI693" s="336"/>
      <c r="AJ693" s="336"/>
      <c r="AK693" s="336"/>
      <c r="AL693" s="336"/>
      <c r="AN693" s="390"/>
      <c r="AW693" s="17" t="s">
        <v>2536</v>
      </c>
      <c r="AX693" s="349">
        <f>Application!DO753</f>
        <v>0</v>
      </c>
    </row>
    <row r="694" spans="1:51" s="349" customFormat="1" ht="12.75" customHeight="1">
      <c r="B694" s="336"/>
      <c r="C694" s="683"/>
      <c r="D694" s="451" t="s">
        <v>27</v>
      </c>
      <c r="E694" s="2354" t="s">
        <v>2537</v>
      </c>
      <c r="F694" s="2354"/>
      <c r="G694" s="2354"/>
      <c r="H694" s="2354"/>
      <c r="I694" s="2354"/>
      <c r="J694" s="2354"/>
      <c r="K694" s="2354"/>
      <c r="L694" s="2354"/>
      <c r="M694" s="2354"/>
      <c r="N694" s="2354"/>
      <c r="O694" s="2354"/>
      <c r="P694" s="2354"/>
      <c r="Q694" s="2354"/>
      <c r="R694" s="2354"/>
      <c r="S694" s="2354"/>
      <c r="T694" s="2354"/>
      <c r="U694" s="2354"/>
      <c r="V694" s="2354"/>
      <c r="W694" s="2354"/>
      <c r="X694" s="2354"/>
      <c r="Y694" s="2354"/>
      <c r="Z694" s="2354"/>
      <c r="AA694" s="2354"/>
      <c r="AB694" s="2354"/>
      <c r="AC694" s="336"/>
      <c r="AD694" s="336"/>
      <c r="AE694" s="336"/>
      <c r="AF694" s="2454" t="s">
        <v>2222</v>
      </c>
      <c r="AG694" s="2454"/>
      <c r="AH694" s="2454"/>
      <c r="AI694" s="2454"/>
      <c r="AJ694" s="2454"/>
      <c r="AK694" s="2454"/>
      <c r="AL694" s="2454"/>
      <c r="AN694" s="390"/>
      <c r="AW694" s="17" t="s">
        <v>2538</v>
      </c>
      <c r="AX694" s="349">
        <f>AX691+AX692+AX693</f>
        <v>35</v>
      </c>
    </row>
    <row r="695" spans="1:51" s="349" customFormat="1" ht="12.75" customHeight="1">
      <c r="B695" s="336"/>
      <c r="C695" s="691"/>
      <c r="D695" s="451"/>
      <c r="E695" s="2354"/>
      <c r="F695" s="2354"/>
      <c r="G695" s="2354"/>
      <c r="H695" s="2354"/>
      <c r="I695" s="2354"/>
      <c r="J695" s="2354"/>
      <c r="K695" s="2354"/>
      <c r="L695" s="2354"/>
      <c r="M695" s="2354"/>
      <c r="N695" s="2354"/>
      <c r="O695" s="2354"/>
      <c r="P695" s="2354"/>
      <c r="Q695" s="2354"/>
      <c r="R695" s="2354"/>
      <c r="S695" s="2354"/>
      <c r="T695" s="2354"/>
      <c r="U695" s="2354"/>
      <c r="V695" s="2354"/>
      <c r="W695" s="2354"/>
      <c r="X695" s="2354"/>
      <c r="Y695" s="2354"/>
      <c r="Z695" s="2354"/>
      <c r="AA695" s="2354"/>
      <c r="AB695" s="2354"/>
      <c r="AC695" s="336"/>
      <c r="AD695" s="336"/>
      <c r="AE695" s="407"/>
      <c r="AF695" s="336"/>
      <c r="AG695" s="336"/>
      <c r="AH695" s="336"/>
      <c r="AI695" s="336"/>
      <c r="AJ695" s="336"/>
      <c r="AK695" s="336"/>
      <c r="AL695" s="336"/>
      <c r="AN695" s="390"/>
      <c r="AO695" s="2368" t="b">
        <f>IF(Application!D211="Special Needs",IF(AY695&gt;=0.25,TRUE,FALSE),IF(AX695&gt;=0.25,TRUE,FALSE))</f>
        <v>1</v>
      </c>
      <c r="AP695" s="2368"/>
      <c r="AW695" s="17" t="s">
        <v>1984</v>
      </c>
      <c r="AX695" s="349">
        <f>IFERROR(AX694/AX690,0)</f>
        <v>0.27559055118110237</v>
      </c>
      <c r="AY695" s="349">
        <f>IFERROR(AX694/(AX690-AX689),0)</f>
        <v>0.27559055118110237</v>
      </c>
    </row>
    <row r="696" spans="1:51" s="349" customFormat="1" ht="12.75" customHeight="1">
      <c r="B696" s="336"/>
      <c r="C696" s="691"/>
      <c r="E696" s="2354"/>
      <c r="F696" s="2354"/>
      <c r="G696" s="2354"/>
      <c r="H696" s="2354"/>
      <c r="I696" s="2354"/>
      <c r="J696" s="2354"/>
      <c r="K696" s="2354"/>
      <c r="L696" s="2354"/>
      <c r="M696" s="2354"/>
      <c r="N696" s="2354"/>
      <c r="O696" s="2354"/>
      <c r="P696" s="2354"/>
      <c r="Q696" s="2354"/>
      <c r="R696" s="2354"/>
      <c r="S696" s="2354"/>
      <c r="T696" s="2354"/>
      <c r="U696" s="2354"/>
      <c r="V696" s="2354"/>
      <c r="W696" s="2354"/>
      <c r="X696" s="2354"/>
      <c r="Y696" s="2354"/>
      <c r="Z696" s="2354"/>
      <c r="AA696" s="2354"/>
      <c r="AB696" s="2354"/>
      <c r="AC696" s="336"/>
      <c r="AD696" s="336"/>
      <c r="AE696" s="407"/>
      <c r="AF696" s="407"/>
      <c r="AG696" s="407"/>
      <c r="AH696" s="407"/>
      <c r="AI696" s="407"/>
      <c r="AJ696" s="407"/>
      <c r="AK696" s="407"/>
      <c r="AL696" s="407"/>
      <c r="AN696" s="390"/>
      <c r="AW696" s="11"/>
    </row>
    <row r="697" spans="1:51" s="349" customFormat="1" ht="28.5" customHeight="1">
      <c r="B697" s="336"/>
      <c r="C697" s="691"/>
      <c r="D697" s="336"/>
      <c r="E697" s="2354"/>
      <c r="F697" s="2354"/>
      <c r="G697" s="2354"/>
      <c r="H697" s="2354"/>
      <c r="I697" s="2354"/>
      <c r="J697" s="2354"/>
      <c r="K697" s="2354"/>
      <c r="L697" s="2354"/>
      <c r="M697" s="2354"/>
      <c r="N697" s="2354"/>
      <c r="O697" s="2354"/>
      <c r="P697" s="2354"/>
      <c r="Q697" s="2354"/>
      <c r="R697" s="2354"/>
      <c r="S697" s="2354"/>
      <c r="T697" s="2354"/>
      <c r="U697" s="2354"/>
      <c r="V697" s="2354"/>
      <c r="W697" s="2354"/>
      <c r="X697" s="2354"/>
      <c r="Y697" s="2354"/>
      <c r="Z697" s="2354"/>
      <c r="AA697" s="2354"/>
      <c r="AB697" s="2354"/>
      <c r="AC697" s="336"/>
      <c r="AD697" s="336"/>
      <c r="AE697" s="407"/>
      <c r="AF697" s="407"/>
      <c r="AG697" s="407"/>
      <c r="AH697" s="407"/>
      <c r="AI697" s="407"/>
      <c r="AJ697" s="407"/>
      <c r="AK697" s="407"/>
      <c r="AL697" s="407"/>
      <c r="AN697" s="390"/>
      <c r="AO697" s="349" t="s">
        <v>809</v>
      </c>
      <c r="AP697" s="461">
        <v>0</v>
      </c>
    </row>
    <row r="698" spans="1:51" s="349" customFormat="1" ht="12.75" customHeight="1">
      <c r="B698" s="336"/>
      <c r="C698" s="691"/>
      <c r="E698" s="371"/>
      <c r="F698" s="371"/>
      <c r="G698" s="371"/>
      <c r="H698" s="371"/>
      <c r="I698" s="371"/>
      <c r="J698" s="371"/>
      <c r="K698" s="371"/>
      <c r="L698" s="371"/>
      <c r="M698" s="371"/>
      <c r="N698" s="371"/>
      <c r="O698" s="371"/>
      <c r="P698" s="371"/>
      <c r="Q698" s="371"/>
      <c r="R698" s="371"/>
      <c r="S698" s="371"/>
      <c r="T698" s="371"/>
      <c r="U698" s="371"/>
      <c r="V698" s="371"/>
      <c r="W698" s="371"/>
      <c r="X698" s="371"/>
      <c r="Y698" s="371"/>
      <c r="Z698" s="371"/>
      <c r="AA698" s="371"/>
      <c r="AB698" s="371"/>
      <c r="AC698" s="336"/>
      <c r="AD698" s="336"/>
      <c r="AE698" s="407"/>
      <c r="AF698" s="407"/>
      <c r="AG698" s="407"/>
      <c r="AH698" s="407"/>
      <c r="AI698" s="407"/>
      <c r="AJ698" s="407"/>
      <c r="AK698" s="407"/>
      <c r="AL698" s="407"/>
      <c r="AN698" s="390"/>
      <c r="AO698" s="403" t="s">
        <v>22</v>
      </c>
      <c r="AP698" s="349">
        <v>2</v>
      </c>
    </row>
    <row r="699" spans="1:51" s="349" customFormat="1" ht="12.75" customHeight="1">
      <c r="B699" s="336"/>
      <c r="C699" s="683"/>
      <c r="D699" s="451" t="s">
        <v>49</v>
      </c>
      <c r="E699" s="2354" t="s">
        <v>2539</v>
      </c>
      <c r="F699" s="2354"/>
      <c r="G699" s="2354"/>
      <c r="H699" s="2354"/>
      <c r="I699" s="2354"/>
      <c r="J699" s="2354"/>
      <c r="K699" s="2354"/>
      <c r="L699" s="2354"/>
      <c r="M699" s="2354"/>
      <c r="N699" s="2354"/>
      <c r="O699" s="2354"/>
      <c r="P699" s="2354"/>
      <c r="Q699" s="2354"/>
      <c r="R699" s="2354"/>
      <c r="S699" s="2354"/>
      <c r="T699" s="2354"/>
      <c r="U699" s="2354"/>
      <c r="V699" s="2354"/>
      <c r="W699" s="2354"/>
      <c r="X699" s="2354"/>
      <c r="Y699" s="2354"/>
      <c r="Z699" s="2354"/>
      <c r="AA699" s="2354"/>
      <c r="AB699" s="2354"/>
      <c r="AC699" s="336"/>
      <c r="AD699" s="336"/>
      <c r="AE699" s="336"/>
      <c r="AF699" s="2454" t="s">
        <v>2510</v>
      </c>
      <c r="AG699" s="2454"/>
      <c r="AH699" s="2454"/>
      <c r="AI699" s="2454"/>
      <c r="AJ699" s="2454"/>
      <c r="AK699" s="2454"/>
      <c r="AL699" s="2454"/>
      <c r="AN699" s="390"/>
      <c r="AO699" s="403" t="s">
        <v>27</v>
      </c>
      <c r="AP699" s="349">
        <v>1</v>
      </c>
    </row>
    <row r="700" spans="1:51" s="349" customFormat="1" ht="12" customHeight="1">
      <c r="B700" s="336"/>
      <c r="C700" s="683"/>
      <c r="E700" s="2354"/>
      <c r="F700" s="2354"/>
      <c r="G700" s="2354"/>
      <c r="H700" s="2354"/>
      <c r="I700" s="2354"/>
      <c r="J700" s="2354"/>
      <c r="K700" s="2354"/>
      <c r="L700" s="2354"/>
      <c r="M700" s="2354"/>
      <c r="N700" s="2354"/>
      <c r="O700" s="2354"/>
      <c r="P700" s="2354"/>
      <c r="Q700" s="2354"/>
      <c r="R700" s="2354"/>
      <c r="S700" s="2354"/>
      <c r="T700" s="2354"/>
      <c r="U700" s="2354"/>
      <c r="V700" s="2354"/>
      <c r="W700" s="2354"/>
      <c r="X700" s="2354"/>
      <c r="Y700" s="2354"/>
      <c r="Z700" s="2354"/>
      <c r="AA700" s="2354"/>
      <c r="AB700" s="2354"/>
      <c r="AC700" s="336"/>
      <c r="AD700" s="336"/>
      <c r="AE700" s="407"/>
      <c r="AF700" s="336"/>
      <c r="AG700" s="336"/>
      <c r="AH700" s="336"/>
      <c r="AI700" s="336"/>
      <c r="AJ700" s="336"/>
      <c r="AK700" s="336"/>
      <c r="AL700" s="336"/>
      <c r="AN700" s="390"/>
    </row>
    <row r="701" spans="1:51" s="349" customFormat="1" ht="12" customHeight="1">
      <c r="B701" s="336"/>
      <c r="C701" s="683"/>
      <c r="D701" s="336"/>
      <c r="E701" s="2354"/>
      <c r="F701" s="2354"/>
      <c r="G701" s="2354"/>
      <c r="H701" s="2354"/>
      <c r="I701" s="2354"/>
      <c r="J701" s="2354"/>
      <c r="K701" s="2354"/>
      <c r="L701" s="2354"/>
      <c r="M701" s="2354"/>
      <c r="N701" s="2354"/>
      <c r="O701" s="2354"/>
      <c r="P701" s="2354"/>
      <c r="Q701" s="2354"/>
      <c r="R701" s="2354"/>
      <c r="S701" s="2354"/>
      <c r="T701" s="2354"/>
      <c r="U701" s="2354"/>
      <c r="V701" s="2354"/>
      <c r="W701" s="2354"/>
      <c r="X701" s="2354"/>
      <c r="Y701" s="2354"/>
      <c r="Z701" s="2354"/>
      <c r="AA701" s="2354"/>
      <c r="AB701" s="2354"/>
      <c r="AC701" s="336"/>
      <c r="AD701" s="336"/>
      <c r="AE701" s="407"/>
      <c r="AF701" s="336"/>
      <c r="AG701" s="336"/>
      <c r="AH701" s="336"/>
      <c r="AI701" s="336"/>
      <c r="AJ701" s="336"/>
      <c r="AK701" s="336"/>
      <c r="AL701" s="336"/>
      <c r="AN701" s="390"/>
    </row>
    <row r="702" spans="1:51" s="349" customFormat="1" ht="12" customHeight="1">
      <c r="B702" s="336"/>
      <c r="C702" s="683"/>
      <c r="D702" s="336"/>
      <c r="E702" s="2354"/>
      <c r="F702" s="2354"/>
      <c r="G702" s="2354"/>
      <c r="H702" s="2354"/>
      <c r="I702" s="2354"/>
      <c r="J702" s="2354"/>
      <c r="K702" s="2354"/>
      <c r="L702" s="2354"/>
      <c r="M702" s="2354"/>
      <c r="N702" s="2354"/>
      <c r="O702" s="2354"/>
      <c r="P702" s="2354"/>
      <c r="Q702" s="2354"/>
      <c r="R702" s="2354"/>
      <c r="S702" s="2354"/>
      <c r="T702" s="2354"/>
      <c r="U702" s="2354"/>
      <c r="V702" s="2354"/>
      <c r="W702" s="2354"/>
      <c r="X702" s="2354"/>
      <c r="Y702" s="2354"/>
      <c r="Z702" s="2354"/>
      <c r="AA702" s="2354"/>
      <c r="AB702" s="2354"/>
      <c r="AC702" s="336"/>
      <c r="AD702" s="336"/>
      <c r="AE702" s="407"/>
      <c r="AF702" s="336"/>
      <c r="AG702" s="336"/>
      <c r="AH702" s="336"/>
      <c r="AI702" s="336"/>
      <c r="AJ702" s="336"/>
      <c r="AK702" s="336"/>
      <c r="AL702" s="336"/>
      <c r="AN702" s="390"/>
    </row>
    <row r="703" spans="1:51" s="367" customFormat="1" ht="12.9" customHeight="1">
      <c r="A703" s="349"/>
      <c r="B703" s="336"/>
      <c r="C703" s="683"/>
      <c r="D703" s="336"/>
      <c r="E703" s="2354"/>
      <c r="F703" s="2354"/>
      <c r="G703" s="2354"/>
      <c r="H703" s="2354"/>
      <c r="I703" s="2354"/>
      <c r="J703" s="2354"/>
      <c r="K703" s="2354"/>
      <c r="L703" s="2354"/>
      <c r="M703" s="2354"/>
      <c r="N703" s="2354"/>
      <c r="O703" s="2354"/>
      <c r="P703" s="2354"/>
      <c r="Q703" s="2354"/>
      <c r="R703" s="2354"/>
      <c r="S703" s="2354"/>
      <c r="T703" s="2354"/>
      <c r="U703" s="2354"/>
      <c r="V703" s="2354"/>
      <c r="W703" s="2354"/>
      <c r="X703" s="2354"/>
      <c r="Y703" s="2354"/>
      <c r="Z703" s="2354"/>
      <c r="AA703" s="2354"/>
      <c r="AB703" s="2354"/>
      <c r="AC703" s="336"/>
      <c r="AD703" s="336"/>
      <c r="AE703" s="407"/>
      <c r="AF703" s="407"/>
      <c r="AG703" s="407"/>
      <c r="AH703" s="407"/>
      <c r="AI703" s="407"/>
      <c r="AJ703" s="336"/>
      <c r="AK703" s="336"/>
      <c r="AL703" s="336"/>
      <c r="AM703" s="349"/>
      <c r="AN703" s="471"/>
      <c r="AO703" s="349" t="s">
        <v>809</v>
      </c>
      <c r="AP703" s="461">
        <v>0</v>
      </c>
    </row>
    <row r="704" spans="1:51" s="367" customFormat="1" ht="12" customHeight="1">
      <c r="A704" s="349"/>
      <c r="B704" s="336"/>
      <c r="C704" s="683"/>
      <c r="D704" s="336"/>
      <c r="E704" s="1202"/>
      <c r="F704" s="1202"/>
      <c r="G704" s="1202"/>
      <c r="H704" s="1202"/>
      <c r="I704" s="1202"/>
      <c r="J704" s="1202"/>
      <c r="K704" s="1202"/>
      <c r="L704" s="1202"/>
      <c r="M704" s="1202"/>
      <c r="N704" s="1202"/>
      <c r="O704" s="1202"/>
      <c r="P704" s="1202"/>
      <c r="Q704" s="1202"/>
      <c r="R704" s="1202"/>
      <c r="S704" s="1202"/>
      <c r="T704" s="1202"/>
      <c r="U704" s="1202"/>
      <c r="V704" s="1202"/>
      <c r="W704" s="1202"/>
      <c r="X704" s="1202"/>
      <c r="Y704" s="1202"/>
      <c r="Z704" s="1202"/>
      <c r="AA704" s="1202"/>
      <c r="AB704" s="1202"/>
      <c r="AC704" s="336"/>
      <c r="AD704" s="336"/>
      <c r="AE704" s="407"/>
      <c r="AF704" s="407"/>
      <c r="AG704" s="407"/>
      <c r="AH704" s="407"/>
      <c r="AI704" s="407"/>
      <c r="AJ704" s="336"/>
      <c r="AK704" s="336"/>
      <c r="AL704" s="336"/>
      <c r="AM704" s="349"/>
      <c r="AN704" s="471"/>
      <c r="AO704" s="403" t="s">
        <v>22</v>
      </c>
      <c r="AP704" s="349">
        <v>3</v>
      </c>
    </row>
    <row r="705" spans="1:43" s="367" customFormat="1" ht="12.75" customHeight="1">
      <c r="A705" s="349"/>
      <c r="B705" s="336"/>
      <c r="C705" s="683"/>
      <c r="D705" s="336"/>
      <c r="E705" s="2354" t="s">
        <v>2540</v>
      </c>
      <c r="F705" s="2354"/>
      <c r="G705" s="2354"/>
      <c r="H705" s="2354"/>
      <c r="I705" s="2354"/>
      <c r="J705" s="2354"/>
      <c r="K705" s="2354"/>
      <c r="L705" s="2354"/>
      <c r="M705" s="2354"/>
      <c r="N705" s="2354"/>
      <c r="O705" s="2354"/>
      <c r="P705" s="2354"/>
      <c r="Q705" s="2354"/>
      <c r="R705" s="2354"/>
      <c r="S705" s="2354"/>
      <c r="T705" s="2354"/>
      <c r="U705" s="2354"/>
      <c r="V705" s="2354"/>
      <c r="W705" s="2354"/>
      <c r="X705" s="2354"/>
      <c r="Y705" s="2354"/>
      <c r="Z705" s="2354"/>
      <c r="AA705" s="2354"/>
      <c r="AB705" s="2354"/>
      <c r="AC705" s="336"/>
      <c r="AD705" s="336"/>
      <c r="AE705" s="407"/>
      <c r="AF705" s="407"/>
      <c r="AG705" s="407"/>
      <c r="AH705" s="407"/>
      <c r="AI705" s="407"/>
      <c r="AJ705" s="336"/>
      <c r="AK705" s="336"/>
      <c r="AL705" s="336"/>
      <c r="AM705" s="349"/>
      <c r="AN705" s="471"/>
      <c r="AO705" s="403" t="s">
        <v>27</v>
      </c>
      <c r="AP705" s="349">
        <f>3*$AO$695</f>
        <v>3</v>
      </c>
    </row>
    <row r="706" spans="1:43" s="367" customFormat="1" ht="12.75" customHeight="1">
      <c r="A706" s="349"/>
      <c r="B706" s="336"/>
      <c r="C706" s="683"/>
      <c r="D706" s="336"/>
      <c r="E706" s="2354"/>
      <c r="F706" s="2354"/>
      <c r="G706" s="2354"/>
      <c r="H706" s="2354"/>
      <c r="I706" s="2354"/>
      <c r="J706" s="2354"/>
      <c r="K706" s="2354"/>
      <c r="L706" s="2354"/>
      <c r="M706" s="2354"/>
      <c r="N706" s="2354"/>
      <c r="O706" s="2354"/>
      <c r="P706" s="2354"/>
      <c r="Q706" s="2354"/>
      <c r="R706" s="2354"/>
      <c r="S706" s="2354"/>
      <c r="T706" s="2354"/>
      <c r="U706" s="2354"/>
      <c r="V706" s="2354"/>
      <c r="W706" s="2354"/>
      <c r="X706" s="2354"/>
      <c r="Y706" s="2354"/>
      <c r="Z706" s="2354"/>
      <c r="AA706" s="2354"/>
      <c r="AB706" s="2354"/>
      <c r="AC706" s="336"/>
      <c r="AD706" s="336"/>
      <c r="AE706" s="407"/>
      <c r="AF706" s="407"/>
      <c r="AG706" s="407"/>
      <c r="AH706" s="407"/>
      <c r="AI706" s="407"/>
      <c r="AJ706" s="336"/>
      <c r="AK706" s="336"/>
      <c r="AL706" s="336"/>
      <c r="AM706" s="349"/>
      <c r="AN706" s="471"/>
      <c r="AO706" s="403" t="s">
        <v>49</v>
      </c>
      <c r="AP706" s="349">
        <f>2*$AO$695</f>
        <v>2</v>
      </c>
    </row>
    <row r="707" spans="1:43" s="367" customFormat="1" ht="12.75" customHeight="1">
      <c r="A707" s="349"/>
      <c r="B707" s="336"/>
      <c r="C707" s="683"/>
      <c r="D707" s="336"/>
      <c r="E707" s="2354"/>
      <c r="F707" s="2354"/>
      <c r="G707" s="2354"/>
      <c r="H707" s="2354"/>
      <c r="I707" s="2354"/>
      <c r="J707" s="2354"/>
      <c r="K707" s="2354"/>
      <c r="L707" s="2354"/>
      <c r="M707" s="2354"/>
      <c r="N707" s="2354"/>
      <c r="O707" s="2354"/>
      <c r="P707" s="2354"/>
      <c r="Q707" s="2354"/>
      <c r="R707" s="2354"/>
      <c r="S707" s="2354"/>
      <c r="T707" s="2354"/>
      <c r="U707" s="2354"/>
      <c r="V707" s="2354"/>
      <c r="W707" s="2354"/>
      <c r="X707" s="2354"/>
      <c r="Y707" s="2354"/>
      <c r="Z707" s="2354"/>
      <c r="AA707" s="2354"/>
      <c r="AB707" s="2354"/>
      <c r="AC707" s="336"/>
      <c r="AD707" s="336"/>
      <c r="AE707" s="407"/>
      <c r="AF707" s="407"/>
      <c r="AG707" s="407"/>
      <c r="AH707" s="407"/>
      <c r="AI707" s="407"/>
      <c r="AJ707" s="336"/>
      <c r="AK707" s="336"/>
      <c r="AL707" s="336"/>
      <c r="AM707" s="349"/>
      <c r="AN707" s="471"/>
    </row>
    <row r="708" spans="1:43" s="367" customFormat="1" ht="12.75" customHeight="1">
      <c r="A708" s="349"/>
      <c r="B708" s="336"/>
      <c r="C708" s="683"/>
      <c r="D708" s="336"/>
      <c r="E708" s="1202"/>
      <c r="F708" s="1202"/>
      <c r="G708" s="1202"/>
      <c r="H708" s="1202"/>
      <c r="I708" s="1202"/>
      <c r="J708" s="1202"/>
      <c r="K708" s="1202"/>
      <c r="L708" s="1202"/>
      <c r="M708" s="1202"/>
      <c r="N708" s="1202"/>
      <c r="O708" s="1202"/>
      <c r="P708" s="1202"/>
      <c r="Q708" s="1202"/>
      <c r="R708" s="1202"/>
      <c r="S708" s="1202"/>
      <c r="T708" s="1202"/>
      <c r="U708" s="1202"/>
      <c r="V708" s="1202"/>
      <c r="W708" s="1202"/>
      <c r="X708" s="1202"/>
      <c r="Y708" s="1202"/>
      <c r="Z708" s="1202"/>
      <c r="AA708" s="1202"/>
      <c r="AB708" s="1202"/>
      <c r="AC708" s="336"/>
      <c r="AD708" s="336"/>
      <c r="AE708" s="407"/>
      <c r="AF708" s="407"/>
      <c r="AG708" s="407"/>
      <c r="AH708" s="407"/>
      <c r="AI708" s="407"/>
      <c r="AJ708" s="336"/>
      <c r="AK708" s="336"/>
      <c r="AL708" s="336"/>
      <c r="AM708" s="349"/>
      <c r="AN708" s="471"/>
    </row>
    <row r="709" spans="1:43" s="367" customFormat="1" ht="12.75" customHeight="1">
      <c r="A709" s="349"/>
      <c r="B709" s="336"/>
      <c r="C709" s="683"/>
      <c r="D709" s="336" t="s">
        <v>2496</v>
      </c>
      <c r="E709" s="1214"/>
      <c r="F709" s="1214"/>
      <c r="G709" s="1214"/>
      <c r="H709" s="2378" t="s">
        <v>809</v>
      </c>
      <c r="I709" s="2378"/>
      <c r="J709" s="1202"/>
      <c r="K709" s="1202"/>
      <c r="L709" s="1202"/>
      <c r="M709" s="1202"/>
      <c r="N709" s="1202"/>
      <c r="O709" s="1202"/>
      <c r="P709" s="1202"/>
      <c r="Q709" s="1202"/>
      <c r="R709" s="1202"/>
      <c r="S709" s="1202"/>
      <c r="T709" s="1202"/>
      <c r="U709" s="1202"/>
      <c r="V709" s="1202"/>
      <c r="W709" s="1202"/>
      <c r="X709" s="1202"/>
      <c r="Y709" s="1202"/>
      <c r="Z709" s="1202"/>
      <c r="AA709" s="1202"/>
      <c r="AB709" s="1202"/>
      <c r="AC709" s="336"/>
      <c r="AD709" s="336"/>
      <c r="AE709" s="407"/>
      <c r="AF709" s="407"/>
      <c r="AG709" s="407"/>
      <c r="AH709" s="407"/>
      <c r="AI709" s="407"/>
      <c r="AJ709" s="336"/>
      <c r="AK709" s="336"/>
      <c r="AL709" s="336"/>
      <c r="AM709" s="349"/>
      <c r="AN709" s="471"/>
      <c r="AP709" s="367" t="s">
        <v>2541</v>
      </c>
    </row>
    <row r="710" spans="1:43" s="367" customFormat="1">
      <c r="A710" s="349"/>
      <c r="B710" s="336"/>
      <c r="C710" s="683"/>
      <c r="D710" s="336"/>
      <c r="E710" s="1202"/>
      <c r="F710" s="1202"/>
      <c r="G710" s="1202"/>
      <c r="H710" s="1202"/>
      <c r="I710" s="1202"/>
      <c r="J710" s="1202"/>
      <c r="K710" s="1202"/>
      <c r="L710" s="1202"/>
      <c r="M710" s="1202"/>
      <c r="N710" s="1202"/>
      <c r="O710" s="1202"/>
      <c r="P710" s="1202"/>
      <c r="Q710" s="1202"/>
      <c r="R710" s="1202"/>
      <c r="S710" s="1202"/>
      <c r="T710" s="1202"/>
      <c r="U710" s="1202"/>
      <c r="V710" s="1202"/>
      <c r="W710" s="1202"/>
      <c r="X710" s="1202"/>
      <c r="Y710" s="1202"/>
      <c r="Z710" s="1202"/>
      <c r="AA710" s="1202"/>
      <c r="AB710" s="1202"/>
      <c r="AC710" s="336"/>
      <c r="AD710" s="336"/>
      <c r="AE710" s="407"/>
      <c r="AF710" s="407"/>
      <c r="AG710" s="407"/>
      <c r="AH710" s="407"/>
      <c r="AI710" s="407"/>
      <c r="AJ710" s="336"/>
      <c r="AK710" s="336"/>
      <c r="AL710" s="336"/>
      <c r="AM710" s="349"/>
      <c r="AN710" s="471"/>
      <c r="AP710" s="367" t="s">
        <v>2506</v>
      </c>
    </row>
    <row r="711" spans="1:43" s="367" customFormat="1" ht="12.75" customHeight="1">
      <c r="A711" s="398"/>
      <c r="B711" s="394"/>
      <c r="C711" s="695"/>
      <c r="D711" s="394"/>
      <c r="E711" s="394"/>
      <c r="F711" s="394"/>
      <c r="G711" s="394"/>
      <c r="H711" s="394"/>
      <c r="I711" s="394"/>
      <c r="J711" s="700"/>
      <c r="K711" s="700"/>
      <c r="L711" s="453"/>
      <c r="M711" s="453"/>
      <c r="N711" s="453"/>
      <c r="O711" s="453"/>
      <c r="P711" s="453"/>
      <c r="Q711" s="453"/>
      <c r="R711" s="453"/>
      <c r="S711" s="453"/>
      <c r="T711" s="453"/>
      <c r="U711" s="453"/>
      <c r="V711" s="453"/>
      <c r="W711" s="453"/>
      <c r="X711" s="453"/>
      <c r="Y711" s="690"/>
      <c r="Z711" s="690"/>
      <c r="AA711" s="690"/>
      <c r="AB711" s="394"/>
      <c r="AC711" s="394"/>
      <c r="AD711" s="394"/>
      <c r="AE711" s="394"/>
      <c r="AF711" s="394"/>
      <c r="AG711" s="394"/>
      <c r="AH711" s="394"/>
      <c r="AI711" s="362" t="s">
        <v>2542</v>
      </c>
      <c r="AJ711" s="2361">
        <f>VLOOKUP($H$709,$AO$703:$AP$706,2,FALSE)</f>
        <v>0</v>
      </c>
      <c r="AK711" s="2363"/>
      <c r="AL711" s="388"/>
      <c r="AM711" s="349"/>
      <c r="AN711" s="471"/>
      <c r="AP711" s="367" t="s">
        <v>2514</v>
      </c>
    </row>
    <row r="712" spans="1:43" s="367" customFormat="1">
      <c r="A712" s="349"/>
      <c r="B712" s="336"/>
      <c r="C712" s="336"/>
      <c r="D712" s="336"/>
      <c r="E712" s="336"/>
      <c r="F712" s="336"/>
      <c r="G712" s="336"/>
      <c r="H712" s="336"/>
      <c r="I712" s="336"/>
      <c r="J712" s="336"/>
      <c r="K712" s="336"/>
      <c r="L712" s="336"/>
      <c r="M712" s="336"/>
      <c r="N712" s="336"/>
      <c r="O712" s="336"/>
      <c r="P712" s="336"/>
      <c r="Q712" s="336"/>
      <c r="R712" s="336"/>
      <c r="S712" s="336"/>
      <c r="T712" s="336"/>
      <c r="U712" s="336"/>
      <c r="V712" s="336"/>
      <c r="W712" s="336"/>
      <c r="X712" s="336"/>
      <c r="Y712" s="336"/>
      <c r="Z712" s="336"/>
      <c r="AA712" s="336"/>
      <c r="AB712" s="336"/>
      <c r="AC712" s="336"/>
      <c r="AD712" s="336"/>
      <c r="AE712" s="407"/>
      <c r="AF712" s="407"/>
      <c r="AG712" s="407"/>
      <c r="AH712" s="407"/>
      <c r="AI712" s="407"/>
      <c r="AJ712" s="336"/>
      <c r="AK712" s="336"/>
      <c r="AL712" s="336"/>
      <c r="AM712" s="349"/>
      <c r="AN712" s="471"/>
      <c r="AP712" s="367" t="s">
        <v>2543</v>
      </c>
    </row>
    <row r="713" spans="1:43" s="367" customFormat="1" ht="12.75" customHeight="1">
      <c r="A713" s="349"/>
      <c r="B713" s="336"/>
      <c r="C713" s="339" t="s">
        <v>2544</v>
      </c>
      <c r="D713" s="498"/>
      <c r="E713" s="336"/>
      <c r="F713" s="336"/>
      <c r="G713" s="336"/>
      <c r="H713" s="336"/>
      <c r="I713" s="336"/>
      <c r="J713" s="336"/>
      <c r="K713" s="336"/>
      <c r="L713" s="336"/>
      <c r="M713" s="336"/>
      <c r="N713" s="336"/>
      <c r="O713" s="336"/>
      <c r="P713" s="336"/>
      <c r="Q713" s="336"/>
      <c r="R713" s="336"/>
      <c r="S713" s="336"/>
      <c r="T713" s="336"/>
      <c r="U713" s="336"/>
      <c r="V713" s="336"/>
      <c r="W713" s="336"/>
      <c r="X713" s="336"/>
      <c r="Y713" s="336"/>
      <c r="Z713" s="336"/>
      <c r="AA713" s="336"/>
      <c r="AB713" s="336"/>
      <c r="AC713" s="336"/>
      <c r="AD713" s="336"/>
      <c r="AE713" s="407"/>
      <c r="AF713" s="407"/>
      <c r="AG713" s="407"/>
      <c r="AH713" s="407"/>
      <c r="AI713" s="407"/>
      <c r="AJ713" s="336"/>
      <c r="AK713" s="336"/>
      <c r="AL713" s="336"/>
      <c r="AM713" s="349"/>
      <c r="AN713" s="471"/>
      <c r="AP713" s="367" t="s">
        <v>2545</v>
      </c>
    </row>
    <row r="714" spans="1:43" s="367" customFormat="1" ht="12.75" customHeight="1">
      <c r="A714" s="349"/>
      <c r="B714" s="336"/>
      <c r="C714" s="683"/>
      <c r="D714" s="336"/>
      <c r="E714" s="336"/>
      <c r="F714" s="336"/>
      <c r="G714" s="336"/>
      <c r="H714" s="336"/>
      <c r="I714" s="336"/>
      <c r="J714" s="336"/>
      <c r="K714" s="336"/>
      <c r="L714" s="336"/>
      <c r="M714" s="336"/>
      <c r="N714" s="336"/>
      <c r="O714" s="336"/>
      <c r="P714" s="336"/>
      <c r="Q714" s="336"/>
      <c r="R714" s="336"/>
      <c r="S714" s="336"/>
      <c r="T714" s="336"/>
      <c r="U714" s="336"/>
      <c r="V714" s="336"/>
      <c r="W714" s="336"/>
      <c r="X714" s="336"/>
      <c r="Y714" s="336"/>
      <c r="Z714" s="336"/>
      <c r="AA714" s="336"/>
      <c r="AB714" s="336"/>
      <c r="AC714" s="336"/>
      <c r="AD714" s="336"/>
      <c r="AE714" s="407"/>
      <c r="AF714" s="407"/>
      <c r="AG714" s="407"/>
      <c r="AH714" s="407"/>
      <c r="AI714" s="407"/>
      <c r="AJ714" s="336"/>
      <c r="AK714" s="336"/>
      <c r="AL714" s="336"/>
      <c r="AM714" s="349"/>
      <c r="AN714" s="471"/>
      <c r="AP714" s="367" t="s">
        <v>2546</v>
      </c>
    </row>
    <row r="715" spans="1:43" s="367" customFormat="1" ht="12.75" customHeight="1">
      <c r="A715" s="428"/>
      <c r="B715" s="336"/>
      <c r="C715" s="683"/>
      <c r="D715" s="451" t="s">
        <v>22</v>
      </c>
      <c r="E715" s="2466" t="s">
        <v>2547</v>
      </c>
      <c r="F715" s="2466"/>
      <c r="G715" s="2466"/>
      <c r="H715" s="2466"/>
      <c r="I715" s="2466"/>
      <c r="J715" s="2466"/>
      <c r="K715" s="2466"/>
      <c r="L715" s="2466"/>
      <c r="M715" s="2466"/>
      <c r="N715" s="2466"/>
      <c r="O715" s="2466"/>
      <c r="P715" s="2466"/>
      <c r="Q715" s="2466"/>
      <c r="R715" s="2466"/>
      <c r="S715" s="2466"/>
      <c r="T715" s="2466"/>
      <c r="U715" s="2466"/>
      <c r="V715" s="2466"/>
      <c r="W715" s="2466"/>
      <c r="X715" s="2466"/>
      <c r="Y715" s="2466"/>
      <c r="Z715" s="2466"/>
      <c r="AA715" s="2466"/>
      <c r="AB715" s="2466"/>
      <c r="AC715" s="336"/>
      <c r="AD715" s="336"/>
      <c r="AE715" s="336"/>
      <c r="AF715" s="2454" t="s">
        <v>2222</v>
      </c>
      <c r="AG715" s="2454"/>
      <c r="AH715" s="2454"/>
      <c r="AI715" s="2454"/>
      <c r="AJ715" s="2454"/>
      <c r="AK715" s="2454"/>
      <c r="AL715" s="2454"/>
      <c r="AM715" s="349"/>
      <c r="AN715" s="471"/>
      <c r="AP715" s="367" t="s">
        <v>2548</v>
      </c>
    </row>
    <row r="716" spans="1:43" s="367" customFormat="1" ht="11.85" customHeight="1">
      <c r="A716" s="349"/>
      <c r="B716" s="336"/>
      <c r="C716" s="685"/>
      <c r="D716" s="451"/>
      <c r="E716" s="2466"/>
      <c r="F716" s="2466"/>
      <c r="G716" s="2466"/>
      <c r="H716" s="2466"/>
      <c r="I716" s="2466"/>
      <c r="J716" s="2466"/>
      <c r="K716" s="2466"/>
      <c r="L716" s="2466"/>
      <c r="M716" s="2466"/>
      <c r="N716" s="2466"/>
      <c r="O716" s="2466"/>
      <c r="P716" s="2466"/>
      <c r="Q716" s="2466"/>
      <c r="R716" s="2466"/>
      <c r="S716" s="2466"/>
      <c r="T716" s="2466"/>
      <c r="U716" s="2466"/>
      <c r="V716" s="2466"/>
      <c r="W716" s="2466"/>
      <c r="X716" s="2466"/>
      <c r="Y716" s="2466"/>
      <c r="Z716" s="2466"/>
      <c r="AA716" s="2466"/>
      <c r="AB716" s="2466"/>
      <c r="AC716" s="336"/>
      <c r="AD716" s="336"/>
      <c r="AE716" s="336"/>
      <c r="AF716" s="336"/>
      <c r="AG716" s="336"/>
      <c r="AH716" s="336"/>
      <c r="AI716" s="336"/>
      <c r="AJ716" s="336"/>
      <c r="AK716" s="336"/>
      <c r="AL716" s="336"/>
      <c r="AM716" s="349"/>
      <c r="AN716" s="471"/>
      <c r="AP716" s="367" t="s">
        <v>2549</v>
      </c>
    </row>
    <row r="717" spans="1:43" s="367" customFormat="1" ht="14.1" customHeight="1">
      <c r="A717" s="349"/>
      <c r="B717" s="402"/>
      <c r="C717" s="683"/>
      <c r="D717" s="451"/>
      <c r="E717" s="2466"/>
      <c r="F717" s="2466"/>
      <c r="G717" s="2466"/>
      <c r="H717" s="2466"/>
      <c r="I717" s="2466"/>
      <c r="J717" s="2466"/>
      <c r="K717" s="2466"/>
      <c r="L717" s="2466"/>
      <c r="M717" s="2466"/>
      <c r="N717" s="2466"/>
      <c r="O717" s="2466"/>
      <c r="P717" s="2466"/>
      <c r="Q717" s="2466"/>
      <c r="R717" s="2466"/>
      <c r="S717" s="2466"/>
      <c r="T717" s="2466"/>
      <c r="U717" s="2466"/>
      <c r="V717" s="2466"/>
      <c r="W717" s="2466"/>
      <c r="X717" s="2466"/>
      <c r="Y717" s="2466"/>
      <c r="Z717" s="2466"/>
      <c r="AA717" s="2466"/>
      <c r="AB717" s="2466"/>
      <c r="AC717" s="336"/>
      <c r="AD717" s="336"/>
      <c r="AE717" s="407"/>
      <c r="AF717" s="336"/>
      <c r="AG717" s="336"/>
      <c r="AH717" s="336"/>
      <c r="AI717" s="336"/>
      <c r="AJ717" s="336"/>
      <c r="AK717" s="336"/>
      <c r="AL717" s="336"/>
      <c r="AM717" s="349"/>
      <c r="AN717" s="471"/>
      <c r="AP717" s="367" t="s">
        <v>2550</v>
      </c>
    </row>
    <row r="718" spans="1:43" s="367" customFormat="1" ht="14.1" customHeight="1">
      <c r="A718" s="349"/>
      <c r="B718" s="402"/>
      <c r="C718" s="683"/>
      <c r="D718" s="451"/>
      <c r="E718" s="1214"/>
      <c r="F718" s="1214"/>
      <c r="G718" s="1214"/>
      <c r="H718" s="1214"/>
      <c r="I718" s="1214"/>
      <c r="J718" s="1214"/>
      <c r="K718" s="1214"/>
      <c r="L718" s="1214"/>
      <c r="M718" s="1214"/>
      <c r="N718" s="1214"/>
      <c r="O718" s="1214"/>
      <c r="P718" s="1214"/>
      <c r="Q718" s="1214"/>
      <c r="R718" s="1214"/>
      <c r="S718" s="1214"/>
      <c r="T718" s="1214"/>
      <c r="U718" s="1214"/>
      <c r="V718" s="1214"/>
      <c r="W718" s="1214"/>
      <c r="X718" s="1214"/>
      <c r="Y718" s="1214"/>
      <c r="Z718" s="1214"/>
      <c r="AA718" s="1214"/>
      <c r="AB718" s="1214"/>
      <c r="AC718" s="336"/>
      <c r="AD718" s="336"/>
      <c r="AE718" s="407"/>
      <c r="AF718" s="336"/>
      <c r="AG718" s="336"/>
      <c r="AH718" s="336"/>
      <c r="AI718" s="336"/>
      <c r="AJ718" s="336"/>
      <c r="AK718" s="336"/>
      <c r="AL718" s="336"/>
      <c r="AM718" s="349"/>
      <c r="AN718" s="471"/>
      <c r="AP718" s="473" t="s">
        <v>2551</v>
      </c>
    </row>
    <row r="719" spans="1:43" s="367" customFormat="1" ht="14.1" customHeight="1">
      <c r="A719" s="349"/>
      <c r="B719" s="336"/>
      <c r="C719" s="683"/>
      <c r="D719" s="451" t="s">
        <v>27</v>
      </c>
      <c r="E719" s="2467" t="s">
        <v>2552</v>
      </c>
      <c r="F719" s="2467"/>
      <c r="G719" s="2467"/>
      <c r="H719" s="2467"/>
      <c r="I719" s="2467"/>
      <c r="J719" s="2467"/>
      <c r="K719" s="2467"/>
      <c r="L719" s="2467"/>
      <c r="M719" s="2467"/>
      <c r="N719" s="2467"/>
      <c r="O719" s="2467"/>
      <c r="P719" s="2467"/>
      <c r="Q719" s="2467"/>
      <c r="R719" s="2467"/>
      <c r="S719" s="2467"/>
      <c r="T719" s="2467"/>
      <c r="U719" s="2467"/>
      <c r="V719" s="2467"/>
      <c r="W719" s="2467"/>
      <c r="X719" s="2467"/>
      <c r="Y719" s="2467"/>
      <c r="Z719" s="2467"/>
      <c r="AA719" s="2467"/>
      <c r="AB719" s="2467"/>
      <c r="AC719" s="336"/>
      <c r="AD719" s="336"/>
      <c r="AE719" s="336"/>
      <c r="AF719" s="2454" t="s">
        <v>2510</v>
      </c>
      <c r="AG719" s="2454"/>
      <c r="AH719" s="2454"/>
      <c r="AI719" s="2454"/>
      <c r="AJ719" s="2454"/>
      <c r="AK719" s="2454"/>
      <c r="AL719" s="2454"/>
      <c r="AM719" s="349"/>
      <c r="AN719" s="472"/>
    </row>
    <row r="720" spans="1:43" s="367" customFormat="1" ht="12.75" customHeight="1">
      <c r="A720" s="349"/>
      <c r="B720" s="336"/>
      <c r="C720" s="685"/>
      <c r="D720" s="336"/>
      <c r="E720" s="2467"/>
      <c r="F720" s="2467"/>
      <c r="G720" s="2467"/>
      <c r="H720" s="2467"/>
      <c r="I720" s="2467"/>
      <c r="J720" s="2467"/>
      <c r="K720" s="2467"/>
      <c r="L720" s="2467"/>
      <c r="M720" s="2467"/>
      <c r="N720" s="2467"/>
      <c r="O720" s="2467"/>
      <c r="P720" s="2467"/>
      <c r="Q720" s="2467"/>
      <c r="R720" s="2467"/>
      <c r="S720" s="2467"/>
      <c r="T720" s="2467"/>
      <c r="U720" s="2467"/>
      <c r="V720" s="2467"/>
      <c r="W720" s="2467"/>
      <c r="X720" s="2467"/>
      <c r="Y720" s="2467"/>
      <c r="Z720" s="2467"/>
      <c r="AA720" s="2467"/>
      <c r="AB720" s="2467"/>
      <c r="AC720" s="336"/>
      <c r="AD720" s="336"/>
      <c r="AE720" s="336"/>
      <c r="AF720" s="336"/>
      <c r="AG720" s="336"/>
      <c r="AH720" s="336"/>
      <c r="AI720" s="336"/>
      <c r="AJ720" s="336"/>
      <c r="AK720" s="336"/>
      <c r="AL720" s="336"/>
      <c r="AM720" s="349"/>
      <c r="AN720" s="471"/>
      <c r="AP720" s="349" t="s">
        <v>809</v>
      </c>
      <c r="AQ720" s="461">
        <v>0</v>
      </c>
    </row>
    <row r="721" spans="1:81" s="367" customFormat="1" ht="14.1" customHeight="1">
      <c r="A721" s="349"/>
      <c r="B721" s="336"/>
      <c r="C721" s="685"/>
      <c r="D721" s="336"/>
      <c r="E721" s="2467"/>
      <c r="F721" s="2467"/>
      <c r="G721" s="2467"/>
      <c r="H721" s="2467"/>
      <c r="I721" s="2467"/>
      <c r="J721" s="2467"/>
      <c r="K721" s="2467"/>
      <c r="L721" s="2467"/>
      <c r="M721" s="2467"/>
      <c r="N721" s="2467"/>
      <c r="O721" s="2467"/>
      <c r="P721" s="2467"/>
      <c r="Q721" s="2467"/>
      <c r="R721" s="2467"/>
      <c r="S721" s="2467"/>
      <c r="T721" s="2467"/>
      <c r="U721" s="2467"/>
      <c r="V721" s="2467"/>
      <c r="W721" s="2467"/>
      <c r="X721" s="2467"/>
      <c r="Y721" s="2467"/>
      <c r="Z721" s="2467"/>
      <c r="AA721" s="2467"/>
      <c r="AB721" s="2467"/>
      <c r="AC721" s="336"/>
      <c r="AD721" s="336"/>
      <c r="AE721" s="336"/>
      <c r="AF721" s="336"/>
      <c r="AG721" s="336"/>
      <c r="AH721" s="336"/>
      <c r="AI721" s="336"/>
      <c r="AJ721" s="336"/>
      <c r="AK721" s="336"/>
      <c r="AL721" s="336"/>
      <c r="AM721" s="349"/>
      <c r="AN721" s="471"/>
      <c r="AP721" s="403" t="s">
        <v>22</v>
      </c>
      <c r="AQ721" s="349">
        <v>3</v>
      </c>
    </row>
    <row r="722" spans="1:81" s="367" customFormat="1" ht="14.1" customHeight="1">
      <c r="A722" s="349"/>
      <c r="B722" s="336"/>
      <c r="C722" s="685"/>
      <c r="D722" s="336"/>
      <c r="E722" s="1215"/>
      <c r="F722" s="1215"/>
      <c r="G722" s="1215"/>
      <c r="H722" s="1215"/>
      <c r="I722" s="1215"/>
      <c r="J722" s="1215"/>
      <c r="K722" s="1215"/>
      <c r="L722" s="1215"/>
      <c r="M722" s="1215"/>
      <c r="N722" s="1215"/>
      <c r="O722" s="1215"/>
      <c r="P722" s="1215"/>
      <c r="Q722" s="1215"/>
      <c r="R722" s="1215"/>
      <c r="S722" s="1215"/>
      <c r="T722" s="1215"/>
      <c r="U722" s="1215"/>
      <c r="V722" s="1215"/>
      <c r="W722" s="1215"/>
      <c r="X722" s="1215"/>
      <c r="Y722" s="1215"/>
      <c r="Z722" s="1215"/>
      <c r="AA722" s="1215"/>
      <c r="AB722" s="1215"/>
      <c r="AC722" s="336"/>
      <c r="AD722" s="336"/>
      <c r="AE722" s="336"/>
      <c r="AF722" s="336"/>
      <c r="AG722" s="336"/>
      <c r="AH722" s="336"/>
      <c r="AI722" s="336"/>
      <c r="AJ722" s="336"/>
      <c r="AK722" s="336"/>
      <c r="AL722" s="336"/>
      <c r="AM722" s="349"/>
      <c r="AN722" s="471"/>
      <c r="AP722" s="403" t="s">
        <v>27</v>
      </c>
      <c r="AQ722" s="349">
        <v>2</v>
      </c>
    </row>
    <row r="723" spans="1:81" s="367" customFormat="1" ht="14.1" customHeight="1">
      <c r="A723" s="349"/>
      <c r="B723" s="336"/>
      <c r="C723" s="685"/>
      <c r="D723" s="336" t="s">
        <v>2496</v>
      </c>
      <c r="E723" s="1214"/>
      <c r="F723" s="1214"/>
      <c r="G723" s="1214"/>
      <c r="H723" s="2378" t="s">
        <v>809</v>
      </c>
      <c r="I723" s="2378"/>
      <c r="J723" s="1215"/>
      <c r="K723" s="1215"/>
      <c r="L723" s="1215"/>
      <c r="M723" s="1215"/>
      <c r="N723" s="1215"/>
      <c r="O723" s="1215"/>
      <c r="P723" s="1215"/>
      <c r="Q723" s="1215"/>
      <c r="R723" s="1215"/>
      <c r="S723" s="1215"/>
      <c r="T723" s="1215"/>
      <c r="U723" s="1215"/>
      <c r="V723" s="1215"/>
      <c r="W723" s="1215"/>
      <c r="X723" s="1215"/>
      <c r="Y723" s="1215"/>
      <c r="Z723" s="1215"/>
      <c r="AA723" s="1215"/>
      <c r="AB723" s="1215"/>
      <c r="AC723" s="336"/>
      <c r="AD723" s="336"/>
      <c r="AE723" s="336"/>
      <c r="AF723" s="336"/>
      <c r="AG723" s="336"/>
      <c r="AH723" s="336"/>
      <c r="AI723" s="336"/>
      <c r="AJ723" s="336"/>
      <c r="AK723" s="336"/>
      <c r="AL723" s="336"/>
      <c r="AM723" s="349"/>
      <c r="AN723" s="471"/>
    </row>
    <row r="724" spans="1:81" s="367" customFormat="1" ht="14.25" customHeight="1">
      <c r="A724" s="349"/>
      <c r="B724" s="336"/>
      <c r="C724" s="685"/>
      <c r="D724" s="336"/>
      <c r="E724" s="1215"/>
      <c r="F724" s="1215"/>
      <c r="G724" s="1215"/>
      <c r="H724" s="1215"/>
      <c r="I724" s="1215"/>
      <c r="J724" s="1215"/>
      <c r="K724" s="1215"/>
      <c r="L724" s="1215"/>
      <c r="M724" s="1215"/>
      <c r="N724" s="1215"/>
      <c r="O724" s="1215"/>
      <c r="P724" s="1215"/>
      <c r="Q724" s="1215"/>
      <c r="R724" s="1215"/>
      <c r="S724" s="1215"/>
      <c r="T724" s="1215"/>
      <c r="U724" s="1215"/>
      <c r="V724" s="1215"/>
      <c r="W724" s="1215"/>
      <c r="X724" s="1215"/>
      <c r="Y724" s="1215"/>
      <c r="Z724" s="1215"/>
      <c r="AA724" s="1215"/>
      <c r="AB724" s="1215"/>
      <c r="AC724" s="336"/>
      <c r="AD724" s="336"/>
      <c r="AE724" s="336"/>
      <c r="AF724" s="336"/>
      <c r="AG724" s="336"/>
      <c r="AH724" s="336"/>
      <c r="AI724" s="336"/>
      <c r="AJ724" s="336"/>
      <c r="AK724" s="336"/>
      <c r="AL724" s="336"/>
      <c r="AM724" s="349"/>
      <c r="AN724" s="471"/>
    </row>
    <row r="725" spans="1:81" s="367" customFormat="1" ht="12.75" customHeight="1">
      <c r="A725" s="398"/>
      <c r="B725" s="394"/>
      <c r="C725" s="689"/>
      <c r="D725" s="394"/>
      <c r="E725" s="394"/>
      <c r="F725" s="394"/>
      <c r="G725" s="394"/>
      <c r="H725" s="394"/>
      <c r="I725" s="394"/>
      <c r="J725" s="701"/>
      <c r="K725" s="701"/>
      <c r="L725" s="701"/>
      <c r="M725" s="701"/>
      <c r="N725" s="701"/>
      <c r="O725" s="701"/>
      <c r="P725" s="701"/>
      <c r="Q725" s="701"/>
      <c r="R725" s="701"/>
      <c r="S725" s="701"/>
      <c r="T725" s="701"/>
      <c r="U725" s="453"/>
      <c r="V725" s="453"/>
      <c r="W725" s="453"/>
      <c r="X725" s="453"/>
      <c r="Y725" s="690"/>
      <c r="Z725" s="690"/>
      <c r="AA725" s="690"/>
      <c r="AB725" s="394"/>
      <c r="AC725" s="394"/>
      <c r="AD725" s="394"/>
      <c r="AE725" s="394"/>
      <c r="AF725" s="394"/>
      <c r="AG725" s="394"/>
      <c r="AH725" s="394"/>
      <c r="AI725" s="362" t="s">
        <v>2553</v>
      </c>
      <c r="AJ725" s="2361">
        <f>VLOOKUP($H$723,$AP$720:$AQ$722,2,FALSE)</f>
        <v>0</v>
      </c>
      <c r="AK725" s="2363"/>
      <c r="AL725" s="388"/>
      <c r="AM725" s="349"/>
      <c r="AN725" s="471"/>
      <c r="AP725" s="2361"/>
      <c r="AQ725" s="2363"/>
    </row>
    <row r="726" spans="1:81" s="367" customFormat="1">
      <c r="A726" s="349"/>
      <c r="B726" s="402"/>
      <c r="C726" s="683"/>
      <c r="D726" s="687"/>
      <c r="E726" s="407"/>
      <c r="F726" s="407"/>
      <c r="G726" s="407"/>
      <c r="H726" s="407"/>
      <c r="I726" s="407"/>
      <c r="J726" s="407"/>
      <c r="K726" s="407"/>
      <c r="L726" s="407"/>
      <c r="M726" s="407"/>
      <c r="N726" s="407"/>
      <c r="O726" s="407"/>
      <c r="P726" s="407"/>
      <c r="Q726" s="407"/>
      <c r="R726" s="407"/>
      <c r="S726" s="407"/>
      <c r="T726" s="407"/>
      <c r="U726" s="407"/>
      <c r="V726" s="407"/>
      <c r="W726" s="407"/>
      <c r="X726" s="407"/>
      <c r="Y726" s="407"/>
      <c r="Z726" s="407"/>
      <c r="AA726" s="407"/>
      <c r="AB726" s="407"/>
      <c r="AC726" s="336"/>
      <c r="AD726" s="336"/>
      <c r="AE726" s="336"/>
      <c r="AF726" s="336"/>
      <c r="AG726" s="336"/>
      <c r="AH726" s="336"/>
      <c r="AI726" s="336"/>
      <c r="AJ726" s="336"/>
      <c r="AK726" s="336"/>
      <c r="AL726" s="336"/>
      <c r="AM726" s="349"/>
      <c r="AN726" s="471"/>
      <c r="AT726" s="11"/>
      <c r="AU726" s="11"/>
      <c r="AV726" s="11"/>
      <c r="AW726" s="11"/>
      <c r="AX726" s="11"/>
      <c r="AY726" s="11"/>
      <c r="AZ726" s="11"/>
    </row>
    <row r="727" spans="1:81" s="367" customFormat="1">
      <c r="A727" s="349"/>
      <c r="B727" s="336"/>
      <c r="C727" s="339" t="s">
        <v>2554</v>
      </c>
      <c r="D727" s="702"/>
      <c r="E727" s="407"/>
      <c r="F727" s="407"/>
      <c r="G727" s="407"/>
      <c r="H727" s="407"/>
      <c r="I727" s="407"/>
      <c r="J727" s="407"/>
      <c r="K727" s="407"/>
      <c r="L727" s="407"/>
      <c r="M727" s="407"/>
      <c r="N727" s="407"/>
      <c r="O727" s="407"/>
      <c r="P727" s="407"/>
      <c r="Q727" s="407"/>
      <c r="R727" s="407"/>
      <c r="S727" s="407"/>
      <c r="T727" s="407"/>
      <c r="U727" s="407"/>
      <c r="V727" s="407"/>
      <c r="W727" s="407"/>
      <c r="X727" s="407"/>
      <c r="Y727" s="407"/>
      <c r="Z727" s="407"/>
      <c r="AA727" s="407"/>
      <c r="AB727" s="407"/>
      <c r="AC727" s="336"/>
      <c r="AD727" s="336"/>
      <c r="AE727" s="336"/>
      <c r="AF727" s="336"/>
      <c r="AG727" s="336"/>
      <c r="AH727" s="336"/>
      <c r="AI727" s="336"/>
      <c r="AJ727" s="336"/>
      <c r="AK727" s="336"/>
      <c r="AL727" s="336"/>
      <c r="AM727" s="349"/>
      <c r="AN727" s="471"/>
      <c r="AT727" s="11"/>
      <c r="AU727" s="11"/>
      <c r="AV727" s="11"/>
      <c r="AW727" s="11"/>
      <c r="AX727" s="11"/>
      <c r="AY727" s="11"/>
      <c r="AZ727" s="11"/>
    </row>
    <row r="728" spans="1:81" s="367" customFormat="1">
      <c r="A728" s="349"/>
      <c r="B728" s="402"/>
      <c r="C728" s="683"/>
      <c r="D728" s="687"/>
      <c r="E728" s="407"/>
      <c r="F728" s="407"/>
      <c r="G728" s="407"/>
      <c r="H728" s="407"/>
      <c r="I728" s="407"/>
      <c r="J728" s="407"/>
      <c r="K728" s="407"/>
      <c r="L728" s="407"/>
      <c r="M728" s="407"/>
      <c r="N728" s="407"/>
      <c r="O728" s="407"/>
      <c r="P728" s="407"/>
      <c r="Q728" s="407"/>
      <c r="R728" s="407"/>
      <c r="S728" s="407"/>
      <c r="T728" s="407"/>
      <c r="U728" s="407"/>
      <c r="V728" s="407"/>
      <c r="W728" s="407"/>
      <c r="X728" s="407"/>
      <c r="Y728" s="407"/>
      <c r="Z728" s="407"/>
      <c r="AA728" s="407"/>
      <c r="AB728" s="407"/>
      <c r="AC728" s="336"/>
      <c r="AD728" s="336"/>
      <c r="AE728" s="336"/>
      <c r="AF728" s="336"/>
      <c r="AG728" s="336"/>
      <c r="AH728" s="336"/>
      <c r="AI728" s="336"/>
      <c r="AJ728" s="336"/>
      <c r="AK728" s="336"/>
      <c r="AL728" s="336"/>
      <c r="AM728" s="349"/>
      <c r="AN728" s="471"/>
      <c r="AT728" s="11"/>
      <c r="AU728" s="11"/>
      <c r="AV728" s="11"/>
      <c r="AW728" s="11"/>
      <c r="AX728" s="11"/>
      <c r="AY728" s="11"/>
      <c r="AZ728" s="11"/>
    </row>
    <row r="729" spans="1:81" s="367" customFormat="1">
      <c r="A729" s="349"/>
      <c r="B729" s="336"/>
      <c r="C729" s="683"/>
      <c r="D729" s="451" t="s">
        <v>22</v>
      </c>
      <c r="E729" s="2354" t="s">
        <v>2555</v>
      </c>
      <c r="F729" s="2354"/>
      <c r="G729" s="2354"/>
      <c r="H729" s="2354"/>
      <c r="I729" s="2354"/>
      <c r="J729" s="2354"/>
      <c r="K729" s="2354"/>
      <c r="L729" s="2354"/>
      <c r="M729" s="2354"/>
      <c r="N729" s="2354"/>
      <c r="O729" s="2354"/>
      <c r="P729" s="2354"/>
      <c r="Q729" s="2354"/>
      <c r="R729" s="2354"/>
      <c r="S729" s="2354"/>
      <c r="T729" s="2354"/>
      <c r="U729" s="2354"/>
      <c r="V729" s="2354"/>
      <c r="W729" s="2354"/>
      <c r="X729" s="2354"/>
      <c r="Y729" s="2354"/>
      <c r="Z729" s="2354"/>
      <c r="AA729" s="2354"/>
      <c r="AB729" s="2354"/>
      <c r="AC729" s="336"/>
      <c r="AD729" s="336"/>
      <c r="AE729" s="336"/>
      <c r="AF729" s="2454" t="s">
        <v>2222</v>
      </c>
      <c r="AG729" s="2454"/>
      <c r="AH729" s="2454"/>
      <c r="AI729" s="2454"/>
      <c r="AJ729" s="2454"/>
      <c r="AK729" s="2454"/>
      <c r="AL729" s="2454"/>
      <c r="AM729" s="349"/>
      <c r="AN729" s="471"/>
      <c r="AT729" s="11"/>
      <c r="AU729" s="11"/>
      <c r="AV729" s="11"/>
      <c r="AW729" s="11"/>
      <c r="AX729" s="11"/>
      <c r="AY729" s="11"/>
      <c r="AZ729" s="11"/>
    </row>
    <row r="730" spans="1:81" s="367" customFormat="1">
      <c r="A730" s="349"/>
      <c r="B730" s="336"/>
      <c r="C730" s="685"/>
      <c r="D730" s="451"/>
      <c r="E730" s="2354"/>
      <c r="F730" s="2354"/>
      <c r="G730" s="2354"/>
      <c r="H730" s="2354"/>
      <c r="I730" s="2354"/>
      <c r="J730" s="2354"/>
      <c r="K730" s="2354"/>
      <c r="L730" s="2354"/>
      <c r="M730" s="2354"/>
      <c r="N730" s="2354"/>
      <c r="O730" s="2354"/>
      <c r="P730" s="2354"/>
      <c r="Q730" s="2354"/>
      <c r="R730" s="2354"/>
      <c r="S730" s="2354"/>
      <c r="T730" s="2354"/>
      <c r="U730" s="2354"/>
      <c r="V730" s="2354"/>
      <c r="W730" s="2354"/>
      <c r="X730" s="2354"/>
      <c r="Y730" s="2354"/>
      <c r="Z730" s="2354"/>
      <c r="AA730" s="2354"/>
      <c r="AB730" s="2354"/>
      <c r="AC730" s="336"/>
      <c r="AD730" s="336"/>
      <c r="AE730" s="336"/>
      <c r="AF730" s="336"/>
      <c r="AG730" s="336"/>
      <c r="AH730" s="336"/>
      <c r="AI730" s="336"/>
      <c r="AJ730" s="336"/>
      <c r="AK730" s="336"/>
      <c r="AL730" s="336"/>
      <c r="AM730" s="349"/>
      <c r="AN730" s="471"/>
      <c r="AT730" s="11"/>
      <c r="AU730" s="11"/>
      <c r="AV730" s="11"/>
      <c r="AW730" s="11"/>
      <c r="AX730" s="11"/>
      <c r="AY730" s="11"/>
      <c r="AZ730" s="11"/>
    </row>
    <row r="731" spans="1:81" s="367" customFormat="1">
      <c r="A731" s="349"/>
      <c r="B731" s="402"/>
      <c r="C731" s="683"/>
      <c r="D731" s="451"/>
      <c r="E731" s="407"/>
      <c r="F731" s="407"/>
      <c r="G731" s="407"/>
      <c r="H731" s="407"/>
      <c r="I731" s="407"/>
      <c r="J731" s="407"/>
      <c r="K731" s="407"/>
      <c r="L731" s="407"/>
      <c r="M731" s="407"/>
      <c r="N731" s="407"/>
      <c r="O731" s="407"/>
      <c r="P731" s="407"/>
      <c r="Q731" s="407"/>
      <c r="R731" s="407"/>
      <c r="S731" s="407"/>
      <c r="T731" s="407"/>
      <c r="U731" s="407"/>
      <c r="V731" s="407"/>
      <c r="W731" s="407"/>
      <c r="X731" s="407"/>
      <c r="Y731" s="407"/>
      <c r="Z731" s="407"/>
      <c r="AA731" s="407"/>
      <c r="AB731" s="407"/>
      <c r="AC731" s="336"/>
      <c r="AD731" s="336"/>
      <c r="AE731" s="336"/>
      <c r="AF731" s="336"/>
      <c r="AG731" s="336"/>
      <c r="AH731" s="336"/>
      <c r="AI731" s="336"/>
      <c r="AJ731" s="336"/>
      <c r="AK731" s="336"/>
      <c r="AL731" s="336"/>
      <c r="AM731" s="349"/>
      <c r="AN731" s="471"/>
      <c r="AT731" s="11"/>
      <c r="AU731" s="11"/>
      <c r="AV731" s="11"/>
      <c r="AW731" s="11"/>
      <c r="AX731" s="11"/>
      <c r="AY731" s="11"/>
      <c r="AZ731" s="11"/>
    </row>
    <row r="732" spans="1:81" s="367" customFormat="1" ht="12.75" customHeight="1">
      <c r="A732" s="349"/>
      <c r="B732" s="336"/>
      <c r="C732" s="683"/>
      <c r="D732" s="451" t="s">
        <v>27</v>
      </c>
      <c r="E732" s="2354" t="s">
        <v>2556</v>
      </c>
      <c r="F732" s="2354"/>
      <c r="G732" s="2354"/>
      <c r="H732" s="2354"/>
      <c r="I732" s="2354"/>
      <c r="J732" s="2354"/>
      <c r="K732" s="2354"/>
      <c r="L732" s="2354"/>
      <c r="M732" s="2354"/>
      <c r="N732" s="2354"/>
      <c r="O732" s="2354"/>
      <c r="P732" s="2354"/>
      <c r="Q732" s="2354"/>
      <c r="R732" s="2354"/>
      <c r="S732" s="2354"/>
      <c r="T732" s="2354"/>
      <c r="U732" s="2354"/>
      <c r="V732" s="2354"/>
      <c r="W732" s="2354"/>
      <c r="X732" s="2354"/>
      <c r="Y732" s="2354"/>
      <c r="Z732" s="2354"/>
      <c r="AA732" s="2354"/>
      <c r="AB732" s="2354"/>
      <c r="AC732" s="336"/>
      <c r="AD732" s="336"/>
      <c r="AE732" s="336"/>
      <c r="AF732" s="2454" t="s">
        <v>2510</v>
      </c>
      <c r="AG732" s="2454"/>
      <c r="AH732" s="2454"/>
      <c r="AI732" s="2454"/>
      <c r="AJ732" s="2454"/>
      <c r="AK732" s="2454"/>
      <c r="AL732" s="2454"/>
      <c r="AM732" s="349"/>
      <c r="AN732" s="471"/>
      <c r="AT732" s="11"/>
      <c r="AU732" s="11"/>
      <c r="AV732" s="11"/>
      <c r="AW732" s="11"/>
      <c r="AX732" s="11"/>
      <c r="AY732" s="11"/>
      <c r="AZ732" s="11"/>
    </row>
    <row r="733" spans="1:81" s="367" customFormat="1">
      <c r="A733" s="349"/>
      <c r="B733" s="336"/>
      <c r="C733" s="685"/>
      <c r="D733" s="336"/>
      <c r="E733" s="2354"/>
      <c r="F733" s="2354"/>
      <c r="G733" s="2354"/>
      <c r="H733" s="2354"/>
      <c r="I733" s="2354"/>
      <c r="J733" s="2354"/>
      <c r="K733" s="2354"/>
      <c r="L733" s="2354"/>
      <c r="M733" s="2354"/>
      <c r="N733" s="2354"/>
      <c r="O733" s="2354"/>
      <c r="P733" s="2354"/>
      <c r="Q733" s="2354"/>
      <c r="R733" s="2354"/>
      <c r="S733" s="2354"/>
      <c r="T733" s="2354"/>
      <c r="U733" s="2354"/>
      <c r="V733" s="2354"/>
      <c r="W733" s="2354"/>
      <c r="X733" s="2354"/>
      <c r="Y733" s="2354"/>
      <c r="Z733" s="2354"/>
      <c r="AA733" s="2354"/>
      <c r="AB733" s="2354"/>
      <c r="AC733" s="336"/>
      <c r="AD733" s="336"/>
      <c r="AE733" s="336"/>
      <c r="AF733" s="336"/>
      <c r="AG733" s="336"/>
      <c r="AH733" s="336"/>
      <c r="AI733" s="336"/>
      <c r="AJ733" s="336"/>
      <c r="AK733" s="336"/>
      <c r="AL733" s="336"/>
      <c r="AM733" s="349"/>
      <c r="AN733" s="471"/>
      <c r="AT733" s="11"/>
      <c r="AU733" s="11"/>
      <c r="AV733" s="11"/>
      <c r="AW733" s="11"/>
      <c r="AX733" s="11"/>
      <c r="AY733" s="11"/>
      <c r="AZ733" s="11"/>
    </row>
    <row r="734" spans="1:81" s="367" customFormat="1">
      <c r="A734" s="349"/>
      <c r="B734" s="336"/>
      <c r="C734" s="685"/>
      <c r="D734" s="336"/>
      <c r="E734" s="1202"/>
      <c r="F734" s="1202"/>
      <c r="G734" s="1202"/>
      <c r="H734" s="1202"/>
      <c r="I734" s="1202"/>
      <c r="J734" s="1202"/>
      <c r="K734" s="1202"/>
      <c r="L734" s="1202"/>
      <c r="M734" s="1202"/>
      <c r="N734" s="1202"/>
      <c r="O734" s="1202"/>
      <c r="P734" s="1202"/>
      <c r="Q734" s="1202"/>
      <c r="R734" s="1202"/>
      <c r="S734" s="1202"/>
      <c r="T734" s="1202"/>
      <c r="U734" s="1202"/>
      <c r="V734" s="1202"/>
      <c r="W734" s="1202"/>
      <c r="X734" s="1202"/>
      <c r="Y734" s="1202"/>
      <c r="Z734" s="1202"/>
      <c r="AA734" s="1202"/>
      <c r="AB734" s="1202"/>
      <c r="AC734" s="336"/>
      <c r="AD734" s="336"/>
      <c r="AE734" s="336"/>
      <c r="AF734" s="336"/>
      <c r="AG734" s="336"/>
      <c r="AH734" s="336"/>
      <c r="AI734" s="336"/>
      <c r="AJ734" s="336"/>
      <c r="AK734" s="336"/>
      <c r="AL734" s="336"/>
      <c r="AM734" s="349"/>
      <c r="AN734" s="471"/>
      <c r="AT734" s="11"/>
      <c r="AU734" s="11"/>
      <c r="AV734" s="11"/>
      <c r="AW734" s="11"/>
      <c r="AX734" s="11"/>
      <c r="AY734" s="11"/>
      <c r="AZ734" s="11"/>
    </row>
    <row r="735" spans="1:81" s="367" customFormat="1" ht="12.75" customHeight="1">
      <c r="A735" s="349"/>
      <c r="B735" s="336"/>
      <c r="C735" s="685"/>
      <c r="D735" s="336" t="s">
        <v>2496</v>
      </c>
      <c r="E735" s="1214"/>
      <c r="F735" s="1214"/>
      <c r="G735" s="1214"/>
      <c r="H735" s="2378" t="s">
        <v>809</v>
      </c>
      <c r="I735" s="2378"/>
      <c r="J735" s="1202"/>
      <c r="K735" s="1202"/>
      <c r="L735" s="1202"/>
      <c r="M735" s="1202"/>
      <c r="N735" s="1202"/>
      <c r="O735" s="1202"/>
      <c r="P735" s="1202"/>
      <c r="Q735" s="1202"/>
      <c r="R735" s="1202"/>
      <c r="S735" s="1202"/>
      <c r="T735" s="1202"/>
      <c r="U735" s="1202"/>
      <c r="V735" s="1202"/>
      <c r="W735" s="1202"/>
      <c r="X735" s="1202"/>
      <c r="Y735" s="1202"/>
      <c r="Z735" s="1202"/>
      <c r="AA735" s="1202"/>
      <c r="AB735" s="1202"/>
      <c r="AC735" s="336"/>
      <c r="AD735" s="336"/>
      <c r="AE735" s="336"/>
      <c r="AF735" s="336"/>
      <c r="AG735" s="336"/>
      <c r="AH735" s="336"/>
      <c r="AI735" s="336"/>
      <c r="AJ735" s="336"/>
      <c r="AK735" s="336"/>
      <c r="AL735" s="336"/>
      <c r="AM735" s="349"/>
      <c r="AN735" s="471"/>
      <c r="AT735" s="11"/>
      <c r="AU735" s="11"/>
      <c r="AV735" s="11"/>
      <c r="AW735" s="11"/>
      <c r="AX735" s="11"/>
      <c r="AY735" s="11"/>
      <c r="AZ735" s="11"/>
    </row>
    <row r="736" spans="1:81" s="367" customFormat="1">
      <c r="A736" s="349"/>
      <c r="B736" s="336"/>
      <c r="C736" s="685"/>
      <c r="D736" s="336"/>
      <c r="E736" s="1202"/>
      <c r="F736" s="1202"/>
      <c r="G736" s="1202"/>
      <c r="H736" s="1202"/>
      <c r="I736" s="1202"/>
      <c r="J736" s="1202"/>
      <c r="K736" s="1202"/>
      <c r="L736" s="1202"/>
      <c r="M736" s="1202"/>
      <c r="N736" s="1202"/>
      <c r="O736" s="1202"/>
      <c r="P736" s="1202"/>
      <c r="Q736" s="1202"/>
      <c r="R736" s="1202"/>
      <c r="S736" s="1202"/>
      <c r="T736" s="1202"/>
      <c r="U736" s="1202"/>
      <c r="V736" s="1202"/>
      <c r="W736" s="1202"/>
      <c r="X736" s="1202"/>
      <c r="Y736" s="1202"/>
      <c r="Z736" s="1202"/>
      <c r="AA736" s="1202"/>
      <c r="AB736" s="1202"/>
      <c r="AC736" s="336"/>
      <c r="AD736" s="336"/>
      <c r="AE736" s="336"/>
      <c r="AF736" s="336"/>
      <c r="AG736" s="336"/>
      <c r="AH736" s="336"/>
      <c r="AI736" s="336"/>
      <c r="AJ736" s="336"/>
      <c r="AK736" s="336"/>
      <c r="AL736" s="336"/>
      <c r="AM736" s="349"/>
      <c r="AN736" s="471"/>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367" customFormat="1">
      <c r="A737" s="398"/>
      <c r="B737" s="394"/>
      <c r="C737" s="689"/>
      <c r="D737" s="394"/>
      <c r="E737" s="700"/>
      <c r="F737" s="700"/>
      <c r="G737" s="700"/>
      <c r="H737" s="700"/>
      <c r="I737" s="700"/>
      <c r="J737" s="700"/>
      <c r="K737" s="700"/>
      <c r="L737" s="700"/>
      <c r="M737" s="700"/>
      <c r="N737" s="700"/>
      <c r="O737" s="700"/>
      <c r="P737" s="700"/>
      <c r="Q737" s="700"/>
      <c r="R737" s="700"/>
      <c r="S737" s="700"/>
      <c r="T737" s="700"/>
      <c r="U737" s="700"/>
      <c r="V737" s="453"/>
      <c r="W737" s="453"/>
      <c r="X737" s="453"/>
      <c r="Y737" s="690"/>
      <c r="Z737" s="690"/>
      <c r="AA737" s="690"/>
      <c r="AB737" s="394"/>
      <c r="AC737" s="394"/>
      <c r="AD737" s="394"/>
      <c r="AE737" s="394"/>
      <c r="AF737" s="394"/>
      <c r="AG737" s="394"/>
      <c r="AH737" s="394"/>
      <c r="AI737" s="362" t="s">
        <v>2557</v>
      </c>
      <c r="AJ737" s="2361">
        <f>VLOOKUP($H$735,$AO$666:$AP$668,2,FALSE)</f>
        <v>0</v>
      </c>
      <c r="AK737" s="2363"/>
      <c r="AL737" s="388"/>
      <c r="AM737" s="349"/>
      <c r="AN737" s="471"/>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367" customFormat="1" ht="12.75" customHeight="1">
      <c r="A738" s="349"/>
      <c r="B738" s="336"/>
      <c r="C738" s="685"/>
      <c r="D738" s="336"/>
      <c r="E738" s="336"/>
      <c r="F738" s="336"/>
      <c r="G738" s="336"/>
      <c r="H738" s="336"/>
      <c r="I738" s="336"/>
      <c r="J738" s="1202"/>
      <c r="K738" s="1202"/>
      <c r="L738" s="1202"/>
      <c r="M738" s="1202"/>
      <c r="N738" s="336"/>
      <c r="O738" s="336"/>
      <c r="P738" s="336"/>
      <c r="Q738" s="336"/>
      <c r="R738" s="336"/>
      <c r="S738" s="336"/>
      <c r="T738" s="336"/>
      <c r="U738" s="336"/>
      <c r="V738" s="336"/>
      <c r="W738" s="336"/>
      <c r="X738" s="336"/>
      <c r="Y738" s="336"/>
      <c r="Z738" s="336"/>
      <c r="AA738" s="336"/>
      <c r="AB738" s="336"/>
      <c r="AC738" s="336"/>
      <c r="AD738" s="336"/>
      <c r="AE738" s="336"/>
      <c r="AF738" s="336"/>
      <c r="AG738" s="336"/>
      <c r="AH738" s="336"/>
      <c r="AI738" s="336"/>
      <c r="AJ738" s="336"/>
      <c r="AK738" s="336"/>
      <c r="AL738" s="336"/>
      <c r="AM738" s="349"/>
      <c r="AN738" s="471"/>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367" customFormat="1" ht="12.75" customHeight="1">
      <c r="A739" s="349"/>
      <c r="B739" s="336"/>
      <c r="C739" s="339" t="s">
        <v>2558</v>
      </c>
      <c r="D739" s="336"/>
      <c r="E739" s="336"/>
      <c r="F739" s="336"/>
      <c r="G739" s="336"/>
      <c r="H739" s="336"/>
      <c r="I739" s="336"/>
      <c r="J739" s="336"/>
      <c r="K739" s="336"/>
      <c r="L739" s="336"/>
      <c r="M739" s="336"/>
      <c r="N739" s="336"/>
      <c r="O739" s="336"/>
      <c r="P739" s="336"/>
      <c r="Q739" s="336"/>
      <c r="R739" s="336"/>
      <c r="S739" s="336"/>
      <c r="T739" s="336"/>
      <c r="U739" s="336"/>
      <c r="V739" s="336"/>
      <c r="W739" s="336"/>
      <c r="X739" s="336"/>
      <c r="Y739" s="336"/>
      <c r="Z739" s="336"/>
      <c r="AA739" s="336"/>
      <c r="AB739" s="336"/>
      <c r="AC739" s="336"/>
      <c r="AD739" s="336"/>
      <c r="AE739" s="336"/>
      <c r="AF739" s="336"/>
      <c r="AG739" s="336"/>
      <c r="AH739" s="336"/>
      <c r="AI739" s="336"/>
      <c r="AJ739" s="336"/>
      <c r="AK739" s="336"/>
      <c r="AL739" s="336"/>
      <c r="AM739" s="349"/>
      <c r="AN739" s="471"/>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367" customFormat="1">
      <c r="A740" s="349"/>
      <c r="B740" s="402"/>
      <c r="C740" s="703"/>
      <c r="D740" s="402"/>
      <c r="E740" s="402"/>
      <c r="F740" s="336"/>
      <c r="G740" s="336"/>
      <c r="H740" s="402"/>
      <c r="I740" s="402"/>
      <c r="J740" s="402"/>
      <c r="K740" s="402"/>
      <c r="L740" s="402"/>
      <c r="M740" s="402"/>
      <c r="N740" s="402"/>
      <c r="O740" s="402"/>
      <c r="P740" s="402"/>
      <c r="Q740" s="402"/>
      <c r="R740" s="402"/>
      <c r="S740" s="402"/>
      <c r="T740" s="336"/>
      <c r="U740" s="336"/>
      <c r="V740" s="336"/>
      <c r="W740" s="336"/>
      <c r="X740" s="388"/>
      <c r="Y740" s="388"/>
      <c r="Z740" s="388"/>
      <c r="AA740" s="388"/>
      <c r="AB740" s="388"/>
      <c r="AC740" s="336"/>
      <c r="AD740" s="336"/>
      <c r="AE740" s="336"/>
      <c r="AF740" s="336"/>
      <c r="AG740" s="336"/>
      <c r="AH740" s="336"/>
      <c r="AI740" s="336"/>
      <c r="AJ740" s="336"/>
      <c r="AK740" s="336"/>
      <c r="AL740" s="336"/>
      <c r="AM740" s="349"/>
      <c r="AN740" s="471"/>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367" customFormat="1">
      <c r="A741" s="349"/>
      <c r="B741" s="336"/>
      <c r="C741" s="683"/>
      <c r="D741" s="451" t="s">
        <v>22</v>
      </c>
      <c r="E741" s="2354" t="s">
        <v>2559</v>
      </c>
      <c r="F741" s="2354"/>
      <c r="G741" s="2354"/>
      <c r="H741" s="2354"/>
      <c r="I741" s="2354"/>
      <c r="J741" s="2354"/>
      <c r="K741" s="2354"/>
      <c r="L741" s="2354"/>
      <c r="M741" s="2354"/>
      <c r="N741" s="2354"/>
      <c r="O741" s="2354"/>
      <c r="P741" s="2354"/>
      <c r="Q741" s="2354"/>
      <c r="R741" s="2354"/>
      <c r="S741" s="2354"/>
      <c r="T741" s="2354"/>
      <c r="U741" s="2354"/>
      <c r="V741" s="2354"/>
      <c r="W741" s="2354"/>
      <c r="X741" s="2354"/>
      <c r="Y741" s="2354"/>
      <c r="Z741" s="2354"/>
      <c r="AA741" s="2354"/>
      <c r="AB741" s="2354"/>
      <c r="AC741" s="336"/>
      <c r="AD741" s="336"/>
      <c r="AE741" s="336"/>
      <c r="AF741" s="2454" t="s">
        <v>2222</v>
      </c>
      <c r="AG741" s="2454"/>
      <c r="AH741" s="2454"/>
      <c r="AI741" s="2454"/>
      <c r="AJ741" s="2454"/>
      <c r="AK741" s="2454"/>
      <c r="AL741" s="2454"/>
      <c r="AM741" s="349"/>
      <c r="AN741" s="471"/>
      <c r="AT741" s="11"/>
      <c r="AU741" s="11"/>
      <c r="AV741" s="11"/>
      <c r="AW741" s="11"/>
      <c r="AX741" s="11"/>
      <c r="AY741" s="11"/>
      <c r="AZ741" s="11"/>
    </row>
    <row r="742" spans="1:81" s="367" customFormat="1">
      <c r="A742" s="349"/>
      <c r="B742" s="336"/>
      <c r="C742" s="683"/>
      <c r="D742" s="451"/>
      <c r="E742" s="2354"/>
      <c r="F742" s="2354"/>
      <c r="G742" s="2354"/>
      <c r="H742" s="2354"/>
      <c r="I742" s="2354"/>
      <c r="J742" s="2354"/>
      <c r="K742" s="2354"/>
      <c r="L742" s="2354"/>
      <c r="M742" s="2354"/>
      <c r="N742" s="2354"/>
      <c r="O742" s="2354"/>
      <c r="P742" s="2354"/>
      <c r="Q742" s="2354"/>
      <c r="R742" s="2354"/>
      <c r="S742" s="2354"/>
      <c r="T742" s="2354"/>
      <c r="U742" s="2354"/>
      <c r="V742" s="2354"/>
      <c r="W742" s="2354"/>
      <c r="X742" s="2354"/>
      <c r="Y742" s="2354"/>
      <c r="Z742" s="2354"/>
      <c r="AA742" s="2354"/>
      <c r="AB742" s="2354"/>
      <c r="AC742" s="336"/>
      <c r="AD742" s="336"/>
      <c r="AE742" s="336"/>
      <c r="AF742" s="1195"/>
      <c r="AG742" s="1195"/>
      <c r="AH742" s="1195"/>
      <c r="AI742" s="1195"/>
      <c r="AJ742" s="1195"/>
      <c r="AK742" s="1195"/>
      <c r="AL742" s="1195"/>
      <c r="AM742" s="349"/>
      <c r="AN742" s="471"/>
      <c r="AT742" s="11"/>
      <c r="AU742" s="11"/>
      <c r="AV742" s="11"/>
      <c r="AW742" s="11"/>
      <c r="AX742" s="11"/>
      <c r="AY742" s="11"/>
      <c r="AZ742" s="11"/>
    </row>
    <row r="743" spans="1:81" s="367" customFormat="1">
      <c r="A743" s="349"/>
      <c r="B743" s="336"/>
      <c r="C743" s="685"/>
      <c r="D743" s="451"/>
      <c r="E743" s="2354"/>
      <c r="F743" s="2354"/>
      <c r="G743" s="2354"/>
      <c r="H743" s="2354"/>
      <c r="I743" s="2354"/>
      <c r="J743" s="2354"/>
      <c r="K743" s="2354"/>
      <c r="L743" s="2354"/>
      <c r="M743" s="2354"/>
      <c r="N743" s="2354"/>
      <c r="O743" s="2354"/>
      <c r="P743" s="2354"/>
      <c r="Q743" s="2354"/>
      <c r="R743" s="2354"/>
      <c r="S743" s="2354"/>
      <c r="T743" s="2354"/>
      <c r="U743" s="2354"/>
      <c r="V743" s="2354"/>
      <c r="W743" s="2354"/>
      <c r="X743" s="2354"/>
      <c r="Y743" s="2354"/>
      <c r="Z743" s="2354"/>
      <c r="AA743" s="2354"/>
      <c r="AB743" s="2354"/>
      <c r="AC743" s="336"/>
      <c r="AD743" s="336"/>
      <c r="AE743" s="336"/>
      <c r="AF743" s="336"/>
      <c r="AG743" s="336"/>
      <c r="AH743" s="336"/>
      <c r="AI743" s="336"/>
      <c r="AJ743" s="336"/>
      <c r="AK743" s="336"/>
      <c r="AL743" s="336"/>
      <c r="AM743" s="349"/>
      <c r="AN743" s="471"/>
    </row>
    <row r="744" spans="1:81" s="367" customFormat="1" ht="12.75" customHeight="1">
      <c r="A744" s="349"/>
      <c r="B744" s="336"/>
      <c r="C744" s="685"/>
      <c r="D744" s="451"/>
      <c r="E744" s="2354"/>
      <c r="F744" s="2354"/>
      <c r="G744" s="2354"/>
      <c r="H744" s="2354"/>
      <c r="I744" s="2354"/>
      <c r="J744" s="2354"/>
      <c r="K744" s="2354"/>
      <c r="L744" s="2354"/>
      <c r="M744" s="2354"/>
      <c r="N744" s="2354"/>
      <c r="O744" s="2354"/>
      <c r="P744" s="2354"/>
      <c r="Q744" s="2354"/>
      <c r="R744" s="2354"/>
      <c r="S744" s="2354"/>
      <c r="T744" s="2354"/>
      <c r="U744" s="2354"/>
      <c r="V744" s="2354"/>
      <c r="W744" s="2354"/>
      <c r="X744" s="2354"/>
      <c r="Y744" s="2354"/>
      <c r="Z744" s="2354"/>
      <c r="AA744" s="2354"/>
      <c r="AB744" s="2354"/>
      <c r="AC744" s="336"/>
      <c r="AD744" s="336"/>
      <c r="AE744" s="336"/>
      <c r="AF744" s="336"/>
      <c r="AG744" s="336"/>
      <c r="AH744" s="336"/>
      <c r="AI744" s="336"/>
      <c r="AJ744" s="336"/>
      <c r="AK744" s="336"/>
      <c r="AL744" s="336"/>
      <c r="AM744" s="349"/>
      <c r="AN744" s="334"/>
      <c r="AO744" s="11"/>
    </row>
    <row r="745" spans="1:81" s="367" customFormat="1">
      <c r="A745" s="1212"/>
      <c r="B745" s="388"/>
      <c r="C745" s="683"/>
      <c r="D745" s="451"/>
      <c r="E745" s="697"/>
      <c r="F745" s="697"/>
      <c r="G745" s="697"/>
      <c r="H745" s="697"/>
      <c r="I745" s="697"/>
      <c r="J745" s="697"/>
      <c r="K745" s="697"/>
      <c r="L745" s="697"/>
      <c r="M745" s="697"/>
      <c r="N745" s="697"/>
      <c r="O745" s="697"/>
      <c r="P745" s="697"/>
      <c r="Q745" s="697"/>
      <c r="R745" s="697"/>
      <c r="S745" s="697"/>
      <c r="T745" s="697"/>
      <c r="U745" s="697"/>
      <c r="V745" s="697"/>
      <c r="W745" s="697"/>
      <c r="X745" s="697"/>
      <c r="Y745" s="697"/>
      <c r="Z745" s="697"/>
      <c r="AA745" s="697"/>
      <c r="AB745" s="697"/>
      <c r="AC745" s="336"/>
      <c r="AD745" s="336"/>
      <c r="AE745" s="336"/>
      <c r="AF745" s="336"/>
      <c r="AG745" s="336"/>
      <c r="AH745" s="336"/>
      <c r="AI745" s="336"/>
      <c r="AJ745" s="336"/>
      <c r="AK745" s="336"/>
      <c r="AL745" s="336"/>
      <c r="AM745" s="349"/>
      <c r="AN745" s="471"/>
      <c r="AO745" s="23"/>
      <c r="AP745" s="11"/>
    </row>
    <row r="746" spans="1:81" s="367" customFormat="1">
      <c r="A746" s="349"/>
      <c r="B746" s="336"/>
      <c r="C746" s="683"/>
      <c r="D746" s="451" t="s">
        <v>27</v>
      </c>
      <c r="E746" s="2354" t="s">
        <v>2560</v>
      </c>
      <c r="F746" s="2354"/>
      <c r="G746" s="2354"/>
      <c r="H746" s="2354"/>
      <c r="I746" s="2354"/>
      <c r="J746" s="2354"/>
      <c r="K746" s="2354"/>
      <c r="L746" s="2354"/>
      <c r="M746" s="2354"/>
      <c r="N746" s="2354"/>
      <c r="O746" s="2354"/>
      <c r="P746" s="2354"/>
      <c r="Q746" s="2354"/>
      <c r="R746" s="2354"/>
      <c r="S746" s="2354"/>
      <c r="T746" s="2354"/>
      <c r="U746" s="2354"/>
      <c r="V746" s="2354"/>
      <c r="W746" s="2354"/>
      <c r="X746" s="2354"/>
      <c r="Y746" s="2354"/>
      <c r="Z746" s="2354"/>
      <c r="AA746" s="2354"/>
      <c r="AB746" s="371"/>
      <c r="AC746" s="336"/>
      <c r="AD746" s="336"/>
      <c r="AE746" s="336"/>
      <c r="AF746" s="2454" t="s">
        <v>2510</v>
      </c>
      <c r="AG746" s="2454"/>
      <c r="AH746" s="2454"/>
      <c r="AI746" s="2454"/>
      <c r="AJ746" s="2454"/>
      <c r="AK746" s="2454"/>
      <c r="AL746" s="2454"/>
      <c r="AM746" s="349"/>
      <c r="AN746" s="471"/>
      <c r="AO746" s="23"/>
      <c r="AP746" s="11"/>
    </row>
    <row r="747" spans="1:81" s="367" customFormat="1">
      <c r="A747" s="349"/>
      <c r="B747" s="336"/>
      <c r="C747" s="683"/>
      <c r="D747" s="451"/>
      <c r="E747" s="2354"/>
      <c r="F747" s="2354"/>
      <c r="G747" s="2354"/>
      <c r="H747" s="2354"/>
      <c r="I747" s="2354"/>
      <c r="J747" s="2354"/>
      <c r="K747" s="2354"/>
      <c r="L747" s="2354"/>
      <c r="M747" s="2354"/>
      <c r="N747" s="2354"/>
      <c r="O747" s="2354"/>
      <c r="P747" s="2354"/>
      <c r="Q747" s="2354"/>
      <c r="R747" s="2354"/>
      <c r="S747" s="2354"/>
      <c r="T747" s="2354"/>
      <c r="U747" s="2354"/>
      <c r="V747" s="2354"/>
      <c r="W747" s="2354"/>
      <c r="X747" s="2354"/>
      <c r="Y747" s="2354"/>
      <c r="Z747" s="2354"/>
      <c r="AA747" s="2354"/>
      <c r="AB747" s="371"/>
      <c r="AC747" s="336"/>
      <c r="AD747" s="336"/>
      <c r="AE747" s="336"/>
      <c r="AF747" s="1195"/>
      <c r="AG747" s="1195"/>
      <c r="AH747" s="1195"/>
      <c r="AI747" s="1195"/>
      <c r="AJ747" s="1195"/>
      <c r="AK747" s="1195"/>
      <c r="AL747" s="1195"/>
      <c r="AM747" s="349"/>
      <c r="AN747" s="471"/>
      <c r="AO747" s="23"/>
      <c r="AP747" s="11"/>
    </row>
    <row r="748" spans="1:81" s="367" customFormat="1">
      <c r="A748" s="349"/>
      <c r="B748" s="336"/>
      <c r="C748" s="683"/>
      <c r="D748" s="336"/>
      <c r="E748" s="2354"/>
      <c r="F748" s="2354"/>
      <c r="G748" s="2354"/>
      <c r="H748" s="2354"/>
      <c r="I748" s="2354"/>
      <c r="J748" s="2354"/>
      <c r="K748" s="2354"/>
      <c r="L748" s="2354"/>
      <c r="M748" s="2354"/>
      <c r="N748" s="2354"/>
      <c r="O748" s="2354"/>
      <c r="P748" s="2354"/>
      <c r="Q748" s="2354"/>
      <c r="R748" s="2354"/>
      <c r="S748" s="2354"/>
      <c r="T748" s="2354"/>
      <c r="U748" s="2354"/>
      <c r="V748" s="2354"/>
      <c r="W748" s="2354"/>
      <c r="X748" s="2354"/>
      <c r="Y748" s="2354"/>
      <c r="Z748" s="2354"/>
      <c r="AA748" s="2354"/>
      <c r="AB748" s="371"/>
      <c r="AC748" s="1195"/>
      <c r="AD748" s="1195"/>
      <c r="AE748" s="1195"/>
      <c r="AF748" s="1195"/>
      <c r="AG748" s="1195"/>
      <c r="AH748" s="1195"/>
      <c r="AI748" s="1195"/>
      <c r="AJ748" s="336"/>
      <c r="AK748" s="336"/>
      <c r="AL748" s="336"/>
      <c r="AM748" s="349"/>
      <c r="AN748" s="471"/>
      <c r="AO748" s="23"/>
      <c r="AP748" s="11"/>
    </row>
    <row r="749" spans="1:81" s="367" customFormat="1">
      <c r="A749" s="349"/>
      <c r="B749" s="336"/>
      <c r="C749" s="683"/>
      <c r="D749" s="336"/>
      <c r="E749" s="2354"/>
      <c r="F749" s="2354"/>
      <c r="G749" s="2354"/>
      <c r="H749" s="2354"/>
      <c r="I749" s="2354"/>
      <c r="J749" s="2354"/>
      <c r="K749" s="2354"/>
      <c r="L749" s="2354"/>
      <c r="M749" s="2354"/>
      <c r="N749" s="2354"/>
      <c r="O749" s="2354"/>
      <c r="P749" s="2354"/>
      <c r="Q749" s="2354"/>
      <c r="R749" s="2354"/>
      <c r="S749" s="2354"/>
      <c r="T749" s="2354"/>
      <c r="U749" s="2354"/>
      <c r="V749" s="2354"/>
      <c r="W749" s="2354"/>
      <c r="X749" s="2354"/>
      <c r="Y749" s="2354"/>
      <c r="Z749" s="2354"/>
      <c r="AA749" s="2354"/>
      <c r="AB749" s="371"/>
      <c r="AC749" s="1195"/>
      <c r="AD749" s="1195"/>
      <c r="AE749" s="1195"/>
      <c r="AF749" s="1195"/>
      <c r="AG749" s="1195"/>
      <c r="AH749" s="1195"/>
      <c r="AI749" s="1195"/>
      <c r="AJ749" s="336"/>
      <c r="AK749" s="336"/>
      <c r="AL749" s="336"/>
      <c r="AM749" s="349"/>
      <c r="AN749" s="471"/>
      <c r="AO749" s="23"/>
      <c r="AP749" s="11"/>
    </row>
    <row r="750" spans="1:81" s="367" customFormat="1">
      <c r="A750" s="349"/>
      <c r="B750" s="336"/>
      <c r="C750" s="683"/>
      <c r="D750" s="336"/>
      <c r="E750" s="432"/>
      <c r="F750" s="432"/>
      <c r="G750" s="432"/>
      <c r="H750" s="432"/>
      <c r="I750" s="432"/>
      <c r="J750" s="432"/>
      <c r="K750" s="432"/>
      <c r="L750" s="432"/>
      <c r="M750" s="432"/>
      <c r="N750" s="432"/>
      <c r="O750" s="432"/>
      <c r="P750" s="432"/>
      <c r="Q750" s="432"/>
      <c r="R750" s="432"/>
      <c r="S750" s="432"/>
      <c r="T750" s="432"/>
      <c r="U750" s="432"/>
      <c r="V750" s="432"/>
      <c r="W750" s="432"/>
      <c r="X750" s="432"/>
      <c r="Y750" s="432"/>
      <c r="Z750" s="432"/>
      <c r="AA750" s="432"/>
      <c r="AB750" s="432"/>
      <c r="AC750" s="1195"/>
      <c r="AD750" s="1195"/>
      <c r="AE750" s="1195"/>
      <c r="AF750" s="1195"/>
      <c r="AG750" s="1195"/>
      <c r="AH750" s="1195"/>
      <c r="AI750" s="1195"/>
      <c r="AJ750" s="336"/>
      <c r="AK750" s="336"/>
      <c r="AL750" s="336"/>
      <c r="AM750" s="349"/>
      <c r="AN750" s="471"/>
    </row>
    <row r="751" spans="1:81" s="367" customFormat="1" ht="12.75" customHeight="1">
      <c r="A751" s="349"/>
      <c r="B751" s="336"/>
      <c r="C751" s="683"/>
      <c r="D751" s="336" t="s">
        <v>2496</v>
      </c>
      <c r="E751" s="1214"/>
      <c r="F751" s="1214"/>
      <c r="G751" s="1214"/>
      <c r="H751" s="2378" t="s">
        <v>22</v>
      </c>
      <c r="I751" s="2378"/>
      <c r="J751" s="432"/>
      <c r="K751" s="432"/>
      <c r="L751" s="432"/>
      <c r="M751" s="432"/>
      <c r="N751" s="432"/>
      <c r="O751" s="432"/>
      <c r="P751" s="432"/>
      <c r="Q751" s="432"/>
      <c r="R751" s="432"/>
      <c r="S751" s="432"/>
      <c r="T751" s="432"/>
      <c r="U751" s="432"/>
      <c r="V751" s="432"/>
      <c r="W751" s="432"/>
      <c r="X751" s="432"/>
      <c r="Y751" s="432"/>
      <c r="Z751" s="432"/>
      <c r="AA751" s="432"/>
      <c r="AB751" s="432"/>
      <c r="AC751" s="1195"/>
      <c r="AD751" s="1195"/>
      <c r="AE751" s="1195"/>
      <c r="AF751" s="1195"/>
      <c r="AG751" s="1195"/>
      <c r="AH751" s="1195"/>
      <c r="AI751" s="1195"/>
      <c r="AJ751" s="336"/>
      <c r="AK751" s="336"/>
      <c r="AL751" s="336"/>
      <c r="AM751" s="349"/>
      <c r="AN751" s="471"/>
    </row>
    <row r="752" spans="1:81" s="367" customFormat="1" ht="12.75" customHeight="1">
      <c r="A752" s="349"/>
      <c r="B752" s="336"/>
      <c r="C752" s="683"/>
      <c r="D752" s="336"/>
      <c r="E752" s="432"/>
      <c r="F752" s="432"/>
      <c r="G752" s="432"/>
      <c r="H752" s="432"/>
      <c r="I752" s="432"/>
      <c r="J752" s="432"/>
      <c r="K752" s="432"/>
      <c r="L752" s="432"/>
      <c r="M752" s="432"/>
      <c r="N752" s="432"/>
      <c r="O752" s="432"/>
      <c r="P752" s="432"/>
      <c r="Q752" s="432"/>
      <c r="R752" s="432"/>
      <c r="S752" s="432"/>
      <c r="T752" s="432"/>
      <c r="U752" s="432"/>
      <c r="V752" s="432"/>
      <c r="W752" s="432"/>
      <c r="X752" s="432"/>
      <c r="Y752" s="432"/>
      <c r="Z752" s="432"/>
      <c r="AA752" s="432"/>
      <c r="AB752" s="432"/>
      <c r="AC752" s="1195"/>
      <c r="AD752" s="1195"/>
      <c r="AE752" s="1195"/>
      <c r="AF752" s="1195"/>
      <c r="AG752" s="1195"/>
      <c r="AH752" s="1195"/>
      <c r="AI752" s="1195"/>
      <c r="AJ752" s="336"/>
      <c r="AK752" s="336"/>
      <c r="AL752" s="336"/>
      <c r="AM752" s="349"/>
      <c r="AN752" s="334"/>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367" customFormat="1">
      <c r="A753" s="398"/>
      <c r="B753" s="394"/>
      <c r="C753" s="695"/>
      <c r="D753" s="394"/>
      <c r="E753" s="704"/>
      <c r="F753" s="704"/>
      <c r="G753" s="704"/>
      <c r="H753" s="704"/>
      <c r="I753" s="704"/>
      <c r="J753" s="704"/>
      <c r="K753" s="704"/>
      <c r="L753" s="704"/>
      <c r="M753" s="704"/>
      <c r="N753" s="704"/>
      <c r="O753" s="704"/>
      <c r="P753" s="704"/>
      <c r="Q753" s="704"/>
      <c r="R753" s="704"/>
      <c r="S753" s="704"/>
      <c r="T753" s="704"/>
      <c r="U753" s="704"/>
      <c r="V753" s="704"/>
      <c r="W753" s="704"/>
      <c r="X753" s="704"/>
      <c r="Y753" s="704"/>
      <c r="Z753" s="704"/>
      <c r="AA753" s="704"/>
      <c r="AB753" s="474"/>
      <c r="AC753" s="474"/>
      <c r="AD753" s="474"/>
      <c r="AE753" s="474"/>
      <c r="AF753" s="474"/>
      <c r="AG753" s="474"/>
      <c r="AH753" s="394"/>
      <c r="AI753" s="362" t="s">
        <v>2561</v>
      </c>
      <c r="AJ753" s="2361">
        <f>VLOOKUP($H$751,$AO$680:$AP$682,2,FALSE)</f>
        <v>3</v>
      </c>
      <c r="AK753" s="2363"/>
      <c r="AL753" s="388"/>
      <c r="AM753" s="349"/>
      <c r="AN753" s="334"/>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367" customFormat="1" ht="12.75" customHeight="1">
      <c r="A754" s="428"/>
      <c r="B754" s="336"/>
      <c r="C754" s="685"/>
      <c r="D754" s="336"/>
      <c r="E754" s="336"/>
      <c r="F754" s="336"/>
      <c r="G754" s="336"/>
      <c r="H754" s="336"/>
      <c r="I754" s="336"/>
      <c r="J754" s="432"/>
      <c r="K754" s="432"/>
      <c r="L754" s="1202"/>
      <c r="M754" s="1202"/>
      <c r="N754" s="1202"/>
      <c r="O754" s="1202"/>
      <c r="P754" s="1202"/>
      <c r="Q754" s="1202"/>
      <c r="R754" s="1202"/>
      <c r="S754" s="1202"/>
      <c r="T754" s="1202"/>
      <c r="U754" s="1202"/>
      <c r="V754" s="407"/>
      <c r="W754" s="407"/>
      <c r="X754" s="407"/>
      <c r="Y754" s="407"/>
      <c r="Z754" s="1214"/>
      <c r="AA754" s="1214"/>
      <c r="AB754" s="1214"/>
      <c r="AC754" s="336"/>
      <c r="AD754" s="336"/>
      <c r="AE754" s="336"/>
      <c r="AF754" s="336"/>
      <c r="AG754" s="336"/>
      <c r="AH754" s="336"/>
      <c r="AI754" s="336"/>
      <c r="AJ754" s="336"/>
      <c r="AK754" s="336"/>
      <c r="AL754" s="336"/>
      <c r="AM754" s="349"/>
      <c r="AN754" s="334"/>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367" customFormat="1">
      <c r="A755" s="349"/>
      <c r="B755" s="336"/>
      <c r="C755" s="339" t="s">
        <v>2550</v>
      </c>
      <c r="D755" s="407"/>
      <c r="E755" s="336"/>
      <c r="F755" s="336"/>
      <c r="G755" s="336"/>
      <c r="H755" s="336"/>
      <c r="I755" s="336"/>
      <c r="J755" s="336"/>
      <c r="K755" s="336"/>
      <c r="L755" s="336"/>
      <c r="M755" s="336"/>
      <c r="N755" s="336"/>
      <c r="O755" s="336"/>
      <c r="P755" s="336"/>
      <c r="Q755" s="336"/>
      <c r="R755" s="336"/>
      <c r="S755" s="336"/>
      <c r="T755" s="336"/>
      <c r="U755" s="336"/>
      <c r="V755" s="336"/>
      <c r="W755" s="336"/>
      <c r="X755" s="336"/>
      <c r="Y755" s="336"/>
      <c r="Z755" s="336"/>
      <c r="AA755" s="336"/>
      <c r="AB755" s="336"/>
      <c r="AC755" s="336"/>
      <c r="AD755" s="336"/>
      <c r="AE755" s="336"/>
      <c r="AF755" s="336"/>
      <c r="AG755" s="336"/>
      <c r="AH755" s="336"/>
      <c r="AI755" s="336"/>
      <c r="AJ755" s="336"/>
      <c r="AK755" s="336"/>
      <c r="AL755" s="336"/>
      <c r="AM755" s="349"/>
      <c r="AN755" s="334"/>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367" customFormat="1">
      <c r="A756" s="349"/>
      <c r="B756" s="407"/>
      <c r="C756" s="336"/>
      <c r="D756" s="336"/>
      <c r="E756" s="407"/>
      <c r="F756" s="407"/>
      <c r="G756" s="407"/>
      <c r="H756" s="407"/>
      <c r="I756" s="407"/>
      <c r="J756" s="407"/>
      <c r="K756" s="407"/>
      <c r="L756" s="407"/>
      <c r="M756" s="407"/>
      <c r="N756" s="407"/>
      <c r="O756" s="407"/>
      <c r="P756" s="407"/>
      <c r="Q756" s="407"/>
      <c r="R756" s="407"/>
      <c r="S756" s="407"/>
      <c r="T756" s="407"/>
      <c r="U756" s="407"/>
      <c r="V756" s="407"/>
      <c r="W756" s="407"/>
      <c r="X756" s="407"/>
      <c r="Y756" s="407"/>
      <c r="Z756" s="407"/>
      <c r="AA756" s="407"/>
      <c r="AB756" s="407"/>
      <c r="AC756" s="407"/>
      <c r="AD756" s="407"/>
      <c r="AE756" s="407"/>
      <c r="AF756" s="407"/>
      <c r="AG756" s="407"/>
      <c r="AH756" s="407"/>
      <c r="AI756" s="336"/>
      <c r="AJ756" s="336"/>
      <c r="AK756" s="336"/>
      <c r="AL756" s="336"/>
      <c r="AM756" s="349"/>
      <c r="AN756" s="334"/>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367" customFormat="1">
      <c r="A757" s="349"/>
      <c r="B757" s="336"/>
      <c r="C757" s="683"/>
      <c r="D757" s="451" t="s">
        <v>22</v>
      </c>
      <c r="E757" s="2354" t="s">
        <v>2562</v>
      </c>
      <c r="F757" s="2354"/>
      <c r="G757" s="2354"/>
      <c r="H757" s="2354"/>
      <c r="I757" s="2354"/>
      <c r="J757" s="2354"/>
      <c r="K757" s="2354"/>
      <c r="L757" s="2354"/>
      <c r="M757" s="2354"/>
      <c r="N757" s="2354"/>
      <c r="O757" s="2354"/>
      <c r="P757" s="2354"/>
      <c r="Q757" s="2354"/>
      <c r="R757" s="2354"/>
      <c r="S757" s="2354"/>
      <c r="T757" s="2354"/>
      <c r="U757" s="2354"/>
      <c r="V757" s="2354"/>
      <c r="W757" s="2354"/>
      <c r="X757" s="2354"/>
      <c r="Y757" s="2354"/>
      <c r="Z757" s="2354"/>
      <c r="AA757" s="2354"/>
      <c r="AB757" s="2354"/>
      <c r="AC757" s="336"/>
      <c r="AD757" s="336"/>
      <c r="AE757" s="336"/>
      <c r="AF757" s="2454" t="s">
        <v>2510</v>
      </c>
      <c r="AG757" s="2454"/>
      <c r="AH757" s="2454"/>
      <c r="AI757" s="2454"/>
      <c r="AJ757" s="2454"/>
      <c r="AK757" s="2454"/>
      <c r="AL757" s="2454"/>
      <c r="AM757" s="349"/>
      <c r="AN757" s="334"/>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367" customFormat="1">
      <c r="A758" s="349"/>
      <c r="B758" s="336"/>
      <c r="C758" s="685"/>
      <c r="D758" s="451"/>
      <c r="E758" s="2354"/>
      <c r="F758" s="2354"/>
      <c r="G758" s="2354"/>
      <c r="H758" s="2354"/>
      <c r="I758" s="2354"/>
      <c r="J758" s="2354"/>
      <c r="K758" s="2354"/>
      <c r="L758" s="2354"/>
      <c r="M758" s="2354"/>
      <c r="N758" s="2354"/>
      <c r="O758" s="2354"/>
      <c r="P758" s="2354"/>
      <c r="Q758" s="2354"/>
      <c r="R758" s="2354"/>
      <c r="S758" s="2354"/>
      <c r="T758" s="2354"/>
      <c r="U758" s="2354"/>
      <c r="V758" s="2354"/>
      <c r="W758" s="2354"/>
      <c r="X758" s="2354"/>
      <c r="Y758" s="2354"/>
      <c r="Z758" s="2354"/>
      <c r="AA758" s="2354"/>
      <c r="AB758" s="2354"/>
      <c r="AC758" s="336"/>
      <c r="AD758" s="336"/>
      <c r="AE758" s="336"/>
      <c r="AF758" s="336"/>
      <c r="AG758" s="336"/>
      <c r="AH758" s="336"/>
      <c r="AI758" s="336"/>
      <c r="AJ758" s="336"/>
      <c r="AK758" s="336"/>
      <c r="AL758" s="336"/>
      <c r="AM758" s="349"/>
      <c r="AN758" s="334"/>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367" customFormat="1">
      <c r="A759" s="349"/>
      <c r="B759" s="407"/>
      <c r="C759" s="691"/>
      <c r="D759" s="451"/>
      <c r="E759" s="407"/>
      <c r="F759" s="407"/>
      <c r="G759" s="407"/>
      <c r="H759" s="407"/>
      <c r="I759" s="407"/>
      <c r="J759" s="407"/>
      <c r="K759" s="407"/>
      <c r="L759" s="407"/>
      <c r="M759" s="407"/>
      <c r="N759" s="407"/>
      <c r="O759" s="407"/>
      <c r="P759" s="407"/>
      <c r="Q759" s="407"/>
      <c r="R759" s="407"/>
      <c r="S759" s="407"/>
      <c r="T759" s="407"/>
      <c r="U759" s="407"/>
      <c r="V759" s="407"/>
      <c r="W759" s="407"/>
      <c r="X759" s="407"/>
      <c r="Y759" s="407"/>
      <c r="Z759" s="407"/>
      <c r="AA759" s="407"/>
      <c r="AB759" s="407"/>
      <c r="AC759" s="336"/>
      <c r="AD759" s="336"/>
      <c r="AE759" s="407"/>
      <c r="AF759" s="407"/>
      <c r="AG759" s="407"/>
      <c r="AH759" s="407"/>
      <c r="AI759" s="407"/>
      <c r="AJ759" s="407"/>
      <c r="AK759" s="336"/>
      <c r="AL759" s="336"/>
      <c r="AM759" s="349"/>
      <c r="AN759" s="334"/>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367" customFormat="1">
      <c r="A760" s="428"/>
      <c r="B760" s="336"/>
      <c r="C760" s="683"/>
      <c r="D760" s="451" t="s">
        <v>27</v>
      </c>
      <c r="E760" s="2354" t="s">
        <v>2563</v>
      </c>
      <c r="F760" s="2354"/>
      <c r="G760" s="2354"/>
      <c r="H760" s="2354"/>
      <c r="I760" s="2354"/>
      <c r="J760" s="2354"/>
      <c r="K760" s="2354"/>
      <c r="L760" s="2354"/>
      <c r="M760" s="2354"/>
      <c r="N760" s="2354"/>
      <c r="O760" s="2354"/>
      <c r="P760" s="2354"/>
      <c r="Q760" s="2354"/>
      <c r="R760" s="2354"/>
      <c r="S760" s="2354"/>
      <c r="T760" s="2354"/>
      <c r="U760" s="2354"/>
      <c r="V760" s="2354"/>
      <c r="W760" s="2354"/>
      <c r="X760" s="2354"/>
      <c r="Y760" s="2354"/>
      <c r="Z760" s="2354"/>
      <c r="AA760" s="2354"/>
      <c r="AB760" s="2354"/>
      <c r="AC760" s="336"/>
      <c r="AD760" s="336"/>
      <c r="AE760" s="336"/>
      <c r="AF760" s="2454" t="s">
        <v>2528</v>
      </c>
      <c r="AG760" s="2454"/>
      <c r="AH760" s="2454"/>
      <c r="AI760" s="2454"/>
      <c r="AJ760" s="2454"/>
      <c r="AK760" s="2454"/>
      <c r="AL760" s="2454"/>
      <c r="AM760" s="349"/>
      <c r="AN760" s="334"/>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367" customFormat="1" ht="12.75" customHeight="1">
      <c r="A761" s="428"/>
      <c r="B761" s="336"/>
      <c r="C761" s="683"/>
      <c r="D761" s="451"/>
      <c r="E761" s="2354"/>
      <c r="F761" s="2354"/>
      <c r="G761" s="2354"/>
      <c r="H761" s="2354"/>
      <c r="I761" s="2354"/>
      <c r="J761" s="2354"/>
      <c r="K761" s="2354"/>
      <c r="L761" s="2354"/>
      <c r="M761" s="2354"/>
      <c r="N761" s="2354"/>
      <c r="O761" s="2354"/>
      <c r="P761" s="2354"/>
      <c r="Q761" s="2354"/>
      <c r="R761" s="2354"/>
      <c r="S761" s="2354"/>
      <c r="T761" s="2354"/>
      <c r="U761" s="2354"/>
      <c r="V761" s="2354"/>
      <c r="W761" s="2354"/>
      <c r="X761" s="2354"/>
      <c r="Y761" s="2354"/>
      <c r="Z761" s="2354"/>
      <c r="AA761" s="2354"/>
      <c r="AB761" s="2354"/>
      <c r="AC761" s="336"/>
      <c r="AD761" s="336"/>
      <c r="AE761" s="1195"/>
      <c r="AF761" s="336"/>
      <c r="AG761" s="336"/>
      <c r="AH761" s="336"/>
      <c r="AI761" s="336"/>
      <c r="AJ761" s="336"/>
      <c r="AK761" s="336"/>
      <c r="AL761" s="336"/>
      <c r="AM761" s="349"/>
      <c r="AN761" s="334"/>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367" customFormat="1">
      <c r="A762" s="349"/>
      <c r="B762" s="336"/>
      <c r="C762" s="685"/>
      <c r="D762" s="336"/>
      <c r="E762" s="1202"/>
      <c r="F762" s="1202"/>
      <c r="G762" s="1202"/>
      <c r="H762" s="1202"/>
      <c r="I762" s="1202"/>
      <c r="J762" s="1202"/>
      <c r="K762" s="1202"/>
      <c r="L762" s="1202"/>
      <c r="M762" s="1202"/>
      <c r="N762" s="1202"/>
      <c r="O762" s="1202"/>
      <c r="P762" s="1202"/>
      <c r="Q762" s="1202"/>
      <c r="R762" s="1202"/>
      <c r="S762" s="1202"/>
      <c r="T762" s="1202"/>
      <c r="U762" s="1202"/>
      <c r="V762" s="1202"/>
      <c r="W762" s="1202"/>
      <c r="X762" s="1202"/>
      <c r="Y762" s="1202"/>
      <c r="Z762" s="1202"/>
      <c r="AA762" s="1202"/>
      <c r="AB762" s="1202"/>
      <c r="AC762" s="336"/>
      <c r="AD762" s="336"/>
      <c r="AE762" s="407"/>
      <c r="AF762" s="407"/>
      <c r="AG762" s="407"/>
      <c r="AH762" s="407"/>
      <c r="AI762" s="336"/>
      <c r="AJ762" s="336"/>
      <c r="AK762" s="336"/>
      <c r="AL762" s="336"/>
      <c r="AM762" s="349"/>
      <c r="AN762" s="334"/>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367" customFormat="1" ht="12.75" customHeight="1">
      <c r="A763" s="349"/>
      <c r="B763" s="336"/>
      <c r="C763" s="336"/>
      <c r="D763" s="336" t="s">
        <v>2496</v>
      </c>
      <c r="E763" s="1214"/>
      <c r="F763" s="1214"/>
      <c r="G763" s="1214"/>
      <c r="H763" s="2378" t="s">
        <v>22</v>
      </c>
      <c r="I763" s="2378"/>
      <c r="J763" s="1202"/>
      <c r="K763" s="1202"/>
      <c r="L763" s="1202"/>
      <c r="M763" s="1202"/>
      <c r="N763" s="1202"/>
      <c r="O763" s="1202"/>
      <c r="P763" s="1202"/>
      <c r="Q763" s="336"/>
      <c r="R763" s="336"/>
      <c r="S763" s="336"/>
      <c r="T763" s="336"/>
      <c r="U763" s="336"/>
      <c r="V763" s="336"/>
      <c r="W763" s="1202"/>
      <c r="X763" s="1202"/>
      <c r="Y763" s="1202"/>
      <c r="Z763" s="1202"/>
      <c r="AA763" s="1202"/>
      <c r="AB763" s="1202"/>
      <c r="AC763" s="336"/>
      <c r="AD763" s="336"/>
      <c r="AE763" s="407"/>
      <c r="AF763" s="407"/>
      <c r="AG763" s="407"/>
      <c r="AH763" s="407"/>
      <c r="AI763" s="336"/>
      <c r="AJ763" s="336"/>
      <c r="AK763" s="336"/>
      <c r="AL763" s="336"/>
      <c r="AM763" s="349"/>
      <c r="AN763" s="334"/>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367" customFormat="1" ht="12.75" customHeight="1">
      <c r="A764" s="349"/>
      <c r="B764" s="407"/>
      <c r="C764" s="691"/>
      <c r="D764" s="407"/>
      <c r="E764" s="407"/>
      <c r="F764" s="407"/>
      <c r="G764" s="407"/>
      <c r="H764" s="407"/>
      <c r="I764" s="407"/>
      <c r="J764" s="407"/>
      <c r="K764" s="407"/>
      <c r="L764" s="407"/>
      <c r="M764" s="407"/>
      <c r="N764" s="407"/>
      <c r="O764" s="407"/>
      <c r="P764" s="407"/>
      <c r="Q764" s="407"/>
      <c r="R764" s="407"/>
      <c r="S764" s="407"/>
      <c r="T764" s="407"/>
      <c r="U764" s="407"/>
      <c r="V764" s="407"/>
      <c r="W764" s="407"/>
      <c r="X764" s="407"/>
      <c r="Y764" s="407"/>
      <c r="Z764" s="407"/>
      <c r="AA764" s="407"/>
      <c r="AB764" s="407"/>
      <c r="AC764" s="407"/>
      <c r="AD764" s="407"/>
      <c r="AE764" s="407"/>
      <c r="AF764" s="407"/>
      <c r="AG764" s="407"/>
      <c r="AH764" s="407"/>
      <c r="AI764" s="336"/>
      <c r="AJ764" s="336"/>
      <c r="AK764" s="336"/>
      <c r="AL764" s="336"/>
      <c r="AM764" s="349"/>
      <c r="AN764" s="334"/>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367" customFormat="1" ht="14.1" customHeight="1">
      <c r="A765" s="398"/>
      <c r="B765" s="453"/>
      <c r="C765" s="705"/>
      <c r="D765" s="453"/>
      <c r="E765" s="453"/>
      <c r="F765" s="453"/>
      <c r="G765" s="453"/>
      <c r="H765" s="453"/>
      <c r="I765" s="453"/>
      <c r="J765" s="453"/>
      <c r="K765" s="453"/>
      <c r="L765" s="453"/>
      <c r="M765" s="453"/>
      <c r="N765" s="453"/>
      <c r="O765" s="453"/>
      <c r="P765" s="453"/>
      <c r="Q765" s="453"/>
      <c r="R765" s="453"/>
      <c r="S765" s="453"/>
      <c r="T765" s="453"/>
      <c r="U765" s="453"/>
      <c r="V765" s="453"/>
      <c r="W765" s="453"/>
      <c r="X765" s="453"/>
      <c r="Y765" s="453"/>
      <c r="Z765" s="453"/>
      <c r="AA765" s="453"/>
      <c r="AB765" s="453"/>
      <c r="AC765" s="453"/>
      <c r="AD765" s="453"/>
      <c r="AE765" s="453"/>
      <c r="AF765" s="453"/>
      <c r="AG765" s="453"/>
      <c r="AH765" s="394"/>
      <c r="AI765" s="362" t="s">
        <v>2564</v>
      </c>
      <c r="AJ765" s="2361">
        <f>VLOOKUP($H$763,$AO$697:$AP$699,2,FALSE)</f>
        <v>2</v>
      </c>
      <c r="AK765" s="2363"/>
      <c r="AL765" s="388"/>
      <c r="AM765" s="349"/>
      <c r="AN765" s="334"/>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367" customFormat="1">
      <c r="A766" s="349"/>
      <c r="B766" s="407"/>
      <c r="C766" s="691"/>
      <c r="D766" s="407"/>
      <c r="E766" s="407"/>
      <c r="F766" s="407"/>
      <c r="G766" s="407"/>
      <c r="H766" s="407"/>
      <c r="I766" s="407"/>
      <c r="J766" s="407"/>
      <c r="K766" s="407"/>
      <c r="L766" s="407"/>
      <c r="M766" s="407"/>
      <c r="N766" s="407"/>
      <c r="O766" s="407"/>
      <c r="P766" s="407"/>
      <c r="Q766" s="407"/>
      <c r="R766" s="407"/>
      <c r="S766" s="407"/>
      <c r="T766" s="407"/>
      <c r="U766" s="407"/>
      <c r="V766" s="407"/>
      <c r="W766" s="407"/>
      <c r="X766" s="407"/>
      <c r="Y766" s="407"/>
      <c r="Z766" s="407"/>
      <c r="AA766" s="407"/>
      <c r="AB766" s="407"/>
      <c r="AC766" s="407"/>
      <c r="AD766" s="407"/>
      <c r="AE766" s="407"/>
      <c r="AF766" s="407"/>
      <c r="AG766" s="407"/>
      <c r="AH766" s="336"/>
      <c r="AI766" s="1189"/>
      <c r="AJ766" s="388"/>
      <c r="AK766" s="388"/>
      <c r="AL766" s="388"/>
      <c r="AM766" s="349"/>
      <c r="AN766" s="334"/>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367" customFormat="1">
      <c r="A767" s="349"/>
      <c r="B767" s="407"/>
      <c r="C767" s="339" t="s">
        <v>2551</v>
      </c>
      <c r="D767" s="407"/>
      <c r="E767" s="407"/>
      <c r="F767" s="407"/>
      <c r="G767" s="407"/>
      <c r="H767" s="407"/>
      <c r="I767" s="407"/>
      <c r="J767" s="407"/>
      <c r="K767" s="407"/>
      <c r="L767" s="407"/>
      <c r="M767" s="407"/>
      <c r="N767" s="407"/>
      <c r="O767" s="407"/>
      <c r="P767" s="407"/>
      <c r="Q767" s="407"/>
      <c r="R767" s="407"/>
      <c r="S767" s="407"/>
      <c r="T767" s="407"/>
      <c r="U767" s="407"/>
      <c r="V767" s="407"/>
      <c r="W767" s="407"/>
      <c r="X767" s="407"/>
      <c r="Y767" s="407"/>
      <c r="Z767" s="407"/>
      <c r="AA767" s="407"/>
      <c r="AB767" s="407"/>
      <c r="AC767" s="407"/>
      <c r="AD767" s="407"/>
      <c r="AE767" s="407"/>
      <c r="AF767" s="407"/>
      <c r="AG767" s="407"/>
      <c r="AH767" s="336"/>
      <c r="AI767" s="1189"/>
      <c r="AJ767" s="388"/>
      <c r="AK767" s="388"/>
      <c r="AL767" s="388"/>
      <c r="AM767" s="349"/>
      <c r="AN767" s="334"/>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367" customFormat="1">
      <c r="A768" s="349"/>
      <c r="B768" s="407"/>
      <c r="C768" s="691"/>
      <c r="D768" s="407"/>
      <c r="E768" s="407"/>
      <c r="F768" s="407"/>
      <c r="G768" s="407"/>
      <c r="H768" s="407"/>
      <c r="I768" s="407"/>
      <c r="J768" s="407"/>
      <c r="K768" s="407"/>
      <c r="L768" s="407"/>
      <c r="M768" s="407"/>
      <c r="N768" s="407"/>
      <c r="O768" s="407"/>
      <c r="P768" s="407"/>
      <c r="Q768" s="407"/>
      <c r="R768" s="407"/>
      <c r="S768" s="407"/>
      <c r="T768" s="407"/>
      <c r="U768" s="407"/>
      <c r="V768" s="407"/>
      <c r="W768" s="407"/>
      <c r="X768" s="407"/>
      <c r="Y768" s="407"/>
      <c r="Z768" s="407"/>
      <c r="AA768" s="407"/>
      <c r="AB768" s="407"/>
      <c r="AC768" s="407"/>
      <c r="AD768" s="407"/>
      <c r="AE768" s="407"/>
      <c r="AF768" s="407"/>
      <c r="AG768" s="407"/>
      <c r="AH768" s="336"/>
      <c r="AI768" s="1189"/>
      <c r="AJ768" s="388"/>
      <c r="AK768" s="388"/>
      <c r="AL768" s="388"/>
      <c r="AM768" s="349"/>
      <c r="AN768" s="471"/>
    </row>
    <row r="769" spans="1:81" s="367" customFormat="1" ht="13.65" customHeight="1">
      <c r="A769" s="349"/>
      <c r="B769" s="407"/>
      <c r="C769" s="691"/>
      <c r="D769" s="451" t="s">
        <v>22</v>
      </c>
      <c r="E769" s="2354" t="s">
        <v>2565</v>
      </c>
      <c r="F769" s="2354"/>
      <c r="G769" s="2354"/>
      <c r="H769" s="2354"/>
      <c r="I769" s="2354"/>
      <c r="J769" s="2354"/>
      <c r="K769" s="2354"/>
      <c r="L769" s="2354"/>
      <c r="M769" s="2354"/>
      <c r="N769" s="2354"/>
      <c r="O769" s="2354"/>
      <c r="P769" s="2354"/>
      <c r="Q769" s="2354"/>
      <c r="R769" s="2354"/>
      <c r="S769" s="2354"/>
      <c r="T769" s="2354"/>
      <c r="U769" s="2354"/>
      <c r="V769" s="2354"/>
      <c r="W769" s="2354"/>
      <c r="X769" s="2354"/>
      <c r="Y769" s="2354"/>
      <c r="Z769" s="2354"/>
      <c r="AA769" s="2354"/>
      <c r="AB769" s="2354"/>
      <c r="AC769" s="2354"/>
      <c r="AD769" s="2354"/>
      <c r="AE769" s="336"/>
      <c r="AF769" s="2454" t="s">
        <v>2510</v>
      </c>
      <c r="AG769" s="2454"/>
      <c r="AH769" s="2454"/>
      <c r="AI769" s="2454"/>
      <c r="AJ769" s="2454"/>
      <c r="AK769" s="2454"/>
      <c r="AL769" s="2454"/>
      <c r="AM769" s="405"/>
      <c r="AN769" s="471"/>
      <c r="AO769" s="349" t="s">
        <v>809</v>
      </c>
      <c r="AP769" s="461">
        <v>0</v>
      </c>
    </row>
    <row r="770" spans="1:81" s="367" customFormat="1" ht="13.65" customHeight="1">
      <c r="A770" s="349"/>
      <c r="B770" s="407"/>
      <c r="C770" s="691"/>
      <c r="D770" s="451"/>
      <c r="E770" s="2354"/>
      <c r="F770" s="2354"/>
      <c r="G770" s="2354"/>
      <c r="H770" s="2354"/>
      <c r="I770" s="2354"/>
      <c r="J770" s="2354"/>
      <c r="K770" s="2354"/>
      <c r="L770" s="2354"/>
      <c r="M770" s="2354"/>
      <c r="N770" s="2354"/>
      <c r="O770" s="2354"/>
      <c r="P770" s="2354"/>
      <c r="Q770" s="2354"/>
      <c r="R770" s="2354"/>
      <c r="S770" s="2354"/>
      <c r="T770" s="2354"/>
      <c r="U770" s="2354"/>
      <c r="V770" s="2354"/>
      <c r="W770" s="2354"/>
      <c r="X770" s="2354"/>
      <c r="Y770" s="2354"/>
      <c r="Z770" s="2354"/>
      <c r="AA770" s="2354"/>
      <c r="AB770" s="2354"/>
      <c r="AC770" s="2354"/>
      <c r="AD770" s="2354"/>
      <c r="AE770" s="336"/>
      <c r="AF770" s="1195"/>
      <c r="AG770" s="1195"/>
      <c r="AH770" s="1195"/>
      <c r="AI770" s="1195"/>
      <c r="AJ770" s="1195"/>
      <c r="AK770" s="1195"/>
      <c r="AL770" s="1195"/>
      <c r="AM770" s="405"/>
      <c r="AN770" s="471"/>
      <c r="AO770" s="403" t="s">
        <v>22</v>
      </c>
      <c r="AP770" s="349">
        <v>2</v>
      </c>
    </row>
    <row r="771" spans="1:81" s="367" customFormat="1">
      <c r="A771" s="349"/>
      <c r="B771" s="407"/>
      <c r="C771" s="691"/>
      <c r="D771" s="451"/>
      <c r="E771" s="2354"/>
      <c r="F771" s="2354"/>
      <c r="G771" s="2354"/>
      <c r="H771" s="2354"/>
      <c r="I771" s="2354"/>
      <c r="J771" s="2354"/>
      <c r="K771" s="2354"/>
      <c r="L771" s="2354"/>
      <c r="M771" s="2354"/>
      <c r="N771" s="2354"/>
      <c r="O771" s="2354"/>
      <c r="P771" s="2354"/>
      <c r="Q771" s="2354"/>
      <c r="R771" s="2354"/>
      <c r="S771" s="2354"/>
      <c r="T771" s="2354"/>
      <c r="U771" s="2354"/>
      <c r="V771" s="2354"/>
      <c r="W771" s="2354"/>
      <c r="X771" s="2354"/>
      <c r="Y771" s="2354"/>
      <c r="Z771" s="2354"/>
      <c r="AA771" s="2354"/>
      <c r="AB771" s="2354"/>
      <c r="AC771" s="2354"/>
      <c r="AD771" s="2354"/>
      <c r="AE771" s="336"/>
      <c r="AF771" s="336"/>
      <c r="AG771" s="336"/>
      <c r="AH771" s="336"/>
      <c r="AI771" s="336"/>
      <c r="AJ771" s="336"/>
      <c r="AK771" s="336"/>
      <c r="AL771" s="1195"/>
      <c r="AM771" s="405"/>
      <c r="AN771" s="334"/>
      <c r="AO771" s="403" t="s">
        <v>27</v>
      </c>
      <c r="AP771" s="349">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367" customFormat="1" ht="18.600000000000001" customHeight="1">
      <c r="A772" s="349"/>
      <c r="B772" s="407"/>
      <c r="C772" s="691"/>
      <c r="D772" s="451"/>
      <c r="E772" s="2354"/>
      <c r="F772" s="2354"/>
      <c r="G772" s="2354"/>
      <c r="H772" s="2354"/>
      <c r="I772" s="2354"/>
      <c r="J772" s="2354"/>
      <c r="K772" s="2354"/>
      <c r="L772" s="2354"/>
      <c r="M772" s="2354"/>
      <c r="N772" s="2354"/>
      <c r="O772" s="2354"/>
      <c r="P772" s="2354"/>
      <c r="Q772" s="2354"/>
      <c r="R772" s="2354"/>
      <c r="S772" s="2354"/>
      <c r="T772" s="2354"/>
      <c r="U772" s="2354"/>
      <c r="V772" s="2354"/>
      <c r="W772" s="2354"/>
      <c r="X772" s="2354"/>
      <c r="Y772" s="2354"/>
      <c r="Z772" s="2354"/>
      <c r="AA772" s="2354"/>
      <c r="AB772" s="2354"/>
      <c r="AC772" s="2354"/>
      <c r="AD772" s="2354"/>
      <c r="AE772" s="1195"/>
      <c r="AF772" s="1195"/>
      <c r="AG772" s="1195"/>
      <c r="AH772" s="1195"/>
      <c r="AI772" s="1195"/>
      <c r="AJ772" s="1195"/>
      <c r="AK772" s="1195"/>
      <c r="AL772" s="1195"/>
      <c r="AM772" s="405"/>
      <c r="AN772" s="334"/>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49" customFormat="1" ht="12.75" customHeight="1">
      <c r="B773" s="407"/>
      <c r="C773" s="691"/>
      <c r="D773" s="451"/>
      <c r="E773" s="1188"/>
      <c r="F773" s="1188"/>
      <c r="G773" s="1188"/>
      <c r="H773" s="1188"/>
      <c r="I773" s="1188"/>
      <c r="J773" s="1188"/>
      <c r="K773" s="1188"/>
      <c r="L773" s="1188"/>
      <c r="M773" s="1188"/>
      <c r="N773" s="1188"/>
      <c r="O773" s="1188"/>
      <c r="P773" s="1188"/>
      <c r="Q773" s="1188"/>
      <c r="R773" s="1188"/>
      <c r="S773" s="1188"/>
      <c r="T773" s="1188"/>
      <c r="U773" s="1188"/>
      <c r="V773" s="1188"/>
      <c r="W773" s="1188"/>
      <c r="X773" s="1188"/>
      <c r="Y773" s="1188"/>
      <c r="Z773" s="1188"/>
      <c r="AA773" s="1188"/>
      <c r="AB773" s="1188"/>
      <c r="AC773" s="1188"/>
      <c r="AD773" s="1188"/>
      <c r="AE773" s="1195"/>
      <c r="AF773" s="336"/>
      <c r="AG773" s="336"/>
      <c r="AH773" s="336"/>
      <c r="AI773" s="336"/>
      <c r="AJ773" s="336"/>
      <c r="AK773" s="336"/>
      <c r="AL773" s="336"/>
      <c r="AM773" s="405"/>
      <c r="AN773" s="390"/>
    </row>
    <row r="774" spans="1:81" s="349" customFormat="1" ht="12.75" customHeight="1">
      <c r="B774" s="407"/>
      <c r="C774" s="691"/>
      <c r="D774" s="451" t="s">
        <v>27</v>
      </c>
      <c r="E774" s="2465" t="s">
        <v>2566</v>
      </c>
      <c r="F774" s="2465"/>
      <c r="G774" s="2465"/>
      <c r="H774" s="2465"/>
      <c r="I774" s="2465"/>
      <c r="J774" s="2465"/>
      <c r="K774" s="2465"/>
      <c r="L774" s="2465"/>
      <c r="M774" s="2465"/>
      <c r="N774" s="2465"/>
      <c r="O774" s="2465"/>
      <c r="P774" s="2465"/>
      <c r="Q774" s="2465"/>
      <c r="R774" s="2465"/>
      <c r="S774" s="2465"/>
      <c r="T774" s="2465"/>
      <c r="U774" s="2465"/>
      <c r="V774" s="2465"/>
      <c r="W774" s="2465"/>
      <c r="X774" s="2465"/>
      <c r="Y774" s="2465"/>
      <c r="Z774" s="2465"/>
      <c r="AA774" s="2465"/>
      <c r="AB774" s="2465"/>
      <c r="AC774" s="2465"/>
      <c r="AD774" s="2465"/>
      <c r="AE774" s="336"/>
      <c r="AF774" s="2454" t="s">
        <v>2222</v>
      </c>
      <c r="AG774" s="2454"/>
      <c r="AH774" s="2454"/>
      <c r="AI774" s="2454"/>
      <c r="AJ774" s="2454"/>
      <c r="AK774" s="2454"/>
      <c r="AL774" s="2454"/>
      <c r="AM774" s="405"/>
      <c r="AN774" s="390"/>
    </row>
    <row r="775" spans="1:81" s="349" customFormat="1" ht="12.75" customHeight="1">
      <c r="B775" s="407"/>
      <c r="C775" s="691"/>
      <c r="D775" s="451"/>
      <c r="E775" s="2465"/>
      <c r="F775" s="2465"/>
      <c r="G775" s="2465"/>
      <c r="H775" s="2465"/>
      <c r="I775" s="2465"/>
      <c r="J775" s="2465"/>
      <c r="K775" s="2465"/>
      <c r="L775" s="2465"/>
      <c r="M775" s="2465"/>
      <c r="N775" s="2465"/>
      <c r="O775" s="2465"/>
      <c r="P775" s="2465"/>
      <c r="Q775" s="2465"/>
      <c r="R775" s="2465"/>
      <c r="S775" s="2465"/>
      <c r="T775" s="2465"/>
      <c r="U775" s="2465"/>
      <c r="V775" s="2465"/>
      <c r="W775" s="2465"/>
      <c r="X775" s="2465"/>
      <c r="Y775" s="2465"/>
      <c r="Z775" s="2465"/>
      <c r="AA775" s="2465"/>
      <c r="AB775" s="2465"/>
      <c r="AC775" s="2465"/>
      <c r="AD775" s="2465"/>
      <c r="AE775" s="1195"/>
      <c r="AF775" s="1195"/>
      <c r="AG775" s="1195"/>
      <c r="AH775" s="1195"/>
      <c r="AI775" s="1195"/>
      <c r="AJ775" s="1195"/>
      <c r="AK775" s="1195"/>
      <c r="AL775" s="1195"/>
      <c r="AM775" s="405"/>
      <c r="AN775" s="390"/>
    </row>
    <row r="776" spans="1:81" s="349" customFormat="1" ht="12.75" customHeight="1">
      <c r="B776" s="407"/>
      <c r="C776" s="691"/>
      <c r="D776" s="451"/>
      <c r="E776" s="2465"/>
      <c r="F776" s="2465"/>
      <c r="G776" s="2465"/>
      <c r="H776" s="2465"/>
      <c r="I776" s="2465"/>
      <c r="J776" s="2465"/>
      <c r="K776" s="2465"/>
      <c r="L776" s="2465"/>
      <c r="M776" s="2465"/>
      <c r="N776" s="2465"/>
      <c r="O776" s="2465"/>
      <c r="P776" s="2465"/>
      <c r="Q776" s="2465"/>
      <c r="R776" s="2465"/>
      <c r="S776" s="2465"/>
      <c r="T776" s="2465"/>
      <c r="U776" s="2465"/>
      <c r="V776" s="2465"/>
      <c r="W776" s="2465"/>
      <c r="X776" s="2465"/>
      <c r="Y776" s="2465"/>
      <c r="Z776" s="2465"/>
      <c r="AA776" s="2465"/>
      <c r="AB776" s="2465"/>
      <c r="AC776" s="2465"/>
      <c r="AD776" s="2465"/>
      <c r="AE776" s="1195"/>
      <c r="AF776" s="1195"/>
      <c r="AG776" s="1195"/>
      <c r="AH776" s="1195"/>
      <c r="AI776" s="1195"/>
      <c r="AJ776" s="1195"/>
      <c r="AK776" s="1195"/>
      <c r="AL776" s="1195"/>
      <c r="AM776" s="405"/>
      <c r="AN776" s="390"/>
    </row>
    <row r="777" spans="1:81" s="349" customFormat="1" ht="12.75" customHeight="1">
      <c r="B777" s="407"/>
      <c r="C777" s="691"/>
      <c r="D777" s="451"/>
      <c r="E777" s="2465"/>
      <c r="F777" s="2465"/>
      <c r="G777" s="2465"/>
      <c r="H777" s="2465"/>
      <c r="I777" s="2465"/>
      <c r="J777" s="2465"/>
      <c r="K777" s="2465"/>
      <c r="L777" s="2465"/>
      <c r="M777" s="2465"/>
      <c r="N777" s="2465"/>
      <c r="O777" s="2465"/>
      <c r="P777" s="2465"/>
      <c r="Q777" s="2465"/>
      <c r="R777" s="2465"/>
      <c r="S777" s="2465"/>
      <c r="T777" s="2465"/>
      <c r="U777" s="2465"/>
      <c r="V777" s="2465"/>
      <c r="W777" s="2465"/>
      <c r="X777" s="2465"/>
      <c r="Y777" s="2465"/>
      <c r="Z777" s="2465"/>
      <c r="AA777" s="2465"/>
      <c r="AB777" s="2465"/>
      <c r="AC777" s="2465"/>
      <c r="AD777" s="2465"/>
      <c r="AE777" s="1195"/>
      <c r="AF777" s="1195"/>
      <c r="AG777" s="1195"/>
      <c r="AH777" s="1195"/>
      <c r="AI777" s="1195"/>
      <c r="AJ777" s="1195"/>
      <c r="AK777" s="1195"/>
      <c r="AL777" s="1195"/>
      <c r="AM777" s="405"/>
      <c r="AN777" s="390"/>
    </row>
    <row r="778" spans="1:81" s="349" customFormat="1" ht="12.75" customHeight="1">
      <c r="A778" s="367"/>
      <c r="B778" s="336"/>
      <c r="C778" s="336"/>
      <c r="D778" s="336"/>
      <c r="E778" s="336"/>
      <c r="F778" s="336"/>
      <c r="G778" s="336"/>
      <c r="H778" s="336"/>
      <c r="I778" s="336"/>
      <c r="J778" s="336"/>
      <c r="K778" s="336"/>
      <c r="L778" s="336"/>
      <c r="M778" s="336"/>
      <c r="N778" s="336"/>
      <c r="O778" s="336"/>
      <c r="P778" s="336"/>
      <c r="Q778" s="336"/>
      <c r="R778" s="336"/>
      <c r="S778" s="336"/>
      <c r="T778" s="336"/>
      <c r="U778" s="336"/>
      <c r="V778" s="336"/>
      <c r="W778" s="336"/>
      <c r="X778" s="336"/>
      <c r="Y778" s="336"/>
      <c r="Z778" s="336"/>
      <c r="AA778" s="336"/>
      <c r="AB778" s="336"/>
      <c r="AC778" s="336"/>
      <c r="AD778" s="336"/>
      <c r="AE778" s="336"/>
      <c r="AF778" s="336"/>
      <c r="AG778" s="336"/>
      <c r="AH778" s="336"/>
      <c r="AI778" s="336"/>
      <c r="AJ778" s="336"/>
      <c r="AK778" s="336"/>
      <c r="AL778" s="336"/>
      <c r="AM778" s="367"/>
      <c r="AN778" s="390"/>
    </row>
    <row r="779" spans="1:81" s="349" customFormat="1" ht="12.75" customHeight="1">
      <c r="B779" s="407"/>
      <c r="C779" s="691"/>
      <c r="D779" s="336" t="s">
        <v>2496</v>
      </c>
      <c r="E779" s="1214"/>
      <c r="F779" s="1214"/>
      <c r="G779" s="1214"/>
      <c r="H779" s="2378" t="s">
        <v>809</v>
      </c>
      <c r="I779" s="2378"/>
      <c r="J779" s="1202"/>
      <c r="K779" s="1202"/>
      <c r="L779" s="1202"/>
      <c r="M779" s="1202"/>
      <c r="N779" s="1202"/>
      <c r="O779" s="1202"/>
      <c r="P779" s="1202"/>
      <c r="Q779" s="1202"/>
      <c r="R779" s="1202"/>
      <c r="S779" s="1202"/>
      <c r="T779" s="1202"/>
      <c r="U779" s="1202"/>
      <c r="V779" s="1202"/>
      <c r="W779" s="1202"/>
      <c r="X779" s="1202"/>
      <c r="Y779" s="1202"/>
      <c r="Z779" s="1202"/>
      <c r="AA779" s="1202"/>
      <c r="AB779" s="1202"/>
      <c r="AC779" s="1202"/>
      <c r="AD779" s="1202"/>
      <c r="AE779" s="1202"/>
      <c r="AF779" s="1202"/>
      <c r="AG779" s="407"/>
      <c r="AH779" s="336"/>
      <c r="AI779" s="1189"/>
      <c r="AJ779" s="388"/>
      <c r="AK779" s="388"/>
      <c r="AL779" s="388"/>
      <c r="AN779" s="390"/>
    </row>
    <row r="780" spans="1:81" s="349" customFormat="1" ht="12.75" customHeight="1">
      <c r="B780" s="407"/>
      <c r="C780" s="691"/>
      <c r="D780" s="407"/>
      <c r="E780" s="407"/>
      <c r="F780" s="407"/>
      <c r="G780" s="407"/>
      <c r="H780" s="407"/>
      <c r="I780" s="407"/>
      <c r="J780" s="407"/>
      <c r="K780" s="407"/>
      <c r="L780" s="407"/>
      <c r="M780" s="407"/>
      <c r="N780" s="407"/>
      <c r="O780" s="407"/>
      <c r="P780" s="407"/>
      <c r="Q780" s="407"/>
      <c r="R780" s="407"/>
      <c r="S780" s="407"/>
      <c r="T780" s="407"/>
      <c r="U780" s="407"/>
      <c r="V780" s="407"/>
      <c r="W780" s="407"/>
      <c r="X780" s="407"/>
      <c r="Y780" s="407"/>
      <c r="Z780" s="407"/>
      <c r="AA780" s="407"/>
      <c r="AB780" s="407"/>
      <c r="AC780" s="407"/>
      <c r="AD780" s="407"/>
      <c r="AE780" s="407"/>
      <c r="AF780" s="407"/>
      <c r="AG780" s="407"/>
      <c r="AH780" s="336"/>
      <c r="AI780" s="1189"/>
      <c r="AJ780" s="388"/>
      <c r="AK780" s="388"/>
      <c r="AL780" s="388"/>
      <c r="AN780" s="390"/>
    </row>
    <row r="781" spans="1:81" s="349" customFormat="1" ht="12.75" customHeight="1">
      <c r="A781" s="398"/>
      <c r="B781" s="453"/>
      <c r="C781" s="705"/>
      <c r="D781" s="453"/>
      <c r="E781" s="453"/>
      <c r="F781" s="453"/>
      <c r="G781" s="453"/>
      <c r="H781" s="453"/>
      <c r="I781" s="453"/>
      <c r="J781" s="453"/>
      <c r="K781" s="453"/>
      <c r="L781" s="453"/>
      <c r="M781" s="453"/>
      <c r="N781" s="453"/>
      <c r="O781" s="453"/>
      <c r="P781" s="453"/>
      <c r="Q781" s="453"/>
      <c r="R781" s="453"/>
      <c r="S781" s="453"/>
      <c r="T781" s="453"/>
      <c r="U781" s="453"/>
      <c r="V781" s="453"/>
      <c r="W781" s="453"/>
      <c r="X781" s="453"/>
      <c r="Y781" s="453"/>
      <c r="Z781" s="453"/>
      <c r="AA781" s="453"/>
      <c r="AB781" s="453"/>
      <c r="AC781" s="453"/>
      <c r="AD781" s="453"/>
      <c r="AE781" s="453"/>
      <c r="AF781" s="453"/>
      <c r="AG781" s="453"/>
      <c r="AH781" s="394"/>
      <c r="AI781" s="362" t="s">
        <v>2567</v>
      </c>
      <c r="AJ781" s="2361">
        <f>VLOOKUP($H$779,$AO$769:$AP$771,2,FALSE)</f>
        <v>0</v>
      </c>
      <c r="AK781" s="2363"/>
      <c r="AL781" s="388"/>
      <c r="AN781" s="390"/>
    </row>
    <row r="782" spans="1:81" s="367" customFormat="1">
      <c r="A782" s="349"/>
      <c r="B782" s="407"/>
      <c r="C782" s="691"/>
      <c r="D782" s="407"/>
      <c r="E782" s="407"/>
      <c r="F782" s="407"/>
      <c r="G782" s="407"/>
      <c r="H782" s="407"/>
      <c r="I782" s="407"/>
      <c r="J782" s="407"/>
      <c r="K782" s="407"/>
      <c r="L782" s="407"/>
      <c r="M782" s="407"/>
      <c r="N782" s="407"/>
      <c r="O782" s="407"/>
      <c r="P782" s="407"/>
      <c r="Q782" s="407"/>
      <c r="R782" s="407"/>
      <c r="S782" s="407"/>
      <c r="T782" s="407"/>
      <c r="U782" s="407"/>
      <c r="V782" s="407"/>
      <c r="W782" s="407"/>
      <c r="X782" s="407"/>
      <c r="Y782" s="407"/>
      <c r="Z782" s="407"/>
      <c r="AA782" s="407"/>
      <c r="AB782" s="407"/>
      <c r="AC782" s="407"/>
      <c r="AD782" s="407"/>
      <c r="AE782" s="407"/>
      <c r="AF782" s="407"/>
      <c r="AG782" s="407"/>
      <c r="AH782" s="336"/>
      <c r="AI782" s="1189"/>
      <c r="AJ782" s="388"/>
      <c r="AK782" s="388"/>
      <c r="AL782" s="388"/>
      <c r="AM782" s="349"/>
      <c r="AN782" s="471"/>
      <c r="AS782" s="462"/>
      <c r="AT782" s="462"/>
      <c r="AU782" s="462"/>
      <c r="AV782" s="462"/>
      <c r="AW782" s="462"/>
      <c r="AX782" s="462"/>
      <c r="AY782" s="462"/>
      <c r="AZ782" s="462"/>
      <c r="BA782" s="462"/>
      <c r="BB782" s="462"/>
      <c r="BC782" s="462"/>
      <c r="BD782" s="477"/>
      <c r="BE782" s="477"/>
      <c r="BF782" s="477"/>
      <c r="BG782" s="477"/>
      <c r="BH782" s="477"/>
      <c r="BI782" s="462"/>
      <c r="BJ782" s="462"/>
      <c r="BK782" s="462"/>
      <c r="BL782" s="462"/>
      <c r="BM782" s="462"/>
      <c r="BN782" s="462"/>
      <c r="BO782" s="462"/>
      <c r="BP782" s="462"/>
      <c r="BQ782" s="462"/>
      <c r="BR782" s="462"/>
      <c r="BS782" s="462"/>
      <c r="BT782" s="462"/>
      <c r="BU782" s="462"/>
      <c r="BV782" s="462"/>
      <c r="BW782" s="462"/>
      <c r="BX782" s="462"/>
      <c r="BY782" s="462"/>
      <c r="BZ782" s="462"/>
      <c r="CA782" s="462"/>
      <c r="CB782" s="462"/>
      <c r="CC782" s="462"/>
    </row>
    <row r="783" spans="1:81" s="367" customFormat="1">
      <c r="A783" s="349"/>
      <c r="B783" s="407"/>
      <c r="C783" s="339" t="s">
        <v>2568</v>
      </c>
      <c r="D783" s="407"/>
      <c r="E783" s="407"/>
      <c r="F783" s="407"/>
      <c r="G783" s="407"/>
      <c r="H783" s="407"/>
      <c r="I783" s="407"/>
      <c r="J783" s="407"/>
      <c r="K783" s="407"/>
      <c r="L783" s="407"/>
      <c r="M783" s="407"/>
      <c r="N783" s="407"/>
      <c r="O783" s="407"/>
      <c r="P783" s="407"/>
      <c r="Q783" s="407"/>
      <c r="R783" s="407"/>
      <c r="S783" s="407"/>
      <c r="T783" s="407"/>
      <c r="U783" s="407"/>
      <c r="V783" s="407"/>
      <c r="W783" s="407"/>
      <c r="X783" s="407"/>
      <c r="Y783" s="407"/>
      <c r="Z783" s="407"/>
      <c r="AA783" s="407"/>
      <c r="AB783" s="407"/>
      <c r="AC783" s="407"/>
      <c r="AD783" s="407"/>
      <c r="AE783" s="407"/>
      <c r="AF783" s="407"/>
      <c r="AG783" s="407"/>
      <c r="AH783" s="336"/>
      <c r="AI783" s="1189"/>
      <c r="AJ783" s="388"/>
      <c r="AK783" s="388"/>
      <c r="AL783" s="388"/>
      <c r="AM783" s="349"/>
      <c r="AN783" s="471"/>
      <c r="AT783" s="462"/>
      <c r="AU783" s="462"/>
      <c r="AV783" s="462"/>
      <c r="AW783" s="462"/>
      <c r="AX783" s="462"/>
      <c r="AY783" s="462"/>
      <c r="AZ783" s="462"/>
    </row>
    <row r="784" spans="1:81" s="367" customFormat="1">
      <c r="A784" s="349"/>
      <c r="B784" s="407"/>
      <c r="C784" s="691"/>
      <c r="D784" s="407"/>
      <c r="E784" s="407"/>
      <c r="F784" s="407"/>
      <c r="G784" s="407"/>
      <c r="H784" s="407"/>
      <c r="I784" s="407"/>
      <c r="J784" s="407"/>
      <c r="K784" s="407"/>
      <c r="L784" s="407"/>
      <c r="M784" s="407"/>
      <c r="N784" s="407"/>
      <c r="O784" s="407"/>
      <c r="P784" s="407"/>
      <c r="Q784" s="407"/>
      <c r="R784" s="407"/>
      <c r="S784" s="407"/>
      <c r="T784" s="407"/>
      <c r="U784" s="407"/>
      <c r="V784" s="407"/>
      <c r="W784" s="407"/>
      <c r="X784" s="407"/>
      <c r="Y784" s="407"/>
      <c r="Z784" s="407"/>
      <c r="AA784" s="407"/>
      <c r="AB784" s="407"/>
      <c r="AC784" s="407"/>
      <c r="AD784" s="407"/>
      <c r="AE784" s="336"/>
      <c r="AF784" s="336"/>
      <c r="AG784" s="336"/>
      <c r="AH784" s="336"/>
      <c r="AI784" s="336"/>
      <c r="AJ784" s="336"/>
      <c r="AK784" s="336"/>
      <c r="AL784" s="388"/>
      <c r="AM784" s="349"/>
      <c r="AN784" s="471"/>
      <c r="AO784" s="349" t="s">
        <v>809</v>
      </c>
      <c r="AP784" s="467">
        <v>0</v>
      </c>
      <c r="AS784" s="462"/>
      <c r="AT784" s="462"/>
      <c r="AU784" s="462"/>
      <c r="AV784" s="462"/>
      <c r="AW784" s="462"/>
      <c r="AX784" s="462"/>
      <c r="AY784" s="462"/>
      <c r="AZ784" s="462"/>
      <c r="BA784" s="462"/>
      <c r="BB784" s="462"/>
      <c r="BC784" s="462"/>
      <c r="BD784" s="477"/>
      <c r="BE784" s="477"/>
      <c r="BF784" s="477"/>
      <c r="BG784" s="477"/>
      <c r="BH784" s="477"/>
      <c r="BI784" s="462"/>
      <c r="BJ784" s="462"/>
      <c r="BK784" s="462"/>
      <c r="BL784" s="462"/>
      <c r="BM784" s="462"/>
      <c r="BN784" s="462"/>
      <c r="BO784" s="462"/>
      <c r="BP784" s="462"/>
      <c r="BQ784" s="462"/>
      <c r="BR784" s="462"/>
      <c r="BS784" s="462"/>
      <c r="BT784" s="462"/>
      <c r="BU784" s="462"/>
      <c r="BV784" s="462"/>
      <c r="BW784" s="462"/>
      <c r="BX784" s="462"/>
      <c r="BY784" s="462"/>
      <c r="BZ784" s="462"/>
      <c r="CA784" s="462"/>
      <c r="CB784" s="462"/>
      <c r="CC784" s="462"/>
    </row>
    <row r="785" spans="1:81" s="367" customFormat="1" ht="13.65" customHeight="1">
      <c r="A785" s="349"/>
      <c r="B785" s="407"/>
      <c r="C785" s="691"/>
      <c r="D785" s="451" t="s">
        <v>22</v>
      </c>
      <c r="E785" s="2354" t="s">
        <v>2569</v>
      </c>
      <c r="F785" s="2354"/>
      <c r="G785" s="2354"/>
      <c r="H785" s="2354"/>
      <c r="I785" s="2354"/>
      <c r="J785" s="2354"/>
      <c r="K785" s="2354"/>
      <c r="L785" s="2354"/>
      <c r="M785" s="2354"/>
      <c r="N785" s="2354"/>
      <c r="O785" s="2354"/>
      <c r="P785" s="2354"/>
      <c r="Q785" s="2354"/>
      <c r="R785" s="2354"/>
      <c r="S785" s="2354"/>
      <c r="T785" s="2354"/>
      <c r="U785" s="2354"/>
      <c r="V785" s="2354"/>
      <c r="W785" s="2354"/>
      <c r="X785" s="2354"/>
      <c r="Y785" s="2354"/>
      <c r="Z785" s="2354"/>
      <c r="AA785" s="2354"/>
      <c r="AB785" s="2354"/>
      <c r="AC785" s="2354"/>
      <c r="AD785" s="2354"/>
      <c r="AE785" s="336"/>
      <c r="AF785" s="2454" t="s">
        <v>2222</v>
      </c>
      <c r="AG785" s="2454"/>
      <c r="AH785" s="2454"/>
      <c r="AI785" s="2454"/>
      <c r="AJ785" s="2454"/>
      <c r="AK785" s="2454"/>
      <c r="AL785" s="2454"/>
      <c r="AM785" s="405"/>
      <c r="AN785" s="471"/>
      <c r="AO785" s="403" t="s">
        <v>694</v>
      </c>
      <c r="AP785" s="349">
        <v>3</v>
      </c>
      <c r="AT785" s="462"/>
      <c r="AU785" s="462"/>
      <c r="AV785" s="462"/>
      <c r="AW785" s="462"/>
      <c r="AX785" s="462"/>
      <c r="AY785" s="462"/>
      <c r="AZ785" s="462"/>
    </row>
    <row r="786" spans="1:81" s="367" customFormat="1" ht="13.65" customHeight="1">
      <c r="A786" s="349"/>
      <c r="B786" s="407"/>
      <c r="C786" s="691"/>
      <c r="D786" s="451"/>
      <c r="E786" s="2354"/>
      <c r="F786" s="2354"/>
      <c r="G786" s="2354"/>
      <c r="H786" s="2354"/>
      <c r="I786" s="2354"/>
      <c r="J786" s="2354"/>
      <c r="K786" s="2354"/>
      <c r="L786" s="2354"/>
      <c r="M786" s="2354"/>
      <c r="N786" s="2354"/>
      <c r="O786" s="2354"/>
      <c r="P786" s="2354"/>
      <c r="Q786" s="2354"/>
      <c r="R786" s="2354"/>
      <c r="S786" s="2354"/>
      <c r="T786" s="2354"/>
      <c r="U786" s="2354"/>
      <c r="V786" s="2354"/>
      <c r="W786" s="2354"/>
      <c r="X786" s="2354"/>
      <c r="Y786" s="2354"/>
      <c r="Z786" s="2354"/>
      <c r="AA786" s="2354"/>
      <c r="AB786" s="2354"/>
      <c r="AC786" s="2354"/>
      <c r="AD786" s="2354"/>
      <c r="AE786" s="336"/>
      <c r="AF786" s="1195"/>
      <c r="AG786" s="1195"/>
      <c r="AH786" s="1195"/>
      <c r="AI786" s="1195"/>
      <c r="AJ786" s="1195"/>
      <c r="AK786" s="1195"/>
      <c r="AL786" s="1195"/>
      <c r="AM786" s="405"/>
      <c r="AN786" s="471"/>
      <c r="AO786" s="403"/>
      <c r="AP786" s="349"/>
      <c r="AT786" s="462"/>
      <c r="AU786" s="462"/>
      <c r="AV786" s="462"/>
      <c r="AW786" s="462"/>
      <c r="AX786" s="462"/>
      <c r="AY786" s="462"/>
      <c r="AZ786" s="462"/>
    </row>
    <row r="787" spans="1:81" s="367" customFormat="1">
      <c r="A787" s="349"/>
      <c r="B787" s="407"/>
      <c r="C787" s="691"/>
      <c r="D787" s="451"/>
      <c r="E787" s="2354"/>
      <c r="F787" s="2354"/>
      <c r="G787" s="2354"/>
      <c r="H787" s="2354"/>
      <c r="I787" s="2354"/>
      <c r="J787" s="2354"/>
      <c r="K787" s="2354"/>
      <c r="L787" s="2354"/>
      <c r="M787" s="2354"/>
      <c r="N787" s="2354"/>
      <c r="O787" s="2354"/>
      <c r="P787" s="2354"/>
      <c r="Q787" s="2354"/>
      <c r="R787" s="2354"/>
      <c r="S787" s="2354"/>
      <c r="T787" s="2354"/>
      <c r="U787" s="2354"/>
      <c r="V787" s="2354"/>
      <c r="W787" s="2354"/>
      <c r="X787" s="2354"/>
      <c r="Y787" s="2354"/>
      <c r="Z787" s="2354"/>
      <c r="AA787" s="2354"/>
      <c r="AB787" s="2354"/>
      <c r="AC787" s="2354"/>
      <c r="AD787" s="2354"/>
      <c r="AE787" s="1195"/>
      <c r="AF787" s="1195"/>
      <c r="AG787" s="1195"/>
      <c r="AH787" s="1195"/>
      <c r="AI787" s="1195"/>
      <c r="AJ787" s="1195"/>
      <c r="AK787" s="1195"/>
      <c r="AL787" s="1195"/>
      <c r="AM787" s="405"/>
      <c r="AN787" s="471"/>
      <c r="AO787" s="403"/>
      <c r="AP787" s="349"/>
      <c r="AT787" s="462"/>
      <c r="AU787" s="462"/>
      <c r="AV787" s="462"/>
      <c r="AW787" s="462"/>
      <c r="AX787" s="462"/>
      <c r="AY787" s="462"/>
      <c r="AZ787" s="462"/>
    </row>
    <row r="788" spans="1:81" s="367" customFormat="1">
      <c r="A788" s="349"/>
      <c r="B788" s="407"/>
      <c r="C788" s="691"/>
      <c r="D788" s="451"/>
      <c r="E788" s="2354"/>
      <c r="F788" s="2354"/>
      <c r="G788" s="2354"/>
      <c r="H788" s="2354"/>
      <c r="I788" s="2354"/>
      <c r="J788" s="2354"/>
      <c r="K788" s="2354"/>
      <c r="L788" s="2354"/>
      <c r="M788" s="2354"/>
      <c r="N788" s="2354"/>
      <c r="O788" s="2354"/>
      <c r="P788" s="2354"/>
      <c r="Q788" s="2354"/>
      <c r="R788" s="2354"/>
      <c r="S788" s="2354"/>
      <c r="T788" s="2354"/>
      <c r="U788" s="2354"/>
      <c r="V788" s="2354"/>
      <c r="W788" s="2354"/>
      <c r="X788" s="2354"/>
      <c r="Y788" s="2354"/>
      <c r="Z788" s="2354"/>
      <c r="AA788" s="2354"/>
      <c r="AB788" s="2354"/>
      <c r="AC788" s="2354"/>
      <c r="AD788" s="2354"/>
      <c r="AE788" s="1195"/>
      <c r="AF788" s="1195"/>
      <c r="AG788" s="1195"/>
      <c r="AH788" s="1195"/>
      <c r="AI788" s="1195"/>
      <c r="AJ788" s="1195"/>
      <c r="AK788" s="1195"/>
      <c r="AL788" s="1195"/>
      <c r="AM788" s="405"/>
      <c r="AN788" s="471"/>
      <c r="AO788" s="478"/>
      <c r="AT788" s="462"/>
      <c r="AU788" s="462"/>
      <c r="AV788" s="462"/>
      <c r="AW788" s="462"/>
      <c r="AX788" s="462"/>
      <c r="AY788" s="462"/>
      <c r="AZ788" s="462"/>
    </row>
    <row r="789" spans="1:81" s="367" customFormat="1">
      <c r="A789" s="349"/>
      <c r="B789" s="407"/>
      <c r="C789" s="691"/>
      <c r="D789" s="451"/>
      <c r="E789" s="1202"/>
      <c r="F789" s="1202"/>
      <c r="G789" s="1202"/>
      <c r="H789" s="1202"/>
      <c r="I789" s="1202"/>
      <c r="J789" s="1202"/>
      <c r="K789" s="1202"/>
      <c r="L789" s="1202"/>
      <c r="M789" s="1202"/>
      <c r="N789" s="1202"/>
      <c r="O789" s="1202"/>
      <c r="P789" s="1202"/>
      <c r="Q789" s="1202"/>
      <c r="R789" s="1202"/>
      <c r="S789" s="1202"/>
      <c r="T789" s="1202"/>
      <c r="U789" s="1202"/>
      <c r="V789" s="1202"/>
      <c r="W789" s="1202"/>
      <c r="X789" s="1202"/>
      <c r="Y789" s="1202"/>
      <c r="Z789" s="1202"/>
      <c r="AA789" s="1202"/>
      <c r="AB789" s="1202"/>
      <c r="AC789" s="1202"/>
      <c r="AD789" s="1202"/>
      <c r="AE789" s="1195"/>
      <c r="AF789" s="1195"/>
      <c r="AG789" s="1195"/>
      <c r="AH789" s="1195"/>
      <c r="AI789" s="1195"/>
      <c r="AJ789" s="1195"/>
      <c r="AK789" s="1195"/>
      <c r="AL789" s="1195"/>
      <c r="AM789" s="405"/>
      <c r="AN789" s="471"/>
      <c r="AO789" s="478"/>
      <c r="AT789" s="462"/>
      <c r="AU789" s="462"/>
      <c r="AV789" s="462"/>
      <c r="AW789" s="462"/>
      <c r="AX789" s="462"/>
      <c r="AY789" s="462"/>
      <c r="AZ789" s="462"/>
    </row>
    <row r="790" spans="1:81" s="367" customFormat="1">
      <c r="A790" s="349"/>
      <c r="B790" s="407"/>
      <c r="C790" s="691"/>
      <c r="D790" s="336" t="s">
        <v>2496</v>
      </c>
      <c r="E790" s="1214"/>
      <c r="F790" s="1214"/>
      <c r="G790" s="1214"/>
      <c r="H790" s="2378" t="s">
        <v>694</v>
      </c>
      <c r="I790" s="2378"/>
      <c r="J790" s="407"/>
      <c r="K790" s="407"/>
      <c r="L790" s="407"/>
      <c r="M790" s="407"/>
      <c r="N790" s="407"/>
      <c r="O790" s="407"/>
      <c r="P790" s="407"/>
      <c r="Q790" s="407"/>
      <c r="R790" s="407"/>
      <c r="S790" s="407"/>
      <c r="T790" s="407"/>
      <c r="U790" s="407"/>
      <c r="V790" s="407"/>
      <c r="W790" s="407"/>
      <c r="X790" s="407"/>
      <c r="Y790" s="407"/>
      <c r="Z790" s="407"/>
      <c r="AA790" s="407"/>
      <c r="AB790" s="407"/>
      <c r="AC790" s="407"/>
      <c r="AD790" s="407"/>
      <c r="AE790" s="407"/>
      <c r="AF790" s="407"/>
      <c r="AG790" s="407"/>
      <c r="AH790" s="336"/>
      <c r="AI790" s="1189"/>
      <c r="AJ790" s="388"/>
      <c r="AK790" s="388"/>
      <c r="AL790" s="388"/>
      <c r="AM790" s="349"/>
      <c r="AN790" s="471"/>
      <c r="AS790" s="462"/>
      <c r="AT790" s="462"/>
      <c r="AU790" s="462"/>
      <c r="AV790" s="462"/>
      <c r="AW790" s="462"/>
      <c r="AX790" s="462"/>
      <c r="AY790" s="462"/>
      <c r="AZ790" s="462"/>
      <c r="BA790" s="462"/>
      <c r="BB790" s="462"/>
      <c r="BC790" s="462"/>
      <c r="BD790" s="477"/>
      <c r="BE790" s="477"/>
      <c r="BF790" s="477"/>
      <c r="BG790" s="477"/>
      <c r="BH790" s="477"/>
      <c r="BI790" s="462"/>
      <c r="BJ790" s="462"/>
      <c r="BK790" s="462"/>
      <c r="BL790" s="462"/>
      <c r="BM790" s="462"/>
      <c r="BN790" s="462"/>
      <c r="BO790" s="462"/>
      <c r="BP790" s="462"/>
      <c r="BQ790" s="462"/>
      <c r="BR790" s="462"/>
      <c r="BS790" s="462"/>
      <c r="BT790" s="462"/>
      <c r="BU790" s="462"/>
      <c r="BV790" s="462"/>
      <c r="BW790" s="462"/>
      <c r="BX790" s="462"/>
      <c r="BY790" s="462"/>
      <c r="BZ790" s="462"/>
      <c r="CA790" s="462"/>
      <c r="CB790" s="462"/>
      <c r="CC790" s="462"/>
    </row>
    <row r="791" spans="1:81" s="367" customFormat="1">
      <c r="A791" s="349"/>
      <c r="B791" s="407"/>
      <c r="C791" s="475"/>
      <c r="D791" s="350"/>
      <c r="E791" s="350"/>
      <c r="F791" s="350"/>
      <c r="G791" s="350"/>
      <c r="H791" s="350"/>
      <c r="I791" s="350"/>
      <c r="J791" s="350"/>
      <c r="K791" s="350"/>
      <c r="L791" s="350"/>
      <c r="M791" s="350"/>
      <c r="N791" s="350"/>
      <c r="O791" s="350"/>
      <c r="P791" s="350"/>
      <c r="Q791" s="350"/>
      <c r="R791" s="350"/>
      <c r="S791" s="350"/>
      <c r="T791" s="350"/>
      <c r="U791" s="350"/>
      <c r="V791" s="350"/>
      <c r="W791" s="350"/>
      <c r="X791" s="350"/>
      <c r="Y791" s="350"/>
      <c r="Z791" s="350"/>
      <c r="AA791" s="350"/>
      <c r="AB791" s="350"/>
      <c r="AC791" s="350"/>
      <c r="AD791" s="407"/>
      <c r="AE791" s="350"/>
      <c r="AF791" s="350"/>
      <c r="AG791" s="350"/>
      <c r="AH791" s="350"/>
      <c r="AI791" s="349"/>
      <c r="AJ791" s="349"/>
      <c r="AK791" s="349"/>
      <c r="AL791" s="349"/>
      <c r="AM791" s="349"/>
      <c r="AN791" s="471"/>
      <c r="AT791" s="462"/>
      <c r="AU791" s="462"/>
      <c r="AV791" s="462"/>
      <c r="AW791" s="462"/>
      <c r="AX791" s="462"/>
      <c r="AY791" s="462"/>
      <c r="AZ791" s="462"/>
    </row>
    <row r="792" spans="1:81" s="367" customFormat="1">
      <c r="A792" s="398"/>
      <c r="B792" s="453"/>
      <c r="C792" s="476"/>
      <c r="D792" s="452"/>
      <c r="E792" s="452"/>
      <c r="F792" s="452"/>
      <c r="G792" s="452"/>
      <c r="H792" s="452"/>
      <c r="I792" s="452"/>
      <c r="J792" s="452"/>
      <c r="K792" s="452"/>
      <c r="L792" s="452"/>
      <c r="M792" s="452"/>
      <c r="N792" s="452"/>
      <c r="O792" s="452"/>
      <c r="P792" s="452"/>
      <c r="Q792" s="452"/>
      <c r="R792" s="452"/>
      <c r="S792" s="452"/>
      <c r="T792" s="452"/>
      <c r="U792" s="452"/>
      <c r="V792" s="452"/>
      <c r="W792" s="452"/>
      <c r="X792" s="452"/>
      <c r="Y792" s="452"/>
      <c r="Z792" s="452"/>
      <c r="AA792" s="452"/>
      <c r="AB792" s="452"/>
      <c r="AC792" s="453"/>
      <c r="AD792" s="452"/>
      <c r="AE792" s="452"/>
      <c r="AF792" s="452"/>
      <c r="AG792" s="452"/>
      <c r="AH792" s="361"/>
      <c r="AI792" s="362" t="s">
        <v>2570</v>
      </c>
      <c r="AJ792" s="2361">
        <f>VLOOKUP($H$790,$AO$784:$AP$785,2,FALSE)</f>
        <v>3</v>
      </c>
      <c r="AK792" s="2363"/>
      <c r="AL792" s="388"/>
      <c r="AM792" s="349"/>
      <c r="AN792" s="471"/>
      <c r="AS792" s="462"/>
      <c r="AT792" s="462"/>
      <c r="AU792" s="462"/>
      <c r="AV792" s="462"/>
      <c r="AW792" s="462"/>
      <c r="AX792" s="462"/>
      <c r="AY792" s="462"/>
      <c r="AZ792" s="462"/>
      <c r="BA792" s="462"/>
      <c r="BB792" s="462"/>
      <c r="BC792" s="462"/>
      <c r="BD792" s="477"/>
      <c r="BE792" s="477"/>
      <c r="BF792" s="477"/>
      <c r="BG792" s="477"/>
      <c r="BH792" s="477"/>
      <c r="BI792" s="462"/>
      <c r="BJ792" s="462"/>
      <c r="BK792" s="462"/>
      <c r="BL792" s="462"/>
      <c r="BM792" s="462"/>
      <c r="BN792" s="462"/>
      <c r="BO792" s="462"/>
      <c r="BP792" s="462"/>
      <c r="BQ792" s="462"/>
      <c r="BR792" s="462"/>
      <c r="BS792" s="462"/>
      <c r="BT792" s="462"/>
      <c r="BU792" s="462"/>
      <c r="BV792" s="462"/>
      <c r="BW792" s="462"/>
      <c r="BX792" s="462"/>
      <c r="BY792" s="462"/>
      <c r="BZ792" s="462"/>
      <c r="CA792" s="462"/>
      <c r="CB792" s="462"/>
      <c r="CC792" s="462"/>
    </row>
    <row r="793" spans="1:81" s="349" customFormat="1" ht="12.75" customHeight="1">
      <c r="B793" s="407"/>
      <c r="C793" s="475"/>
      <c r="D793" s="350"/>
      <c r="E793" s="350"/>
      <c r="F793" s="350"/>
      <c r="G793" s="350"/>
      <c r="H793" s="350"/>
      <c r="I793" s="350"/>
      <c r="J793" s="350"/>
      <c r="K793" s="350"/>
      <c r="L793" s="350"/>
      <c r="M793" s="350"/>
      <c r="N793" s="350"/>
      <c r="O793" s="350"/>
      <c r="P793" s="350"/>
      <c r="Q793" s="350"/>
      <c r="R793" s="350"/>
      <c r="S793" s="350"/>
      <c r="T793" s="350"/>
      <c r="U793" s="350"/>
      <c r="V793" s="350"/>
      <c r="W793" s="350"/>
      <c r="X793" s="350"/>
      <c r="Y793" s="350"/>
      <c r="Z793" s="350"/>
      <c r="AA793" s="350"/>
      <c r="AB793" s="350"/>
      <c r="AC793" s="350"/>
      <c r="AD793" s="407"/>
      <c r="AE793" s="350"/>
      <c r="AF793" s="350"/>
      <c r="AG793" s="350"/>
      <c r="AH793" s="350"/>
      <c r="AN793" s="390"/>
    </row>
    <row r="794" spans="1:81" s="349" customFormat="1" ht="12.75" customHeight="1">
      <c r="A794" s="398"/>
      <c r="B794" s="452"/>
      <c r="C794" s="452"/>
      <c r="D794" s="452"/>
      <c r="E794" s="452"/>
      <c r="F794" s="452"/>
      <c r="G794" s="452"/>
      <c r="H794" s="452"/>
      <c r="I794" s="452"/>
      <c r="J794" s="452"/>
      <c r="K794" s="452"/>
      <c r="L794" s="452"/>
      <c r="M794" s="452"/>
      <c r="N794" s="452"/>
      <c r="O794" s="452"/>
      <c r="P794" s="452"/>
      <c r="Q794" s="452"/>
      <c r="R794" s="452"/>
      <c r="S794" s="452"/>
      <c r="T794" s="452"/>
      <c r="U794" s="452"/>
      <c r="V794" s="452"/>
      <c r="W794" s="452"/>
      <c r="X794" s="452"/>
      <c r="Y794" s="452"/>
      <c r="Z794" s="452"/>
      <c r="AA794" s="452"/>
      <c r="AB794" s="452"/>
      <c r="AC794" s="453"/>
      <c r="AD794" s="452"/>
      <c r="AE794" s="361"/>
      <c r="AF794" s="361"/>
      <c r="AG794" s="361"/>
      <c r="AH794" s="361"/>
      <c r="AI794" s="362"/>
      <c r="AJ794" s="362" t="s">
        <v>2571</v>
      </c>
      <c r="AK794" s="2361">
        <f>IF(($AJ$621+$AJ$640+$AJ$652+$AJ$687+$AJ$711+$AJ$725+$AJ$737+$AJ$753+$AJ$765+$AJ$781+AJ792)&gt;10,10,($AJ$621+$AJ$640+$AJ$652+$AJ$687+$AJ$711+$AJ$725+$AJ$737+$AJ$753+$AJ$765+$AJ$781+AJ792))</f>
        <v>10</v>
      </c>
      <c r="AL794" s="2362"/>
      <c r="AM794" s="2363"/>
      <c r="AN794" s="390"/>
    </row>
    <row r="795" spans="1:81" s="349" customFormat="1" ht="12.75" customHeight="1">
      <c r="B795" s="350"/>
      <c r="C795" s="350"/>
      <c r="D795" s="350"/>
      <c r="E795" s="350"/>
      <c r="F795" s="350"/>
      <c r="G795" s="350"/>
      <c r="H795" s="350"/>
      <c r="I795" s="350"/>
      <c r="J795" s="350"/>
      <c r="K795" s="350"/>
      <c r="L795" s="350"/>
      <c r="M795" s="350"/>
      <c r="N795" s="350"/>
      <c r="O795" s="350"/>
      <c r="P795" s="350"/>
      <c r="Q795" s="350"/>
      <c r="R795" s="350"/>
      <c r="S795" s="350"/>
      <c r="T795" s="350"/>
      <c r="U795" s="350"/>
      <c r="V795" s="350"/>
      <c r="W795" s="350"/>
      <c r="X795" s="350"/>
      <c r="Y795" s="350"/>
      <c r="Z795" s="350"/>
      <c r="AA795" s="350"/>
      <c r="AB795" s="350"/>
      <c r="AC795" s="407"/>
      <c r="AD795" s="350"/>
      <c r="AI795" s="1189"/>
      <c r="AJ795" s="1189"/>
      <c r="AK795" s="388"/>
      <c r="AL795" s="388"/>
      <c r="AM795" s="388"/>
      <c r="AN795" s="390"/>
    </row>
    <row r="796" spans="1:81">
      <c r="B796" s="349"/>
      <c r="C796" s="349"/>
      <c r="D796" s="349"/>
      <c r="E796" s="349"/>
      <c r="F796" s="349"/>
      <c r="G796" s="349"/>
      <c r="H796" s="349"/>
      <c r="I796" s="349"/>
      <c r="J796" s="349"/>
      <c r="K796" s="349"/>
      <c r="L796" s="349"/>
      <c r="M796" s="349"/>
      <c r="N796" s="349"/>
      <c r="O796" s="349"/>
      <c r="P796" s="349"/>
      <c r="Q796" s="349"/>
      <c r="R796" s="349"/>
      <c r="S796" s="349"/>
      <c r="T796" s="349"/>
      <c r="U796" s="349"/>
      <c r="V796" s="349"/>
      <c r="W796" s="349"/>
      <c r="X796" s="349"/>
      <c r="Y796" s="349"/>
      <c r="Z796" s="349"/>
      <c r="AA796" s="349"/>
      <c r="AB796" s="349"/>
      <c r="AC796" s="349"/>
      <c r="AD796" s="349"/>
      <c r="AE796" s="349"/>
      <c r="AF796" s="349"/>
      <c r="AG796" s="349"/>
      <c r="AH796" s="349"/>
      <c r="AI796" s="349"/>
      <c r="AJ796" s="349"/>
      <c r="AK796" s="349"/>
      <c r="AL796" s="349"/>
      <c r="AM796" s="349"/>
    </row>
    <row r="797" spans="1:81">
      <c r="A797" s="2445" t="s">
        <v>2572</v>
      </c>
      <c r="B797" s="2446"/>
      <c r="C797" s="2446"/>
      <c r="D797" s="2446"/>
      <c r="E797" s="2446"/>
      <c r="F797" s="2446"/>
      <c r="G797" s="2446"/>
      <c r="H797" s="2446"/>
      <c r="I797" s="2446"/>
      <c r="J797" s="2446"/>
      <c r="K797" s="2446"/>
      <c r="L797" s="2446"/>
      <c r="M797" s="2446"/>
      <c r="N797" s="2446"/>
      <c r="O797" s="2446"/>
      <c r="P797" s="2446"/>
      <c r="Q797" s="2446"/>
      <c r="R797" s="2446"/>
      <c r="S797" s="2446"/>
      <c r="T797" s="2446"/>
      <c r="U797" s="2446"/>
      <c r="V797" s="2446"/>
      <c r="W797" s="2446"/>
      <c r="X797" s="2446"/>
      <c r="Y797" s="2446"/>
      <c r="Z797" s="2446"/>
      <c r="AA797" s="2446"/>
      <c r="AB797" s="2446"/>
      <c r="AC797" s="2446"/>
      <c r="AD797" s="2446"/>
      <c r="AE797" s="2446"/>
      <c r="AF797" s="2446"/>
      <c r="AG797" s="2446"/>
      <c r="AH797" s="2446"/>
      <c r="AI797" s="2446"/>
      <c r="AJ797" s="2446"/>
      <c r="AK797" s="2446"/>
      <c r="AL797" s="2446"/>
      <c r="AM797" s="2446"/>
    </row>
    <row r="798" spans="1:81">
      <c r="A798" s="2447"/>
      <c r="B798" s="2447"/>
      <c r="C798" s="2447"/>
      <c r="D798" s="2447"/>
      <c r="E798" s="2447"/>
      <c r="F798" s="2447"/>
      <c r="G798" s="2447"/>
      <c r="H798" s="2447"/>
      <c r="I798" s="2447"/>
      <c r="J798" s="2447"/>
      <c r="K798" s="2447"/>
      <c r="L798" s="2447"/>
      <c r="M798" s="2447"/>
      <c r="N798" s="2447"/>
      <c r="O798" s="2447"/>
      <c r="P798" s="2447"/>
      <c r="Q798" s="2447"/>
      <c r="R798" s="2447"/>
      <c r="S798" s="2447"/>
      <c r="T798" s="2447"/>
      <c r="U798" s="2447"/>
      <c r="V798" s="2447"/>
      <c r="W798" s="2447"/>
      <c r="X798" s="2447"/>
      <c r="Y798" s="2447"/>
      <c r="Z798" s="2447"/>
      <c r="AA798" s="2447"/>
      <c r="AB798" s="2447"/>
      <c r="AC798" s="2447"/>
      <c r="AD798" s="2447"/>
      <c r="AE798" s="2447"/>
      <c r="AF798" s="2447"/>
      <c r="AG798" s="2447"/>
      <c r="AH798" s="2447"/>
      <c r="AI798" s="2447"/>
      <c r="AJ798" s="2447"/>
      <c r="AK798" s="2447"/>
      <c r="AL798" s="2447"/>
      <c r="AM798" s="2447"/>
      <c r="AO798" s="597"/>
      <c r="AP798" s="597"/>
      <c r="AQ798" s="597"/>
    </row>
    <row r="799" spans="1:81">
      <c r="A799" s="349"/>
      <c r="B799" s="368"/>
      <c r="C799" s="369"/>
      <c r="D799" s="369"/>
      <c r="E799" s="369"/>
      <c r="F799" s="369"/>
      <c r="G799" s="369"/>
      <c r="H799" s="369"/>
      <c r="I799" s="1209"/>
      <c r="J799" s="1209"/>
      <c r="K799" s="1209"/>
      <c r="L799" s="1209"/>
      <c r="M799" s="1209"/>
      <c r="N799" s="1209"/>
      <c r="O799" s="1209"/>
      <c r="P799" s="1209"/>
      <c r="Q799" s="1209"/>
      <c r="S799" s="339"/>
      <c r="T799" s="339"/>
      <c r="U799" s="339"/>
      <c r="V799" s="339"/>
      <c r="W799" s="339"/>
      <c r="X799" s="339"/>
      <c r="Y799" s="339"/>
      <c r="Z799" s="339"/>
      <c r="AA799" s="339"/>
      <c r="AB799" s="339"/>
      <c r="AC799" s="339"/>
      <c r="AD799" s="339"/>
      <c r="AE799" s="339"/>
      <c r="AG799" s="339"/>
      <c r="AH799" s="339"/>
      <c r="AI799" s="339"/>
      <c r="AJ799" s="339"/>
      <c r="AK799" s="349"/>
      <c r="AL799" s="349"/>
      <c r="AM799" s="337"/>
      <c r="AO799" s="597"/>
      <c r="AP799" s="597"/>
      <c r="AQ799" s="597"/>
    </row>
    <row r="800" spans="1:81">
      <c r="A800" s="2376"/>
      <c r="B800" s="2376"/>
      <c r="C800" s="2376"/>
      <c r="D800" s="2376"/>
      <c r="E800" s="2376"/>
      <c r="F800" s="2376"/>
      <c r="G800" s="2376"/>
      <c r="H800" s="2376"/>
      <c r="I800" s="2376"/>
      <c r="J800" s="2376"/>
      <c r="K800" s="2376"/>
      <c r="L800" s="2376"/>
      <c r="M800" s="2376"/>
      <c r="N800" s="2376"/>
      <c r="O800" s="2376"/>
      <c r="P800" s="2376"/>
      <c r="Q800" s="2376"/>
      <c r="R800" s="2376"/>
      <c r="S800" s="2376"/>
      <c r="T800" s="2376"/>
      <c r="U800" s="2376"/>
      <c r="V800" s="2376"/>
      <c r="W800" s="2376"/>
      <c r="X800" s="2376"/>
      <c r="Y800" s="2376"/>
      <c r="Z800" s="2376"/>
      <c r="AA800" s="2376"/>
      <c r="AB800" s="2376"/>
      <c r="AC800" s="2376"/>
      <c r="AD800" s="2376"/>
      <c r="AE800" s="2376"/>
      <c r="AF800" s="2376"/>
      <c r="AG800" s="2376"/>
      <c r="AH800" s="2376"/>
      <c r="AI800" s="2376"/>
      <c r="AJ800" s="2376"/>
      <c r="AK800" s="2376"/>
      <c r="AL800" s="2376"/>
      <c r="AM800" s="2376"/>
      <c r="AP800" s="597"/>
      <c r="AQ800" s="597"/>
    </row>
    <row r="801" spans="1:81">
      <c r="A801" s="2376"/>
      <c r="B801" s="2376"/>
      <c r="C801" s="2376"/>
      <c r="D801" s="2376"/>
      <c r="E801" s="2376"/>
      <c r="F801" s="2376"/>
      <c r="G801" s="2376"/>
      <c r="H801" s="2376"/>
      <c r="I801" s="2376"/>
      <c r="J801" s="2376"/>
      <c r="K801" s="2376"/>
      <c r="L801" s="2376"/>
      <c r="M801" s="2376"/>
      <c r="N801" s="2376"/>
      <c r="O801" s="2376"/>
      <c r="P801" s="2376"/>
      <c r="Q801" s="2376"/>
      <c r="R801" s="2376"/>
      <c r="S801" s="2376"/>
      <c r="T801" s="2376"/>
      <c r="U801" s="2376"/>
      <c r="V801" s="2376"/>
      <c r="W801" s="2376"/>
      <c r="X801" s="2376"/>
      <c r="Y801" s="2376"/>
      <c r="Z801" s="2376"/>
      <c r="AA801" s="2376"/>
      <c r="AB801" s="2376"/>
      <c r="AC801" s="2376"/>
      <c r="AD801" s="2376"/>
      <c r="AE801" s="2376"/>
      <c r="AF801" s="2376"/>
      <c r="AG801" s="2376"/>
      <c r="AH801" s="2376"/>
      <c r="AI801" s="2376"/>
      <c r="AJ801" s="2376"/>
      <c r="AK801" s="2376"/>
      <c r="AL801" s="2376"/>
      <c r="AM801" s="2376"/>
      <c r="AO801" s="597"/>
      <c r="AQ801" s="597"/>
    </row>
    <row r="802" spans="1:81">
      <c r="A802" s="598"/>
      <c r="B802" s="455"/>
      <c r="C802" s="455"/>
      <c r="D802" s="455"/>
      <c r="E802" s="455"/>
      <c r="F802" s="455"/>
      <c r="G802" s="455"/>
      <c r="H802" s="455"/>
      <c r="I802" s="455"/>
      <c r="J802" s="455"/>
      <c r="K802" s="455"/>
      <c r="L802" s="455"/>
      <c r="M802" s="455"/>
      <c r="N802" s="455"/>
      <c r="O802" s="455"/>
      <c r="P802" s="455"/>
      <c r="Q802" s="455"/>
      <c r="R802" s="455"/>
      <c r="S802" s="457"/>
      <c r="T802" s="2448" t="s">
        <v>2573</v>
      </c>
      <c r="U802" s="2449"/>
      <c r="V802" s="2449"/>
      <c r="W802" s="2449"/>
      <c r="X802" s="2449"/>
      <c r="Y802" s="2450"/>
      <c r="Z802" s="2448" t="s">
        <v>2574</v>
      </c>
      <c r="AA802" s="2449"/>
      <c r="AB802" s="2449"/>
      <c r="AC802" s="2449"/>
      <c r="AD802" s="2449"/>
      <c r="AE802" s="2450"/>
      <c r="AF802" s="2448" t="s">
        <v>2575</v>
      </c>
      <c r="AG802" s="2449"/>
      <c r="AH802" s="2449"/>
      <c r="AI802" s="2449"/>
      <c r="AJ802" s="2449"/>
      <c r="AK802" s="2450"/>
      <c r="AL802" s="599"/>
      <c r="AM802" s="389"/>
      <c r="AO802" s="597"/>
      <c r="AP802" s="597"/>
      <c r="AQ802" s="597"/>
    </row>
    <row r="803" spans="1:81">
      <c r="A803" s="600"/>
      <c r="B803" s="480"/>
      <c r="C803" s="480"/>
      <c r="D803" s="480"/>
      <c r="E803" s="480"/>
      <c r="F803" s="480"/>
      <c r="G803" s="480"/>
      <c r="H803" s="480"/>
      <c r="I803" s="480"/>
      <c r="J803" s="480"/>
      <c r="K803" s="480"/>
      <c r="L803" s="480"/>
      <c r="M803" s="480"/>
      <c r="N803" s="480"/>
      <c r="O803" s="480"/>
      <c r="P803" s="480"/>
      <c r="Q803" s="480"/>
      <c r="R803" s="480"/>
      <c r="S803" s="494"/>
      <c r="T803" s="2451"/>
      <c r="U803" s="2452"/>
      <c r="V803" s="2452"/>
      <c r="W803" s="2452"/>
      <c r="X803" s="2452"/>
      <c r="Y803" s="2453"/>
      <c r="Z803" s="2451"/>
      <c r="AA803" s="2452"/>
      <c r="AB803" s="2452"/>
      <c r="AC803" s="2452"/>
      <c r="AD803" s="2452"/>
      <c r="AE803" s="2453"/>
      <c r="AF803" s="2451"/>
      <c r="AG803" s="2452"/>
      <c r="AH803" s="2452"/>
      <c r="AI803" s="2452"/>
      <c r="AJ803" s="2452"/>
      <c r="AK803" s="2453"/>
      <c r="AL803" s="599"/>
      <c r="AM803" s="389"/>
      <c r="AO803" s="597"/>
      <c r="AP803" s="597"/>
      <c r="AQ803" s="597"/>
    </row>
    <row r="804" spans="1:81">
      <c r="A804" s="600" t="s">
        <v>53</v>
      </c>
      <c r="B804" s="2405" t="s">
        <v>2137</v>
      </c>
      <c r="C804" s="2405"/>
      <c r="D804" s="2405"/>
      <c r="E804" s="2405"/>
      <c r="F804" s="2405"/>
      <c r="G804" s="2405"/>
      <c r="H804" s="2405"/>
      <c r="I804" s="2405"/>
      <c r="J804" s="2405"/>
      <c r="K804" s="2405"/>
      <c r="L804" s="2405"/>
      <c r="M804" s="2405"/>
      <c r="N804" s="2405"/>
      <c r="O804" s="2405"/>
      <c r="P804" s="2405"/>
      <c r="Q804" s="2405"/>
      <c r="R804" s="2405"/>
      <c r="S804" s="2406"/>
      <c r="T804" s="2433">
        <f>AK62</f>
        <v>0</v>
      </c>
      <c r="U804" s="2409"/>
      <c r="V804" s="2409"/>
      <c r="W804" s="2409"/>
      <c r="X804" s="2409"/>
      <c r="Y804" s="2410"/>
      <c r="Z804" s="2408">
        <v>20</v>
      </c>
      <c r="AA804" s="2409"/>
      <c r="AB804" s="2409"/>
      <c r="AC804" s="2409"/>
      <c r="AD804" s="2409"/>
      <c r="AE804" s="2410"/>
      <c r="AF804" s="2373">
        <f>IF(T804&gt;Z804,Z804,T804)</f>
        <v>0</v>
      </c>
      <c r="AG804" s="2373"/>
      <c r="AH804" s="2373"/>
      <c r="AI804" s="2373"/>
      <c r="AJ804" s="2373"/>
      <c r="AK804" s="2373"/>
      <c r="AL804" s="599"/>
      <c r="AM804" s="389"/>
      <c r="AO804" s="597"/>
      <c r="AP804" s="597"/>
      <c r="AQ804" s="597"/>
    </row>
    <row r="805" spans="1:81">
      <c r="A805" s="600" t="s">
        <v>2428</v>
      </c>
      <c r="B805" s="2405" t="s">
        <v>619</v>
      </c>
      <c r="C805" s="2405"/>
      <c r="D805" s="2405"/>
      <c r="E805" s="2405"/>
      <c r="F805" s="2405"/>
      <c r="G805" s="2405"/>
      <c r="H805" s="2405"/>
      <c r="I805" s="2405"/>
      <c r="J805" s="2405"/>
      <c r="K805" s="2405"/>
      <c r="L805" s="2405"/>
      <c r="M805" s="2405"/>
      <c r="N805" s="2405"/>
      <c r="O805" s="2405"/>
      <c r="P805" s="2405"/>
      <c r="Q805" s="2405"/>
      <c r="R805" s="2405"/>
      <c r="S805" s="2406"/>
      <c r="T805" s="2433">
        <f>AK84</f>
        <v>10</v>
      </c>
      <c r="U805" s="2409"/>
      <c r="V805" s="2409"/>
      <c r="W805" s="2409"/>
      <c r="X805" s="2409"/>
      <c r="Y805" s="2410"/>
      <c r="Z805" s="2408">
        <v>10</v>
      </c>
      <c r="AA805" s="2409"/>
      <c r="AB805" s="2409"/>
      <c r="AC805" s="2409"/>
      <c r="AD805" s="2409"/>
      <c r="AE805" s="2410"/>
      <c r="AF805" s="2373">
        <f>IF(T805&gt;Z805,Z805,T805)</f>
        <v>10</v>
      </c>
      <c r="AG805" s="2373"/>
      <c r="AH805" s="2373"/>
      <c r="AI805" s="2373"/>
      <c r="AJ805" s="2373"/>
      <c r="AK805" s="2373"/>
      <c r="AL805" s="599"/>
      <c r="AM805" s="389"/>
      <c r="AO805" s="597"/>
      <c r="AP805" s="597"/>
      <c r="AQ805" s="597"/>
    </row>
    <row r="806" spans="1:81">
      <c r="A806" s="600" t="s">
        <v>2437</v>
      </c>
      <c r="B806" s="2405" t="s">
        <v>2177</v>
      </c>
      <c r="C806" s="2405"/>
      <c r="D806" s="2405"/>
      <c r="E806" s="2405"/>
      <c r="F806" s="2405"/>
      <c r="G806" s="2405"/>
      <c r="H806" s="2405"/>
      <c r="I806" s="2405"/>
      <c r="J806" s="2405"/>
      <c r="K806" s="2405"/>
      <c r="L806" s="2405"/>
      <c r="M806" s="2405"/>
      <c r="N806" s="2405"/>
      <c r="O806" s="2405"/>
      <c r="P806" s="2405"/>
      <c r="Q806" s="2405"/>
      <c r="R806" s="2405"/>
      <c r="S806" s="2406"/>
      <c r="T806" s="2433">
        <f ca="1">AK109</f>
        <v>20</v>
      </c>
      <c r="U806" s="2409"/>
      <c r="V806" s="2409"/>
      <c r="W806" s="2409"/>
      <c r="X806" s="2409"/>
      <c r="Y806" s="2410"/>
      <c r="Z806" s="2408">
        <v>20</v>
      </c>
      <c r="AA806" s="2409"/>
      <c r="AB806" s="2409"/>
      <c r="AC806" s="2409"/>
      <c r="AD806" s="2409"/>
      <c r="AE806" s="2410"/>
      <c r="AF806" s="2373">
        <f ca="1">IF(T806&gt;Z806,Z806,T806)</f>
        <v>20</v>
      </c>
      <c r="AG806" s="2373"/>
      <c r="AH806" s="2373"/>
      <c r="AI806" s="2373"/>
      <c r="AJ806" s="2373"/>
      <c r="AK806" s="2373"/>
      <c r="AL806" s="599"/>
      <c r="AM806" s="389"/>
      <c r="AO806" s="597"/>
      <c r="AP806" s="597"/>
      <c r="AQ806" s="597"/>
    </row>
    <row r="807" spans="1:81">
      <c r="A807" s="600" t="s">
        <v>2576</v>
      </c>
      <c r="B807" s="2405" t="s">
        <v>2188</v>
      </c>
      <c r="C807" s="2405"/>
      <c r="D807" s="2405"/>
      <c r="E807" s="2405"/>
      <c r="F807" s="2405"/>
      <c r="G807" s="2405"/>
      <c r="H807" s="2405"/>
      <c r="I807" s="2405"/>
      <c r="J807" s="2405"/>
      <c r="K807" s="2405"/>
      <c r="L807" s="2405"/>
      <c r="M807" s="2405"/>
      <c r="N807" s="2405"/>
      <c r="O807" s="2405"/>
      <c r="P807" s="2405"/>
      <c r="Q807" s="2405"/>
      <c r="R807" s="2405"/>
      <c r="S807" s="2406"/>
      <c r="T807" s="2433">
        <f>AK143</f>
        <v>10</v>
      </c>
      <c r="U807" s="2409"/>
      <c r="V807" s="2409"/>
      <c r="W807" s="2409"/>
      <c r="X807" s="2409"/>
      <c r="Y807" s="2410"/>
      <c r="Z807" s="2408">
        <v>10</v>
      </c>
      <c r="AA807" s="2409"/>
      <c r="AB807" s="2409"/>
      <c r="AC807" s="2409"/>
      <c r="AD807" s="2409"/>
      <c r="AE807" s="2410"/>
      <c r="AF807" s="2373">
        <f>IF(T807&gt;Z807,Z807,T807)</f>
        <v>10</v>
      </c>
      <c r="AG807" s="2373"/>
      <c r="AH807" s="2373"/>
      <c r="AI807" s="2373"/>
      <c r="AJ807" s="2373"/>
      <c r="AK807" s="2373"/>
      <c r="AL807" s="599"/>
      <c r="AM807" s="389"/>
      <c r="AO807" s="597"/>
      <c r="AP807" s="597"/>
      <c r="AQ807" s="597"/>
    </row>
    <row r="808" spans="1:81">
      <c r="A808" s="1219" t="s">
        <v>2577</v>
      </c>
      <c r="B808" s="2405" t="s">
        <v>2578</v>
      </c>
      <c r="C808" s="2405"/>
      <c r="D808" s="2405"/>
      <c r="E808" s="2405"/>
      <c r="F808" s="2405"/>
      <c r="G808" s="2405"/>
      <c r="H808" s="2405"/>
      <c r="I808" s="2405"/>
      <c r="J808" s="2405"/>
      <c r="K808" s="2405"/>
      <c r="L808" s="2405"/>
      <c r="M808" s="2405"/>
      <c r="N808" s="2405"/>
      <c r="O808" s="2405"/>
      <c r="P808" s="2405"/>
      <c r="Q808" s="2405"/>
      <c r="R808" s="2405"/>
      <c r="S808" s="2406"/>
      <c r="T808" s="2407">
        <f>SUM(T809:Y810)</f>
        <v>10</v>
      </c>
      <c r="U808" s="2407"/>
      <c r="V808" s="2407"/>
      <c r="W808" s="2407"/>
      <c r="X808" s="2407"/>
      <c r="Y808" s="2407"/>
      <c r="Z808" s="2373">
        <v>10</v>
      </c>
      <c r="AA808" s="2373"/>
      <c r="AB808" s="2373"/>
      <c r="AC808" s="2373"/>
      <c r="AD808" s="2373"/>
      <c r="AE808" s="2373"/>
      <c r="AF808" s="2373">
        <f>IF(T808&gt;Z808,Z808,T808)</f>
        <v>10</v>
      </c>
      <c r="AG808" s="2373"/>
      <c r="AH808" s="2373"/>
      <c r="AI808" s="2373"/>
      <c r="AJ808" s="2373"/>
      <c r="AK808" s="2373"/>
      <c r="AL808" s="599"/>
      <c r="AM808" s="389"/>
    </row>
    <row r="809" spans="1:81">
      <c r="A809" s="335"/>
      <c r="B809" s="394"/>
      <c r="C809" s="2411" t="s">
        <v>2579</v>
      </c>
      <c r="D809" s="2411"/>
      <c r="E809" s="2411"/>
      <c r="F809" s="2411"/>
      <c r="G809" s="2411"/>
      <c r="H809" s="2411"/>
      <c r="I809" s="2411"/>
      <c r="J809" s="2411"/>
      <c r="K809" s="2411"/>
      <c r="L809" s="2411"/>
      <c r="M809" s="2411"/>
      <c r="N809" s="2411"/>
      <c r="O809" s="2411"/>
      <c r="P809" s="2411"/>
      <c r="Q809" s="2411"/>
      <c r="R809" s="2411"/>
      <c r="S809" s="2412"/>
      <c r="T809" s="2413">
        <f>AJ166</f>
        <v>7</v>
      </c>
      <c r="U809" s="2413"/>
      <c r="V809" s="2413"/>
      <c r="W809" s="2413"/>
      <c r="X809" s="2413"/>
      <c r="Y809" s="2413"/>
      <c r="Z809" s="2414">
        <v>7</v>
      </c>
      <c r="AA809" s="2414"/>
      <c r="AB809" s="2414"/>
      <c r="AC809" s="2414"/>
      <c r="AD809" s="2414"/>
      <c r="AE809" s="2414"/>
      <c r="AF809" s="2415"/>
      <c r="AG809" s="2415"/>
      <c r="AH809" s="2415"/>
      <c r="AI809" s="2415"/>
      <c r="AJ809" s="2415"/>
      <c r="AK809" s="2415"/>
      <c r="AL809" s="599"/>
      <c r="AM809" s="389"/>
    </row>
    <row r="810" spans="1:81">
      <c r="A810" s="393"/>
      <c r="B810" s="394"/>
      <c r="C810" s="2411" t="s">
        <v>2007</v>
      </c>
      <c r="D810" s="2411"/>
      <c r="E810" s="2411"/>
      <c r="F810" s="2411"/>
      <c r="G810" s="2411"/>
      <c r="H810" s="2411"/>
      <c r="I810" s="2411"/>
      <c r="J810" s="2411"/>
      <c r="K810" s="2411"/>
      <c r="L810" s="2411"/>
      <c r="M810" s="2411"/>
      <c r="N810" s="2411"/>
      <c r="O810" s="2411"/>
      <c r="P810" s="2411"/>
      <c r="Q810" s="2411"/>
      <c r="R810" s="2411"/>
      <c r="S810" s="2412"/>
      <c r="T810" s="2413">
        <f>AJ180</f>
        <v>3</v>
      </c>
      <c r="U810" s="2413"/>
      <c r="V810" s="2413"/>
      <c r="W810" s="2413"/>
      <c r="X810" s="2413"/>
      <c r="Y810" s="2413"/>
      <c r="Z810" s="2414">
        <v>3</v>
      </c>
      <c r="AA810" s="2414"/>
      <c r="AB810" s="2414"/>
      <c r="AC810" s="2414"/>
      <c r="AD810" s="2414"/>
      <c r="AE810" s="2414"/>
      <c r="AF810" s="2415"/>
      <c r="AG810" s="2415"/>
      <c r="AH810" s="2415"/>
      <c r="AI810" s="2415"/>
      <c r="AJ810" s="2415"/>
      <c r="AK810" s="2415"/>
      <c r="AL810" s="599"/>
      <c r="AM810" s="389"/>
      <c r="AO810" s="349"/>
    </row>
    <row r="811" spans="1:81">
      <c r="A811" s="1219" t="s">
        <v>2234</v>
      </c>
      <c r="B811" s="2405" t="s">
        <v>2580</v>
      </c>
      <c r="C811" s="2405"/>
      <c r="D811" s="2405"/>
      <c r="E811" s="2405"/>
      <c r="F811" s="2405"/>
      <c r="G811" s="2405"/>
      <c r="H811" s="2405"/>
      <c r="I811" s="2405"/>
      <c r="J811" s="2405"/>
      <c r="K811" s="2405"/>
      <c r="L811" s="2405"/>
      <c r="M811" s="2405"/>
      <c r="N811" s="2405"/>
      <c r="O811" s="2405"/>
      <c r="P811" s="2405"/>
      <c r="Q811" s="2405"/>
      <c r="R811" s="2405"/>
      <c r="S811" s="2406"/>
      <c r="T811" s="2407">
        <f>AK191</f>
        <v>10</v>
      </c>
      <c r="U811" s="2407"/>
      <c r="V811" s="2407"/>
      <c r="W811" s="2407"/>
      <c r="X811" s="2407"/>
      <c r="Y811" s="2407"/>
      <c r="Z811" s="2373">
        <v>10</v>
      </c>
      <c r="AA811" s="2373"/>
      <c r="AB811" s="2373"/>
      <c r="AC811" s="2373"/>
      <c r="AD811" s="2373"/>
      <c r="AE811" s="2373"/>
      <c r="AF811" s="2373">
        <f>IF(T811&gt;Z811,Z811,T811)</f>
        <v>10</v>
      </c>
      <c r="AG811" s="2373"/>
      <c r="AH811" s="2373"/>
      <c r="AI811" s="2373"/>
      <c r="AJ811" s="2373"/>
      <c r="AK811" s="2373"/>
      <c r="AL811" s="599"/>
      <c r="AM811" s="389"/>
    </row>
    <row r="812" spans="1:81">
      <c r="A812" s="600" t="s">
        <v>2244</v>
      </c>
      <c r="B812" s="2405" t="s">
        <v>2245</v>
      </c>
      <c r="C812" s="2405"/>
      <c r="D812" s="2405"/>
      <c r="E812" s="2405"/>
      <c r="F812" s="2405"/>
      <c r="G812" s="2405"/>
      <c r="H812" s="2405"/>
      <c r="I812" s="2405"/>
      <c r="J812" s="2405"/>
      <c r="K812" s="2405"/>
      <c r="L812" s="2405"/>
      <c r="M812" s="2405"/>
      <c r="N812" s="2405"/>
      <c r="O812" s="2405"/>
      <c r="P812" s="2405"/>
      <c r="Q812" s="2405"/>
      <c r="R812" s="2405"/>
      <c r="S812" s="2406"/>
      <c r="T812" s="2407">
        <f>AK273</f>
        <v>8</v>
      </c>
      <c r="U812" s="2407"/>
      <c r="V812" s="2407"/>
      <c r="W812" s="2407"/>
      <c r="X812" s="2407"/>
      <c r="Y812" s="2407"/>
      <c r="Z812" s="2408">
        <v>8</v>
      </c>
      <c r="AA812" s="2409"/>
      <c r="AB812" s="2409"/>
      <c r="AC812" s="2409"/>
      <c r="AD812" s="2409"/>
      <c r="AE812" s="2410"/>
      <c r="AF812" s="2373">
        <f>IF(T812&gt;Z812,Z812,T812)</f>
        <v>8</v>
      </c>
      <c r="AG812" s="2373"/>
      <c r="AH812" s="2373"/>
      <c r="AI812" s="2373"/>
      <c r="AJ812" s="2373"/>
      <c r="AK812" s="2373"/>
      <c r="AL812" s="599"/>
      <c r="AM812" s="389"/>
    </row>
    <row r="813" spans="1:81" s="334" customFormat="1" hidden="1">
      <c r="A813" s="1219" t="s">
        <v>1007</v>
      </c>
      <c r="B813" s="2405" t="s">
        <v>2581</v>
      </c>
      <c r="C813" s="2405"/>
      <c r="D813" s="2405"/>
      <c r="E813" s="2405"/>
      <c r="F813" s="2405"/>
      <c r="G813" s="2405"/>
      <c r="H813" s="2405"/>
      <c r="I813" s="2405"/>
      <c r="J813" s="2405"/>
      <c r="K813" s="2405"/>
      <c r="L813" s="2405"/>
      <c r="M813" s="2405"/>
      <c r="N813" s="2405"/>
      <c r="O813" s="2405"/>
      <c r="P813" s="2405"/>
      <c r="Q813" s="2405"/>
      <c r="R813" s="2405"/>
      <c r="S813" s="2406"/>
      <c r="T813" s="2407">
        <f>IF(AK535&gt;5,5,AK535)</f>
        <v>0</v>
      </c>
      <c r="U813" s="2407"/>
      <c r="V813" s="2407"/>
      <c r="W813" s="2407"/>
      <c r="X813" s="2407"/>
      <c r="Y813" s="2407"/>
      <c r="Z813" s="2373">
        <v>5</v>
      </c>
      <c r="AA813" s="2373"/>
      <c r="AB813" s="2373"/>
      <c r="AC813" s="2373"/>
      <c r="AD813" s="2373"/>
      <c r="AE813" s="2373"/>
      <c r="AF813" s="2373">
        <f>IF(T813&gt;Z813,5,T813)</f>
        <v>0</v>
      </c>
      <c r="AG813" s="2373"/>
      <c r="AH813" s="2373"/>
      <c r="AI813" s="2373"/>
      <c r="AJ813" s="2373"/>
      <c r="AK813" s="2373"/>
      <c r="AL813" s="599"/>
      <c r="AM813" s="389"/>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34" customFormat="1">
      <c r="A814" s="600" t="s">
        <v>2296</v>
      </c>
      <c r="B814" s="2405" t="s">
        <v>2582</v>
      </c>
      <c r="C814" s="2405"/>
      <c r="D814" s="2405"/>
      <c r="E814" s="2405"/>
      <c r="F814" s="2405"/>
      <c r="G814" s="2405"/>
      <c r="H814" s="2405"/>
      <c r="I814" s="2405"/>
      <c r="J814" s="2405"/>
      <c r="K814" s="2405"/>
      <c r="L814" s="2405"/>
      <c r="M814" s="2405"/>
      <c r="N814" s="2405"/>
      <c r="O814" s="2405"/>
      <c r="P814" s="2405"/>
      <c r="Q814" s="2405"/>
      <c r="R814" s="2405"/>
      <c r="S814" s="2406"/>
      <c r="T814" s="2407">
        <f>AK285</f>
        <v>10</v>
      </c>
      <c r="U814" s="2407"/>
      <c r="V814" s="2407"/>
      <c r="W814" s="2407"/>
      <c r="X814" s="2407"/>
      <c r="Y814" s="2407"/>
      <c r="Z814" s="2373">
        <v>10</v>
      </c>
      <c r="AA814" s="2373"/>
      <c r="AB814" s="2373"/>
      <c r="AC814" s="2373"/>
      <c r="AD814" s="2373"/>
      <c r="AE814" s="2373"/>
      <c r="AF814" s="2416">
        <f>IF(T814&gt;Z814,Z814,T814)</f>
        <v>10</v>
      </c>
      <c r="AG814" s="2417"/>
      <c r="AH814" s="2417"/>
      <c r="AI814" s="2417"/>
      <c r="AJ814" s="2417"/>
      <c r="AK814" s="2418"/>
      <c r="AL814" s="599"/>
      <c r="AM814" s="389"/>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34" customFormat="1">
      <c r="A815" s="1219" t="s">
        <v>2300</v>
      </c>
      <c r="B815" s="2405" t="s">
        <v>2583</v>
      </c>
      <c r="C815" s="2405"/>
      <c r="D815" s="2405"/>
      <c r="E815" s="2405"/>
      <c r="F815" s="2405"/>
      <c r="G815" s="2405"/>
      <c r="H815" s="2405"/>
      <c r="I815" s="2405"/>
      <c r="J815" s="2405"/>
      <c r="K815" s="2405"/>
      <c r="L815" s="2405"/>
      <c r="M815" s="2405"/>
      <c r="N815" s="2405"/>
      <c r="O815" s="2405"/>
      <c r="P815" s="2405"/>
      <c r="Q815" s="2405"/>
      <c r="R815" s="2405"/>
      <c r="S815" s="2406"/>
      <c r="T815" s="2407">
        <f>AK338</f>
        <v>10</v>
      </c>
      <c r="U815" s="2407"/>
      <c r="V815" s="2407"/>
      <c r="W815" s="2407"/>
      <c r="X815" s="2407"/>
      <c r="Y815" s="2407"/>
      <c r="Z815" s="2416">
        <v>10</v>
      </c>
      <c r="AA815" s="2417"/>
      <c r="AB815" s="2417"/>
      <c r="AC815" s="2417"/>
      <c r="AD815" s="2417"/>
      <c r="AE815" s="2418"/>
      <c r="AF815" s="2416">
        <f>IF(T815&gt;Z815,Z815,T815)</f>
        <v>10</v>
      </c>
      <c r="AG815" s="2417"/>
      <c r="AH815" s="2417"/>
      <c r="AI815" s="2417"/>
      <c r="AJ815" s="2417"/>
      <c r="AK815" s="2418"/>
      <c r="AL815" s="339"/>
      <c r="AM815" s="389"/>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34" customFormat="1" hidden="1">
      <c r="A816" s="1219"/>
      <c r="B816" s="1217"/>
      <c r="C816" s="601" t="s">
        <v>2584</v>
      </c>
      <c r="D816" s="602"/>
      <c r="E816" s="602"/>
      <c r="F816" s="602"/>
      <c r="G816" s="602"/>
      <c r="H816" s="602"/>
      <c r="I816" s="602"/>
      <c r="J816" s="602"/>
      <c r="K816" s="602"/>
      <c r="L816" s="602"/>
      <c r="M816" s="602"/>
      <c r="N816" s="602"/>
      <c r="O816" s="602"/>
      <c r="P816" s="602"/>
      <c r="Q816" s="602"/>
      <c r="R816" s="1217"/>
      <c r="S816" s="1218"/>
      <c r="T816" s="2413">
        <f>AK338</f>
        <v>10</v>
      </c>
      <c r="U816" s="2413"/>
      <c r="V816" s="2413"/>
      <c r="W816" s="2413"/>
      <c r="X816" s="2413"/>
      <c r="Y816" s="2413"/>
      <c r="Z816" s="2361">
        <v>20</v>
      </c>
      <c r="AA816" s="2362"/>
      <c r="AB816" s="2362"/>
      <c r="AC816" s="2362"/>
      <c r="AD816" s="2362"/>
      <c r="AE816" s="2363"/>
      <c r="AF816" s="2415"/>
      <c r="AG816" s="2415"/>
      <c r="AH816" s="2415"/>
      <c r="AI816" s="2415"/>
      <c r="AJ816" s="2415"/>
      <c r="AK816" s="2415"/>
      <c r="AL816" s="339"/>
      <c r="AM816" s="389"/>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34" customFormat="1">
      <c r="A817" s="1219" t="s">
        <v>2330</v>
      </c>
      <c r="B817" s="2405" t="s">
        <v>2331</v>
      </c>
      <c r="C817" s="2405"/>
      <c r="D817" s="2405"/>
      <c r="E817" s="2405"/>
      <c r="F817" s="2405"/>
      <c r="G817" s="2405"/>
      <c r="H817" s="2405"/>
      <c r="I817" s="2405"/>
      <c r="J817" s="2405"/>
      <c r="K817" s="2405"/>
      <c r="L817" s="2405"/>
      <c r="M817" s="2405"/>
      <c r="N817" s="2405"/>
      <c r="O817" s="2405"/>
      <c r="P817" s="2405"/>
      <c r="Q817" s="2405"/>
      <c r="R817" s="2405"/>
      <c r="S817" s="2406"/>
      <c r="T817" s="2407">
        <f>AK469</f>
        <v>10</v>
      </c>
      <c r="U817" s="2407"/>
      <c r="V817" s="2407"/>
      <c r="W817" s="2407"/>
      <c r="X817" s="2407"/>
      <c r="Y817" s="2407"/>
      <c r="Z817" s="2416">
        <v>10</v>
      </c>
      <c r="AA817" s="2417"/>
      <c r="AB817" s="2417"/>
      <c r="AC817" s="2417"/>
      <c r="AD817" s="2417"/>
      <c r="AE817" s="2418"/>
      <c r="AF817" s="2373">
        <f>IF(T817&gt;Z817,Z817,T817)</f>
        <v>10</v>
      </c>
      <c r="AG817" s="2373"/>
      <c r="AH817" s="2373"/>
      <c r="AI817" s="2373"/>
      <c r="AJ817" s="2373"/>
      <c r="AK817" s="2373"/>
      <c r="AL817" s="339"/>
      <c r="AM817" s="389"/>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34" customFormat="1">
      <c r="A818" s="1219" t="s">
        <v>2447</v>
      </c>
      <c r="B818" s="2405" t="s">
        <v>2448</v>
      </c>
      <c r="C818" s="2405"/>
      <c r="D818" s="2405"/>
      <c r="E818" s="2405"/>
      <c r="F818" s="2405"/>
      <c r="G818" s="2405"/>
      <c r="H818" s="2405"/>
      <c r="I818" s="2405"/>
      <c r="J818" s="2405"/>
      <c r="K818" s="2405"/>
      <c r="L818" s="2405"/>
      <c r="M818" s="2405"/>
      <c r="N818" s="2405"/>
      <c r="O818" s="2405"/>
      <c r="P818" s="2405"/>
      <c r="Q818" s="2405"/>
      <c r="R818" s="2405"/>
      <c r="S818" s="2406"/>
      <c r="T818" s="2407">
        <f>AK559</f>
        <v>12</v>
      </c>
      <c r="U818" s="2407"/>
      <c r="V818" s="2407"/>
      <c r="W818" s="2407"/>
      <c r="X818" s="2407"/>
      <c r="Y818" s="2407"/>
      <c r="Z818" s="2416">
        <v>12</v>
      </c>
      <c r="AA818" s="2417"/>
      <c r="AB818" s="2417"/>
      <c r="AC818" s="2417"/>
      <c r="AD818" s="2417"/>
      <c r="AE818" s="2418"/>
      <c r="AF818" s="2373">
        <f>IF(T818&gt;Z818,Z818,T818)</f>
        <v>12</v>
      </c>
      <c r="AG818" s="2373"/>
      <c r="AH818" s="2373"/>
      <c r="AI818" s="2373"/>
      <c r="AJ818" s="2373"/>
      <c r="AK818" s="2373"/>
      <c r="AL818" s="339"/>
      <c r="AM818" s="389"/>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34" customFormat="1">
      <c r="A819" s="1219" t="s">
        <v>2585</v>
      </c>
      <c r="B819" s="2405" t="s">
        <v>2586</v>
      </c>
      <c r="C819" s="2405"/>
      <c r="D819" s="2405"/>
      <c r="E819" s="2405"/>
      <c r="F819" s="2405"/>
      <c r="G819" s="2405"/>
      <c r="H819" s="2405"/>
      <c r="I819" s="2405"/>
      <c r="J819" s="2405"/>
      <c r="K819" s="2405"/>
      <c r="L819" s="2405"/>
      <c r="M819" s="2405"/>
      <c r="N819" s="2405"/>
      <c r="O819" s="2405"/>
      <c r="P819" s="2405"/>
      <c r="Q819" s="2405"/>
      <c r="R819" s="2405"/>
      <c r="S819" s="2406"/>
      <c r="T819" s="2407">
        <f>AK794</f>
        <v>10</v>
      </c>
      <c r="U819" s="2407"/>
      <c r="V819" s="2407"/>
      <c r="W819" s="2407"/>
      <c r="X819" s="2407"/>
      <c r="Y819" s="2407"/>
      <c r="Z819" s="2416">
        <v>10</v>
      </c>
      <c r="AA819" s="2417"/>
      <c r="AB819" s="2417"/>
      <c r="AC819" s="2417"/>
      <c r="AD819" s="2417"/>
      <c r="AE819" s="2418"/>
      <c r="AF819" s="2373">
        <f>IF(T819&gt;Z819,Z819,T819)</f>
        <v>10</v>
      </c>
      <c r="AG819" s="2373"/>
      <c r="AH819" s="2373"/>
      <c r="AI819" s="2373"/>
      <c r="AJ819" s="2373"/>
      <c r="AK819" s="2373"/>
      <c r="AL819" s="339"/>
      <c r="AM819" s="389"/>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34" customFormat="1">
      <c r="A820" s="2419" t="s">
        <v>2587</v>
      </c>
      <c r="B820" s="2405"/>
      <c r="C820" s="2405"/>
      <c r="D820" s="2405"/>
      <c r="E820" s="2405"/>
      <c r="F820" s="2405"/>
      <c r="G820" s="2405"/>
      <c r="H820" s="2405"/>
      <c r="I820" s="2405"/>
      <c r="J820" s="2405"/>
      <c r="K820" s="2405"/>
      <c r="L820" s="2405"/>
      <c r="M820" s="2405"/>
      <c r="N820" s="2405"/>
      <c r="O820" s="2405"/>
      <c r="P820" s="2405"/>
      <c r="Q820" s="2405"/>
      <c r="R820" s="2405"/>
      <c r="S820" s="2406"/>
      <c r="T820" s="2420"/>
      <c r="U820" s="2420"/>
      <c r="V820" s="2420"/>
      <c r="W820" s="2420"/>
      <c r="X820" s="2420"/>
      <c r="Y820" s="2420"/>
      <c r="Z820" s="2414" t="s">
        <v>2588</v>
      </c>
      <c r="AA820" s="2414"/>
      <c r="AB820" s="2414"/>
      <c r="AC820" s="2414"/>
      <c r="AD820" s="2414"/>
      <c r="AE820" s="2414"/>
      <c r="AF820" s="2416">
        <f>IF(T820&gt;0,T820,0)</f>
        <v>0</v>
      </c>
      <c r="AG820" s="2417"/>
      <c r="AH820" s="2417"/>
      <c r="AI820" s="2417"/>
      <c r="AJ820" s="2417"/>
      <c r="AK820" s="2418"/>
      <c r="AL820" s="1206"/>
      <c r="AM820" s="389"/>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34" customFormat="1" ht="15.6">
      <c r="A821" s="2421" t="s">
        <v>2589</v>
      </c>
      <c r="B821" s="2422"/>
      <c r="C821" s="2422"/>
      <c r="D821" s="2422"/>
      <c r="E821" s="2422"/>
      <c r="F821" s="2422"/>
      <c r="G821" s="2422"/>
      <c r="H821" s="2422"/>
      <c r="I821" s="2422"/>
      <c r="J821" s="2422"/>
      <c r="K821" s="2422"/>
      <c r="L821" s="2422"/>
      <c r="M821" s="2422"/>
      <c r="N821" s="2422"/>
      <c r="O821" s="2422"/>
      <c r="P821" s="2422"/>
      <c r="Q821" s="2422"/>
      <c r="R821" s="2422"/>
      <c r="S821" s="2422"/>
      <c r="T821" s="2422"/>
      <c r="U821" s="2422"/>
      <c r="V821" s="2422"/>
      <c r="W821" s="2422"/>
      <c r="X821" s="2422"/>
      <c r="Y821" s="2422"/>
      <c r="Z821" s="2422"/>
      <c r="AA821" s="2422"/>
      <c r="AB821" s="2422"/>
      <c r="AC821" s="2422"/>
      <c r="AD821" s="2422"/>
      <c r="AE821" s="2423"/>
      <c r="AF821" s="2427">
        <f ca="1">SUM(AF804:AK819)-AF820</f>
        <v>120</v>
      </c>
      <c r="AG821" s="2428"/>
      <c r="AH821" s="2428"/>
      <c r="AI821" s="2428"/>
      <c r="AJ821" s="2428"/>
      <c r="AK821" s="2429"/>
      <c r="AL821" s="603"/>
      <c r="AM821" s="349"/>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34" customFormat="1" ht="15.6">
      <c r="A822" s="2424"/>
      <c r="B822" s="2425"/>
      <c r="C822" s="2425"/>
      <c r="D822" s="2425"/>
      <c r="E822" s="2425"/>
      <c r="F822" s="2425"/>
      <c r="G822" s="2425"/>
      <c r="H822" s="2425"/>
      <c r="I822" s="2425"/>
      <c r="J822" s="2425"/>
      <c r="K822" s="2425"/>
      <c r="L822" s="2425"/>
      <c r="M822" s="2425"/>
      <c r="N822" s="2425"/>
      <c r="O822" s="2425"/>
      <c r="P822" s="2425"/>
      <c r="Q822" s="2425"/>
      <c r="R822" s="2425"/>
      <c r="S822" s="2425"/>
      <c r="T822" s="2425"/>
      <c r="U822" s="2425"/>
      <c r="V822" s="2425"/>
      <c r="W822" s="2425"/>
      <c r="X822" s="2425"/>
      <c r="Y822" s="2425"/>
      <c r="Z822" s="2425"/>
      <c r="AA822" s="2425"/>
      <c r="AB822" s="2425"/>
      <c r="AC822" s="2425"/>
      <c r="AD822" s="2425"/>
      <c r="AE822" s="2426"/>
      <c r="AF822" s="2430"/>
      <c r="AG822" s="2431"/>
      <c r="AH822" s="2431"/>
      <c r="AI822" s="2431"/>
      <c r="AJ822" s="2431"/>
      <c r="AK822" s="2432"/>
      <c r="AL822" s="603"/>
      <c r="AM822" s="349"/>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34" customFormat="1">
      <c r="A823" s="451"/>
      <c r="B823" s="451"/>
      <c r="C823" s="451"/>
      <c r="D823" s="451"/>
      <c r="E823" s="451"/>
      <c r="F823" s="451"/>
      <c r="G823" s="451"/>
      <c r="H823" s="451"/>
      <c r="I823" s="451"/>
      <c r="J823" s="451"/>
      <c r="K823" s="451"/>
      <c r="L823" s="451"/>
      <c r="M823" s="451"/>
      <c r="N823" s="451"/>
      <c r="O823" s="451"/>
      <c r="P823" s="451"/>
      <c r="Q823" s="451"/>
      <c r="R823" s="451"/>
      <c r="S823" s="451"/>
      <c r="T823" s="451"/>
      <c r="U823" s="451"/>
      <c r="V823" s="451"/>
      <c r="W823" s="451"/>
      <c r="X823" s="451"/>
      <c r="Y823" s="451"/>
      <c r="Z823" s="451"/>
      <c r="AA823" s="451"/>
      <c r="AB823" s="451"/>
      <c r="AC823" s="451"/>
      <c r="AD823" s="451"/>
      <c r="AE823" s="451"/>
      <c r="AF823" s="451"/>
      <c r="AG823" s="451"/>
      <c r="AH823" s="451"/>
      <c r="AI823" s="451"/>
      <c r="AJ823" s="451"/>
      <c r="AK823" s="451"/>
      <c r="AL823" s="451"/>
      <c r="AM823" s="604"/>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austinjudegeorge@gmail.com</cp:lastModifiedBy>
  <cp:revision/>
  <dcterms:created xsi:type="dcterms:W3CDTF">2007-12-27T18:26:28Z</dcterms:created>
  <dcterms:modified xsi:type="dcterms:W3CDTF">2025-05-19T11:19:09Z</dcterms:modified>
  <cp:category/>
  <cp:contentStatus/>
</cp:coreProperties>
</file>